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6. Gestión Administrativa\II CUATRIMESTRE\Consolidado Proceso\"/>
    </mc:Choice>
  </mc:AlternateContent>
  <xr:revisionPtr revIDLastSave="0" documentId="13_ncr:1_{BA06BC29-7850-4825-989E-5B2ECC1FB0BD}" xr6:coauthVersionLast="47" xr6:coauthVersionMax="47" xr10:uidLastSave="{00000000-0000-0000-0000-000000000000}"/>
  <bookViews>
    <workbookView xWindow="-120" yWindow="-120" windowWidth="24240" windowHeight="13140"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89" r:id="rId5"/>
    <sheet name="Matriz Calor Inherente" sheetId="65" r:id="rId6"/>
    <sheet name="Matriz Calor Residual" sheetId="66" r:id="rId7"/>
    <sheet name="Mapa Riesgo Gestión" sheetId="92"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triz Calor Inherente R.Fiscal" sheetId="90" state="hidden" r:id="rId15"/>
    <sheet name="Matriz Calor Residual R. Fiscal" sheetId="91" state="hidden" r:id="rId16"/>
    <sheet name="Tabla probabilidad R.Fiscal" sheetId="84" state="hidden" r:id="rId17"/>
    <sheet name="Tabla Impacto R.Fiscal" sheetId="85" state="hidden" r:id="rId18"/>
    <sheet name="Tabla Valoración controles R.Fi" sheetId="83" state="hidden" r:id="rId19"/>
    <sheet name="Riesgos de Corrupción" sheetId="54" r:id="rId20"/>
    <sheet name="Controles de Corrupción" sheetId="55" r:id="rId21"/>
    <sheet name="Mapa de calor Corrupción" sheetId="56" r:id="rId22"/>
    <sheet name="Mapa Riesgo Corrupción" sheetId="57" r:id="rId23"/>
    <sheet name="Mapa final SI" sheetId="72" r:id="rId24"/>
    <sheet name="Matriz Calor Inherente SI" sheetId="73" r:id="rId25"/>
    <sheet name="Matriz Calor Residual SI" sheetId="74" r:id="rId26"/>
    <sheet name="Mapa Riesgo SI" sheetId="78" r:id="rId27"/>
  </sheets>
  <definedNames>
    <definedName name="_xlnm._FilterDatabase" localSheetId="20" hidden="1">'Controles de Corrupción'!$C$9:$AZ$251</definedName>
    <definedName name="_xlnm._FilterDatabase" localSheetId="21" hidden="1">'Mapa de calor Corrupción'!$K$37:$Q$62</definedName>
    <definedName name="_xlnm._FilterDatabase" localSheetId="19" hidden="1">'Riesgos de Corrupción'!$B$10:$BN$100</definedName>
  </definedNames>
  <calcPr calcId="191029"/>
  <pivotCaches>
    <pivotCache cacheId="0"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92" l="1"/>
  <c r="C5" i="92"/>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G31" i="92" l="1"/>
  <c r="G37" i="92"/>
  <c r="G43" i="92"/>
  <c r="G49" i="92"/>
  <c r="G55" i="92"/>
  <c r="G61" i="92"/>
  <c r="K60" i="89"/>
  <c r="K55" i="89"/>
  <c r="K45" i="89"/>
  <c r="K48" i="89"/>
  <c r="K33" i="89"/>
  <c r="K32" i="89"/>
  <c r="K42" i="89"/>
  <c r="K27" i="89"/>
  <c r="K66" i="89"/>
  <c r="K47" i="89"/>
  <c r="K62" i="89"/>
  <c r="K37" i="89"/>
  <c r="K68" i="89"/>
  <c r="K61" i="89"/>
  <c r="K39" i="89"/>
  <c r="K59" i="89"/>
  <c r="K57" i="89"/>
  <c r="K36" i="89"/>
  <c r="K67" i="89"/>
  <c r="K31" i="89"/>
  <c r="K49" i="89"/>
  <c r="K53" i="89"/>
  <c r="K17" i="89"/>
  <c r="K69" i="89"/>
  <c r="K54" i="89"/>
  <c r="K30" i="89"/>
  <c r="K63" i="89"/>
  <c r="K20" i="89"/>
  <c r="K50" i="89"/>
  <c r="K29" i="89"/>
  <c r="K65" i="89"/>
  <c r="K24" i="89"/>
  <c r="K43" i="89"/>
  <c r="K41" i="89"/>
  <c r="K35" i="89"/>
  <c r="K51" i="89"/>
  <c r="K26" i="89"/>
  <c r="K38" i="89"/>
  <c r="K23" i="89"/>
  <c r="K44" i="89"/>
  <c r="K19" i="89"/>
  <c r="K25" i="89"/>
  <c r="K18" i="89"/>
  <c r="K56" i="89"/>
  <c r="K21" i="89"/>
  <c r="T29" i="89" l="1"/>
  <c r="Q29" i="89"/>
  <c r="T28" i="89"/>
  <c r="Q28" i="89"/>
  <c r="T23" i="89"/>
  <c r="Q23" i="89"/>
  <c r="T22" i="89"/>
  <c r="Q22" i="89"/>
  <c r="T18" i="89"/>
  <c r="Q18" i="89"/>
  <c r="T17" i="89"/>
  <c r="Q17" i="89"/>
  <c r="Q16" i="89"/>
  <c r="X17" i="89" l="1"/>
  <c r="AA16" i="89"/>
  <c r="AA10" i="89"/>
  <c r="T12" i="89"/>
  <c r="Q12" i="89"/>
  <c r="T11" i="89"/>
  <c r="Q11" i="89"/>
  <c r="T10" i="89"/>
  <c r="Q10" i="89"/>
  <c r="Y17" i="89" l="1"/>
  <c r="X18" i="89"/>
  <c r="AB17" i="89"/>
  <c r="AB11" i="89"/>
  <c r="M426" i="92"/>
  <c r="L426" i="92"/>
  <c r="J426" i="92"/>
  <c r="I426" i="92"/>
  <c r="M425" i="92"/>
  <c r="L425" i="92"/>
  <c r="J425" i="92"/>
  <c r="I425" i="92"/>
  <c r="M424" i="92"/>
  <c r="L424" i="92"/>
  <c r="J424" i="92"/>
  <c r="I424" i="92"/>
  <c r="M423" i="92"/>
  <c r="L423" i="92"/>
  <c r="J423" i="92"/>
  <c r="I423" i="92"/>
  <c r="M422" i="92"/>
  <c r="L422" i="92"/>
  <c r="J422" i="92"/>
  <c r="I422" i="92"/>
  <c r="M421" i="92"/>
  <c r="L421" i="92"/>
  <c r="J421" i="92"/>
  <c r="I421" i="92"/>
  <c r="H421" i="92"/>
  <c r="M420" i="92"/>
  <c r="L420" i="92"/>
  <c r="J420" i="92"/>
  <c r="I420" i="92"/>
  <c r="M419" i="92"/>
  <c r="L419" i="92"/>
  <c r="J419" i="92"/>
  <c r="I419" i="92"/>
  <c r="M418" i="92"/>
  <c r="L418" i="92"/>
  <c r="J418" i="92"/>
  <c r="I418" i="92"/>
  <c r="M417" i="92"/>
  <c r="L417" i="92"/>
  <c r="J417" i="92"/>
  <c r="I417" i="92"/>
  <c r="M416" i="92"/>
  <c r="L416" i="92"/>
  <c r="J416" i="92"/>
  <c r="I416" i="92"/>
  <c r="M415" i="92"/>
  <c r="L415" i="92"/>
  <c r="J415" i="92"/>
  <c r="I415" i="92"/>
  <c r="H415" i="92"/>
  <c r="M414" i="92"/>
  <c r="L414" i="92"/>
  <c r="J414" i="92"/>
  <c r="I414" i="92"/>
  <c r="M413" i="92"/>
  <c r="L413" i="92"/>
  <c r="J413" i="92"/>
  <c r="I413" i="92"/>
  <c r="M412" i="92"/>
  <c r="L412" i="92"/>
  <c r="J412" i="92"/>
  <c r="I412" i="92"/>
  <c r="M411" i="92"/>
  <c r="L411" i="92"/>
  <c r="J411" i="92"/>
  <c r="I411" i="92"/>
  <c r="M410" i="92"/>
  <c r="L410" i="92"/>
  <c r="J410" i="92"/>
  <c r="I410" i="92"/>
  <c r="M409" i="92"/>
  <c r="L409" i="92"/>
  <c r="J409" i="92"/>
  <c r="I409" i="92"/>
  <c r="M408" i="92"/>
  <c r="L408" i="92"/>
  <c r="J408" i="92"/>
  <c r="I408" i="92"/>
  <c r="M407" i="92"/>
  <c r="L407" i="92"/>
  <c r="J407" i="92"/>
  <c r="I407" i="92"/>
  <c r="M406" i="92"/>
  <c r="L406" i="92"/>
  <c r="J406" i="92"/>
  <c r="I406" i="92"/>
  <c r="M405" i="92"/>
  <c r="L405" i="92"/>
  <c r="J405" i="92"/>
  <c r="I405" i="92"/>
  <c r="M404" i="92"/>
  <c r="L404" i="92"/>
  <c r="J404" i="92"/>
  <c r="I404" i="92"/>
  <c r="M403" i="92"/>
  <c r="L403" i="92"/>
  <c r="J403" i="92"/>
  <c r="I403" i="92"/>
  <c r="M402" i="92"/>
  <c r="L402" i="92"/>
  <c r="J402" i="92"/>
  <c r="I402" i="92"/>
  <c r="M401" i="92"/>
  <c r="L401" i="92"/>
  <c r="J401" i="92"/>
  <c r="I401" i="92"/>
  <c r="M400" i="92"/>
  <c r="L400" i="92"/>
  <c r="J400" i="92"/>
  <c r="I400" i="92"/>
  <c r="M399" i="92"/>
  <c r="L399" i="92"/>
  <c r="J399" i="92"/>
  <c r="I399" i="92"/>
  <c r="M398" i="92"/>
  <c r="L398" i="92"/>
  <c r="J398" i="92"/>
  <c r="I398" i="92"/>
  <c r="M397" i="92"/>
  <c r="L397" i="92"/>
  <c r="J397" i="92"/>
  <c r="I397" i="92"/>
  <c r="H397" i="92"/>
  <c r="M396" i="92"/>
  <c r="L396" i="92"/>
  <c r="J396" i="92"/>
  <c r="I396" i="92"/>
  <c r="M395" i="92"/>
  <c r="L395" i="92"/>
  <c r="J395" i="92"/>
  <c r="I395" i="92"/>
  <c r="M394" i="92"/>
  <c r="L394" i="92"/>
  <c r="J394" i="92"/>
  <c r="I394" i="92"/>
  <c r="M393" i="92"/>
  <c r="L393" i="92"/>
  <c r="J393" i="92"/>
  <c r="I393" i="92"/>
  <c r="M392" i="92"/>
  <c r="L392" i="92"/>
  <c r="J392" i="92"/>
  <c r="I392" i="92"/>
  <c r="M391" i="92"/>
  <c r="L391" i="92"/>
  <c r="J391" i="92"/>
  <c r="I391" i="92"/>
  <c r="M390" i="92"/>
  <c r="L390" i="92"/>
  <c r="J390" i="92"/>
  <c r="I390" i="92"/>
  <c r="M389" i="92"/>
  <c r="L389" i="92"/>
  <c r="J389" i="92"/>
  <c r="I389" i="92"/>
  <c r="M388" i="92"/>
  <c r="L388" i="92"/>
  <c r="J388" i="92"/>
  <c r="I388" i="92"/>
  <c r="M387" i="92"/>
  <c r="L387" i="92"/>
  <c r="J387" i="92"/>
  <c r="I387" i="92"/>
  <c r="M386" i="92"/>
  <c r="L386" i="92"/>
  <c r="J386" i="92"/>
  <c r="I386" i="92"/>
  <c r="M385" i="92"/>
  <c r="L385" i="92"/>
  <c r="J385" i="92"/>
  <c r="I385" i="92"/>
  <c r="M384" i="92"/>
  <c r="L384" i="92"/>
  <c r="J384" i="92"/>
  <c r="I384" i="92"/>
  <c r="M383" i="92"/>
  <c r="L383" i="92"/>
  <c r="J383" i="92"/>
  <c r="I383" i="92"/>
  <c r="M382" i="92"/>
  <c r="L382" i="92"/>
  <c r="J382" i="92"/>
  <c r="K382" i="92" s="1"/>
  <c r="I382" i="92"/>
  <c r="M381" i="92"/>
  <c r="L381" i="92"/>
  <c r="J381" i="92"/>
  <c r="I381" i="92"/>
  <c r="M380" i="92"/>
  <c r="L380" i="92"/>
  <c r="J380" i="92"/>
  <c r="I380" i="92"/>
  <c r="M379" i="92"/>
  <c r="L379" i="92"/>
  <c r="J379" i="92"/>
  <c r="I379" i="92"/>
  <c r="M378" i="92"/>
  <c r="L378" i="92"/>
  <c r="J378" i="92"/>
  <c r="I378" i="92"/>
  <c r="M377" i="92"/>
  <c r="L377" i="92"/>
  <c r="J377" i="92"/>
  <c r="I377" i="92"/>
  <c r="M376" i="92"/>
  <c r="L376" i="92"/>
  <c r="J376" i="92"/>
  <c r="I376" i="92"/>
  <c r="M375" i="92"/>
  <c r="L375" i="92"/>
  <c r="J375" i="92"/>
  <c r="I375" i="92"/>
  <c r="M374" i="92"/>
  <c r="L374" i="92"/>
  <c r="J374" i="92"/>
  <c r="I374" i="92"/>
  <c r="M373" i="92"/>
  <c r="L373" i="92"/>
  <c r="J373" i="92"/>
  <c r="I373" i="92"/>
  <c r="M372" i="92"/>
  <c r="L372" i="92"/>
  <c r="J372" i="92"/>
  <c r="I372" i="92"/>
  <c r="M371" i="92"/>
  <c r="L371" i="92"/>
  <c r="J371" i="92"/>
  <c r="I371" i="92"/>
  <c r="M370" i="92"/>
  <c r="L370" i="92"/>
  <c r="J370" i="92"/>
  <c r="I370" i="92"/>
  <c r="M369" i="92"/>
  <c r="L369" i="92"/>
  <c r="J369" i="92"/>
  <c r="I369" i="92"/>
  <c r="M368" i="92"/>
  <c r="L368" i="92"/>
  <c r="J368" i="92"/>
  <c r="I368" i="92"/>
  <c r="M367" i="92"/>
  <c r="L367" i="92"/>
  <c r="J367" i="92"/>
  <c r="I367" i="92"/>
  <c r="M366" i="92"/>
  <c r="L366" i="92"/>
  <c r="J366" i="92"/>
  <c r="I366" i="92"/>
  <c r="M365" i="92"/>
  <c r="L365" i="92"/>
  <c r="J365" i="92"/>
  <c r="I365" i="92"/>
  <c r="M364" i="92"/>
  <c r="L364" i="92"/>
  <c r="J364" i="92"/>
  <c r="I364" i="92"/>
  <c r="M363" i="92"/>
  <c r="L363" i="92"/>
  <c r="J363" i="92"/>
  <c r="I363" i="92"/>
  <c r="M362" i="92"/>
  <c r="L362" i="92"/>
  <c r="J362" i="92"/>
  <c r="I362" i="92"/>
  <c r="M361" i="92"/>
  <c r="L361" i="92"/>
  <c r="J361" i="92"/>
  <c r="I361" i="92"/>
  <c r="M360" i="92"/>
  <c r="L360" i="92"/>
  <c r="J360" i="92"/>
  <c r="I360" i="92"/>
  <c r="M359" i="92"/>
  <c r="L359" i="92"/>
  <c r="J359" i="92"/>
  <c r="I359" i="92"/>
  <c r="M358" i="92"/>
  <c r="L358" i="92"/>
  <c r="J358" i="92"/>
  <c r="I358" i="92"/>
  <c r="M357" i="92"/>
  <c r="L357" i="92"/>
  <c r="J357" i="92"/>
  <c r="I357" i="92"/>
  <c r="M356" i="92"/>
  <c r="L356" i="92"/>
  <c r="J356" i="92"/>
  <c r="I356" i="92"/>
  <c r="M355" i="92"/>
  <c r="L355" i="92"/>
  <c r="J355" i="92"/>
  <c r="I355" i="92"/>
  <c r="M354" i="92"/>
  <c r="L354" i="92"/>
  <c r="J354" i="92"/>
  <c r="I354" i="92"/>
  <c r="M353" i="92"/>
  <c r="L353" i="92"/>
  <c r="J353" i="92"/>
  <c r="I353" i="92"/>
  <c r="M352" i="92"/>
  <c r="L352" i="92"/>
  <c r="J352" i="92"/>
  <c r="I352" i="92"/>
  <c r="M351" i="92"/>
  <c r="L351" i="92"/>
  <c r="J351" i="92"/>
  <c r="I351" i="92"/>
  <c r="M350" i="92"/>
  <c r="L350" i="92"/>
  <c r="J350" i="92"/>
  <c r="I350" i="92"/>
  <c r="M349" i="92"/>
  <c r="L349" i="92"/>
  <c r="J349" i="92"/>
  <c r="I349" i="92"/>
  <c r="H349" i="92"/>
  <c r="M348" i="92"/>
  <c r="L348" i="92"/>
  <c r="J348" i="92"/>
  <c r="I348" i="92"/>
  <c r="M347" i="92"/>
  <c r="L347" i="92"/>
  <c r="J347" i="92"/>
  <c r="I347" i="92"/>
  <c r="M346" i="92"/>
  <c r="L346" i="92"/>
  <c r="J346" i="92"/>
  <c r="I346" i="92"/>
  <c r="M345" i="92"/>
  <c r="L345" i="92"/>
  <c r="J345" i="92"/>
  <c r="I345" i="92"/>
  <c r="M344" i="92"/>
  <c r="L344" i="92"/>
  <c r="J344" i="92"/>
  <c r="I344" i="92"/>
  <c r="M343" i="92"/>
  <c r="L343" i="92"/>
  <c r="J343" i="92"/>
  <c r="I343" i="92"/>
  <c r="M342" i="92"/>
  <c r="L342" i="92"/>
  <c r="J342" i="92"/>
  <c r="I342" i="92"/>
  <c r="M341" i="92"/>
  <c r="L341" i="92"/>
  <c r="J341" i="92"/>
  <c r="I341" i="92"/>
  <c r="M340" i="92"/>
  <c r="L340" i="92"/>
  <c r="J340" i="92"/>
  <c r="I340" i="92"/>
  <c r="M339" i="92"/>
  <c r="L339" i="92"/>
  <c r="J339" i="92"/>
  <c r="I339" i="92"/>
  <c r="M338" i="92"/>
  <c r="L338" i="92"/>
  <c r="J338" i="92"/>
  <c r="I338" i="92"/>
  <c r="M337" i="92"/>
  <c r="L337" i="92"/>
  <c r="J337" i="92"/>
  <c r="I337" i="92"/>
  <c r="M336" i="92"/>
  <c r="L336" i="92"/>
  <c r="J336" i="92"/>
  <c r="I336" i="92"/>
  <c r="M335" i="92"/>
  <c r="L335" i="92"/>
  <c r="J335" i="92"/>
  <c r="I335" i="92"/>
  <c r="M334" i="92"/>
  <c r="L334" i="92"/>
  <c r="J334" i="92"/>
  <c r="I334" i="92"/>
  <c r="M333" i="92"/>
  <c r="L333" i="92"/>
  <c r="J333" i="92"/>
  <c r="I333" i="92"/>
  <c r="M332" i="92"/>
  <c r="L332" i="92"/>
  <c r="J332" i="92"/>
  <c r="I332" i="92"/>
  <c r="M331" i="92"/>
  <c r="L331" i="92"/>
  <c r="J331" i="92"/>
  <c r="I331" i="92"/>
  <c r="K331" i="92" s="1"/>
  <c r="M330" i="92"/>
  <c r="L330" i="92"/>
  <c r="J330" i="92"/>
  <c r="I330" i="92"/>
  <c r="M329" i="92"/>
  <c r="L329" i="92"/>
  <c r="J329" i="92"/>
  <c r="I329" i="92"/>
  <c r="M328" i="92"/>
  <c r="L328" i="92"/>
  <c r="J328" i="92"/>
  <c r="I328" i="92"/>
  <c r="M327" i="92"/>
  <c r="L327" i="92"/>
  <c r="J327" i="92"/>
  <c r="I327" i="92"/>
  <c r="M326" i="92"/>
  <c r="L326" i="92"/>
  <c r="J326" i="92"/>
  <c r="I326" i="92"/>
  <c r="M325" i="92"/>
  <c r="L325" i="92"/>
  <c r="J325" i="92"/>
  <c r="I325" i="92"/>
  <c r="H325" i="92"/>
  <c r="M324" i="92"/>
  <c r="L324" i="92"/>
  <c r="J324" i="92"/>
  <c r="I324" i="92"/>
  <c r="M323" i="92"/>
  <c r="L323" i="92"/>
  <c r="J323" i="92"/>
  <c r="I323" i="92"/>
  <c r="M322" i="92"/>
  <c r="L322" i="92"/>
  <c r="J322" i="92"/>
  <c r="I322" i="92"/>
  <c r="M321" i="92"/>
  <c r="L321" i="92"/>
  <c r="J321" i="92"/>
  <c r="I321" i="92"/>
  <c r="M320" i="92"/>
  <c r="L320" i="92"/>
  <c r="J320" i="92"/>
  <c r="I320" i="92"/>
  <c r="M319" i="92"/>
  <c r="L319" i="92"/>
  <c r="J319" i="92"/>
  <c r="I319" i="92"/>
  <c r="M318" i="92"/>
  <c r="L318" i="92"/>
  <c r="J318" i="92"/>
  <c r="I318" i="92"/>
  <c r="M317" i="92"/>
  <c r="L317" i="92"/>
  <c r="J317" i="92"/>
  <c r="I317" i="92"/>
  <c r="M316" i="92"/>
  <c r="L316" i="92"/>
  <c r="J316" i="92"/>
  <c r="I316" i="92"/>
  <c r="M315" i="92"/>
  <c r="L315" i="92"/>
  <c r="J315" i="92"/>
  <c r="I315" i="92"/>
  <c r="M314" i="92"/>
  <c r="L314" i="92"/>
  <c r="J314" i="92"/>
  <c r="I314" i="92"/>
  <c r="M313" i="92"/>
  <c r="L313" i="92"/>
  <c r="J313" i="92"/>
  <c r="I313" i="92"/>
  <c r="M312" i="92"/>
  <c r="L312" i="92"/>
  <c r="J312" i="92"/>
  <c r="I312" i="92"/>
  <c r="M311" i="92"/>
  <c r="L311" i="92"/>
  <c r="J311" i="92"/>
  <c r="I311" i="92"/>
  <c r="M310" i="92"/>
  <c r="L310" i="92"/>
  <c r="J310" i="92"/>
  <c r="I310" i="92"/>
  <c r="M309" i="92"/>
  <c r="L309" i="92"/>
  <c r="J309" i="92"/>
  <c r="I309" i="92"/>
  <c r="M308" i="92"/>
  <c r="L308" i="92"/>
  <c r="J308" i="92"/>
  <c r="I308" i="92"/>
  <c r="M307" i="92"/>
  <c r="L307" i="92"/>
  <c r="J307" i="92"/>
  <c r="I307" i="92"/>
  <c r="H307" i="92"/>
  <c r="M306" i="92"/>
  <c r="L306" i="92"/>
  <c r="J306" i="92"/>
  <c r="I306" i="92"/>
  <c r="M305" i="92"/>
  <c r="L305" i="92"/>
  <c r="J305" i="92"/>
  <c r="I305" i="92"/>
  <c r="M304" i="92"/>
  <c r="L304" i="92"/>
  <c r="J304" i="92"/>
  <c r="I304" i="92"/>
  <c r="M303" i="92"/>
  <c r="L303" i="92"/>
  <c r="J303" i="92"/>
  <c r="I303" i="92"/>
  <c r="M302" i="92"/>
  <c r="L302" i="92"/>
  <c r="J302" i="92"/>
  <c r="I302" i="92"/>
  <c r="M301" i="92"/>
  <c r="L301" i="92"/>
  <c r="J301" i="92"/>
  <c r="I301" i="92"/>
  <c r="M300" i="92"/>
  <c r="L300" i="92"/>
  <c r="J300" i="92"/>
  <c r="I300" i="92"/>
  <c r="M299" i="92"/>
  <c r="L299" i="92"/>
  <c r="J299" i="92"/>
  <c r="I299" i="92"/>
  <c r="M298" i="92"/>
  <c r="L298" i="92"/>
  <c r="J298" i="92"/>
  <c r="I298" i="92"/>
  <c r="M297" i="92"/>
  <c r="L297" i="92"/>
  <c r="J297" i="92"/>
  <c r="I297" i="92"/>
  <c r="M296" i="92"/>
  <c r="L296" i="92"/>
  <c r="J296" i="92"/>
  <c r="I296" i="92"/>
  <c r="M295" i="92"/>
  <c r="L295" i="92"/>
  <c r="J295" i="92"/>
  <c r="I295" i="92"/>
  <c r="C295" i="92"/>
  <c r="M294" i="92"/>
  <c r="L294" i="92"/>
  <c r="J294" i="92"/>
  <c r="I294" i="92"/>
  <c r="M293" i="92"/>
  <c r="L293" i="92"/>
  <c r="J293" i="92"/>
  <c r="I293" i="92"/>
  <c r="M292" i="92"/>
  <c r="L292" i="92"/>
  <c r="J292" i="92"/>
  <c r="I292" i="92"/>
  <c r="M291" i="92"/>
  <c r="L291" i="92"/>
  <c r="J291" i="92"/>
  <c r="I291" i="92"/>
  <c r="M290" i="92"/>
  <c r="L290" i="92"/>
  <c r="J290" i="92"/>
  <c r="I290" i="92"/>
  <c r="M289" i="92"/>
  <c r="L289" i="92"/>
  <c r="J289" i="92"/>
  <c r="I289" i="92"/>
  <c r="H289" i="92"/>
  <c r="C289" i="92"/>
  <c r="M288" i="92"/>
  <c r="L288" i="92"/>
  <c r="J288" i="92"/>
  <c r="I288" i="92"/>
  <c r="M287" i="92"/>
  <c r="L287" i="92"/>
  <c r="J287" i="92"/>
  <c r="I287" i="92"/>
  <c r="M286" i="92"/>
  <c r="L286" i="92"/>
  <c r="J286" i="92"/>
  <c r="I286" i="92"/>
  <c r="M285" i="92"/>
  <c r="L285" i="92"/>
  <c r="J285" i="92"/>
  <c r="I285" i="92"/>
  <c r="M284" i="92"/>
  <c r="L284" i="92"/>
  <c r="J284" i="92"/>
  <c r="I284" i="92"/>
  <c r="M283" i="92"/>
  <c r="L283" i="92"/>
  <c r="J283" i="92"/>
  <c r="I283" i="92"/>
  <c r="C283" i="92"/>
  <c r="M282" i="92"/>
  <c r="L282" i="92"/>
  <c r="J282" i="92"/>
  <c r="I282" i="92"/>
  <c r="M281" i="92"/>
  <c r="L281" i="92"/>
  <c r="J281" i="92"/>
  <c r="I281" i="92"/>
  <c r="M280" i="92"/>
  <c r="L280" i="92"/>
  <c r="J280" i="92"/>
  <c r="I280" i="92"/>
  <c r="M279" i="92"/>
  <c r="L279" i="92"/>
  <c r="J279" i="92"/>
  <c r="I279" i="92"/>
  <c r="M278" i="92"/>
  <c r="L278" i="92"/>
  <c r="J278" i="92"/>
  <c r="I278" i="92"/>
  <c r="M277" i="92"/>
  <c r="L277" i="92"/>
  <c r="J277" i="92"/>
  <c r="I277" i="92"/>
  <c r="C277" i="92"/>
  <c r="M276" i="92"/>
  <c r="L276" i="92"/>
  <c r="J276" i="92"/>
  <c r="I276" i="92"/>
  <c r="M275" i="92"/>
  <c r="L275" i="92"/>
  <c r="J275" i="92"/>
  <c r="I275" i="92"/>
  <c r="M274" i="92"/>
  <c r="L274" i="92"/>
  <c r="J274" i="92"/>
  <c r="K274" i="92" s="1"/>
  <c r="I274" i="92"/>
  <c r="M273" i="92"/>
  <c r="L273" i="92"/>
  <c r="J273" i="92"/>
  <c r="I273" i="92"/>
  <c r="M272" i="92"/>
  <c r="L272" i="92"/>
  <c r="J272" i="92"/>
  <c r="I272" i="92"/>
  <c r="M271" i="92"/>
  <c r="L271" i="92"/>
  <c r="J271" i="92"/>
  <c r="I271" i="92"/>
  <c r="H271" i="92"/>
  <c r="C271" i="92"/>
  <c r="M270" i="92"/>
  <c r="L270" i="92"/>
  <c r="J270" i="92"/>
  <c r="I270" i="92"/>
  <c r="M269" i="92"/>
  <c r="L269" i="92"/>
  <c r="J269" i="92"/>
  <c r="I269" i="92"/>
  <c r="M268" i="92"/>
  <c r="L268" i="92"/>
  <c r="J268" i="92"/>
  <c r="I268" i="92"/>
  <c r="M267" i="92"/>
  <c r="L267" i="92"/>
  <c r="J267" i="92"/>
  <c r="I267" i="92"/>
  <c r="M266" i="92"/>
  <c r="L266" i="92"/>
  <c r="J266" i="92"/>
  <c r="I266" i="92"/>
  <c r="M265" i="92"/>
  <c r="L265" i="92"/>
  <c r="J265" i="92"/>
  <c r="I265" i="92"/>
  <c r="C265" i="92"/>
  <c r="M264" i="92"/>
  <c r="L264" i="92"/>
  <c r="J264" i="92"/>
  <c r="I264" i="92"/>
  <c r="M263" i="92"/>
  <c r="L263" i="92"/>
  <c r="J263" i="92"/>
  <c r="I263" i="92"/>
  <c r="M262" i="92"/>
  <c r="L262" i="92"/>
  <c r="J262" i="92"/>
  <c r="I262" i="92"/>
  <c r="M261" i="92"/>
  <c r="L261" i="92"/>
  <c r="J261" i="92"/>
  <c r="I261" i="92"/>
  <c r="M260" i="92"/>
  <c r="L260" i="92"/>
  <c r="J260" i="92"/>
  <c r="I260" i="92"/>
  <c r="M259" i="92"/>
  <c r="L259" i="92"/>
  <c r="J259" i="92"/>
  <c r="I259" i="92"/>
  <c r="C259" i="92"/>
  <c r="M258" i="92"/>
  <c r="L258" i="92"/>
  <c r="J258" i="92"/>
  <c r="I258" i="92"/>
  <c r="M257" i="92"/>
  <c r="L257" i="92"/>
  <c r="J257" i="92"/>
  <c r="I257" i="92"/>
  <c r="M256" i="92"/>
  <c r="L256" i="92"/>
  <c r="J256" i="92"/>
  <c r="I256" i="92"/>
  <c r="M255" i="92"/>
  <c r="L255" i="92"/>
  <c r="J255" i="92"/>
  <c r="I255" i="92"/>
  <c r="M254" i="92"/>
  <c r="L254" i="92"/>
  <c r="J254" i="92"/>
  <c r="I254" i="92"/>
  <c r="M253" i="92"/>
  <c r="L253" i="92"/>
  <c r="J253" i="92"/>
  <c r="I253" i="92"/>
  <c r="H253" i="92"/>
  <c r="C253" i="92"/>
  <c r="M252" i="92"/>
  <c r="L252" i="92"/>
  <c r="J252" i="92"/>
  <c r="I252" i="92"/>
  <c r="M251" i="92"/>
  <c r="L251" i="92"/>
  <c r="J251" i="92"/>
  <c r="I251" i="92"/>
  <c r="M250" i="92"/>
  <c r="L250" i="92"/>
  <c r="J250" i="92"/>
  <c r="I250" i="92"/>
  <c r="M249" i="92"/>
  <c r="L249" i="92"/>
  <c r="J249" i="92"/>
  <c r="I249" i="92"/>
  <c r="M248" i="92"/>
  <c r="L248" i="92"/>
  <c r="J248" i="92"/>
  <c r="I248" i="92"/>
  <c r="M247" i="92"/>
  <c r="L247" i="92"/>
  <c r="J247" i="92"/>
  <c r="I247" i="92"/>
  <c r="E247" i="92"/>
  <c r="C247" i="92"/>
  <c r="M246" i="92"/>
  <c r="L246" i="92"/>
  <c r="J246" i="92"/>
  <c r="I246" i="92"/>
  <c r="M245" i="92"/>
  <c r="L245" i="92"/>
  <c r="J245" i="92"/>
  <c r="I245" i="92"/>
  <c r="M244" i="92"/>
  <c r="L244" i="92"/>
  <c r="J244" i="92"/>
  <c r="I244" i="92"/>
  <c r="M243" i="92"/>
  <c r="L243" i="92"/>
  <c r="J243" i="92"/>
  <c r="I243" i="92"/>
  <c r="M242" i="92"/>
  <c r="L242" i="92"/>
  <c r="J242" i="92"/>
  <c r="I242" i="92"/>
  <c r="M241" i="92"/>
  <c r="L241" i="92"/>
  <c r="J241" i="92"/>
  <c r="I241" i="92"/>
  <c r="E241" i="92"/>
  <c r="C241" i="92"/>
  <c r="M240" i="92"/>
  <c r="L240" i="92"/>
  <c r="J240" i="92"/>
  <c r="I240" i="92"/>
  <c r="M239" i="92"/>
  <c r="L239" i="92"/>
  <c r="J239" i="92"/>
  <c r="I239" i="92"/>
  <c r="M238" i="92"/>
  <c r="L238" i="92"/>
  <c r="J238" i="92"/>
  <c r="I238" i="92"/>
  <c r="M237" i="92"/>
  <c r="L237" i="92"/>
  <c r="J237" i="92"/>
  <c r="I237" i="92"/>
  <c r="M236" i="92"/>
  <c r="L236" i="92"/>
  <c r="J236" i="92"/>
  <c r="I236" i="92"/>
  <c r="M235" i="92"/>
  <c r="L235" i="92"/>
  <c r="J235" i="92"/>
  <c r="I235" i="92"/>
  <c r="H235" i="92"/>
  <c r="E235" i="92"/>
  <c r="C235" i="92"/>
  <c r="M234" i="92"/>
  <c r="L234" i="92"/>
  <c r="J234" i="92"/>
  <c r="I234" i="92"/>
  <c r="K234" i="92" s="1"/>
  <c r="M233" i="92"/>
  <c r="L233" i="92"/>
  <c r="J233" i="92"/>
  <c r="I233" i="92"/>
  <c r="M232" i="92"/>
  <c r="L232" i="92"/>
  <c r="J232" i="92"/>
  <c r="I232" i="92"/>
  <c r="M231" i="92"/>
  <c r="L231" i="92"/>
  <c r="J231" i="92"/>
  <c r="I231" i="92"/>
  <c r="K231" i="92" s="1"/>
  <c r="M230" i="92"/>
  <c r="L230" i="92"/>
  <c r="J230" i="92"/>
  <c r="I230" i="92"/>
  <c r="M229" i="92"/>
  <c r="L229" i="92"/>
  <c r="J229" i="92"/>
  <c r="I229" i="92"/>
  <c r="E229" i="92"/>
  <c r="C229" i="92"/>
  <c r="M228" i="92"/>
  <c r="L228" i="92"/>
  <c r="J228" i="92"/>
  <c r="I228" i="92"/>
  <c r="M227" i="92"/>
  <c r="L227" i="92"/>
  <c r="J227" i="92"/>
  <c r="I227" i="92"/>
  <c r="M226" i="92"/>
  <c r="L226" i="92"/>
  <c r="J226" i="92"/>
  <c r="I226" i="92"/>
  <c r="M225" i="92"/>
  <c r="L225" i="92"/>
  <c r="J225" i="92"/>
  <c r="I225" i="92"/>
  <c r="M224" i="92"/>
  <c r="L224" i="92"/>
  <c r="J224" i="92"/>
  <c r="I224" i="92"/>
  <c r="M223" i="92"/>
  <c r="L223" i="92"/>
  <c r="J223" i="92"/>
  <c r="I223" i="92"/>
  <c r="E223" i="92"/>
  <c r="C223" i="92"/>
  <c r="M222" i="92"/>
  <c r="L222" i="92"/>
  <c r="J222" i="92"/>
  <c r="I222" i="92"/>
  <c r="M221" i="92"/>
  <c r="L221" i="92"/>
  <c r="J221" i="92"/>
  <c r="I221" i="92"/>
  <c r="M220" i="92"/>
  <c r="L220" i="92"/>
  <c r="J220" i="92"/>
  <c r="I220" i="92"/>
  <c r="M219" i="92"/>
  <c r="L219" i="92"/>
  <c r="J219" i="92"/>
  <c r="I219" i="92"/>
  <c r="M218" i="92"/>
  <c r="L218" i="92"/>
  <c r="J218" i="92"/>
  <c r="I218" i="92"/>
  <c r="M217" i="92"/>
  <c r="L217" i="92"/>
  <c r="J217" i="92"/>
  <c r="I217" i="92"/>
  <c r="E217" i="92"/>
  <c r="C217" i="92"/>
  <c r="M216" i="92"/>
  <c r="L216" i="92"/>
  <c r="J216" i="92"/>
  <c r="I216" i="92"/>
  <c r="M215" i="92"/>
  <c r="L215" i="92"/>
  <c r="J215" i="92"/>
  <c r="I215" i="92"/>
  <c r="M214" i="92"/>
  <c r="L214" i="92"/>
  <c r="J214" i="92"/>
  <c r="I214" i="92"/>
  <c r="M213" i="92"/>
  <c r="L213" i="92"/>
  <c r="J213" i="92"/>
  <c r="I213" i="92"/>
  <c r="M212" i="92"/>
  <c r="L212" i="92"/>
  <c r="J212" i="92"/>
  <c r="I212" i="92"/>
  <c r="M211" i="92"/>
  <c r="L211" i="92"/>
  <c r="J211" i="92"/>
  <c r="I211" i="92"/>
  <c r="E211" i="92"/>
  <c r="C211" i="92"/>
  <c r="M210" i="92"/>
  <c r="L210" i="92"/>
  <c r="J210" i="92"/>
  <c r="I210" i="92"/>
  <c r="M209" i="92"/>
  <c r="L209" i="92"/>
  <c r="J209" i="92"/>
  <c r="I209" i="92"/>
  <c r="M208" i="92"/>
  <c r="L208" i="92"/>
  <c r="J208" i="92"/>
  <c r="I208" i="92"/>
  <c r="M207" i="92"/>
  <c r="L207" i="92"/>
  <c r="J207" i="92"/>
  <c r="I207" i="92"/>
  <c r="M206" i="92"/>
  <c r="L206" i="92"/>
  <c r="J206" i="92"/>
  <c r="I206" i="92"/>
  <c r="M205" i="92"/>
  <c r="L205" i="92"/>
  <c r="J205" i="92"/>
  <c r="I205" i="92"/>
  <c r="H205" i="92"/>
  <c r="E205" i="92"/>
  <c r="C205" i="92"/>
  <c r="M204" i="92"/>
  <c r="L204" i="92"/>
  <c r="J204" i="92"/>
  <c r="I204" i="92"/>
  <c r="M203" i="92"/>
  <c r="L203" i="92"/>
  <c r="J203" i="92"/>
  <c r="I203" i="92"/>
  <c r="M202" i="92"/>
  <c r="L202" i="92"/>
  <c r="J202" i="92"/>
  <c r="I202" i="92"/>
  <c r="M201" i="92"/>
  <c r="L201" i="92"/>
  <c r="J201" i="92"/>
  <c r="I201" i="92"/>
  <c r="M200" i="92"/>
  <c r="L200" i="92"/>
  <c r="J200" i="92"/>
  <c r="I200" i="92"/>
  <c r="M199" i="92"/>
  <c r="L199" i="92"/>
  <c r="J199" i="92"/>
  <c r="I199" i="92"/>
  <c r="E199" i="92"/>
  <c r="C199" i="92"/>
  <c r="M198" i="92"/>
  <c r="L198" i="92"/>
  <c r="J198" i="92"/>
  <c r="I198" i="92"/>
  <c r="M197" i="92"/>
  <c r="L197" i="92"/>
  <c r="J197" i="92"/>
  <c r="I197" i="92"/>
  <c r="M196" i="92"/>
  <c r="L196" i="92"/>
  <c r="J196" i="92"/>
  <c r="I196" i="92"/>
  <c r="M195" i="92"/>
  <c r="L195" i="92"/>
  <c r="J195" i="92"/>
  <c r="I195" i="92"/>
  <c r="M194" i="92"/>
  <c r="L194" i="92"/>
  <c r="J194" i="92"/>
  <c r="I194" i="92"/>
  <c r="M193" i="92"/>
  <c r="L193" i="92"/>
  <c r="J193" i="92"/>
  <c r="I193" i="92"/>
  <c r="H193" i="92"/>
  <c r="E193" i="92"/>
  <c r="C193" i="92"/>
  <c r="M192" i="92"/>
  <c r="L192" i="92"/>
  <c r="J192" i="92"/>
  <c r="I192" i="92"/>
  <c r="M191" i="92"/>
  <c r="L191" i="92"/>
  <c r="J191" i="92"/>
  <c r="I191" i="92"/>
  <c r="M190" i="92"/>
  <c r="L190" i="92"/>
  <c r="J190" i="92"/>
  <c r="I190" i="92"/>
  <c r="M189" i="92"/>
  <c r="L189" i="92"/>
  <c r="J189" i="92"/>
  <c r="I189" i="92"/>
  <c r="M188" i="92"/>
  <c r="L188" i="92"/>
  <c r="J188" i="92"/>
  <c r="I188" i="92"/>
  <c r="M187" i="92"/>
  <c r="L187" i="92"/>
  <c r="J187" i="92"/>
  <c r="I187" i="92"/>
  <c r="H187" i="92"/>
  <c r="E187" i="92"/>
  <c r="C187" i="92"/>
  <c r="M186" i="92"/>
  <c r="L186" i="92"/>
  <c r="J186" i="92"/>
  <c r="I186" i="92"/>
  <c r="M185" i="92"/>
  <c r="L185" i="92"/>
  <c r="J185" i="92"/>
  <c r="I185" i="92"/>
  <c r="M184" i="92"/>
  <c r="L184" i="92"/>
  <c r="J184" i="92"/>
  <c r="I184" i="92"/>
  <c r="M183" i="92"/>
  <c r="L183" i="92"/>
  <c r="J183" i="92"/>
  <c r="I183" i="92"/>
  <c r="M182" i="92"/>
  <c r="L182" i="92"/>
  <c r="J182" i="92"/>
  <c r="I182" i="92"/>
  <c r="M181" i="92"/>
  <c r="L181" i="92"/>
  <c r="J181" i="92"/>
  <c r="I181" i="92"/>
  <c r="E181" i="92"/>
  <c r="C181" i="92"/>
  <c r="M180" i="92"/>
  <c r="L180" i="92"/>
  <c r="J180" i="92"/>
  <c r="I180" i="92"/>
  <c r="M179" i="92"/>
  <c r="L179" i="92"/>
  <c r="J179" i="92"/>
  <c r="I179" i="92"/>
  <c r="M178" i="92"/>
  <c r="L178" i="92"/>
  <c r="J178" i="92"/>
  <c r="I178" i="92"/>
  <c r="M177" i="92"/>
  <c r="L177" i="92"/>
  <c r="J177" i="92"/>
  <c r="I177" i="92"/>
  <c r="M176" i="92"/>
  <c r="L176" i="92"/>
  <c r="J176" i="92"/>
  <c r="I176" i="92"/>
  <c r="M175" i="92"/>
  <c r="L175" i="92"/>
  <c r="J175" i="92"/>
  <c r="I175" i="92"/>
  <c r="E175" i="92"/>
  <c r="C175" i="92"/>
  <c r="M174" i="92"/>
  <c r="L174" i="92"/>
  <c r="J174" i="92"/>
  <c r="I174" i="92"/>
  <c r="M173" i="92"/>
  <c r="L173" i="92"/>
  <c r="J173" i="92"/>
  <c r="I173" i="92"/>
  <c r="M172" i="92"/>
  <c r="L172" i="92"/>
  <c r="J172" i="92"/>
  <c r="I172" i="92"/>
  <c r="M171" i="92"/>
  <c r="L171" i="92"/>
  <c r="J171" i="92"/>
  <c r="I171" i="92"/>
  <c r="M170" i="92"/>
  <c r="L170" i="92"/>
  <c r="J170" i="92"/>
  <c r="I170" i="92"/>
  <c r="M169" i="92"/>
  <c r="L169" i="92"/>
  <c r="J169" i="92"/>
  <c r="I169" i="92"/>
  <c r="H169" i="92"/>
  <c r="E169" i="92"/>
  <c r="C169" i="92"/>
  <c r="M168" i="92"/>
  <c r="L168" i="92"/>
  <c r="J168" i="92"/>
  <c r="I168" i="92"/>
  <c r="M167" i="92"/>
  <c r="L167" i="92"/>
  <c r="J167" i="92"/>
  <c r="I167" i="92"/>
  <c r="M166" i="92"/>
  <c r="L166" i="92"/>
  <c r="J166" i="92"/>
  <c r="I166" i="92"/>
  <c r="M165" i="92"/>
  <c r="L165" i="92"/>
  <c r="J165" i="92"/>
  <c r="I165" i="92"/>
  <c r="M164" i="92"/>
  <c r="L164" i="92"/>
  <c r="J164" i="92"/>
  <c r="I164" i="92"/>
  <c r="M163" i="92"/>
  <c r="L163" i="92"/>
  <c r="J163" i="92"/>
  <c r="I163" i="92"/>
  <c r="H163" i="92"/>
  <c r="E163" i="92"/>
  <c r="C163" i="92"/>
  <c r="M162" i="92"/>
  <c r="L162" i="92"/>
  <c r="J162" i="92"/>
  <c r="I162" i="92"/>
  <c r="M161" i="92"/>
  <c r="L161" i="92"/>
  <c r="J161" i="92"/>
  <c r="I161" i="92"/>
  <c r="M160" i="92"/>
  <c r="L160" i="92"/>
  <c r="J160" i="92"/>
  <c r="I160" i="92"/>
  <c r="M159" i="92"/>
  <c r="L159" i="92"/>
  <c r="J159" i="92"/>
  <c r="I159" i="92"/>
  <c r="M158" i="92"/>
  <c r="L158" i="92"/>
  <c r="J158" i="92"/>
  <c r="I158" i="92"/>
  <c r="M157" i="92"/>
  <c r="L157" i="92"/>
  <c r="J157" i="92"/>
  <c r="I157" i="92"/>
  <c r="H157" i="92"/>
  <c r="E157" i="92"/>
  <c r="C157" i="92"/>
  <c r="M156" i="92"/>
  <c r="L156" i="92"/>
  <c r="J156" i="92"/>
  <c r="I156" i="92"/>
  <c r="M155" i="92"/>
  <c r="L155" i="92"/>
  <c r="J155" i="92"/>
  <c r="I155" i="92"/>
  <c r="M154" i="92"/>
  <c r="L154" i="92"/>
  <c r="J154" i="92"/>
  <c r="I154" i="92"/>
  <c r="M153" i="92"/>
  <c r="L153" i="92"/>
  <c r="J153" i="92"/>
  <c r="I153" i="92"/>
  <c r="M152" i="92"/>
  <c r="L152" i="92"/>
  <c r="J152" i="92"/>
  <c r="I152" i="92"/>
  <c r="M151" i="92"/>
  <c r="L151" i="92"/>
  <c r="J151" i="92"/>
  <c r="I151" i="92"/>
  <c r="E151" i="92"/>
  <c r="C151" i="92"/>
  <c r="M150" i="92"/>
  <c r="L150" i="92"/>
  <c r="J150" i="92"/>
  <c r="I150" i="92"/>
  <c r="M149" i="92"/>
  <c r="L149" i="92"/>
  <c r="J149" i="92"/>
  <c r="I149" i="92"/>
  <c r="M148" i="92"/>
  <c r="L148" i="92"/>
  <c r="J148" i="92"/>
  <c r="I148" i="92"/>
  <c r="M147" i="92"/>
  <c r="L147" i="92"/>
  <c r="J147" i="92"/>
  <c r="I147" i="92"/>
  <c r="M146" i="92"/>
  <c r="L146" i="92"/>
  <c r="J146" i="92"/>
  <c r="I146" i="92"/>
  <c r="M145" i="92"/>
  <c r="L145" i="92"/>
  <c r="J145" i="92"/>
  <c r="I145" i="92"/>
  <c r="H145" i="92"/>
  <c r="E145" i="92"/>
  <c r="C145" i="92"/>
  <c r="M144" i="92"/>
  <c r="L144" i="92"/>
  <c r="J144" i="92"/>
  <c r="I144" i="92"/>
  <c r="M143" i="92"/>
  <c r="L143" i="92"/>
  <c r="J143" i="92"/>
  <c r="I143" i="92"/>
  <c r="M142" i="92"/>
  <c r="L142" i="92"/>
  <c r="J142" i="92"/>
  <c r="I142" i="92"/>
  <c r="M141" i="92"/>
  <c r="L141" i="92"/>
  <c r="J141" i="92"/>
  <c r="I141" i="92"/>
  <c r="M140" i="92"/>
  <c r="L140" i="92"/>
  <c r="J140" i="92"/>
  <c r="I140" i="92"/>
  <c r="M139" i="92"/>
  <c r="L139" i="92"/>
  <c r="J139" i="92"/>
  <c r="I139" i="92"/>
  <c r="E139" i="92"/>
  <c r="C139" i="92"/>
  <c r="M138" i="92"/>
  <c r="L138" i="92"/>
  <c r="J138" i="92"/>
  <c r="I138" i="92"/>
  <c r="M137" i="92"/>
  <c r="L137" i="92"/>
  <c r="J137" i="92"/>
  <c r="I137" i="92"/>
  <c r="M136" i="92"/>
  <c r="L136" i="92"/>
  <c r="J136" i="92"/>
  <c r="I136" i="92"/>
  <c r="M135" i="92"/>
  <c r="L135" i="92"/>
  <c r="J135" i="92"/>
  <c r="I135" i="92"/>
  <c r="M134" i="92"/>
  <c r="L134" i="92"/>
  <c r="J134" i="92"/>
  <c r="I134" i="92"/>
  <c r="M133" i="92"/>
  <c r="L133" i="92"/>
  <c r="J133" i="92"/>
  <c r="I133" i="92"/>
  <c r="E133" i="92"/>
  <c r="C133" i="92"/>
  <c r="M132" i="92"/>
  <c r="L132" i="92"/>
  <c r="J132" i="92"/>
  <c r="I132" i="92"/>
  <c r="M131" i="92"/>
  <c r="L131" i="92"/>
  <c r="J131" i="92"/>
  <c r="I131" i="92"/>
  <c r="M130" i="92"/>
  <c r="L130" i="92"/>
  <c r="J130" i="92"/>
  <c r="I130" i="92"/>
  <c r="M129" i="92"/>
  <c r="L129" i="92"/>
  <c r="J129" i="92"/>
  <c r="I129" i="92"/>
  <c r="M128" i="92"/>
  <c r="L128" i="92"/>
  <c r="J128" i="92"/>
  <c r="I128" i="92"/>
  <c r="M127" i="92"/>
  <c r="L127" i="92"/>
  <c r="J127" i="92"/>
  <c r="I127" i="92"/>
  <c r="H127" i="92"/>
  <c r="E127" i="92"/>
  <c r="C127" i="92"/>
  <c r="M126" i="92"/>
  <c r="L126" i="92"/>
  <c r="J126" i="92"/>
  <c r="I126" i="92"/>
  <c r="M125" i="92"/>
  <c r="L125" i="92"/>
  <c r="J125" i="92"/>
  <c r="I125" i="92"/>
  <c r="M124" i="92"/>
  <c r="L124" i="92"/>
  <c r="J124" i="92"/>
  <c r="I124" i="92"/>
  <c r="M123" i="92"/>
  <c r="L123" i="92"/>
  <c r="J123" i="92"/>
  <c r="I123" i="92"/>
  <c r="M122" i="92"/>
  <c r="L122" i="92"/>
  <c r="J122" i="92"/>
  <c r="I122" i="92"/>
  <c r="M121" i="92"/>
  <c r="L121" i="92"/>
  <c r="J121" i="92"/>
  <c r="I121" i="92"/>
  <c r="E121" i="92"/>
  <c r="C121" i="92"/>
  <c r="M120" i="92"/>
  <c r="L120" i="92"/>
  <c r="J120" i="92"/>
  <c r="I120" i="92"/>
  <c r="M119" i="92"/>
  <c r="L119" i="92"/>
  <c r="J119" i="92"/>
  <c r="I119" i="92"/>
  <c r="M118" i="92"/>
  <c r="L118" i="92"/>
  <c r="J118" i="92"/>
  <c r="I118" i="92"/>
  <c r="M117" i="92"/>
  <c r="L117" i="92"/>
  <c r="J117" i="92"/>
  <c r="I117" i="92"/>
  <c r="M116" i="92"/>
  <c r="L116" i="92"/>
  <c r="J116" i="92"/>
  <c r="I116" i="92"/>
  <c r="M115" i="92"/>
  <c r="L115" i="92"/>
  <c r="J115" i="92"/>
  <c r="I115" i="92"/>
  <c r="E115" i="92"/>
  <c r="C115" i="92"/>
  <c r="M114" i="92"/>
  <c r="L114" i="92"/>
  <c r="J114" i="92"/>
  <c r="I114" i="92"/>
  <c r="M113" i="92"/>
  <c r="L113" i="92"/>
  <c r="J113" i="92"/>
  <c r="I113" i="92"/>
  <c r="M112" i="92"/>
  <c r="L112" i="92"/>
  <c r="J112" i="92"/>
  <c r="I112" i="92"/>
  <c r="M111" i="92"/>
  <c r="L111" i="92"/>
  <c r="J111" i="92"/>
  <c r="I111" i="92"/>
  <c r="M110" i="92"/>
  <c r="L110" i="92"/>
  <c r="J110" i="92"/>
  <c r="I110" i="92"/>
  <c r="M109" i="92"/>
  <c r="L109" i="92"/>
  <c r="J109" i="92"/>
  <c r="I109" i="92"/>
  <c r="E109" i="92"/>
  <c r="C109" i="92"/>
  <c r="M108" i="92"/>
  <c r="L108" i="92"/>
  <c r="J108" i="92"/>
  <c r="I108" i="92"/>
  <c r="M107" i="92"/>
  <c r="L107" i="92"/>
  <c r="J107" i="92"/>
  <c r="I107" i="92"/>
  <c r="M106" i="92"/>
  <c r="L106" i="92"/>
  <c r="J106" i="92"/>
  <c r="I106" i="92"/>
  <c r="M105" i="92"/>
  <c r="L105" i="92"/>
  <c r="J105" i="92"/>
  <c r="I105" i="92"/>
  <c r="M104" i="92"/>
  <c r="L104" i="92"/>
  <c r="J104" i="92"/>
  <c r="I104" i="92"/>
  <c r="M103" i="92"/>
  <c r="L103" i="92"/>
  <c r="J103" i="92"/>
  <c r="I103" i="92"/>
  <c r="E103" i="92"/>
  <c r="C103" i="92"/>
  <c r="M102" i="92"/>
  <c r="L102" i="92"/>
  <c r="J102" i="92"/>
  <c r="I102" i="92"/>
  <c r="M101" i="92"/>
  <c r="L101" i="92"/>
  <c r="J101" i="92"/>
  <c r="I101" i="92"/>
  <c r="M100" i="92"/>
  <c r="L100" i="92"/>
  <c r="J100" i="92"/>
  <c r="I100" i="92"/>
  <c r="M99" i="92"/>
  <c r="L99" i="92"/>
  <c r="J99" i="92"/>
  <c r="I99" i="92"/>
  <c r="M98" i="92"/>
  <c r="L98" i="92"/>
  <c r="J98" i="92"/>
  <c r="I98" i="92"/>
  <c r="M97" i="92"/>
  <c r="L97" i="92"/>
  <c r="J97" i="92"/>
  <c r="I97" i="92"/>
  <c r="H97" i="92"/>
  <c r="E97" i="92"/>
  <c r="C97" i="92"/>
  <c r="M96" i="92"/>
  <c r="L96" i="92"/>
  <c r="J96" i="92"/>
  <c r="I96" i="92"/>
  <c r="M95" i="92"/>
  <c r="L95" i="92"/>
  <c r="J95" i="92"/>
  <c r="I95" i="92"/>
  <c r="M94" i="92"/>
  <c r="L94" i="92"/>
  <c r="J94" i="92"/>
  <c r="I94" i="92"/>
  <c r="M93" i="92"/>
  <c r="L93" i="92"/>
  <c r="J93" i="92"/>
  <c r="I93" i="92"/>
  <c r="M92" i="92"/>
  <c r="L92" i="92"/>
  <c r="J92" i="92"/>
  <c r="I92" i="92"/>
  <c r="M91" i="92"/>
  <c r="L91" i="92"/>
  <c r="J91" i="92"/>
  <c r="I91" i="92"/>
  <c r="E91" i="92"/>
  <c r="C91" i="92"/>
  <c r="M90" i="92"/>
  <c r="L90" i="92"/>
  <c r="J90" i="92"/>
  <c r="I90" i="92"/>
  <c r="M89" i="92"/>
  <c r="L89" i="92"/>
  <c r="J89" i="92"/>
  <c r="I89" i="92"/>
  <c r="M88" i="92"/>
  <c r="L88" i="92"/>
  <c r="J88" i="92"/>
  <c r="I88" i="92"/>
  <c r="M87" i="92"/>
  <c r="L87" i="92"/>
  <c r="J87" i="92"/>
  <c r="I87" i="92"/>
  <c r="M86" i="92"/>
  <c r="L86" i="92"/>
  <c r="J86" i="92"/>
  <c r="I86" i="92"/>
  <c r="M85" i="92"/>
  <c r="L85" i="92"/>
  <c r="J85" i="92"/>
  <c r="I85" i="92"/>
  <c r="E85" i="92"/>
  <c r="C85" i="92"/>
  <c r="M84" i="92"/>
  <c r="L84" i="92"/>
  <c r="J84" i="92"/>
  <c r="I84" i="92"/>
  <c r="M83" i="92"/>
  <c r="L83" i="92"/>
  <c r="J83" i="92"/>
  <c r="I83" i="92"/>
  <c r="M82" i="92"/>
  <c r="L82" i="92"/>
  <c r="J82" i="92"/>
  <c r="I82" i="92"/>
  <c r="M81" i="92"/>
  <c r="L81" i="92"/>
  <c r="J81" i="92"/>
  <c r="I81" i="92"/>
  <c r="M80" i="92"/>
  <c r="L80" i="92"/>
  <c r="J80" i="92"/>
  <c r="I80" i="92"/>
  <c r="M79" i="92"/>
  <c r="L79" i="92"/>
  <c r="J79" i="92"/>
  <c r="I79" i="92"/>
  <c r="E79" i="92"/>
  <c r="C79" i="92"/>
  <c r="M78" i="92"/>
  <c r="L78" i="92"/>
  <c r="J78" i="92"/>
  <c r="I78" i="92"/>
  <c r="M77" i="92"/>
  <c r="L77" i="92"/>
  <c r="J77" i="92"/>
  <c r="I77" i="92"/>
  <c r="M76" i="92"/>
  <c r="L76" i="92"/>
  <c r="J76" i="92"/>
  <c r="I76" i="92"/>
  <c r="M75" i="92"/>
  <c r="L75" i="92"/>
  <c r="J75" i="92"/>
  <c r="I75" i="92"/>
  <c r="M74" i="92"/>
  <c r="L74" i="92"/>
  <c r="J74" i="92"/>
  <c r="I74" i="92"/>
  <c r="M73" i="92"/>
  <c r="L73" i="92"/>
  <c r="J73" i="92"/>
  <c r="I73" i="92"/>
  <c r="H73" i="92"/>
  <c r="E73" i="92"/>
  <c r="C73" i="92"/>
  <c r="M72" i="92"/>
  <c r="L72" i="92"/>
  <c r="J72" i="92"/>
  <c r="I72" i="92"/>
  <c r="M71" i="92"/>
  <c r="L71" i="92"/>
  <c r="J71" i="92"/>
  <c r="I71" i="92"/>
  <c r="M70" i="92"/>
  <c r="L70" i="92"/>
  <c r="J70" i="92"/>
  <c r="I70" i="92"/>
  <c r="M69" i="92"/>
  <c r="L69" i="92"/>
  <c r="J69" i="92"/>
  <c r="I69" i="92"/>
  <c r="K69" i="92" s="1"/>
  <c r="M68" i="92"/>
  <c r="L68" i="92"/>
  <c r="J68" i="92"/>
  <c r="I68" i="92"/>
  <c r="M67" i="92"/>
  <c r="L67" i="92"/>
  <c r="J67" i="92"/>
  <c r="I67" i="92"/>
  <c r="E67" i="92"/>
  <c r="C67" i="92"/>
  <c r="M66" i="92"/>
  <c r="L66" i="92"/>
  <c r="M65" i="92"/>
  <c r="L65" i="92"/>
  <c r="M64" i="92"/>
  <c r="L64" i="92"/>
  <c r="M63" i="92"/>
  <c r="L63" i="92"/>
  <c r="M62" i="92"/>
  <c r="L62" i="92"/>
  <c r="M61" i="92"/>
  <c r="L61" i="92"/>
  <c r="E61" i="92"/>
  <c r="C61" i="92"/>
  <c r="M60" i="92"/>
  <c r="L60" i="92"/>
  <c r="M59" i="92"/>
  <c r="L59" i="92"/>
  <c r="M58" i="92"/>
  <c r="L58" i="92"/>
  <c r="M57" i="92"/>
  <c r="L57" i="92"/>
  <c r="M56" i="92"/>
  <c r="L56" i="92"/>
  <c r="M55" i="92"/>
  <c r="L55" i="92"/>
  <c r="E55" i="92"/>
  <c r="C55" i="92"/>
  <c r="M54" i="92"/>
  <c r="L54" i="92"/>
  <c r="M53" i="92"/>
  <c r="L53" i="92"/>
  <c r="M52" i="92"/>
  <c r="L52" i="92"/>
  <c r="M51" i="92"/>
  <c r="L51" i="92"/>
  <c r="M50" i="92"/>
  <c r="L50" i="92"/>
  <c r="M49" i="92"/>
  <c r="L49" i="92"/>
  <c r="E49" i="92"/>
  <c r="C49" i="92"/>
  <c r="M48" i="92"/>
  <c r="L48" i="92"/>
  <c r="M47" i="92"/>
  <c r="L47" i="92"/>
  <c r="M46" i="92"/>
  <c r="L46" i="92"/>
  <c r="M45" i="92"/>
  <c r="L45" i="92"/>
  <c r="M44" i="92"/>
  <c r="L44" i="92"/>
  <c r="M43" i="92"/>
  <c r="L43" i="92"/>
  <c r="E43" i="92"/>
  <c r="C43" i="92"/>
  <c r="M42" i="92"/>
  <c r="L42" i="92"/>
  <c r="M41" i="92"/>
  <c r="L41" i="92"/>
  <c r="M40" i="92"/>
  <c r="L40" i="92"/>
  <c r="M39" i="92"/>
  <c r="L39" i="92"/>
  <c r="M38" i="92"/>
  <c r="L38" i="92"/>
  <c r="M37" i="92"/>
  <c r="L37" i="92"/>
  <c r="E37" i="92"/>
  <c r="C37" i="92"/>
  <c r="M36" i="92"/>
  <c r="L36" i="92"/>
  <c r="M35" i="92"/>
  <c r="L35" i="92"/>
  <c r="M34" i="92"/>
  <c r="L34" i="92"/>
  <c r="M33" i="92"/>
  <c r="L33" i="92"/>
  <c r="M32" i="92"/>
  <c r="L32" i="92"/>
  <c r="M31" i="92"/>
  <c r="L31" i="92"/>
  <c r="E31" i="92"/>
  <c r="C31" i="92"/>
  <c r="M30" i="92"/>
  <c r="L30" i="92"/>
  <c r="M29" i="92"/>
  <c r="L29" i="92"/>
  <c r="M28" i="92"/>
  <c r="L28" i="92"/>
  <c r="M27" i="92"/>
  <c r="L27" i="92"/>
  <c r="M26" i="92"/>
  <c r="L26" i="92"/>
  <c r="M25" i="92"/>
  <c r="L25" i="92"/>
  <c r="E25" i="92"/>
  <c r="C25" i="92"/>
  <c r="M24" i="92"/>
  <c r="L24" i="92"/>
  <c r="M23" i="92"/>
  <c r="L23" i="92"/>
  <c r="M22" i="92"/>
  <c r="L22" i="92"/>
  <c r="M21" i="92"/>
  <c r="L21" i="92"/>
  <c r="M20" i="92"/>
  <c r="L20" i="92"/>
  <c r="M19" i="92"/>
  <c r="L19" i="92"/>
  <c r="E19" i="92"/>
  <c r="C19" i="92"/>
  <c r="M18" i="92"/>
  <c r="L18" i="92"/>
  <c r="M17" i="92"/>
  <c r="L17" i="92"/>
  <c r="M16" i="92"/>
  <c r="L16" i="92"/>
  <c r="M15" i="92"/>
  <c r="L15" i="92"/>
  <c r="M14" i="92"/>
  <c r="L14" i="92"/>
  <c r="M13" i="92"/>
  <c r="L13" i="92"/>
  <c r="E13" i="92"/>
  <c r="C13" i="92"/>
  <c r="M12" i="92"/>
  <c r="L12" i="92"/>
  <c r="M11" i="92"/>
  <c r="L11" i="92"/>
  <c r="M10" i="92"/>
  <c r="L10" i="92"/>
  <c r="L9" i="92"/>
  <c r="M8" i="92"/>
  <c r="L8" i="92"/>
  <c r="M7" i="92"/>
  <c r="L7" i="92"/>
  <c r="E7" i="92"/>
  <c r="C7" i="92"/>
  <c r="AL44" i="90"/>
  <c r="AJ44" i="90"/>
  <c r="AF44" i="90"/>
  <c r="AD44" i="90"/>
  <c r="Z44" i="90"/>
  <c r="X44" i="90"/>
  <c r="T44" i="90"/>
  <c r="R44" i="90"/>
  <c r="N44" i="90"/>
  <c r="L44" i="90"/>
  <c r="AL36" i="90"/>
  <c r="AJ36" i="90"/>
  <c r="AF36" i="90"/>
  <c r="AD36" i="90"/>
  <c r="Z36" i="90"/>
  <c r="X36" i="90"/>
  <c r="T36" i="90"/>
  <c r="R36" i="90"/>
  <c r="N36" i="90"/>
  <c r="L36" i="90"/>
  <c r="AL28" i="90"/>
  <c r="AJ28" i="90"/>
  <c r="AF28" i="90"/>
  <c r="AD28" i="90"/>
  <c r="Z28" i="90"/>
  <c r="X28" i="90"/>
  <c r="T28" i="90"/>
  <c r="R28" i="90"/>
  <c r="N28" i="90"/>
  <c r="L28" i="90"/>
  <c r="AL20" i="90"/>
  <c r="AJ20" i="90"/>
  <c r="AF20" i="90"/>
  <c r="AD20" i="90"/>
  <c r="Z20" i="90"/>
  <c r="X20" i="90"/>
  <c r="T20" i="90"/>
  <c r="R20" i="90"/>
  <c r="N20" i="90"/>
  <c r="L20" i="90"/>
  <c r="AL12" i="90"/>
  <c r="AJ12" i="90"/>
  <c r="AF12" i="90"/>
  <c r="AD12" i="90"/>
  <c r="Z12" i="90"/>
  <c r="X12" i="90"/>
  <c r="T12" i="90"/>
  <c r="R12" i="90"/>
  <c r="N12" i="90"/>
  <c r="L12" i="90"/>
  <c r="T69" i="89"/>
  <c r="Q69" i="89"/>
  <c r="T68" i="89"/>
  <c r="Q68" i="89"/>
  <c r="T67" i="89"/>
  <c r="Q67" i="89"/>
  <c r="T66" i="89"/>
  <c r="Q66" i="89"/>
  <c r="T65" i="89"/>
  <c r="Q65" i="89"/>
  <c r="T64" i="89"/>
  <c r="Q64" i="89"/>
  <c r="AB64" i="89" s="1"/>
  <c r="AA64" i="89" s="1"/>
  <c r="J61" i="92" s="1"/>
  <c r="H64" i="89"/>
  <c r="T63" i="89"/>
  <c r="Q63" i="89"/>
  <c r="T62" i="89"/>
  <c r="Q62" i="89"/>
  <c r="T61" i="89"/>
  <c r="Q61" i="89"/>
  <c r="T60" i="89"/>
  <c r="Q60" i="89"/>
  <c r="T59" i="89"/>
  <c r="Q59" i="89"/>
  <c r="T58" i="89"/>
  <c r="Q58" i="89"/>
  <c r="X58" i="89" s="1"/>
  <c r="H58" i="89"/>
  <c r="T57" i="89"/>
  <c r="Q57" i="89"/>
  <c r="T56" i="89"/>
  <c r="Q56" i="89"/>
  <c r="T55" i="89"/>
  <c r="Q55" i="89"/>
  <c r="T54" i="89"/>
  <c r="Q54" i="89"/>
  <c r="T53" i="89"/>
  <c r="Q53" i="89"/>
  <c r="T52" i="89"/>
  <c r="Q52" i="89"/>
  <c r="X52" i="89" s="1"/>
  <c r="Z52" i="89" s="1"/>
  <c r="H52" i="89"/>
  <c r="T51" i="89"/>
  <c r="Q51" i="89"/>
  <c r="T50" i="89"/>
  <c r="Q50" i="89"/>
  <c r="T49" i="89"/>
  <c r="Q49" i="89"/>
  <c r="T48" i="89"/>
  <c r="Q48" i="89"/>
  <c r="T47" i="89"/>
  <c r="Q47" i="89"/>
  <c r="T46" i="89"/>
  <c r="Q46" i="89"/>
  <c r="AB46" i="89" s="1"/>
  <c r="AA46" i="89" s="1"/>
  <c r="J43" i="92" s="1"/>
  <c r="H46" i="89"/>
  <c r="T45" i="89"/>
  <c r="Q45" i="89"/>
  <c r="T44" i="89"/>
  <c r="Q44" i="89"/>
  <c r="T43" i="89"/>
  <c r="Q43" i="89"/>
  <c r="T42" i="89"/>
  <c r="Q42" i="89"/>
  <c r="T41" i="89"/>
  <c r="Q41" i="89"/>
  <c r="T40" i="89"/>
  <c r="Q40" i="89"/>
  <c r="AB40" i="89" s="1"/>
  <c r="AA40" i="89" s="1"/>
  <c r="J37" i="92" s="1"/>
  <c r="H40" i="89"/>
  <c r="T39" i="89"/>
  <c r="Q39" i="89"/>
  <c r="T38" i="89"/>
  <c r="Q38" i="89"/>
  <c r="T37" i="89"/>
  <c r="Q37" i="89"/>
  <c r="T36" i="89"/>
  <c r="Q36" i="89"/>
  <c r="T35" i="89"/>
  <c r="Q35" i="89"/>
  <c r="T34" i="89"/>
  <c r="Q34" i="89"/>
  <c r="M34" i="89"/>
  <c r="H34" i="89"/>
  <c r="T33" i="89"/>
  <c r="Q33" i="89"/>
  <c r="T32" i="89"/>
  <c r="Q32" i="89"/>
  <c r="T31" i="89"/>
  <c r="Q31" i="89"/>
  <c r="T30" i="89"/>
  <c r="Q30" i="89"/>
  <c r="H28" i="89"/>
  <c r="F25" i="92" s="1"/>
  <c r="T27" i="89"/>
  <c r="Q27" i="89"/>
  <c r="T26" i="89"/>
  <c r="Q26" i="89"/>
  <c r="T25" i="89"/>
  <c r="Q25" i="89"/>
  <c r="T24" i="89"/>
  <c r="Q24" i="89"/>
  <c r="H22" i="89"/>
  <c r="F19" i="92" s="1"/>
  <c r="T21" i="89"/>
  <c r="Q21" i="89"/>
  <c r="T20" i="89"/>
  <c r="Q20" i="89"/>
  <c r="T19" i="89"/>
  <c r="Q19" i="89"/>
  <c r="H16" i="89"/>
  <c r="T15" i="89"/>
  <c r="Q15" i="89"/>
  <c r="T14" i="89"/>
  <c r="Q14" i="89"/>
  <c r="T13" i="89"/>
  <c r="Q13" i="89"/>
  <c r="H10" i="89"/>
  <c r="K12" i="89"/>
  <c r="K15" i="89"/>
  <c r="K14" i="89"/>
  <c r="K11" i="89"/>
  <c r="K13" i="89"/>
  <c r="K406" i="92" l="1"/>
  <c r="F55" i="92"/>
  <c r="H55" i="92" s="1"/>
  <c r="AF42" i="65"/>
  <c r="Z42" i="65"/>
  <c r="Z34" i="65"/>
  <c r="AL42" i="65"/>
  <c r="T42" i="65"/>
  <c r="T34" i="65"/>
  <c r="N42" i="65"/>
  <c r="AL34" i="65"/>
  <c r="Z26" i="65"/>
  <c r="Z18" i="65"/>
  <c r="N34" i="65"/>
  <c r="AL26" i="65"/>
  <c r="AL18" i="65"/>
  <c r="AL10" i="65"/>
  <c r="N18" i="65"/>
  <c r="AF34" i="65"/>
  <c r="T26" i="65"/>
  <c r="T18" i="65"/>
  <c r="T10" i="65"/>
  <c r="N26" i="65"/>
  <c r="N10" i="65"/>
  <c r="AF26" i="65"/>
  <c r="AF18" i="65"/>
  <c r="AF10" i="65"/>
  <c r="Z10" i="65"/>
  <c r="K277" i="92"/>
  <c r="K306" i="92"/>
  <c r="K74" i="92"/>
  <c r="K346" i="92"/>
  <c r="Z40" i="65"/>
  <c r="AL40" i="65"/>
  <c r="N40" i="65"/>
  <c r="AF40" i="65"/>
  <c r="AF32" i="65"/>
  <c r="Z32" i="65"/>
  <c r="T24" i="65"/>
  <c r="T8" i="65"/>
  <c r="T32" i="65"/>
  <c r="AL24" i="65"/>
  <c r="N24" i="65"/>
  <c r="AL16" i="65"/>
  <c r="N16" i="65"/>
  <c r="AL8" i="65"/>
  <c r="N8" i="65"/>
  <c r="N32" i="65"/>
  <c r="AF8" i="65"/>
  <c r="T16" i="65"/>
  <c r="AF24" i="65"/>
  <c r="AF16" i="65"/>
  <c r="AL32" i="65"/>
  <c r="T40" i="65"/>
  <c r="Z24" i="65"/>
  <c r="Z16" i="65"/>
  <c r="Z8" i="65"/>
  <c r="F31" i="92"/>
  <c r="H31" i="92" s="1"/>
  <c r="R40" i="65"/>
  <c r="R32" i="65"/>
  <c r="AJ40" i="65"/>
  <c r="L40" i="65"/>
  <c r="R16" i="65"/>
  <c r="AJ24" i="65"/>
  <c r="L24" i="65"/>
  <c r="AJ16" i="65"/>
  <c r="L16" i="65"/>
  <c r="AJ8" i="65"/>
  <c r="L8" i="65"/>
  <c r="AD24" i="65"/>
  <c r="AD8" i="65"/>
  <c r="AD32" i="65"/>
  <c r="X24" i="65"/>
  <c r="X32" i="65"/>
  <c r="R8" i="65"/>
  <c r="AD40" i="65"/>
  <c r="L32" i="65"/>
  <c r="AD16" i="65"/>
  <c r="X16" i="65"/>
  <c r="R24" i="65"/>
  <c r="X40" i="65"/>
  <c r="AJ32" i="65"/>
  <c r="X8" i="65"/>
  <c r="X42" i="65"/>
  <c r="AJ42" i="65"/>
  <c r="AJ34" i="65"/>
  <c r="L26" i="65"/>
  <c r="X26" i="65"/>
  <c r="X18" i="65"/>
  <c r="X10" i="65"/>
  <c r="L42" i="65"/>
  <c r="AD34" i="65"/>
  <c r="R26" i="65"/>
  <c r="R18" i="65"/>
  <c r="R10" i="65"/>
  <c r="L34" i="65"/>
  <c r="AJ26" i="65"/>
  <c r="AJ18" i="65"/>
  <c r="AJ10" i="65"/>
  <c r="R34" i="65"/>
  <c r="AD18" i="65"/>
  <c r="R42" i="65"/>
  <c r="AD42" i="65"/>
  <c r="X34" i="65"/>
  <c r="AD26" i="65"/>
  <c r="AD10" i="65"/>
  <c r="L18" i="65"/>
  <c r="L10" i="65"/>
  <c r="F43" i="92"/>
  <c r="H43" i="92" s="1"/>
  <c r="P42" i="65"/>
  <c r="J42" i="65"/>
  <c r="J34" i="65"/>
  <c r="V42" i="65"/>
  <c r="AB42" i="65"/>
  <c r="V34" i="65"/>
  <c r="AB26" i="65"/>
  <c r="P34" i="65"/>
  <c r="AH34" i="65"/>
  <c r="V26" i="65"/>
  <c r="V18" i="65"/>
  <c r="V10" i="65"/>
  <c r="AH26" i="65"/>
  <c r="AH18" i="65"/>
  <c r="AB10" i="65"/>
  <c r="J26" i="65"/>
  <c r="J18" i="65"/>
  <c r="J10" i="65"/>
  <c r="AH10" i="65"/>
  <c r="AB18" i="65"/>
  <c r="AH42" i="65"/>
  <c r="AB34" i="65"/>
  <c r="P26" i="65"/>
  <c r="P18" i="65"/>
  <c r="P10" i="65"/>
  <c r="F61" i="92"/>
  <c r="H61" i="92" s="1"/>
  <c r="AH44" i="65"/>
  <c r="AH36" i="65"/>
  <c r="AB44" i="65"/>
  <c r="AB36" i="65"/>
  <c r="AB28" i="65"/>
  <c r="J44" i="65"/>
  <c r="J36" i="65"/>
  <c r="V44" i="65"/>
  <c r="V36" i="65"/>
  <c r="J28" i="65"/>
  <c r="J20" i="65"/>
  <c r="J12" i="65"/>
  <c r="P44" i="65"/>
  <c r="P36" i="65"/>
  <c r="P28" i="65"/>
  <c r="P20" i="65"/>
  <c r="V28" i="65"/>
  <c r="V20" i="65"/>
  <c r="V12" i="65"/>
  <c r="P12" i="65"/>
  <c r="AB12" i="65"/>
  <c r="AH20" i="65"/>
  <c r="AH12" i="65"/>
  <c r="AH28" i="65"/>
  <c r="AB20" i="65"/>
  <c r="K311" i="92"/>
  <c r="K399" i="92"/>
  <c r="K98" i="92"/>
  <c r="K105" i="92"/>
  <c r="K123" i="92"/>
  <c r="K135" i="92"/>
  <c r="K143" i="92"/>
  <c r="K149" i="92"/>
  <c r="K175" i="92"/>
  <c r="K191" i="92"/>
  <c r="K197" i="92"/>
  <c r="K207" i="92"/>
  <c r="K210" i="92"/>
  <c r="K321" i="92"/>
  <c r="K326" i="92"/>
  <c r="K338" i="92"/>
  <c r="K341" i="92"/>
  <c r="K393" i="92"/>
  <c r="K398" i="92"/>
  <c r="K110" i="92"/>
  <c r="K189" i="92"/>
  <c r="K68" i="92"/>
  <c r="K134" i="92"/>
  <c r="K136" i="92"/>
  <c r="K174" i="92"/>
  <c r="K199" i="92"/>
  <c r="K201" i="92"/>
  <c r="K217" i="92"/>
  <c r="K241" i="92"/>
  <c r="K275" i="92"/>
  <c r="K290" i="92"/>
  <c r="K327" i="92"/>
  <c r="K345" i="92"/>
  <c r="K78" i="92"/>
  <c r="K140" i="92"/>
  <c r="K162" i="92"/>
  <c r="K176" i="92"/>
  <c r="K194" i="92"/>
  <c r="K249" i="92"/>
  <c r="K285" i="92"/>
  <c r="K308" i="92"/>
  <c r="K324" i="92"/>
  <c r="K401" i="92"/>
  <c r="K403" i="92"/>
  <c r="K413" i="92"/>
  <c r="K93" i="92"/>
  <c r="K171" i="92"/>
  <c r="K244" i="92"/>
  <c r="K272" i="92"/>
  <c r="K293" i="92"/>
  <c r="K330" i="92"/>
  <c r="K106" i="92"/>
  <c r="K146" i="92"/>
  <c r="K166" i="92"/>
  <c r="K211" i="92"/>
  <c r="K396" i="92"/>
  <c r="K250" i="92"/>
  <c r="K402" i="92"/>
  <c r="K126" i="92"/>
  <c r="K165" i="92"/>
  <c r="K300" i="92"/>
  <c r="K372" i="92"/>
  <c r="K409" i="92"/>
  <c r="K412" i="92"/>
  <c r="AB15" i="89"/>
  <c r="AA15" i="89" s="1"/>
  <c r="I52" i="89"/>
  <c r="F49" i="92"/>
  <c r="H49" i="92" s="1"/>
  <c r="K95" i="92"/>
  <c r="K109" i="92"/>
  <c r="I16" i="89"/>
  <c r="X16" i="89" s="1"/>
  <c r="Y16" i="89" s="1"/>
  <c r="F13" i="92"/>
  <c r="I40" i="89"/>
  <c r="F37" i="92"/>
  <c r="H37" i="92" s="1"/>
  <c r="K71" i="92"/>
  <c r="K76" i="92"/>
  <c r="K91" i="92"/>
  <c r="K100" i="92"/>
  <c r="K124" i="92"/>
  <c r="K131" i="92"/>
  <c r="K138" i="92"/>
  <c r="K145" i="92"/>
  <c r="K148" i="92"/>
  <c r="K157" i="92"/>
  <c r="K158" i="92"/>
  <c r="K160" i="92"/>
  <c r="K161" i="92"/>
  <c r="K164" i="92"/>
  <c r="K170" i="92"/>
  <c r="K181" i="92"/>
  <c r="K184" i="92"/>
  <c r="K196" i="92"/>
  <c r="K206" i="92"/>
  <c r="K238" i="92"/>
  <c r="K239" i="92"/>
  <c r="K254" i="92"/>
  <c r="K270" i="92"/>
  <c r="K281" i="92"/>
  <c r="K286" i="92"/>
  <c r="K309" i="92"/>
  <c r="K315" i="92"/>
  <c r="K316" i="92"/>
  <c r="K332" i="92"/>
  <c r="K335" i="92"/>
  <c r="K350" i="92"/>
  <c r="K371" i="92"/>
  <c r="K387" i="92"/>
  <c r="K388" i="92"/>
  <c r="K404" i="92"/>
  <c r="K407" i="92"/>
  <c r="AB14" i="89"/>
  <c r="AA14" i="89" s="1"/>
  <c r="K173" i="92"/>
  <c r="K178" i="92"/>
  <c r="K193" i="92"/>
  <c r="X40" i="89"/>
  <c r="Z24" i="90"/>
  <c r="K112" i="92"/>
  <c r="K117" i="92"/>
  <c r="H121" i="92"/>
  <c r="K125" i="92"/>
  <c r="K156" i="92"/>
  <c r="K213" i="92"/>
  <c r="K216" i="92"/>
  <c r="H217" i="92"/>
  <c r="K228" i="92"/>
  <c r="H229" i="92"/>
  <c r="K230" i="92"/>
  <c r="K233" i="92"/>
  <c r="K235" i="92"/>
  <c r="K243" i="92"/>
  <c r="K246" i="92"/>
  <c r="K248" i="92"/>
  <c r="K253" i="92"/>
  <c r="K256" i="92"/>
  <c r="K264" i="92"/>
  <c r="H265" i="92"/>
  <c r="K266" i="92"/>
  <c r="K269" i="92"/>
  <c r="K271" i="92"/>
  <c r="K279" i="92"/>
  <c r="K282" i="92"/>
  <c r="K284" i="92"/>
  <c r="K336" i="92"/>
  <c r="K67" i="92"/>
  <c r="K70" i="92"/>
  <c r="K79" i="92"/>
  <c r="K82" i="92"/>
  <c r="K84" i="92"/>
  <c r="K89" i="92"/>
  <c r="K90" i="92"/>
  <c r="K92" i="92"/>
  <c r="K94" i="92"/>
  <c r="K104" i="92"/>
  <c r="K115" i="92"/>
  <c r="K116" i="92"/>
  <c r="K119" i="92"/>
  <c r="K127" i="92"/>
  <c r="K129" i="92"/>
  <c r="K130" i="92"/>
  <c r="H133" i="92"/>
  <c r="K141" i="92"/>
  <c r="K150" i="92"/>
  <c r="K177" i="92"/>
  <c r="K180" i="92"/>
  <c r="H181" i="92"/>
  <c r="K182" i="92"/>
  <c r="K187" i="92"/>
  <c r="K190" i="92"/>
  <c r="K192" i="92"/>
  <c r="K198" i="92"/>
  <c r="H199" i="92"/>
  <c r="K200" i="92"/>
  <c r="K202" i="92"/>
  <c r="K203" i="92"/>
  <c r="K208" i="92"/>
  <c r="K212" i="92"/>
  <c r="K215" i="92"/>
  <c r="H223" i="92"/>
  <c r="K227" i="92"/>
  <c r="K237" i="92"/>
  <c r="H241" i="92"/>
  <c r="K242" i="92"/>
  <c r="K258" i="92"/>
  <c r="K263" i="92"/>
  <c r="K273" i="92"/>
  <c r="H277" i="92"/>
  <c r="K283" i="92"/>
  <c r="K294" i="92"/>
  <c r="K304" i="92"/>
  <c r="H313" i="92"/>
  <c r="K314" i="92"/>
  <c r="K319" i="92"/>
  <c r="H337" i="92"/>
  <c r="K339" i="92"/>
  <c r="K342" i="92"/>
  <c r="H343" i="92"/>
  <c r="K351" i="92"/>
  <c r="K353" i="92"/>
  <c r="K354" i="92"/>
  <c r="K355" i="92"/>
  <c r="K356" i="92"/>
  <c r="K359" i="92"/>
  <c r="K361" i="92"/>
  <c r="K363" i="92"/>
  <c r="K366" i="92"/>
  <c r="K369" i="92"/>
  <c r="H373" i="92"/>
  <c r="K373" i="92"/>
  <c r="K374" i="92"/>
  <c r="K376" i="92"/>
  <c r="K377" i="92"/>
  <c r="K381" i="92"/>
  <c r="H385" i="92"/>
  <c r="K391" i="92"/>
  <c r="K414" i="92"/>
  <c r="K415" i="92"/>
  <c r="K417" i="92"/>
  <c r="K418" i="92"/>
  <c r="K423" i="92"/>
  <c r="K425" i="92"/>
  <c r="K289" i="92"/>
  <c r="K292" i="92"/>
  <c r="K302" i="92"/>
  <c r="K305" i="92"/>
  <c r="K310" i="92"/>
  <c r="K318" i="92"/>
  <c r="K320" i="92"/>
  <c r="K323" i="92"/>
  <c r="K325" i="92"/>
  <c r="K340" i="92"/>
  <c r="K357" i="92"/>
  <c r="H361" i="92"/>
  <c r="K362" i="92"/>
  <c r="K367" i="92"/>
  <c r="K370" i="92"/>
  <c r="K378" i="92"/>
  <c r="H379" i="92"/>
  <c r="K390" i="92"/>
  <c r="K392" i="92"/>
  <c r="K395" i="92"/>
  <c r="K397" i="92"/>
  <c r="K408" i="92"/>
  <c r="K410" i="92"/>
  <c r="K424" i="92"/>
  <c r="K73" i="92"/>
  <c r="H139" i="92"/>
  <c r="K147" i="92"/>
  <c r="K186" i="92"/>
  <c r="K214" i="92"/>
  <c r="K291" i="92"/>
  <c r="H301" i="92"/>
  <c r="K312" i="92"/>
  <c r="H319" i="92"/>
  <c r="K183" i="92"/>
  <c r="K188" i="92"/>
  <c r="K168" i="92"/>
  <c r="H175" i="92"/>
  <c r="K219" i="92"/>
  <c r="K222" i="92"/>
  <c r="K224" i="92"/>
  <c r="K260" i="92"/>
  <c r="H283" i="92"/>
  <c r="K296" i="92"/>
  <c r="K299" i="92"/>
  <c r="K348" i="92"/>
  <c r="H355" i="92"/>
  <c r="K384" i="92"/>
  <c r="K386" i="92"/>
  <c r="K152" i="92"/>
  <c r="K155" i="92"/>
  <c r="AF16" i="90"/>
  <c r="H67" i="92"/>
  <c r="K75" i="92"/>
  <c r="K81" i="92"/>
  <c r="H85" i="92"/>
  <c r="K86" i="92"/>
  <c r="H91" i="92"/>
  <c r="K96" i="92"/>
  <c r="K99" i="92"/>
  <c r="K102" i="92"/>
  <c r="H103" i="92"/>
  <c r="K108" i="92"/>
  <c r="H109" i="92"/>
  <c r="K111" i="92"/>
  <c r="K114" i="92"/>
  <c r="K120" i="92"/>
  <c r="K122" i="92"/>
  <c r="K137" i="92"/>
  <c r="K139" i="92"/>
  <c r="K151" i="92"/>
  <c r="K163" i="92"/>
  <c r="K167" i="92"/>
  <c r="K169" i="92"/>
  <c r="K179" i="92"/>
  <c r="K204" i="92"/>
  <c r="H211" i="92"/>
  <c r="K218" i="92"/>
  <c r="K223" i="92"/>
  <c r="K240" i="92"/>
  <c r="H247" i="92"/>
  <c r="K251" i="92"/>
  <c r="K259" i="92"/>
  <c r="K276" i="92"/>
  <c r="K278" i="92"/>
  <c r="K287" i="92"/>
  <c r="K295" i="92"/>
  <c r="K298" i="92"/>
  <c r="K301" i="92"/>
  <c r="K307" i="92"/>
  <c r="K317" i="92"/>
  <c r="K328" i="92"/>
  <c r="K333" i="92"/>
  <c r="K337" i="92"/>
  <c r="K343" i="92"/>
  <c r="K347" i="92"/>
  <c r="K364" i="92"/>
  <c r="K379" i="92"/>
  <c r="K383" i="92"/>
  <c r="K385" i="92"/>
  <c r="K389" i="92"/>
  <c r="K400" i="92"/>
  <c r="K405" i="92"/>
  <c r="K426" i="92"/>
  <c r="K255" i="92"/>
  <c r="K368" i="92"/>
  <c r="H391" i="92"/>
  <c r="N16" i="90"/>
  <c r="AF34" i="90"/>
  <c r="AB65" i="89"/>
  <c r="AA65" i="89" s="1"/>
  <c r="J62" i="92" s="1"/>
  <c r="K77" i="92"/>
  <c r="K80" i="92"/>
  <c r="K83" i="92"/>
  <c r="K85" i="92"/>
  <c r="K88" i="92"/>
  <c r="K101" i="92"/>
  <c r="K103" i="92"/>
  <c r="K107" i="92"/>
  <c r="K113" i="92"/>
  <c r="K121" i="92"/>
  <c r="K132" i="92"/>
  <c r="K142" i="92"/>
  <c r="K153" i="92"/>
  <c r="K172" i="92"/>
  <c r="K209" i="92"/>
  <c r="K220" i="92"/>
  <c r="K225" i="92"/>
  <c r="K229" i="92"/>
  <c r="K232" i="92"/>
  <c r="K245" i="92"/>
  <c r="K247" i="92"/>
  <c r="K261" i="92"/>
  <c r="K265" i="92"/>
  <c r="K268" i="92"/>
  <c r="K280" i="92"/>
  <c r="K297" i="92"/>
  <c r="K322" i="92"/>
  <c r="H331" i="92"/>
  <c r="K352" i="92"/>
  <c r="K358" i="92"/>
  <c r="K394" i="92"/>
  <c r="H403" i="92"/>
  <c r="H409" i="92"/>
  <c r="K416" i="92"/>
  <c r="K420" i="92"/>
  <c r="K422" i="92"/>
  <c r="K419" i="92"/>
  <c r="AB13" i="89"/>
  <c r="AA13" i="89" s="1"/>
  <c r="AA17" i="89"/>
  <c r="AC17" i="89" s="1"/>
  <c r="AB18" i="89"/>
  <c r="AA18" i="89" s="1"/>
  <c r="Y18" i="89"/>
  <c r="AB12" i="89"/>
  <c r="AA12" i="89" s="1"/>
  <c r="AA11" i="89"/>
  <c r="Y58" i="89"/>
  <c r="Z58" i="89"/>
  <c r="X59" i="89" s="1"/>
  <c r="Y59" i="89" s="1"/>
  <c r="Y52" i="89"/>
  <c r="X46" i="89"/>
  <c r="Z46" i="89" s="1"/>
  <c r="AB47" i="89"/>
  <c r="AA47" i="89" s="1"/>
  <c r="J44" i="92" s="1"/>
  <c r="AB48" i="89"/>
  <c r="AA48" i="89" s="1"/>
  <c r="J45" i="92" s="1"/>
  <c r="T10" i="90"/>
  <c r="N58" i="89"/>
  <c r="AF10" i="90"/>
  <c r="AL26" i="90"/>
  <c r="Z42" i="90"/>
  <c r="T8" i="90"/>
  <c r="M46" i="89"/>
  <c r="P18" i="90"/>
  <c r="AB42" i="90"/>
  <c r="P42" i="90"/>
  <c r="AB18" i="90"/>
  <c r="M64" i="89"/>
  <c r="AH12" i="90"/>
  <c r="AH36" i="90"/>
  <c r="J28" i="90"/>
  <c r="V28" i="90"/>
  <c r="L40" i="90"/>
  <c r="R32" i="90"/>
  <c r="AJ24" i="90"/>
  <c r="L16" i="90"/>
  <c r="R8" i="90"/>
  <c r="N34" i="89"/>
  <c r="X40" i="90"/>
  <c r="AD32" i="90"/>
  <c r="X16" i="90"/>
  <c r="AD8" i="90"/>
  <c r="AJ40" i="90"/>
  <c r="L32" i="90"/>
  <c r="R24" i="90"/>
  <c r="AJ16" i="90"/>
  <c r="L8" i="90"/>
  <c r="X32" i="90"/>
  <c r="AD24" i="90"/>
  <c r="X8" i="90"/>
  <c r="AB29" i="89"/>
  <c r="AA29" i="89" s="1"/>
  <c r="J26" i="92" s="1"/>
  <c r="AF40" i="90"/>
  <c r="X42" i="90"/>
  <c r="R26" i="90"/>
  <c r="X18" i="90"/>
  <c r="R42" i="90"/>
  <c r="X34" i="90"/>
  <c r="R18" i="90"/>
  <c r="X10" i="90"/>
  <c r="N52" i="89"/>
  <c r="Z40" i="89"/>
  <c r="X41" i="89" s="1"/>
  <c r="Y40" i="89"/>
  <c r="P26" i="90"/>
  <c r="M52" i="89"/>
  <c r="Z40" i="90"/>
  <c r="AJ10" i="90"/>
  <c r="AD16" i="90"/>
  <c r="AL24" i="90"/>
  <c r="AJ32" i="90"/>
  <c r="N42" i="90"/>
  <c r="I34" i="89"/>
  <c r="AB54" i="89"/>
  <c r="X53" i="89"/>
  <c r="R16" i="90"/>
  <c r="AD18" i="90"/>
  <c r="F7" i="92"/>
  <c r="I10" i="89"/>
  <c r="X10" i="89" s="1"/>
  <c r="I28" i="89"/>
  <c r="X28" i="89" s="1"/>
  <c r="Y28" i="89" s="1"/>
  <c r="X34" i="89"/>
  <c r="L42" i="90"/>
  <c r="AB53" i="89"/>
  <c r="AA53" i="89" s="1"/>
  <c r="J50" i="92" s="1"/>
  <c r="M58" i="89"/>
  <c r="L26" i="90"/>
  <c r="R34" i="90"/>
  <c r="X24" i="90"/>
  <c r="AA28" i="89"/>
  <c r="J25" i="92" s="1"/>
  <c r="N40" i="89"/>
  <c r="AL40" i="90"/>
  <c r="N32" i="90"/>
  <c r="T24" i="90"/>
  <c r="AL16" i="90"/>
  <c r="N8" i="90"/>
  <c r="M40" i="89"/>
  <c r="T40" i="90"/>
  <c r="AL32" i="90"/>
  <c r="N24" i="90"/>
  <c r="T16" i="90"/>
  <c r="AL8" i="90"/>
  <c r="AB66" i="89"/>
  <c r="AA66" i="89" s="1"/>
  <c r="J63" i="92" s="1"/>
  <c r="AJ8" i="90"/>
  <c r="N18" i="90"/>
  <c r="X26" i="90"/>
  <c r="T34" i="90"/>
  <c r="N40" i="90"/>
  <c r="AJ34" i="90"/>
  <c r="AD40" i="90"/>
  <c r="J7" i="92"/>
  <c r="AB34" i="89"/>
  <c r="AA34" i="89" s="1"/>
  <c r="J31" i="92" s="1"/>
  <c r="V44" i="90"/>
  <c r="R10" i="90"/>
  <c r="L24" i="90"/>
  <c r="Z26" i="90"/>
  <c r="T32" i="90"/>
  <c r="R40" i="90"/>
  <c r="AD42" i="90"/>
  <c r="AB41" i="89"/>
  <c r="AA41" i="89" s="1"/>
  <c r="J38" i="92" s="1"/>
  <c r="AB58" i="89"/>
  <c r="AA58" i="89" s="1"/>
  <c r="AL10" i="90"/>
  <c r="V12" i="90"/>
  <c r="AF18" i="90"/>
  <c r="N26" i="90"/>
  <c r="AB26" i="90"/>
  <c r="AL34" i="90"/>
  <c r="V36" i="90"/>
  <c r="AF42" i="90"/>
  <c r="AA22" i="89"/>
  <c r="J19" i="92" s="1"/>
  <c r="J13" i="92"/>
  <c r="I22" i="89"/>
  <c r="X22" i="89" s="1"/>
  <c r="Y22" i="89" s="1"/>
  <c r="N46" i="89"/>
  <c r="X47" i="89"/>
  <c r="AB52" i="89"/>
  <c r="AA52" i="89" s="1"/>
  <c r="I58" i="89"/>
  <c r="Z8" i="90"/>
  <c r="L10" i="90"/>
  <c r="Z10" i="90"/>
  <c r="J12" i="90"/>
  <c r="T18" i="90"/>
  <c r="AJ18" i="90"/>
  <c r="AH20" i="90"/>
  <c r="AF24" i="90"/>
  <c r="AD26" i="90"/>
  <c r="Z32" i="90"/>
  <c r="L34" i="90"/>
  <c r="Z34" i="90"/>
  <c r="J36" i="90"/>
  <c r="T42" i="90"/>
  <c r="AJ42" i="90"/>
  <c r="AH44" i="90"/>
  <c r="AH42" i="90"/>
  <c r="V42" i="90"/>
  <c r="J42" i="90"/>
  <c r="AH34" i="90"/>
  <c r="V34" i="90"/>
  <c r="J34" i="90"/>
  <c r="AH26" i="90"/>
  <c r="V26" i="90"/>
  <c r="J26" i="90"/>
  <c r="AH18" i="90"/>
  <c r="V18" i="90"/>
  <c r="J18" i="90"/>
  <c r="AH10" i="90"/>
  <c r="V10" i="90"/>
  <c r="J10" i="90"/>
  <c r="AB10" i="90"/>
  <c r="AL18" i="90"/>
  <c r="V20" i="90"/>
  <c r="AF26" i="90"/>
  <c r="N34" i="90"/>
  <c r="AB34" i="90"/>
  <c r="AL42" i="90"/>
  <c r="AB44" i="90"/>
  <c r="P44" i="90"/>
  <c r="AB36" i="90"/>
  <c r="P36" i="90"/>
  <c r="AB28" i="90"/>
  <c r="P28" i="90"/>
  <c r="AB20" i="90"/>
  <c r="P20" i="90"/>
  <c r="AB12" i="90"/>
  <c r="P12" i="90"/>
  <c r="N64" i="89"/>
  <c r="N10" i="90"/>
  <c r="I46" i="89"/>
  <c r="I64" i="89"/>
  <c r="X64" i="89"/>
  <c r="AF8" i="90"/>
  <c r="P10" i="90"/>
  <c r="AD10" i="90"/>
  <c r="Z16" i="90"/>
  <c r="L18" i="90"/>
  <c r="Z18" i="90"/>
  <c r="J20" i="90"/>
  <c r="T26" i="90"/>
  <c r="AJ26" i="90"/>
  <c r="AH28" i="90"/>
  <c r="AF32" i="90"/>
  <c r="P34" i="90"/>
  <c r="AD34" i="90"/>
  <c r="J44" i="90"/>
  <c r="K118" i="92"/>
  <c r="K128" i="92"/>
  <c r="H79" i="92"/>
  <c r="K87" i="92"/>
  <c r="K97" i="92"/>
  <c r="H115" i="92"/>
  <c r="K262" i="92"/>
  <c r="K349" i="92"/>
  <c r="K154" i="92"/>
  <c r="K185" i="92"/>
  <c r="K288" i="92"/>
  <c r="H295" i="92"/>
  <c r="K380" i="92"/>
  <c r="K72" i="92"/>
  <c r="K133" i="92"/>
  <c r="K144" i="92"/>
  <c r="K159" i="92"/>
  <c r="K221" i="92"/>
  <c r="K267" i="92"/>
  <c r="K329" i="92"/>
  <c r="K375" i="92"/>
  <c r="H151" i="92"/>
  <c r="K205" i="92"/>
  <c r="K226" i="92"/>
  <c r="K236" i="92"/>
  <c r="K252" i="92"/>
  <c r="H259" i="92"/>
  <c r="K313" i="92"/>
  <c r="K334" i="92"/>
  <c r="K344" i="92"/>
  <c r="K360" i="92"/>
  <c r="H367" i="92"/>
  <c r="K421" i="92"/>
  <c r="K195" i="92"/>
  <c r="K257" i="92"/>
  <c r="K303" i="92"/>
  <c r="K365" i="92"/>
  <c r="K411" i="92"/>
  <c r="W47" i="66" l="1"/>
  <c r="AI17" i="66"/>
  <c r="Q7" i="66"/>
  <c r="AI27" i="66"/>
  <c r="W7" i="66"/>
  <c r="Q17" i="66"/>
  <c r="Q47" i="66"/>
  <c r="AH49" i="66"/>
  <c r="J49" i="66"/>
  <c r="V39" i="66"/>
  <c r="V49" i="66"/>
  <c r="AH39" i="66"/>
  <c r="J39" i="66"/>
  <c r="AB49" i="66"/>
  <c r="P49" i="66"/>
  <c r="AB39" i="66"/>
  <c r="P39" i="66"/>
  <c r="P29" i="66"/>
  <c r="AH29" i="66"/>
  <c r="AB29" i="66"/>
  <c r="J19" i="66"/>
  <c r="AB9" i="66"/>
  <c r="V29" i="66"/>
  <c r="AB19" i="66"/>
  <c r="P19" i="66"/>
  <c r="AH9" i="66"/>
  <c r="J9" i="66"/>
  <c r="P9" i="66"/>
  <c r="AH19" i="66"/>
  <c r="J29" i="66"/>
  <c r="V19" i="66"/>
  <c r="V9" i="66"/>
  <c r="V51" i="66"/>
  <c r="AH41" i="66"/>
  <c r="J41" i="66"/>
  <c r="P51" i="66"/>
  <c r="AB41" i="66"/>
  <c r="P41" i="66"/>
  <c r="AH51" i="66"/>
  <c r="J51" i="66"/>
  <c r="V41" i="66"/>
  <c r="AB51" i="66"/>
  <c r="AB31" i="66"/>
  <c r="AH31" i="66"/>
  <c r="P21" i="66"/>
  <c r="V31" i="66"/>
  <c r="J31" i="66"/>
  <c r="P11" i="66"/>
  <c r="V21" i="66"/>
  <c r="J21" i="66"/>
  <c r="V11" i="66"/>
  <c r="P31" i="66"/>
  <c r="AH21" i="66"/>
  <c r="AB11" i="66"/>
  <c r="AB21" i="66"/>
  <c r="AH11" i="66"/>
  <c r="J11" i="66"/>
  <c r="K7" i="66"/>
  <c r="AC17" i="66"/>
  <c r="W27" i="66"/>
  <c r="P48" i="66"/>
  <c r="AB38" i="66"/>
  <c r="J48" i="66"/>
  <c r="AB48" i="66"/>
  <c r="AH48" i="66"/>
  <c r="V48" i="66"/>
  <c r="AH38" i="66"/>
  <c r="V28" i="66"/>
  <c r="AB28" i="66"/>
  <c r="P28" i="66"/>
  <c r="V38" i="66"/>
  <c r="J38" i="66"/>
  <c r="AH28" i="66"/>
  <c r="AB18" i="66"/>
  <c r="AH8" i="66"/>
  <c r="J8" i="66"/>
  <c r="P8" i="66"/>
  <c r="AH18" i="66"/>
  <c r="V18" i="66"/>
  <c r="V8" i="66"/>
  <c r="P38" i="66"/>
  <c r="P18" i="66"/>
  <c r="AB8" i="66"/>
  <c r="J28" i="66"/>
  <c r="J18" i="66"/>
  <c r="AD47" i="66"/>
  <c r="R37" i="66"/>
  <c r="R47" i="66"/>
  <c r="AJ47" i="66"/>
  <c r="X47" i="66"/>
  <c r="L47" i="66"/>
  <c r="L37" i="66"/>
  <c r="AJ27" i="66"/>
  <c r="L27" i="66"/>
  <c r="AJ37" i="66"/>
  <c r="R27" i="66"/>
  <c r="AD37" i="66"/>
  <c r="AJ17" i="66"/>
  <c r="X7" i="66"/>
  <c r="X17" i="66"/>
  <c r="L17" i="66"/>
  <c r="AD7" i="66"/>
  <c r="X27" i="66"/>
  <c r="AJ7" i="66"/>
  <c r="L7" i="66"/>
  <c r="AD17" i="66"/>
  <c r="R17" i="66"/>
  <c r="R7" i="66"/>
  <c r="X37" i="66"/>
  <c r="AD27" i="66"/>
  <c r="I49" i="92"/>
  <c r="AH53" i="66"/>
  <c r="J53" i="66"/>
  <c r="V43" i="66"/>
  <c r="J43" i="66"/>
  <c r="AB53" i="66"/>
  <c r="P53" i="66"/>
  <c r="AB43" i="66"/>
  <c r="AB33" i="66"/>
  <c r="P43" i="66"/>
  <c r="V53" i="66"/>
  <c r="AH43" i="66"/>
  <c r="P33" i="66"/>
  <c r="V33" i="66"/>
  <c r="J33" i="66"/>
  <c r="AB23" i="66"/>
  <c r="P23" i="66"/>
  <c r="AB13" i="66"/>
  <c r="AH13" i="66"/>
  <c r="J13" i="66"/>
  <c r="J23" i="66"/>
  <c r="P13" i="66"/>
  <c r="AH23" i="66"/>
  <c r="V23" i="66"/>
  <c r="AH33" i="66"/>
  <c r="V13" i="66"/>
  <c r="AC16" i="89"/>
  <c r="V47" i="66"/>
  <c r="AH37" i="66"/>
  <c r="J37" i="66"/>
  <c r="AB47" i="66"/>
  <c r="P47" i="66"/>
  <c r="AB37" i="66"/>
  <c r="P37" i="66"/>
  <c r="AH47" i="66"/>
  <c r="J47" i="66"/>
  <c r="V37" i="66"/>
  <c r="AB27" i="66"/>
  <c r="AH27" i="66"/>
  <c r="P17" i="66"/>
  <c r="P7" i="66"/>
  <c r="AH17" i="66"/>
  <c r="V7" i="66"/>
  <c r="V17" i="66"/>
  <c r="V27" i="66"/>
  <c r="J17" i="66"/>
  <c r="AB7" i="66"/>
  <c r="J27" i="66"/>
  <c r="J7" i="66"/>
  <c r="AH7" i="66"/>
  <c r="P27" i="66"/>
  <c r="AB17" i="66"/>
  <c r="AI7" i="66"/>
  <c r="Q27" i="66"/>
  <c r="AC37" i="66"/>
  <c r="AC7" i="66"/>
  <c r="Q37" i="66"/>
  <c r="AC47" i="66"/>
  <c r="I55" i="92"/>
  <c r="AB54" i="66"/>
  <c r="P44" i="66"/>
  <c r="V54" i="66"/>
  <c r="J54" i="66"/>
  <c r="AH44" i="66"/>
  <c r="V44" i="66"/>
  <c r="J44" i="66"/>
  <c r="AH34" i="66"/>
  <c r="P34" i="66"/>
  <c r="P54" i="66"/>
  <c r="AB44" i="66"/>
  <c r="AH54" i="66"/>
  <c r="V34" i="66"/>
  <c r="V24" i="66"/>
  <c r="AB34" i="66"/>
  <c r="J34" i="66"/>
  <c r="V14" i="66"/>
  <c r="AH24" i="66"/>
  <c r="AB14" i="66"/>
  <c r="AH14" i="66"/>
  <c r="J14" i="66"/>
  <c r="AB24" i="66"/>
  <c r="P24" i="66"/>
  <c r="P14" i="66"/>
  <c r="J24" i="66"/>
  <c r="K17" i="66"/>
  <c r="K47" i="66"/>
  <c r="AI47" i="66"/>
  <c r="AC27" i="66"/>
  <c r="W17" i="66"/>
  <c r="K37" i="66"/>
  <c r="W37" i="66"/>
  <c r="K27" i="66"/>
  <c r="AI37" i="66"/>
  <c r="J33" i="91"/>
  <c r="V44" i="91"/>
  <c r="Z59" i="89"/>
  <c r="X60" i="89" s="1"/>
  <c r="Z60" i="89" s="1"/>
  <c r="X61" i="89" s="1"/>
  <c r="J14" i="92"/>
  <c r="Z10" i="89"/>
  <c r="X11" i="89" s="1"/>
  <c r="Z11" i="89" s="1"/>
  <c r="X12" i="89" s="1"/>
  <c r="Y10" i="89"/>
  <c r="AC18" i="89"/>
  <c r="J8" i="92"/>
  <c r="P33" i="91"/>
  <c r="AB13" i="91"/>
  <c r="P43" i="91"/>
  <c r="Y41" i="89"/>
  <c r="Z41" i="89"/>
  <c r="X42" i="89" s="1"/>
  <c r="AH24" i="91"/>
  <c r="AB35" i="89"/>
  <c r="AB54" i="91"/>
  <c r="AB59" i="89"/>
  <c r="AA54" i="89"/>
  <c r="J51" i="92" s="1"/>
  <c r="AB55" i="89"/>
  <c r="AB49" i="89"/>
  <c r="AB42" i="89"/>
  <c r="Y46" i="89"/>
  <c r="J42" i="91" s="1"/>
  <c r="AB30" i="89"/>
  <c r="AH43" i="91"/>
  <c r="AB67" i="89"/>
  <c r="AB23" i="89"/>
  <c r="P34" i="91"/>
  <c r="V13" i="91"/>
  <c r="J54" i="91"/>
  <c r="AB34" i="91"/>
  <c r="J14" i="91"/>
  <c r="AC52" i="89"/>
  <c r="AB43" i="91"/>
  <c r="P24" i="91"/>
  <c r="V34" i="91"/>
  <c r="AB44" i="91"/>
  <c r="X13" i="89"/>
  <c r="Z64" i="89"/>
  <c r="X65" i="89" s="1"/>
  <c r="Y64" i="89"/>
  <c r="Z34" i="89"/>
  <c r="X35" i="89" s="1"/>
  <c r="Z35" i="89" s="1"/>
  <c r="X36" i="89" s="1"/>
  <c r="Y36" i="89" s="1"/>
  <c r="Y34" i="89"/>
  <c r="J49" i="92"/>
  <c r="K49" i="92" s="1"/>
  <c r="AH23" i="91"/>
  <c r="AH53" i="91"/>
  <c r="P23" i="91"/>
  <c r="AB53" i="91"/>
  <c r="AH13" i="91"/>
  <c r="J43" i="91"/>
  <c r="AC58" i="89"/>
  <c r="AH44" i="91"/>
  <c r="P14" i="91"/>
  <c r="AH54" i="91"/>
  <c r="V12" i="91"/>
  <c r="Z47" i="89"/>
  <c r="X48" i="89" s="1"/>
  <c r="Y47" i="89"/>
  <c r="AB23" i="91"/>
  <c r="V43" i="91"/>
  <c r="J23" i="91"/>
  <c r="J53" i="91"/>
  <c r="I56" i="92"/>
  <c r="P44" i="91"/>
  <c r="AB24" i="91"/>
  <c r="V14" i="91"/>
  <c r="AB33" i="91"/>
  <c r="J55" i="92"/>
  <c r="K55" i="92" s="1"/>
  <c r="AH34" i="91"/>
  <c r="V33" i="91"/>
  <c r="J13" i="91"/>
  <c r="AH33" i="91"/>
  <c r="V53" i="91"/>
  <c r="I13" i="92"/>
  <c r="K13" i="92" s="1"/>
  <c r="AB47" i="91"/>
  <c r="J47" i="91"/>
  <c r="P37" i="91"/>
  <c r="V47" i="91"/>
  <c r="V37" i="91"/>
  <c r="AH37" i="91"/>
  <c r="AH27" i="91"/>
  <c r="J17" i="91"/>
  <c r="J37" i="91"/>
  <c r="J27" i="91"/>
  <c r="V17" i="91"/>
  <c r="AH47" i="91"/>
  <c r="V27" i="91"/>
  <c r="AB17" i="91"/>
  <c r="AH7" i="91"/>
  <c r="AB7" i="91"/>
  <c r="V7" i="91"/>
  <c r="P7" i="91"/>
  <c r="J7" i="91"/>
  <c r="AB27" i="91"/>
  <c r="AH17" i="91"/>
  <c r="P27" i="91"/>
  <c r="P47" i="91"/>
  <c r="P17" i="91"/>
  <c r="AB37" i="91"/>
  <c r="J24" i="91"/>
  <c r="P54" i="91"/>
  <c r="AB14" i="91"/>
  <c r="V54" i="91"/>
  <c r="J51" i="91"/>
  <c r="AH41" i="91"/>
  <c r="I37" i="92"/>
  <c r="K37" i="92" s="1"/>
  <c r="AH51" i="91"/>
  <c r="V51" i="91"/>
  <c r="P41" i="91"/>
  <c r="P51" i="91"/>
  <c r="V31" i="91"/>
  <c r="AH21" i="91"/>
  <c r="AH11" i="91"/>
  <c r="AB11" i="91"/>
  <c r="V11" i="91"/>
  <c r="P11" i="91"/>
  <c r="J11" i="91"/>
  <c r="AB31" i="91"/>
  <c r="AB41" i="91"/>
  <c r="AH31" i="91"/>
  <c r="J21" i="91"/>
  <c r="AB51" i="91"/>
  <c r="J41" i="91"/>
  <c r="AB21" i="91"/>
  <c r="P21" i="91"/>
  <c r="J31" i="91"/>
  <c r="V21" i="91"/>
  <c r="V41" i="91"/>
  <c r="P31" i="91"/>
  <c r="AC40" i="89"/>
  <c r="Z28" i="89"/>
  <c r="X29" i="89" s="1"/>
  <c r="Y29" i="89" s="1"/>
  <c r="AC41" i="91"/>
  <c r="Z22" i="89"/>
  <c r="V23" i="91"/>
  <c r="P13" i="91"/>
  <c r="P53" i="91"/>
  <c r="Z53" i="89"/>
  <c r="X54" i="89" s="1"/>
  <c r="Z54" i="89" s="1"/>
  <c r="X55" i="89" s="1"/>
  <c r="Y55" i="89" s="1"/>
  <c r="Y53" i="89"/>
  <c r="V24" i="91"/>
  <c r="J34" i="91"/>
  <c r="AH14" i="91"/>
  <c r="J44" i="91"/>
  <c r="AI51" i="91"/>
  <c r="AB52" i="91" l="1"/>
  <c r="AB42" i="91"/>
  <c r="AC46" i="89"/>
  <c r="AH52" i="91"/>
  <c r="X23" i="89"/>
  <c r="Y23" i="89" s="1"/>
  <c r="V55" i="66"/>
  <c r="AH45" i="66"/>
  <c r="J45" i="66"/>
  <c r="AH55" i="66"/>
  <c r="J55" i="66"/>
  <c r="V45" i="66"/>
  <c r="AH35" i="66"/>
  <c r="V35" i="66"/>
  <c r="AB55" i="66"/>
  <c r="P55" i="66"/>
  <c r="AB45" i="66"/>
  <c r="P45" i="66"/>
  <c r="AB35" i="66"/>
  <c r="J35" i="66"/>
  <c r="P35" i="66"/>
  <c r="P25" i="66"/>
  <c r="V25" i="66"/>
  <c r="J25" i="66"/>
  <c r="AH15" i="66"/>
  <c r="AH25" i="66"/>
  <c r="P15" i="66"/>
  <c r="V15" i="66"/>
  <c r="AB25" i="66"/>
  <c r="AB15" i="66"/>
  <c r="J15" i="66"/>
  <c r="AI49" i="66"/>
  <c r="K49" i="66"/>
  <c r="W39" i="66"/>
  <c r="AC49" i="66"/>
  <c r="Q49" i="66"/>
  <c r="AC39" i="66"/>
  <c r="AI29" i="66"/>
  <c r="K29" i="66"/>
  <c r="W29" i="66"/>
  <c r="W49" i="66"/>
  <c r="Q39" i="66"/>
  <c r="AI39" i="66"/>
  <c r="K39" i="66"/>
  <c r="AC29" i="66"/>
  <c r="AI19" i="66"/>
  <c r="K19" i="66"/>
  <c r="Q29" i="66"/>
  <c r="Q19" i="66"/>
  <c r="AC9" i="66"/>
  <c r="Q9" i="66"/>
  <c r="W19" i="66"/>
  <c r="W9" i="66"/>
  <c r="AC19" i="66"/>
  <c r="K9" i="66"/>
  <c r="AI9" i="66"/>
  <c r="P52" i="91"/>
  <c r="P52" i="66"/>
  <c r="AB42" i="66"/>
  <c r="AB52" i="66"/>
  <c r="P42" i="66"/>
  <c r="AH52" i="66"/>
  <c r="V52" i="66"/>
  <c r="AH42" i="66"/>
  <c r="J52" i="66"/>
  <c r="V42" i="66"/>
  <c r="J42" i="66"/>
  <c r="V32" i="66"/>
  <c r="AH22" i="66"/>
  <c r="J22" i="66"/>
  <c r="AH32" i="66"/>
  <c r="AB32" i="66"/>
  <c r="V22" i="66"/>
  <c r="AH12" i="66"/>
  <c r="J12" i="66"/>
  <c r="P12" i="66"/>
  <c r="P32" i="66"/>
  <c r="P22" i="66"/>
  <c r="J32" i="66"/>
  <c r="AB22" i="66"/>
  <c r="V12" i="66"/>
  <c r="AB12" i="66"/>
  <c r="AC10" i="89"/>
  <c r="AB46" i="66"/>
  <c r="P36" i="66"/>
  <c r="P46" i="66"/>
  <c r="AH46" i="66"/>
  <c r="V46" i="66"/>
  <c r="J46" i="66"/>
  <c r="J36" i="66"/>
  <c r="V36" i="66"/>
  <c r="AH36" i="66"/>
  <c r="AH26" i="66"/>
  <c r="J26" i="66"/>
  <c r="AB36" i="66"/>
  <c r="P26" i="66"/>
  <c r="AH16" i="66"/>
  <c r="V6" i="66"/>
  <c r="V16" i="66"/>
  <c r="J16" i="66"/>
  <c r="AB6" i="66"/>
  <c r="V26" i="66"/>
  <c r="AH6" i="66"/>
  <c r="J6" i="66"/>
  <c r="AB16" i="66"/>
  <c r="AB26" i="66"/>
  <c r="P6" i="66"/>
  <c r="P16" i="66"/>
  <c r="Q52" i="66"/>
  <c r="AC42" i="66"/>
  <c r="AI52" i="66"/>
  <c r="W52" i="66"/>
  <c r="AI42" i="66"/>
  <c r="Q32" i="66"/>
  <c r="K52" i="66"/>
  <c r="AC52" i="66"/>
  <c r="AC32" i="66"/>
  <c r="W42" i="66"/>
  <c r="AI32" i="66"/>
  <c r="Q22" i="66"/>
  <c r="W32" i="66"/>
  <c r="Q42" i="66"/>
  <c r="K32" i="66"/>
  <c r="W22" i="66"/>
  <c r="K22" i="66"/>
  <c r="AI12" i="66"/>
  <c r="K12" i="66"/>
  <c r="K42" i="66"/>
  <c r="AI22" i="66"/>
  <c r="AC22" i="66"/>
  <c r="W12" i="66"/>
  <c r="AC12" i="66"/>
  <c r="Q12" i="66"/>
  <c r="V52" i="91"/>
  <c r="I38" i="92"/>
  <c r="K38" i="92" s="1"/>
  <c r="W51" i="66"/>
  <c r="AI41" i="66"/>
  <c r="K41" i="66"/>
  <c r="AI51" i="66"/>
  <c r="K51" i="66"/>
  <c r="W41" i="66"/>
  <c r="W31" i="66"/>
  <c r="AC51" i="66"/>
  <c r="Q31" i="66"/>
  <c r="AC41" i="66"/>
  <c r="Q51" i="66"/>
  <c r="K31" i="66"/>
  <c r="W21" i="66"/>
  <c r="Q41" i="66"/>
  <c r="AC21" i="66"/>
  <c r="AC31" i="66"/>
  <c r="Q11" i="66"/>
  <c r="AI21" i="66"/>
  <c r="AC11" i="66"/>
  <c r="AI11" i="66"/>
  <c r="K11" i="66"/>
  <c r="W11" i="66"/>
  <c r="Q21" i="66"/>
  <c r="K21" i="66"/>
  <c r="AI31" i="66"/>
  <c r="AI53" i="66"/>
  <c r="K53" i="66"/>
  <c r="W43" i="66"/>
  <c r="AI33" i="66"/>
  <c r="AC53" i="66"/>
  <c r="Q53" i="66"/>
  <c r="AC33" i="66"/>
  <c r="Q43" i="66"/>
  <c r="K33" i="66"/>
  <c r="W53" i="66"/>
  <c r="AI43" i="66"/>
  <c r="AC43" i="66"/>
  <c r="Q33" i="66"/>
  <c r="AI23" i="66"/>
  <c r="K23" i="66"/>
  <c r="Q23" i="66"/>
  <c r="K43" i="66"/>
  <c r="AC13" i="66"/>
  <c r="W33" i="66"/>
  <c r="Q13" i="66"/>
  <c r="W23" i="66"/>
  <c r="W13" i="66"/>
  <c r="AC23" i="66"/>
  <c r="AI13" i="66"/>
  <c r="K13" i="66"/>
  <c r="AB50" i="66"/>
  <c r="P40" i="66"/>
  <c r="AH50" i="66"/>
  <c r="V50" i="66"/>
  <c r="J50" i="66"/>
  <c r="AH40" i="66"/>
  <c r="V40" i="66"/>
  <c r="J40" i="66"/>
  <c r="P50" i="66"/>
  <c r="AB40" i="66"/>
  <c r="AH30" i="66"/>
  <c r="J30" i="66"/>
  <c r="V30" i="66"/>
  <c r="AB30" i="66"/>
  <c r="V20" i="66"/>
  <c r="J20" i="66"/>
  <c r="V10" i="66"/>
  <c r="AB10" i="66"/>
  <c r="P30" i="66"/>
  <c r="AB20" i="66"/>
  <c r="P20" i="66"/>
  <c r="AH10" i="66"/>
  <c r="J10" i="66"/>
  <c r="P10" i="66"/>
  <c r="AH20" i="66"/>
  <c r="K11" i="91"/>
  <c r="AI31" i="91"/>
  <c r="W11" i="91"/>
  <c r="Q51" i="91"/>
  <c r="W31" i="91"/>
  <c r="AC11" i="91"/>
  <c r="Y60" i="89"/>
  <c r="J22" i="91"/>
  <c r="AB22" i="91"/>
  <c r="P42" i="91"/>
  <c r="AH42" i="91"/>
  <c r="J12" i="91"/>
  <c r="AB12" i="91"/>
  <c r="V42" i="91"/>
  <c r="I43" i="92"/>
  <c r="K43" i="92" s="1"/>
  <c r="V22" i="91"/>
  <c r="J32" i="91"/>
  <c r="P32" i="91"/>
  <c r="P22" i="91"/>
  <c r="P12" i="91"/>
  <c r="AB32" i="91"/>
  <c r="J52" i="91"/>
  <c r="AI11" i="91"/>
  <c r="AC21" i="91"/>
  <c r="AI41" i="91"/>
  <c r="K41" i="91"/>
  <c r="AC31" i="91"/>
  <c r="Q11" i="91"/>
  <c r="Q31" i="91"/>
  <c r="AC51" i="91"/>
  <c r="AI21" i="91"/>
  <c r="K51" i="91"/>
  <c r="W51" i="91"/>
  <c r="W41" i="91"/>
  <c r="Y35" i="89"/>
  <c r="I32" i="92" s="1"/>
  <c r="K31" i="91"/>
  <c r="W21" i="91"/>
  <c r="Y11" i="89"/>
  <c r="AC41" i="89"/>
  <c r="Q41" i="91"/>
  <c r="Y12" i="89"/>
  <c r="AD36" i="91" s="1"/>
  <c r="Z12" i="89"/>
  <c r="X14" i="89"/>
  <c r="Y14" i="89" s="1"/>
  <c r="Z13" i="89"/>
  <c r="Y13" i="89"/>
  <c r="K21" i="91"/>
  <c r="Q6" i="91"/>
  <c r="AC39" i="91"/>
  <c r="Z29" i="89"/>
  <c r="X30" i="89" s="1"/>
  <c r="X19" i="89"/>
  <c r="Z23" i="89"/>
  <c r="X24" i="89" s="1"/>
  <c r="Z55" i="89"/>
  <c r="X56" i="89" s="1"/>
  <c r="Y54" i="89"/>
  <c r="Z36" i="89"/>
  <c r="X37" i="89" s="1"/>
  <c r="J9" i="92"/>
  <c r="AA49" i="89"/>
  <c r="J46" i="92" s="1"/>
  <c r="AB50" i="89"/>
  <c r="AA35" i="89"/>
  <c r="J32" i="92" s="1"/>
  <c r="AB36" i="89"/>
  <c r="Q21" i="91"/>
  <c r="V32" i="91"/>
  <c r="AH22" i="91"/>
  <c r="AH32" i="91"/>
  <c r="AH12" i="91"/>
  <c r="AA67" i="89"/>
  <c r="J64" i="92" s="1"/>
  <c r="AB68" i="89"/>
  <c r="AA55" i="89"/>
  <c r="J52" i="92" s="1"/>
  <c r="AB56" i="89"/>
  <c r="Z65" i="89"/>
  <c r="X66" i="89" s="1"/>
  <c r="Y65" i="89"/>
  <c r="Z42" i="89"/>
  <c r="X43" i="89" s="1"/>
  <c r="Y42" i="89"/>
  <c r="AA30" i="89"/>
  <c r="J27" i="92" s="1"/>
  <c r="AB31" i="89"/>
  <c r="AA59" i="89"/>
  <c r="AB60" i="89"/>
  <c r="J15" i="92"/>
  <c r="AB19" i="89"/>
  <c r="Z61" i="89"/>
  <c r="X62" i="89" s="1"/>
  <c r="Y61" i="89"/>
  <c r="Z48" i="89"/>
  <c r="X49" i="89" s="1"/>
  <c r="Y48" i="89"/>
  <c r="AA23" i="89"/>
  <c r="J20" i="92" s="1"/>
  <c r="AB24" i="89"/>
  <c r="AA42" i="89"/>
  <c r="J39" i="92" s="1"/>
  <c r="AB43" i="89"/>
  <c r="I57" i="92"/>
  <c r="I52" i="92"/>
  <c r="Y13" i="91"/>
  <c r="V46" i="91"/>
  <c r="J46" i="91"/>
  <c r="AB26" i="91"/>
  <c r="AH16" i="91"/>
  <c r="AB16" i="91"/>
  <c r="V16" i="91"/>
  <c r="P16" i="91"/>
  <c r="J16" i="91"/>
  <c r="V36" i="91"/>
  <c r="AB36" i="91"/>
  <c r="J36" i="91"/>
  <c r="AH46" i="91"/>
  <c r="AH6" i="91"/>
  <c r="AB6" i="91"/>
  <c r="V6" i="91"/>
  <c r="P6" i="91"/>
  <c r="J6" i="91"/>
  <c r="P26" i="91"/>
  <c r="P46" i="91"/>
  <c r="P36" i="91"/>
  <c r="J26" i="91"/>
  <c r="I7" i="92"/>
  <c r="K7" i="92" s="1"/>
  <c r="AH36" i="91"/>
  <c r="AH26" i="91"/>
  <c r="AB46" i="91"/>
  <c r="V26" i="91"/>
  <c r="L36" i="91"/>
  <c r="X26" i="91"/>
  <c r="L26" i="91"/>
  <c r="I44" i="92"/>
  <c r="K44" i="92" s="1"/>
  <c r="W52" i="91"/>
  <c r="AC52" i="91"/>
  <c r="K42" i="91"/>
  <c r="Q52" i="91"/>
  <c r="AC42" i="91"/>
  <c r="AI32" i="91"/>
  <c r="K22" i="91"/>
  <c r="AI42" i="91"/>
  <c r="W42" i="91"/>
  <c r="K32" i="91"/>
  <c r="W22" i="91"/>
  <c r="AI52" i="91"/>
  <c r="AC22" i="91"/>
  <c r="W12" i="91"/>
  <c r="K52" i="91"/>
  <c r="Q32" i="91"/>
  <c r="AI12" i="91"/>
  <c r="Q22" i="91"/>
  <c r="K12" i="91"/>
  <c r="AC32" i="91"/>
  <c r="AC12" i="91"/>
  <c r="AC47" i="89"/>
  <c r="W32" i="91"/>
  <c r="Q12" i="91"/>
  <c r="Q42" i="91"/>
  <c r="AI22" i="91"/>
  <c r="I25" i="92"/>
  <c r="K25" i="92" s="1"/>
  <c r="AH49" i="91"/>
  <c r="AB49" i="91"/>
  <c r="P49" i="91"/>
  <c r="V49" i="91"/>
  <c r="J49" i="91"/>
  <c r="AB39" i="91"/>
  <c r="AH39" i="91"/>
  <c r="J29" i="91"/>
  <c r="V19" i="91"/>
  <c r="AH9" i="91"/>
  <c r="AB9" i="91"/>
  <c r="V9" i="91"/>
  <c r="P9" i="91"/>
  <c r="J9" i="91"/>
  <c r="P39" i="91"/>
  <c r="P29" i="91"/>
  <c r="V29" i="91"/>
  <c r="AH19" i="91"/>
  <c r="V39" i="91"/>
  <c r="AH29" i="91"/>
  <c r="AB19" i="91"/>
  <c r="P19" i="91"/>
  <c r="J39" i="91"/>
  <c r="AB29" i="91"/>
  <c r="AC28" i="89"/>
  <c r="J19" i="91"/>
  <c r="AI49" i="91"/>
  <c r="Q29" i="91"/>
  <c r="K49" i="91"/>
  <c r="AC49" i="91"/>
  <c r="K29" i="91"/>
  <c r="I33" i="92"/>
  <c r="AH55" i="91"/>
  <c r="I61" i="92"/>
  <c r="K61" i="92" s="1"/>
  <c r="AB55" i="91"/>
  <c r="J55" i="91"/>
  <c r="P45" i="91"/>
  <c r="J45" i="91"/>
  <c r="P55" i="91"/>
  <c r="V25" i="91"/>
  <c r="AH15" i="91"/>
  <c r="AB15" i="91"/>
  <c r="V15" i="91"/>
  <c r="P15" i="91"/>
  <c r="J15" i="91"/>
  <c r="AH35" i="91"/>
  <c r="P35" i="91"/>
  <c r="V55" i="91"/>
  <c r="V45" i="91"/>
  <c r="AH25" i="91"/>
  <c r="AH45" i="91"/>
  <c r="V35" i="91"/>
  <c r="P25" i="91"/>
  <c r="AB35" i="91"/>
  <c r="AC64" i="89"/>
  <c r="AB45" i="91"/>
  <c r="AB25" i="91"/>
  <c r="J25" i="91"/>
  <c r="J35" i="91"/>
  <c r="V50" i="91"/>
  <c r="AB50" i="91"/>
  <c r="AB40" i="91"/>
  <c r="P50" i="91"/>
  <c r="V40" i="91"/>
  <c r="J50" i="91"/>
  <c r="AH40" i="91"/>
  <c r="P30" i="91"/>
  <c r="AB20" i="91"/>
  <c r="AH10" i="91"/>
  <c r="AB10" i="91"/>
  <c r="V10" i="91"/>
  <c r="P10" i="91"/>
  <c r="J10" i="91"/>
  <c r="V30" i="91"/>
  <c r="AB30" i="91"/>
  <c r="P40" i="91"/>
  <c r="I31" i="92"/>
  <c r="K31" i="92" s="1"/>
  <c r="J30" i="91"/>
  <c r="P20" i="91"/>
  <c r="J20" i="91"/>
  <c r="J40" i="91"/>
  <c r="AH30" i="91"/>
  <c r="AH20" i="91"/>
  <c r="V20" i="91"/>
  <c r="AH50" i="91"/>
  <c r="AC34" i="89"/>
  <c r="I14" i="92"/>
  <c r="K14" i="92" s="1"/>
  <c r="AI47" i="91"/>
  <c r="W47" i="91"/>
  <c r="W37" i="91"/>
  <c r="K47" i="91"/>
  <c r="AC37" i="91"/>
  <c r="AC47" i="91"/>
  <c r="Q17" i="91"/>
  <c r="K37" i="91"/>
  <c r="Q27" i="91"/>
  <c r="AC17" i="91"/>
  <c r="Q37" i="91"/>
  <c r="AC27" i="91"/>
  <c r="W7" i="91"/>
  <c r="K27" i="91"/>
  <c r="AC7" i="91"/>
  <c r="W27" i="91"/>
  <c r="AI17" i="91"/>
  <c r="W17" i="91"/>
  <c r="K17" i="91"/>
  <c r="AI7" i="91"/>
  <c r="Q47" i="91"/>
  <c r="AI37" i="91"/>
  <c r="Q7" i="91"/>
  <c r="K7" i="91"/>
  <c r="AI27" i="91"/>
  <c r="AB48" i="91"/>
  <c r="V48" i="91"/>
  <c r="I19" i="92"/>
  <c r="K19" i="92" s="1"/>
  <c r="P48" i="91"/>
  <c r="V38" i="91"/>
  <c r="AB38" i="91"/>
  <c r="P38" i="91"/>
  <c r="P18" i="91"/>
  <c r="AH8" i="91"/>
  <c r="AB8" i="91"/>
  <c r="V8" i="91"/>
  <c r="P8" i="91"/>
  <c r="J48" i="91"/>
  <c r="AH38" i="91"/>
  <c r="J28" i="91"/>
  <c r="P28" i="91"/>
  <c r="AB18" i="91"/>
  <c r="J38" i="91"/>
  <c r="J18" i="91"/>
  <c r="J8" i="91"/>
  <c r="AH28" i="91"/>
  <c r="AH18" i="91"/>
  <c r="V18" i="91"/>
  <c r="AB28" i="91"/>
  <c r="AC22" i="89"/>
  <c r="AH48" i="91"/>
  <c r="V28" i="91"/>
  <c r="AC53" i="91"/>
  <c r="I50" i="92"/>
  <c r="K50" i="92" s="1"/>
  <c r="AI53" i="91"/>
  <c r="K53" i="91"/>
  <c r="AI43" i="91"/>
  <c r="Q43" i="91"/>
  <c r="AC43" i="91"/>
  <c r="W43" i="91"/>
  <c r="K43" i="91"/>
  <c r="Q23" i="91"/>
  <c r="K33" i="91"/>
  <c r="Q33" i="91"/>
  <c r="AC23" i="91"/>
  <c r="AC33" i="91"/>
  <c r="K23" i="91"/>
  <c r="AC13" i="91"/>
  <c r="K13" i="91"/>
  <c r="W53" i="91"/>
  <c r="AI13" i="91"/>
  <c r="Q53" i="91"/>
  <c r="AI33" i="91"/>
  <c r="W13" i="91"/>
  <c r="AI23" i="91"/>
  <c r="W23" i="91"/>
  <c r="AC53" i="89"/>
  <c r="W33" i="91"/>
  <c r="Q13" i="91"/>
  <c r="I15" i="92"/>
  <c r="AJ47" i="91"/>
  <c r="R47" i="91"/>
  <c r="L47" i="91"/>
  <c r="AD37" i="91"/>
  <c r="AJ37" i="91"/>
  <c r="X37" i="91"/>
  <c r="L37" i="91"/>
  <c r="L27" i="91"/>
  <c r="X17" i="91"/>
  <c r="R27" i="91"/>
  <c r="X47" i="91"/>
  <c r="X27" i="91"/>
  <c r="AJ17" i="91"/>
  <c r="R37" i="91"/>
  <c r="AJ27" i="91"/>
  <c r="R17" i="91"/>
  <c r="AD7" i="91"/>
  <c r="AD47" i="91"/>
  <c r="L17" i="91"/>
  <c r="AJ7" i="91"/>
  <c r="L7" i="91"/>
  <c r="AD27" i="91"/>
  <c r="X7" i="91"/>
  <c r="R7" i="91"/>
  <c r="AD17" i="91"/>
  <c r="Q48" i="66" l="1"/>
  <c r="AC38" i="66"/>
  <c r="Q38" i="66"/>
  <c r="Q28" i="66"/>
  <c r="AC48" i="66"/>
  <c r="K28" i="66"/>
  <c r="W48" i="66"/>
  <c r="W38" i="66"/>
  <c r="Q18" i="66"/>
  <c r="K48" i="66"/>
  <c r="AI48" i="66"/>
  <c r="AI38" i="66"/>
  <c r="AI28" i="66"/>
  <c r="W18" i="66"/>
  <c r="AC18" i="66"/>
  <c r="AI8" i="66"/>
  <c r="K8" i="66"/>
  <c r="W28" i="66"/>
  <c r="AI18" i="66"/>
  <c r="W8" i="66"/>
  <c r="K18" i="66"/>
  <c r="AC8" i="66"/>
  <c r="Q8" i="66"/>
  <c r="K38" i="66"/>
  <c r="AC28" i="66"/>
  <c r="AD51" i="66"/>
  <c r="R41" i="66"/>
  <c r="AJ51" i="66"/>
  <c r="X51" i="66"/>
  <c r="L51" i="66"/>
  <c r="AJ41" i="66"/>
  <c r="X41" i="66"/>
  <c r="L41" i="66"/>
  <c r="R51" i="66"/>
  <c r="AD41" i="66"/>
  <c r="AJ31" i="66"/>
  <c r="L31" i="66"/>
  <c r="X31" i="66"/>
  <c r="X21" i="66"/>
  <c r="AD31" i="66"/>
  <c r="L21" i="66"/>
  <c r="X11" i="66"/>
  <c r="R31" i="66"/>
  <c r="AD11" i="66"/>
  <c r="AJ11" i="66"/>
  <c r="L11" i="66"/>
  <c r="AD21" i="66"/>
  <c r="R21" i="66"/>
  <c r="AJ21" i="66"/>
  <c r="R11" i="66"/>
  <c r="M23" i="66"/>
  <c r="S43" i="66"/>
  <c r="AK43" i="66"/>
  <c r="M13" i="66"/>
  <c r="AE53" i="66"/>
  <c r="Y53" i="66"/>
  <c r="W55" i="66"/>
  <c r="AI45" i="66"/>
  <c r="K45" i="66"/>
  <c r="W35" i="66"/>
  <c r="AI55" i="66"/>
  <c r="K55" i="66"/>
  <c r="AC55" i="66"/>
  <c r="Q55" i="66"/>
  <c r="AC45" i="66"/>
  <c r="W45" i="66"/>
  <c r="AC35" i="66"/>
  <c r="Q45" i="66"/>
  <c r="W25" i="66"/>
  <c r="AI15" i="66"/>
  <c r="K35" i="66"/>
  <c r="AC25" i="66"/>
  <c r="AI25" i="66"/>
  <c r="Q15" i="66"/>
  <c r="AI35" i="66"/>
  <c r="Q25" i="66"/>
  <c r="AC15" i="66"/>
  <c r="K15" i="66"/>
  <c r="K25" i="66"/>
  <c r="W15" i="66"/>
  <c r="Q35" i="66"/>
  <c r="I8" i="92"/>
  <c r="K8" i="92" s="1"/>
  <c r="AC46" i="66"/>
  <c r="Q36" i="66"/>
  <c r="W46" i="66"/>
  <c r="K46" i="66"/>
  <c r="AI36" i="66"/>
  <c r="W36" i="66"/>
  <c r="Q46" i="66"/>
  <c r="Q26" i="66"/>
  <c r="AC16" i="66"/>
  <c r="AC36" i="66"/>
  <c r="K36" i="66"/>
  <c r="W26" i="66"/>
  <c r="AI16" i="66"/>
  <c r="K16" i="66"/>
  <c r="W6" i="66"/>
  <c r="AC26" i="66"/>
  <c r="AI46" i="66"/>
  <c r="AI6" i="66"/>
  <c r="K6" i="66"/>
  <c r="K26" i="66"/>
  <c r="AI26" i="66"/>
  <c r="Q16" i="66"/>
  <c r="Q6" i="66"/>
  <c r="W16" i="66"/>
  <c r="AC6" i="66"/>
  <c r="AK13" i="66"/>
  <c r="S23" i="66"/>
  <c r="AK53" i="66"/>
  <c r="L43" i="91"/>
  <c r="R53" i="66"/>
  <c r="AD43" i="66"/>
  <c r="AD53" i="66"/>
  <c r="R43" i="66"/>
  <c r="AJ53" i="66"/>
  <c r="X53" i="66"/>
  <c r="AJ43" i="66"/>
  <c r="L53" i="66"/>
  <c r="X43" i="66"/>
  <c r="L43" i="66"/>
  <c r="X33" i="66"/>
  <c r="AJ33" i="66"/>
  <c r="AJ23" i="66"/>
  <c r="L23" i="66"/>
  <c r="AD33" i="66"/>
  <c r="R23" i="66"/>
  <c r="AD23" i="66"/>
  <c r="AJ13" i="66"/>
  <c r="L13" i="66"/>
  <c r="R33" i="66"/>
  <c r="R13" i="66"/>
  <c r="L33" i="66"/>
  <c r="X23" i="66"/>
  <c r="X13" i="66"/>
  <c r="AD13" i="66"/>
  <c r="I10" i="92"/>
  <c r="AK46" i="66"/>
  <c r="M46" i="66"/>
  <c r="Y36" i="66"/>
  <c r="M36" i="66"/>
  <c r="AE46" i="66"/>
  <c r="Y46" i="66"/>
  <c r="S46" i="66"/>
  <c r="AE36" i="66"/>
  <c r="Y26" i="66"/>
  <c r="AK16" i="66"/>
  <c r="M16" i="66"/>
  <c r="AE26" i="66"/>
  <c r="S16" i="66"/>
  <c r="S26" i="66"/>
  <c r="Y16" i="66"/>
  <c r="AE6" i="66"/>
  <c r="S36" i="66"/>
  <c r="M26" i="66"/>
  <c r="AK26" i="66"/>
  <c r="AE16" i="66"/>
  <c r="S6" i="66"/>
  <c r="AK36" i="66"/>
  <c r="Y6" i="66"/>
  <c r="M6" i="66"/>
  <c r="AK6" i="66"/>
  <c r="AE23" i="66"/>
  <c r="AE33" i="66"/>
  <c r="AE43" i="66"/>
  <c r="S13" i="66"/>
  <c r="Y23" i="66"/>
  <c r="Y43" i="66"/>
  <c r="S53" i="66"/>
  <c r="AI54" i="66"/>
  <c r="K24" i="66"/>
  <c r="K44" i="66"/>
  <c r="AC54" i="66"/>
  <c r="AI44" i="66"/>
  <c r="W14" i="66"/>
  <c r="AC14" i="66"/>
  <c r="Q44" i="66"/>
  <c r="W54" i="66"/>
  <c r="W34" i="66"/>
  <c r="AC34" i="66"/>
  <c r="W44" i="66"/>
  <c r="W24" i="66"/>
  <c r="AI34" i="66"/>
  <c r="K54" i="66"/>
  <c r="AI14" i="66"/>
  <c r="Q34" i="66"/>
  <c r="AC24" i="66"/>
  <c r="K14" i="66"/>
  <c r="Q54" i="66"/>
  <c r="K34" i="66"/>
  <c r="Q24" i="66"/>
  <c r="AC44" i="66"/>
  <c r="AI24" i="66"/>
  <c r="Q14" i="66"/>
  <c r="I11" i="92"/>
  <c r="T46" i="66"/>
  <c r="AF36" i="66"/>
  <c r="AL46" i="66"/>
  <c r="Z46" i="66"/>
  <c r="N46" i="66"/>
  <c r="Z36" i="66"/>
  <c r="N36" i="66"/>
  <c r="AF46" i="66"/>
  <c r="T36" i="66"/>
  <c r="Z26" i="66"/>
  <c r="N16" i="66"/>
  <c r="AL6" i="66"/>
  <c r="N6" i="66"/>
  <c r="AL26" i="66"/>
  <c r="AF16" i="66"/>
  <c r="T6" i="66"/>
  <c r="T16" i="66"/>
  <c r="AL36" i="66"/>
  <c r="Z6" i="66"/>
  <c r="AF26" i="66"/>
  <c r="T26" i="66"/>
  <c r="AL16" i="66"/>
  <c r="N26" i="66"/>
  <c r="Z16" i="66"/>
  <c r="AF6" i="66"/>
  <c r="AC50" i="66"/>
  <c r="Q40" i="66"/>
  <c r="W50" i="66"/>
  <c r="K50" i="66"/>
  <c r="K40" i="66"/>
  <c r="AC30" i="66"/>
  <c r="Q50" i="66"/>
  <c r="AI40" i="66"/>
  <c r="AC40" i="66"/>
  <c r="K30" i="66"/>
  <c r="AC20" i="66"/>
  <c r="AI50" i="66"/>
  <c r="W40" i="66"/>
  <c r="Q30" i="66"/>
  <c r="AI20" i="66"/>
  <c r="K20" i="66"/>
  <c r="W20" i="66"/>
  <c r="W10" i="66"/>
  <c r="W30" i="66"/>
  <c r="Q20" i="66"/>
  <c r="AI10" i="66"/>
  <c r="K10" i="66"/>
  <c r="Q10" i="66"/>
  <c r="AC10" i="66"/>
  <c r="AI30" i="66"/>
  <c r="AE13" i="66"/>
  <c r="M33" i="66"/>
  <c r="M53" i="66"/>
  <c r="X52" i="66"/>
  <c r="AJ42" i="66"/>
  <c r="L42" i="66"/>
  <c r="R52" i="66"/>
  <c r="AD42" i="66"/>
  <c r="R42" i="66"/>
  <c r="AJ52" i="66"/>
  <c r="L52" i="66"/>
  <c r="X42" i="66"/>
  <c r="AD52" i="66"/>
  <c r="AD32" i="66"/>
  <c r="AJ32" i="66"/>
  <c r="R22" i="66"/>
  <c r="X32" i="66"/>
  <c r="L32" i="66"/>
  <c r="AJ22" i="66"/>
  <c r="R12" i="66"/>
  <c r="R32" i="66"/>
  <c r="AD22" i="66"/>
  <c r="X12" i="66"/>
  <c r="AD12" i="66"/>
  <c r="X22" i="66"/>
  <c r="L12" i="66"/>
  <c r="L22" i="66"/>
  <c r="AJ12" i="66"/>
  <c r="AK23" i="66"/>
  <c r="Y33" i="66"/>
  <c r="S33" i="66"/>
  <c r="AC12" i="89"/>
  <c r="AJ46" i="66"/>
  <c r="L46" i="66"/>
  <c r="X36" i="66"/>
  <c r="X46" i="66"/>
  <c r="AJ36" i="66"/>
  <c r="AD46" i="66"/>
  <c r="R46" i="66"/>
  <c r="AD36" i="66"/>
  <c r="R36" i="66"/>
  <c r="R26" i="66"/>
  <c r="L36" i="66"/>
  <c r="AD26" i="66"/>
  <c r="AJ16" i="66"/>
  <c r="X16" i="66"/>
  <c r="AD6" i="66"/>
  <c r="AJ6" i="66"/>
  <c r="L6" i="66"/>
  <c r="X26" i="66"/>
  <c r="L26" i="66"/>
  <c r="AJ26" i="66"/>
  <c r="AD16" i="66"/>
  <c r="R16" i="66"/>
  <c r="R6" i="66"/>
  <c r="L16" i="66"/>
  <c r="X6" i="66"/>
  <c r="Y13" i="66"/>
  <c r="M43" i="66"/>
  <c r="AK33" i="66"/>
  <c r="AJ16" i="91"/>
  <c r="AD26" i="91"/>
  <c r="X43" i="91"/>
  <c r="W26" i="91"/>
  <c r="K6" i="91"/>
  <c r="AC54" i="89"/>
  <c r="W36" i="91"/>
  <c r="K15" i="92"/>
  <c r="X33" i="91"/>
  <c r="AC26" i="91"/>
  <c r="L53" i="91"/>
  <c r="I51" i="92"/>
  <c r="K51" i="92" s="1"/>
  <c r="Q26" i="91"/>
  <c r="AC36" i="91"/>
  <c r="Q36" i="91"/>
  <c r="AC16" i="91"/>
  <c r="AI6" i="91"/>
  <c r="AE23" i="91"/>
  <c r="M53" i="91"/>
  <c r="W50" i="91"/>
  <c r="AK33" i="91"/>
  <c r="AI10" i="91"/>
  <c r="AC40" i="91"/>
  <c r="S13" i="91"/>
  <c r="AK23" i="91"/>
  <c r="K52" i="92"/>
  <c r="S53" i="91"/>
  <c r="AC20" i="91"/>
  <c r="M13" i="91"/>
  <c r="Y23" i="91"/>
  <c r="AE33" i="91"/>
  <c r="AK43" i="91"/>
  <c r="AI16" i="91"/>
  <c r="K26" i="91"/>
  <c r="W6" i="91"/>
  <c r="Q46" i="91"/>
  <c r="AC46" i="91"/>
  <c r="K46" i="91"/>
  <c r="W16" i="91"/>
  <c r="AI26" i="91"/>
  <c r="AC11" i="89"/>
  <c r="K16" i="91"/>
  <c r="AC6" i="91"/>
  <c r="AI46" i="91"/>
  <c r="Q16" i="91"/>
  <c r="K36" i="91"/>
  <c r="W46" i="91"/>
  <c r="AI36" i="91"/>
  <c r="L6" i="91"/>
  <c r="L16" i="91"/>
  <c r="I9" i="92"/>
  <c r="K9" i="92" s="1"/>
  <c r="X15" i="89"/>
  <c r="Z14" i="89"/>
  <c r="X16" i="91"/>
  <c r="AJ6" i="91"/>
  <c r="AD6" i="91"/>
  <c r="R46" i="91"/>
  <c r="AD46" i="91"/>
  <c r="AJ26" i="91"/>
  <c r="AJ36" i="91"/>
  <c r="R36" i="91"/>
  <c r="L46" i="91"/>
  <c r="K39" i="91"/>
  <c r="W9" i="91"/>
  <c r="W29" i="91"/>
  <c r="W49" i="91"/>
  <c r="Q20" i="91"/>
  <c r="W20" i="91"/>
  <c r="K20" i="91"/>
  <c r="W30" i="91"/>
  <c r="Q50" i="91"/>
  <c r="AD33" i="91"/>
  <c r="AJ13" i="91"/>
  <c r="AD53" i="91"/>
  <c r="R43" i="91"/>
  <c r="AC9" i="91"/>
  <c r="Q19" i="91"/>
  <c r="K19" i="91"/>
  <c r="I26" i="92"/>
  <c r="K26" i="92" s="1"/>
  <c r="AI39" i="91"/>
  <c r="K30" i="91"/>
  <c r="Q10" i="91"/>
  <c r="AI30" i="91"/>
  <c r="W40" i="91"/>
  <c r="K32" i="92"/>
  <c r="R13" i="91"/>
  <c r="L13" i="91"/>
  <c r="AD43" i="91"/>
  <c r="X23" i="91"/>
  <c r="R53" i="91"/>
  <c r="AI19" i="91"/>
  <c r="AI29" i="91"/>
  <c r="W19" i="91"/>
  <c r="AC19" i="91"/>
  <c r="Q49" i="91"/>
  <c r="W10" i="91"/>
  <c r="AC35" i="89"/>
  <c r="Q40" i="91"/>
  <c r="K40" i="91"/>
  <c r="K50" i="91"/>
  <c r="R23" i="91"/>
  <c r="L23" i="91"/>
  <c r="AJ23" i="91"/>
  <c r="L33" i="91"/>
  <c r="AJ53" i="91"/>
  <c r="K9" i="91"/>
  <c r="AC29" i="89"/>
  <c r="W39" i="91"/>
  <c r="Q39" i="91"/>
  <c r="Q30" i="91"/>
  <c r="K10" i="91"/>
  <c r="AC30" i="91"/>
  <c r="AC50" i="91"/>
  <c r="AD23" i="91"/>
  <c r="X13" i="91"/>
  <c r="R33" i="91"/>
  <c r="X53" i="91"/>
  <c r="AI9" i="91"/>
  <c r="Q9" i="91"/>
  <c r="AC29" i="91"/>
  <c r="AI50" i="91"/>
  <c r="AC10" i="91"/>
  <c r="AI20" i="91"/>
  <c r="AI40" i="91"/>
  <c r="AD13" i="91"/>
  <c r="AJ33" i="91"/>
  <c r="AJ43" i="91"/>
  <c r="R6" i="91"/>
  <c r="AD16" i="91"/>
  <c r="X6" i="91"/>
  <c r="X46" i="91"/>
  <c r="AJ46" i="91"/>
  <c r="M43" i="91"/>
  <c r="S23" i="91"/>
  <c r="Y33" i="91"/>
  <c r="AE43" i="91"/>
  <c r="AK53" i="91"/>
  <c r="AA43" i="89"/>
  <c r="J40" i="92" s="1"/>
  <c r="AB44" i="89"/>
  <c r="I58" i="92"/>
  <c r="AA31" i="89"/>
  <c r="J28" i="92" s="1"/>
  <c r="AB32" i="89"/>
  <c r="AA56" i="89"/>
  <c r="J53" i="92" s="1"/>
  <c r="AB57" i="89"/>
  <c r="AA57" i="89" s="1"/>
  <c r="J54" i="92" s="1"/>
  <c r="Z56" i="89"/>
  <c r="X57" i="89" s="1"/>
  <c r="Y56" i="89"/>
  <c r="Y62" i="89"/>
  <c r="Z62" i="89"/>
  <c r="X63" i="89" s="1"/>
  <c r="AA50" i="89"/>
  <c r="J47" i="92" s="1"/>
  <c r="AB51" i="89"/>
  <c r="AA51" i="89" s="1"/>
  <c r="J48" i="92" s="1"/>
  <c r="AI48" i="91"/>
  <c r="W18" i="91"/>
  <c r="AI18" i="91"/>
  <c r="W8" i="91"/>
  <c r="AC23" i="89"/>
  <c r="AC38" i="91"/>
  <c r="Q28" i="91"/>
  <c r="AI28" i="91"/>
  <c r="Q38" i="91"/>
  <c r="AC8" i="91"/>
  <c r="K48" i="91"/>
  <c r="AC48" i="91"/>
  <c r="AI8" i="91"/>
  <c r="AC18" i="91"/>
  <c r="AI38" i="91"/>
  <c r="W38" i="91"/>
  <c r="Q8" i="91"/>
  <c r="Q18" i="91"/>
  <c r="Q48" i="91"/>
  <c r="K38" i="91"/>
  <c r="K18" i="91"/>
  <c r="K8" i="91"/>
  <c r="I20" i="92"/>
  <c r="K20" i="92" s="1"/>
  <c r="K28" i="91"/>
  <c r="W28" i="91"/>
  <c r="AC28" i="91"/>
  <c r="W48" i="91"/>
  <c r="AA24" i="89"/>
  <c r="J21" i="92" s="1"/>
  <c r="AB25" i="89"/>
  <c r="AA19" i="89"/>
  <c r="J16" i="92" s="1"/>
  <c r="AB20" i="89"/>
  <c r="X41" i="91"/>
  <c r="AJ31" i="91"/>
  <c r="AJ21" i="91"/>
  <c r="X11" i="91"/>
  <c r="R41" i="91"/>
  <c r="L21" i="91"/>
  <c r="AD11" i="91"/>
  <c r="L11" i="91"/>
  <c r="X51" i="91"/>
  <c r="L41" i="91"/>
  <c r="AD51" i="91"/>
  <c r="X31" i="91"/>
  <c r="AC42" i="89"/>
  <c r="R51" i="91"/>
  <c r="AJ51" i="91"/>
  <c r="L31" i="91"/>
  <c r="R11" i="91"/>
  <c r="R31" i="91"/>
  <c r="AJ41" i="91"/>
  <c r="L51" i="91"/>
  <c r="X21" i="91"/>
  <c r="AD21" i="91"/>
  <c r="AJ11" i="91"/>
  <c r="AD41" i="91"/>
  <c r="I39" i="92"/>
  <c r="K39" i="92" s="1"/>
  <c r="AD31" i="91"/>
  <c r="R21" i="91"/>
  <c r="AA68" i="89"/>
  <c r="J65" i="92" s="1"/>
  <c r="AB69" i="89"/>
  <c r="AA69" i="89" s="1"/>
  <c r="J66" i="92" s="1"/>
  <c r="Y24" i="89"/>
  <c r="Z24" i="89"/>
  <c r="X25" i="89" s="1"/>
  <c r="Y43" i="89"/>
  <c r="Z43" i="89"/>
  <c r="X44" i="89" s="1"/>
  <c r="Z37" i="89"/>
  <c r="X38" i="89" s="1"/>
  <c r="Y37" i="89"/>
  <c r="Z19" i="89"/>
  <c r="X20" i="89" s="1"/>
  <c r="Y19" i="89"/>
  <c r="AC55" i="89"/>
  <c r="AK13" i="91"/>
  <c r="M33" i="91"/>
  <c r="S43" i="91"/>
  <c r="Y53" i="91"/>
  <c r="X42" i="91"/>
  <c r="L32" i="91"/>
  <c r="X12" i="91"/>
  <c r="L22" i="91"/>
  <c r="AJ42" i="91"/>
  <c r="R22" i="91"/>
  <c r="AD32" i="91"/>
  <c r="X32" i="91"/>
  <c r="X22" i="91"/>
  <c r="I45" i="92"/>
  <c r="K45" i="92" s="1"/>
  <c r="AJ52" i="91"/>
  <c r="AD12" i="91"/>
  <c r="R42" i="91"/>
  <c r="AD22" i="91"/>
  <c r="AJ12" i="91"/>
  <c r="L42" i="91"/>
  <c r="AJ32" i="91"/>
  <c r="AJ22" i="91"/>
  <c r="R52" i="91"/>
  <c r="L12" i="91"/>
  <c r="L52" i="91"/>
  <c r="AD52" i="91"/>
  <c r="X52" i="91"/>
  <c r="AC48" i="89"/>
  <c r="R32" i="91"/>
  <c r="R12" i="91"/>
  <c r="AD42" i="91"/>
  <c r="AA60" i="89"/>
  <c r="X44" i="66" s="1"/>
  <c r="AB61" i="89"/>
  <c r="AC15" i="91"/>
  <c r="AC55" i="91"/>
  <c r="W35" i="91"/>
  <c r="Q25" i="91"/>
  <c r="AI15" i="91"/>
  <c r="K45" i="91"/>
  <c r="Q55" i="91"/>
  <c r="Q15" i="91"/>
  <c r="AI25" i="91"/>
  <c r="AI55" i="91"/>
  <c r="AC35" i="91"/>
  <c r="Q45" i="91"/>
  <c r="W25" i="91"/>
  <c r="AC25" i="91"/>
  <c r="W45" i="91"/>
  <c r="AC45" i="91"/>
  <c r="W15" i="91"/>
  <c r="K35" i="91"/>
  <c r="AI45" i="91"/>
  <c r="Q35" i="91"/>
  <c r="K55" i="91"/>
  <c r="K25" i="91"/>
  <c r="I62" i="92"/>
  <c r="K62" i="92" s="1"/>
  <c r="W55" i="91"/>
  <c r="AI35" i="91"/>
  <c r="AC65" i="89"/>
  <c r="K15" i="91"/>
  <c r="Z30" i="89"/>
  <c r="X31" i="89" s="1"/>
  <c r="Y30" i="89"/>
  <c r="X36" i="91"/>
  <c r="R16" i="91"/>
  <c r="R26" i="91"/>
  <c r="AE13" i="91"/>
  <c r="M23" i="91"/>
  <c r="S33" i="91"/>
  <c r="Y43" i="91"/>
  <c r="AE53" i="91"/>
  <c r="Z49" i="89"/>
  <c r="X50" i="89" s="1"/>
  <c r="Y49" i="89"/>
  <c r="J56" i="92"/>
  <c r="K56" i="92" s="1"/>
  <c r="K54" i="91"/>
  <c r="W24" i="91"/>
  <c r="AI24" i="91"/>
  <c r="W34" i="91"/>
  <c r="W54" i="91"/>
  <c r="K34" i="91"/>
  <c r="AI14" i="91"/>
  <c r="AC24" i="91"/>
  <c r="W44" i="91"/>
  <c r="K24" i="91"/>
  <c r="AC59" i="89"/>
  <c r="AC44" i="91"/>
  <c r="AI44" i="91"/>
  <c r="AC14" i="91"/>
  <c r="K14" i="91"/>
  <c r="K44" i="91"/>
  <c r="AI34" i="91"/>
  <c r="AC54" i="91"/>
  <c r="AI54" i="91"/>
  <c r="AC34" i="91"/>
  <c r="Q34" i="91"/>
  <c r="W14" i="91"/>
  <c r="Q14" i="91"/>
  <c r="Q24" i="91"/>
  <c r="Q44" i="91"/>
  <c r="Q54" i="91"/>
  <c r="Z66" i="89"/>
  <c r="X67" i="89" s="1"/>
  <c r="Y66" i="89"/>
  <c r="AA36" i="89"/>
  <c r="AB37" i="89"/>
  <c r="AE51" i="66" l="1"/>
  <c r="S41" i="66"/>
  <c r="Y51" i="66"/>
  <c r="M51" i="66"/>
  <c r="M41" i="66"/>
  <c r="AE31" i="66"/>
  <c r="S51" i="66"/>
  <c r="AK41" i="66"/>
  <c r="AK51" i="66"/>
  <c r="AE41" i="66"/>
  <c r="M31" i="66"/>
  <c r="Y41" i="66"/>
  <c r="AE21" i="66"/>
  <c r="S31" i="66"/>
  <c r="AK21" i="66"/>
  <c r="M21" i="66"/>
  <c r="Y11" i="66"/>
  <c r="AK11" i="66"/>
  <c r="M11" i="66"/>
  <c r="S21" i="66"/>
  <c r="AK31" i="66"/>
  <c r="S11" i="66"/>
  <c r="AE11" i="66"/>
  <c r="Y21" i="66"/>
  <c r="Y31" i="66"/>
  <c r="AJ14" i="66"/>
  <c r="AJ44" i="66"/>
  <c r="L54" i="66"/>
  <c r="X24" i="66"/>
  <c r="AD14" i="66"/>
  <c r="X54" i="66"/>
  <c r="AJ54" i="66"/>
  <c r="X48" i="66"/>
  <c r="AJ38" i="66"/>
  <c r="L38" i="66"/>
  <c r="AD48" i="66"/>
  <c r="R48" i="66"/>
  <c r="AD38" i="66"/>
  <c r="R38" i="66"/>
  <c r="AJ48" i="66"/>
  <c r="L48" i="66"/>
  <c r="X38" i="66"/>
  <c r="AD28" i="66"/>
  <c r="R28" i="66"/>
  <c r="AJ28" i="66"/>
  <c r="X28" i="66"/>
  <c r="R18" i="66"/>
  <c r="R8" i="66"/>
  <c r="AJ18" i="66"/>
  <c r="X8" i="66"/>
  <c r="X18" i="66"/>
  <c r="L18" i="66"/>
  <c r="AD8" i="66"/>
  <c r="L28" i="66"/>
  <c r="AD18" i="66"/>
  <c r="L8" i="66"/>
  <c r="AJ8" i="66"/>
  <c r="X14" i="66"/>
  <c r="L24" i="66"/>
  <c r="R44" i="66"/>
  <c r="AE47" i="66"/>
  <c r="S37" i="66"/>
  <c r="Y47" i="66"/>
  <c r="M47" i="66"/>
  <c r="AK37" i="66"/>
  <c r="Y37" i="66"/>
  <c r="AE27" i="66"/>
  <c r="S47" i="66"/>
  <c r="AK27" i="66"/>
  <c r="S27" i="66"/>
  <c r="AE17" i="66"/>
  <c r="AK47" i="66"/>
  <c r="AE37" i="66"/>
  <c r="Y27" i="66"/>
  <c r="AK17" i="66"/>
  <c r="M17" i="66"/>
  <c r="Y7" i="66"/>
  <c r="M27" i="66"/>
  <c r="M37" i="66"/>
  <c r="AK7" i="66"/>
  <c r="M7" i="66"/>
  <c r="S17" i="66"/>
  <c r="S7" i="66"/>
  <c r="Y17" i="66"/>
  <c r="AE7" i="66"/>
  <c r="Z53" i="66"/>
  <c r="AL43" i="66"/>
  <c r="N43" i="66"/>
  <c r="T53" i="66"/>
  <c r="AF43" i="66"/>
  <c r="T43" i="66"/>
  <c r="AL53" i="66"/>
  <c r="AL33" i="66"/>
  <c r="T33" i="66"/>
  <c r="N53" i="66"/>
  <c r="Z43" i="66"/>
  <c r="AF53" i="66"/>
  <c r="T23" i="66"/>
  <c r="Z33" i="66"/>
  <c r="N33" i="66"/>
  <c r="AF33" i="66"/>
  <c r="T13" i="66"/>
  <c r="Z23" i="66"/>
  <c r="N23" i="66"/>
  <c r="Z13" i="66"/>
  <c r="AL23" i="66"/>
  <c r="AF13" i="66"/>
  <c r="N13" i="66"/>
  <c r="AF23" i="66"/>
  <c r="AL13" i="66"/>
  <c r="AJ24" i="66"/>
  <c r="X34" i="66"/>
  <c r="AD44" i="66"/>
  <c r="AD50" i="66"/>
  <c r="AD10" i="66"/>
  <c r="X30" i="66"/>
  <c r="R50" i="66"/>
  <c r="AD20" i="66"/>
  <c r="X10" i="66"/>
  <c r="AJ50" i="66"/>
  <c r="AD40" i="66"/>
  <c r="R20" i="66"/>
  <c r="X20" i="66"/>
  <c r="L50" i="66"/>
  <c r="R40" i="66"/>
  <c r="AJ10" i="66"/>
  <c r="X40" i="66"/>
  <c r="R30" i="66"/>
  <c r="L10" i="66"/>
  <c r="X50" i="66"/>
  <c r="AJ30" i="66"/>
  <c r="R10" i="66"/>
  <c r="AJ40" i="66"/>
  <c r="AD30" i="66"/>
  <c r="L30" i="66"/>
  <c r="L40" i="66"/>
  <c r="L20" i="66"/>
  <c r="AJ20" i="66"/>
  <c r="R49" i="66"/>
  <c r="AD39" i="66"/>
  <c r="L49" i="66"/>
  <c r="AD49" i="66"/>
  <c r="AJ49" i="66"/>
  <c r="X49" i="66"/>
  <c r="AJ39" i="66"/>
  <c r="X29" i="66"/>
  <c r="R39" i="66"/>
  <c r="L39" i="66"/>
  <c r="AD29" i="66"/>
  <c r="R29" i="66"/>
  <c r="X39" i="66"/>
  <c r="AD19" i="66"/>
  <c r="AJ9" i="66"/>
  <c r="L9" i="66"/>
  <c r="R9" i="66"/>
  <c r="AJ19" i="66"/>
  <c r="X19" i="66"/>
  <c r="X9" i="66"/>
  <c r="L29" i="66"/>
  <c r="AJ29" i="66"/>
  <c r="R19" i="66"/>
  <c r="L19" i="66"/>
  <c r="AD9" i="66"/>
  <c r="R14" i="66"/>
  <c r="AD24" i="66"/>
  <c r="R54" i="66"/>
  <c r="Y52" i="66"/>
  <c r="AK42" i="66"/>
  <c r="M42" i="66"/>
  <c r="AK52" i="66"/>
  <c r="M52" i="66"/>
  <c r="Y42" i="66"/>
  <c r="Y32" i="66"/>
  <c r="AE52" i="66"/>
  <c r="S32" i="66"/>
  <c r="S52" i="66"/>
  <c r="AE42" i="66"/>
  <c r="M32" i="66"/>
  <c r="Y22" i="66"/>
  <c r="S42" i="66"/>
  <c r="AE22" i="66"/>
  <c r="S12" i="66"/>
  <c r="S22" i="66"/>
  <c r="AE12" i="66"/>
  <c r="AK32" i="66"/>
  <c r="M22" i="66"/>
  <c r="AK12" i="66"/>
  <c r="M12" i="66"/>
  <c r="Y12" i="66"/>
  <c r="AE32" i="66"/>
  <c r="AK22" i="66"/>
  <c r="AD55" i="66"/>
  <c r="R45" i="66"/>
  <c r="AD35" i="66"/>
  <c r="AJ55" i="66"/>
  <c r="X55" i="66"/>
  <c r="L55" i="66"/>
  <c r="AJ45" i="66"/>
  <c r="X45" i="66"/>
  <c r="L45" i="66"/>
  <c r="X35" i="66"/>
  <c r="R55" i="66"/>
  <c r="AD45" i="66"/>
  <c r="AJ35" i="66"/>
  <c r="X25" i="66"/>
  <c r="L35" i="66"/>
  <c r="X15" i="66"/>
  <c r="AD25" i="66"/>
  <c r="R25" i="66"/>
  <c r="AD15" i="66"/>
  <c r="L15" i="66"/>
  <c r="R35" i="66"/>
  <c r="L25" i="66"/>
  <c r="AJ15" i="66"/>
  <c r="AJ25" i="66"/>
  <c r="R15" i="66"/>
  <c r="R24" i="66"/>
  <c r="AD34" i="66"/>
  <c r="AD54" i="66"/>
  <c r="R34" i="66"/>
  <c r="AJ34" i="66"/>
  <c r="L44" i="66"/>
  <c r="L14" i="66"/>
  <c r="L34" i="66"/>
  <c r="Z15" i="89"/>
  <c r="Y15" i="89"/>
  <c r="AE52" i="91"/>
  <c r="M42" i="91"/>
  <c r="AK22" i="91"/>
  <c r="Y42" i="91"/>
  <c r="Y12" i="91"/>
  <c r="Y52" i="91"/>
  <c r="AK32" i="91"/>
  <c r="AE22" i="91"/>
  <c r="I46" i="92"/>
  <c r="K46" i="92" s="1"/>
  <c r="AK12" i="91"/>
  <c r="M52" i="91"/>
  <c r="Y32" i="91"/>
  <c r="S22" i="91"/>
  <c r="M12" i="91"/>
  <c r="S42" i="91"/>
  <c r="S32" i="91"/>
  <c r="M22" i="91"/>
  <c r="S12" i="91"/>
  <c r="AK52" i="91"/>
  <c r="AE42" i="91"/>
  <c r="M32" i="91"/>
  <c r="AK42" i="91"/>
  <c r="AC49" i="89"/>
  <c r="AE12" i="91"/>
  <c r="S52" i="91"/>
  <c r="AE32" i="91"/>
  <c r="Y22" i="91"/>
  <c r="AD55" i="91"/>
  <c r="L45" i="91"/>
  <c r="X15" i="91"/>
  <c r="AD15" i="91"/>
  <c r="AJ25" i="91"/>
  <c r="R55" i="91"/>
  <c r="X55" i="91"/>
  <c r="R35" i="91"/>
  <c r="AJ15" i="91"/>
  <c r="R15" i="91"/>
  <c r="AJ45" i="91"/>
  <c r="X25" i="91"/>
  <c r="L55" i="91"/>
  <c r="L25" i="91"/>
  <c r="AJ55" i="91"/>
  <c r="L15" i="91"/>
  <c r="AD45" i="91"/>
  <c r="X45" i="91"/>
  <c r="R25" i="91"/>
  <c r="AC66" i="89"/>
  <c r="R45" i="91"/>
  <c r="X35" i="91"/>
  <c r="AD35" i="91"/>
  <c r="I63" i="92"/>
  <c r="K63" i="92" s="1"/>
  <c r="L35" i="91"/>
  <c r="AD25" i="91"/>
  <c r="AJ35" i="91"/>
  <c r="Y50" i="89"/>
  <c r="Z50" i="89"/>
  <c r="X51" i="89" s="1"/>
  <c r="AA61" i="89"/>
  <c r="AB62" i="89"/>
  <c r="I34" i="92"/>
  <c r="I59" i="92"/>
  <c r="Y67" i="89"/>
  <c r="Z67" i="89"/>
  <c r="X68" i="89" s="1"/>
  <c r="R49" i="91"/>
  <c r="L19" i="91"/>
  <c r="AD19" i="91"/>
  <c r="L29" i="91"/>
  <c r="L39" i="91"/>
  <c r="X19" i="91"/>
  <c r="X29" i="91"/>
  <c r="AJ29" i="91"/>
  <c r="AJ9" i="91"/>
  <c r="R9" i="91"/>
  <c r="AD29" i="91"/>
  <c r="AD39" i="91"/>
  <c r="X9" i="91"/>
  <c r="L49" i="91"/>
  <c r="AJ49" i="91"/>
  <c r="R19" i="91"/>
  <c r="L9" i="91"/>
  <c r="I27" i="92"/>
  <c r="K27" i="92" s="1"/>
  <c r="AJ39" i="91"/>
  <c r="R39" i="91"/>
  <c r="AC30" i="89"/>
  <c r="X39" i="91"/>
  <c r="R29" i="91"/>
  <c r="X49" i="91"/>
  <c r="AD49" i="91"/>
  <c r="AJ19" i="91"/>
  <c r="AD9" i="91"/>
  <c r="J57" i="92"/>
  <c r="K57" i="92" s="1"/>
  <c r="AD24" i="91"/>
  <c r="L24" i="91"/>
  <c r="R14" i="91"/>
  <c r="R54" i="91"/>
  <c r="AJ44" i="91"/>
  <c r="AJ14" i="91"/>
  <c r="AC60" i="89"/>
  <c r="L14" i="91"/>
  <c r="AD54" i="91"/>
  <c r="L34" i="91"/>
  <c r="L54" i="91"/>
  <c r="X34" i="91"/>
  <c r="R44" i="91"/>
  <c r="AJ24" i="91"/>
  <c r="X54" i="91"/>
  <c r="AJ54" i="91"/>
  <c r="X44" i="91"/>
  <c r="X24" i="91"/>
  <c r="AJ34" i="91"/>
  <c r="AD14" i="91"/>
  <c r="X14" i="91"/>
  <c r="L44" i="91"/>
  <c r="AD44" i="91"/>
  <c r="R24" i="91"/>
  <c r="R34" i="91"/>
  <c r="AD34" i="91"/>
  <c r="Y38" i="89"/>
  <c r="Z38" i="89"/>
  <c r="X39" i="89" s="1"/>
  <c r="Y25" i="89"/>
  <c r="Z25" i="89"/>
  <c r="X26" i="89" s="1"/>
  <c r="N53" i="91"/>
  <c r="Z33" i="91"/>
  <c r="N13" i="91"/>
  <c r="AC56" i="89"/>
  <c r="T43" i="91"/>
  <c r="AF33" i="91"/>
  <c r="AF43" i="91"/>
  <c r="AL23" i="91"/>
  <c r="Z43" i="91"/>
  <c r="AL43" i="91"/>
  <c r="AF13" i="91"/>
  <c r="T53" i="91"/>
  <c r="N33" i="91"/>
  <c r="AF53" i="91"/>
  <c r="T33" i="91"/>
  <c r="Z13" i="91"/>
  <c r="N43" i="91"/>
  <c r="T23" i="91"/>
  <c r="Z53" i="91"/>
  <c r="AF23" i="91"/>
  <c r="T13" i="91"/>
  <c r="N23" i="91"/>
  <c r="Z23" i="91"/>
  <c r="AL53" i="91"/>
  <c r="I53" i="92"/>
  <c r="K53" i="92" s="1"/>
  <c r="AL13" i="91"/>
  <c r="AL33" i="91"/>
  <c r="Z31" i="89"/>
  <c r="X32" i="89" s="1"/>
  <c r="Y31" i="89"/>
  <c r="L48" i="91"/>
  <c r="X38" i="91"/>
  <c r="R48" i="91"/>
  <c r="L28" i="91"/>
  <c r="AJ28" i="91"/>
  <c r="AJ48" i="91"/>
  <c r="L38" i="91"/>
  <c r="AJ18" i="91"/>
  <c r="R18" i="91"/>
  <c r="L18" i="91"/>
  <c r="AD48" i="91"/>
  <c r="AD18" i="91"/>
  <c r="I21" i="92"/>
  <c r="K21" i="92" s="1"/>
  <c r="R38" i="91"/>
  <c r="R8" i="91"/>
  <c r="X48" i="91"/>
  <c r="AJ8" i="91"/>
  <c r="R28" i="91"/>
  <c r="X8" i="91"/>
  <c r="X28" i="91"/>
  <c r="AD28" i="91"/>
  <c r="AC24" i="89"/>
  <c r="AD38" i="91"/>
  <c r="AD8" i="91"/>
  <c r="AJ38" i="91"/>
  <c r="X18" i="91"/>
  <c r="L8" i="91"/>
  <c r="AA20" i="89"/>
  <c r="J17" i="92" s="1"/>
  <c r="AB21" i="89"/>
  <c r="AA21" i="89" s="1"/>
  <c r="J18" i="92" s="1"/>
  <c r="Z57" i="89"/>
  <c r="Y57" i="89"/>
  <c r="J10" i="92"/>
  <c r="K10" i="92" s="1"/>
  <c r="S46" i="91"/>
  <c r="M36" i="91"/>
  <c r="AK16" i="91"/>
  <c r="M6" i="91"/>
  <c r="M46" i="91"/>
  <c r="AK26" i="91"/>
  <c r="S16" i="91"/>
  <c r="M16" i="91"/>
  <c r="AE46" i="91"/>
  <c r="Y36" i="91"/>
  <c r="S26" i="91"/>
  <c r="AK6" i="91"/>
  <c r="S6" i="91"/>
  <c r="Y46" i="91"/>
  <c r="S36" i="91"/>
  <c r="M26" i="91"/>
  <c r="AC13" i="89"/>
  <c r="AE36" i="91"/>
  <c r="Y6" i="91"/>
  <c r="AE26" i="91"/>
  <c r="AE6" i="91"/>
  <c r="Y26" i="91"/>
  <c r="AK46" i="91"/>
  <c r="AE16" i="91"/>
  <c r="AK36" i="91"/>
  <c r="Y16" i="91"/>
  <c r="AA37" i="89"/>
  <c r="J34" i="92" s="1"/>
  <c r="AB38" i="89"/>
  <c r="M47" i="91"/>
  <c r="AK27" i="91"/>
  <c r="AE17" i="91"/>
  <c r="AE47" i="91"/>
  <c r="Y47" i="91"/>
  <c r="I16" i="92"/>
  <c r="K16" i="92" s="1"/>
  <c r="S7" i="91"/>
  <c r="S47" i="91"/>
  <c r="AE27" i="91"/>
  <c r="S17" i="91"/>
  <c r="Y7" i="91"/>
  <c r="M27" i="91"/>
  <c r="S37" i="91"/>
  <c r="Y17" i="91"/>
  <c r="AK37" i="91"/>
  <c r="Y27" i="91"/>
  <c r="M17" i="91"/>
  <c r="AE7" i="91"/>
  <c r="AE37" i="91"/>
  <c r="S27" i="91"/>
  <c r="AK7" i="91"/>
  <c r="AC19" i="89"/>
  <c r="AK47" i="91"/>
  <c r="Y37" i="91"/>
  <c r="M7" i="91"/>
  <c r="AK17" i="91"/>
  <c r="M37" i="91"/>
  <c r="Z44" i="89"/>
  <c r="X45" i="89" s="1"/>
  <c r="Y44" i="89"/>
  <c r="AA25" i="89"/>
  <c r="J22" i="92" s="1"/>
  <c r="AB26" i="89"/>
  <c r="AA44" i="89"/>
  <c r="J41" i="92" s="1"/>
  <c r="AB45" i="89"/>
  <c r="AA45" i="89" s="1"/>
  <c r="J42" i="92" s="1"/>
  <c r="J33" i="92"/>
  <c r="K33" i="92" s="1"/>
  <c r="L40" i="91"/>
  <c r="AJ20" i="91"/>
  <c r="AJ50" i="91"/>
  <c r="L30" i="91"/>
  <c r="AD50" i="91"/>
  <c r="AD30" i="91"/>
  <c r="X20" i="91"/>
  <c r="AJ10" i="91"/>
  <c r="L10" i="91"/>
  <c r="R50" i="91"/>
  <c r="R40" i="91"/>
  <c r="R30" i="91"/>
  <c r="L20" i="91"/>
  <c r="AC36" i="89"/>
  <c r="AJ30" i="91"/>
  <c r="L50" i="91"/>
  <c r="R20" i="91"/>
  <c r="AD20" i="91"/>
  <c r="AD40" i="91"/>
  <c r="R10" i="91"/>
  <c r="AD10" i="91"/>
  <c r="X40" i="91"/>
  <c r="X30" i="91"/>
  <c r="X50" i="91"/>
  <c r="X10" i="91"/>
  <c r="AJ40" i="91"/>
  <c r="Y20" i="89"/>
  <c r="Z20" i="89"/>
  <c r="X21" i="89" s="1"/>
  <c r="AK21" i="91"/>
  <c r="AE41" i="91"/>
  <c r="AK51" i="91"/>
  <c r="S41" i="91"/>
  <c r="Y41" i="91"/>
  <c r="AE51" i="91"/>
  <c r="AC43" i="89"/>
  <c r="I40" i="92"/>
  <c r="K40" i="92" s="1"/>
  <c r="AK11" i="91"/>
  <c r="S11" i="91"/>
  <c r="M31" i="91"/>
  <c r="M21" i="91"/>
  <c r="M41" i="91"/>
  <c r="Y21" i="91"/>
  <c r="S31" i="91"/>
  <c r="M11" i="91"/>
  <c r="S21" i="91"/>
  <c r="AE31" i="91"/>
  <c r="M51" i="91"/>
  <c r="AK41" i="91"/>
  <c r="AE11" i="91"/>
  <c r="Y11" i="91"/>
  <c r="AK31" i="91"/>
  <c r="S51" i="91"/>
  <c r="Y51" i="91"/>
  <c r="Y31" i="91"/>
  <c r="AE21" i="91"/>
  <c r="Z63" i="89"/>
  <c r="Y63" i="89"/>
  <c r="AA32" i="89"/>
  <c r="J29" i="92" s="1"/>
  <c r="AB33" i="89"/>
  <c r="AA33" i="89" s="1"/>
  <c r="J30" i="92" s="1"/>
  <c r="AA53" i="66" l="1"/>
  <c r="AM43" i="66"/>
  <c r="O43" i="66"/>
  <c r="AA33" i="66"/>
  <c r="AM53" i="66"/>
  <c r="O53" i="66"/>
  <c r="AA43" i="66"/>
  <c r="AG53" i="66"/>
  <c r="AG33" i="66"/>
  <c r="AG43" i="66"/>
  <c r="U43" i="66"/>
  <c r="O33" i="66"/>
  <c r="AA23" i="66"/>
  <c r="U53" i="66"/>
  <c r="AG23" i="66"/>
  <c r="U13" i="66"/>
  <c r="AM23" i="66"/>
  <c r="AG13" i="66"/>
  <c r="AM33" i="66"/>
  <c r="AM13" i="66"/>
  <c r="O13" i="66"/>
  <c r="U23" i="66"/>
  <c r="U33" i="66"/>
  <c r="O23" i="66"/>
  <c r="AA13" i="66"/>
  <c r="M10" i="66"/>
  <c r="S30" i="66"/>
  <c r="AK30" i="66"/>
  <c r="Y10" i="66"/>
  <c r="M20" i="66"/>
  <c r="AE40" i="66"/>
  <c r="Y20" i="66"/>
  <c r="AK20" i="66"/>
  <c r="S50" i="66"/>
  <c r="S44" i="66"/>
  <c r="S24" i="66"/>
  <c r="AK14" i="66"/>
  <c r="AK54" i="66"/>
  <c r="Y34" i="66"/>
  <c r="AE14" i="66"/>
  <c r="M14" i="66"/>
  <c r="M54" i="66"/>
  <c r="Y54" i="66"/>
  <c r="Y24" i="66"/>
  <c r="Y44" i="66"/>
  <c r="AE34" i="66"/>
  <c r="S34" i="66"/>
  <c r="AK34" i="66"/>
  <c r="AE44" i="66"/>
  <c r="S14" i="66"/>
  <c r="M34" i="66"/>
  <c r="AK24" i="66"/>
  <c r="AK44" i="66"/>
  <c r="AE54" i="66"/>
  <c r="M24" i="66"/>
  <c r="AE24" i="66"/>
  <c r="S54" i="66"/>
  <c r="M44" i="66"/>
  <c r="Y14" i="66"/>
  <c r="S10" i="66"/>
  <c r="AE30" i="66"/>
  <c r="AE50" i="66"/>
  <c r="I12" i="92"/>
  <c r="U46" i="66"/>
  <c r="AG36" i="66"/>
  <c r="AG46" i="66"/>
  <c r="AM36" i="66"/>
  <c r="AA46" i="66"/>
  <c r="O36" i="66"/>
  <c r="AG26" i="66"/>
  <c r="U16" i="66"/>
  <c r="O46" i="66"/>
  <c r="AM46" i="66"/>
  <c r="AM26" i="66"/>
  <c r="O26" i="66"/>
  <c r="AA16" i="66"/>
  <c r="U36" i="66"/>
  <c r="O16" i="66"/>
  <c r="AM6" i="66"/>
  <c r="O6" i="66"/>
  <c r="AA26" i="66"/>
  <c r="AA6" i="66"/>
  <c r="U26" i="66"/>
  <c r="AM16" i="66"/>
  <c r="AG6" i="66"/>
  <c r="U6" i="66"/>
  <c r="AG16" i="66"/>
  <c r="AA36" i="66"/>
  <c r="AE10" i="66"/>
  <c r="AK40" i="66"/>
  <c r="Y40" i="66"/>
  <c r="Y48" i="66"/>
  <c r="AK38" i="66"/>
  <c r="M38" i="66"/>
  <c r="AK48" i="66"/>
  <c r="Y28" i="66"/>
  <c r="AE38" i="66"/>
  <c r="S48" i="66"/>
  <c r="Y38" i="66"/>
  <c r="M48" i="66"/>
  <c r="AK28" i="66"/>
  <c r="Y18" i="66"/>
  <c r="S38" i="66"/>
  <c r="M28" i="66"/>
  <c r="AE18" i="66"/>
  <c r="S18" i="66"/>
  <c r="S8" i="66"/>
  <c r="AE28" i="66"/>
  <c r="M18" i="66"/>
  <c r="AE8" i="66"/>
  <c r="S28" i="66"/>
  <c r="AK8" i="66"/>
  <c r="M8" i="66"/>
  <c r="AE48" i="66"/>
  <c r="AK18" i="66"/>
  <c r="Y8" i="66"/>
  <c r="AF52" i="66"/>
  <c r="T42" i="66"/>
  <c r="AL52" i="66"/>
  <c r="Z52" i="66"/>
  <c r="N52" i="66"/>
  <c r="AL42" i="66"/>
  <c r="Z42" i="66"/>
  <c r="N42" i="66"/>
  <c r="T52" i="66"/>
  <c r="AF42" i="66"/>
  <c r="AL32" i="66"/>
  <c r="N32" i="66"/>
  <c r="Z32" i="66"/>
  <c r="Z22" i="66"/>
  <c r="AF32" i="66"/>
  <c r="Z12" i="66"/>
  <c r="AF12" i="66"/>
  <c r="N22" i="66"/>
  <c r="AL12" i="66"/>
  <c r="N12" i="66"/>
  <c r="AL22" i="66"/>
  <c r="T12" i="66"/>
  <c r="T32" i="66"/>
  <c r="AF22" i="66"/>
  <c r="T22" i="66"/>
  <c r="S20" i="66"/>
  <c r="Y30" i="66"/>
  <c r="M50" i="66"/>
  <c r="AL47" i="66"/>
  <c r="N47" i="66"/>
  <c r="Z37" i="66"/>
  <c r="Z47" i="66"/>
  <c r="AL37" i="66"/>
  <c r="AF47" i="66"/>
  <c r="T47" i="66"/>
  <c r="AF37" i="66"/>
  <c r="T27" i="66"/>
  <c r="T37" i="66"/>
  <c r="Z27" i="66"/>
  <c r="N37" i="66"/>
  <c r="AL27" i="66"/>
  <c r="N27" i="66"/>
  <c r="AL17" i="66"/>
  <c r="AF27" i="66"/>
  <c r="Z17" i="66"/>
  <c r="AF7" i="66"/>
  <c r="AL7" i="66"/>
  <c r="N7" i="66"/>
  <c r="AF17" i="66"/>
  <c r="T17" i="66"/>
  <c r="T7" i="66"/>
  <c r="N17" i="66"/>
  <c r="Z7" i="66"/>
  <c r="AL51" i="66"/>
  <c r="N51" i="66"/>
  <c r="Z41" i="66"/>
  <c r="Z51" i="66"/>
  <c r="AL41" i="66"/>
  <c r="N41" i="66"/>
  <c r="AF51" i="66"/>
  <c r="T51" i="66"/>
  <c r="AF41" i="66"/>
  <c r="T41" i="66"/>
  <c r="T31" i="66"/>
  <c r="AL31" i="66"/>
  <c r="AF21" i="66"/>
  <c r="AF31" i="66"/>
  <c r="N21" i="66"/>
  <c r="Z31" i="66"/>
  <c r="AL21" i="66"/>
  <c r="Z21" i="66"/>
  <c r="AF11" i="66"/>
  <c r="AL11" i="66"/>
  <c r="N11" i="66"/>
  <c r="T21" i="66"/>
  <c r="N31" i="66"/>
  <c r="T11" i="66"/>
  <c r="Z11" i="66"/>
  <c r="AK10" i="66"/>
  <c r="S40" i="66"/>
  <c r="M40" i="66"/>
  <c r="AK50" i="66"/>
  <c r="S49" i="66"/>
  <c r="AE39" i="66"/>
  <c r="AE49" i="66"/>
  <c r="S39" i="66"/>
  <c r="S29" i="66"/>
  <c r="AK49" i="66"/>
  <c r="Y49" i="66"/>
  <c r="M29" i="66"/>
  <c r="AK39" i="66"/>
  <c r="M39" i="66"/>
  <c r="M49" i="66"/>
  <c r="S19" i="66"/>
  <c r="Y39" i="66"/>
  <c r="AK29" i="66"/>
  <c r="Y19" i="66"/>
  <c r="AE19" i="66"/>
  <c r="AK9" i="66"/>
  <c r="M9" i="66"/>
  <c r="AE29" i="66"/>
  <c r="AK19" i="66"/>
  <c r="Y9" i="66"/>
  <c r="M19" i="66"/>
  <c r="AE9" i="66"/>
  <c r="Y29" i="66"/>
  <c r="S9" i="66"/>
  <c r="AL50" i="66"/>
  <c r="AE55" i="66"/>
  <c r="S45" i="66"/>
  <c r="AE35" i="66"/>
  <c r="AK55" i="66"/>
  <c r="S55" i="66"/>
  <c r="AE45" i="66"/>
  <c r="M35" i="66"/>
  <c r="S35" i="66"/>
  <c r="Y55" i="66"/>
  <c r="M55" i="66"/>
  <c r="Y45" i="66"/>
  <c r="AE25" i="66"/>
  <c r="M45" i="66"/>
  <c r="Y35" i="66"/>
  <c r="AK25" i="66"/>
  <c r="M25" i="66"/>
  <c r="Y15" i="66"/>
  <c r="M15" i="66"/>
  <c r="AK45" i="66"/>
  <c r="AK15" i="66"/>
  <c r="S15" i="66"/>
  <c r="S25" i="66"/>
  <c r="AE15" i="66"/>
  <c r="AK35" i="66"/>
  <c r="Y25" i="66"/>
  <c r="AE20" i="66"/>
  <c r="Y50" i="66"/>
  <c r="M30" i="66"/>
  <c r="M20" i="91"/>
  <c r="AE50" i="91"/>
  <c r="AK20" i="91"/>
  <c r="AE10" i="91"/>
  <c r="M30" i="91"/>
  <c r="M10" i="91"/>
  <c r="Y50" i="91"/>
  <c r="Y40" i="91"/>
  <c r="AC37" i="89"/>
  <c r="S40" i="91"/>
  <c r="S20" i="91"/>
  <c r="Y20" i="91"/>
  <c r="AE40" i="91"/>
  <c r="Y30" i="91"/>
  <c r="AK30" i="91"/>
  <c r="Y10" i="91"/>
  <c r="M50" i="91"/>
  <c r="S10" i="91"/>
  <c r="I60" i="92"/>
  <c r="T27" i="91"/>
  <c r="AF27" i="91"/>
  <c r="N37" i="91"/>
  <c r="AL27" i="91"/>
  <c r="AF17" i="91"/>
  <c r="AL47" i="91"/>
  <c r="AL17" i="91"/>
  <c r="Z7" i="91"/>
  <c r="N47" i="91"/>
  <c r="Z27" i="91"/>
  <c r="N27" i="91"/>
  <c r="N7" i="91"/>
  <c r="T17" i="91"/>
  <c r="AL37" i="91"/>
  <c r="AF37" i="91"/>
  <c r="N17" i="91"/>
  <c r="T47" i="91"/>
  <c r="AF7" i="91"/>
  <c r="AF47" i="91"/>
  <c r="T37" i="91"/>
  <c r="AC20" i="89"/>
  <c r="T7" i="91"/>
  <c r="Z17" i="91"/>
  <c r="AL7" i="91"/>
  <c r="I17" i="92"/>
  <c r="K17" i="92" s="1"/>
  <c r="Z47" i="91"/>
  <c r="Z37" i="91"/>
  <c r="AA26" i="89"/>
  <c r="J23" i="92" s="1"/>
  <c r="AB27" i="89"/>
  <c r="AA27" i="89" s="1"/>
  <c r="J24" i="92" s="1"/>
  <c r="I35" i="92"/>
  <c r="AA43" i="91"/>
  <c r="AG33" i="91"/>
  <c r="U23" i="91"/>
  <c r="AG13" i="91"/>
  <c r="O53" i="91"/>
  <c r="AM43" i="91"/>
  <c r="AM33" i="91"/>
  <c r="O43" i="91"/>
  <c r="AA13" i="91"/>
  <c r="AG43" i="91"/>
  <c r="AA33" i="91"/>
  <c r="O33" i="91"/>
  <c r="U33" i="91"/>
  <c r="AM13" i="91"/>
  <c r="U53" i="91"/>
  <c r="AM23" i="91"/>
  <c r="AG23" i="91"/>
  <c r="AA23" i="91"/>
  <c r="AM53" i="91"/>
  <c r="U13" i="91"/>
  <c r="AG53" i="91"/>
  <c r="AC57" i="89"/>
  <c r="U43" i="91"/>
  <c r="O23" i="91"/>
  <c r="I54" i="92"/>
  <c r="K54" i="92" s="1"/>
  <c r="AA53" i="91"/>
  <c r="O13" i="91"/>
  <c r="Z68" i="89"/>
  <c r="X69" i="89" s="1"/>
  <c r="Y68" i="89"/>
  <c r="AA38" i="89"/>
  <c r="J35" i="92" s="1"/>
  <c r="AB39" i="89"/>
  <c r="AA39" i="89" s="1"/>
  <c r="J36" i="92" s="1"/>
  <c r="I41" i="92"/>
  <c r="K41" i="92" s="1"/>
  <c r="T31" i="91"/>
  <c r="N11" i="91"/>
  <c r="Z31" i="91"/>
  <c r="T21" i="91"/>
  <c r="AF11" i="91"/>
  <c r="AL21" i="91"/>
  <c r="AF51" i="91"/>
  <c r="N31" i="91"/>
  <c r="Z11" i="91"/>
  <c r="AF41" i="91"/>
  <c r="T41" i="91"/>
  <c r="N41" i="91"/>
  <c r="AL41" i="91"/>
  <c r="AL31" i="91"/>
  <c r="Z41" i="91"/>
  <c r="AF21" i="91"/>
  <c r="Z51" i="91"/>
  <c r="Z21" i="91"/>
  <c r="AL51" i="91"/>
  <c r="AL11" i="91"/>
  <c r="AF31" i="91"/>
  <c r="AC44" i="89"/>
  <c r="T11" i="91"/>
  <c r="N51" i="91"/>
  <c r="N21" i="91"/>
  <c r="T51" i="91"/>
  <c r="J12" i="92"/>
  <c r="K12" i="92" s="1"/>
  <c r="AG46" i="91"/>
  <c r="U26" i="91"/>
  <c r="AM26" i="91"/>
  <c r="U6" i="91"/>
  <c r="AM6" i="91"/>
  <c r="U46" i="91"/>
  <c r="AM46" i="91"/>
  <c r="AG16" i="91"/>
  <c r="AM16" i="91"/>
  <c r="O16" i="91"/>
  <c r="AG36" i="91"/>
  <c r="AG26" i="91"/>
  <c r="U16" i="91"/>
  <c r="AC15" i="89"/>
  <c r="O46" i="91"/>
  <c r="O36" i="91"/>
  <c r="AA36" i="91"/>
  <c r="O6" i="91"/>
  <c r="AG6" i="91"/>
  <c r="AA26" i="91"/>
  <c r="AA16" i="91"/>
  <c r="O26" i="91"/>
  <c r="AA46" i="91"/>
  <c r="AA6" i="91"/>
  <c r="U36" i="91"/>
  <c r="AM36" i="91"/>
  <c r="AE55" i="91"/>
  <c r="Y45" i="91"/>
  <c r="Y35" i="91"/>
  <c r="S25" i="91"/>
  <c r="AC67" i="89"/>
  <c r="Y55" i="91"/>
  <c r="S45" i="91"/>
  <c r="S35" i="91"/>
  <c r="M25" i="91"/>
  <c r="Y15" i="91"/>
  <c r="M55" i="91"/>
  <c r="I64" i="92"/>
  <c r="K64" i="92" s="1"/>
  <c r="AK25" i="91"/>
  <c r="M15" i="91"/>
  <c r="AK45" i="91"/>
  <c r="AK35" i="91"/>
  <c r="AE25" i="91"/>
  <c r="S15" i="91"/>
  <c r="AK55" i="91"/>
  <c r="AE45" i="91"/>
  <c r="AE35" i="91"/>
  <c r="Y25" i="91"/>
  <c r="AK15" i="91"/>
  <c r="M45" i="91"/>
  <c r="S55" i="91"/>
  <c r="M35" i="91"/>
  <c r="AE15" i="91"/>
  <c r="AK40" i="91"/>
  <c r="S30" i="91"/>
  <c r="AE20" i="91"/>
  <c r="AE30" i="91"/>
  <c r="AK50" i="91"/>
  <c r="Y45" i="89"/>
  <c r="Z45" i="89"/>
  <c r="J11" i="92"/>
  <c r="K11" i="92" s="1"/>
  <c r="Z36" i="91"/>
  <c r="Z46" i="91"/>
  <c r="T16" i="91"/>
  <c r="T6" i="91"/>
  <c r="T36" i="91"/>
  <c r="AL46" i="91"/>
  <c r="N16" i="91"/>
  <c r="T26" i="91"/>
  <c r="AF46" i="91"/>
  <c r="T46" i="91"/>
  <c r="AL16" i="91"/>
  <c r="AC14" i="89"/>
  <c r="Z6" i="91"/>
  <c r="N46" i="91"/>
  <c r="AL36" i="91"/>
  <c r="AF16" i="91"/>
  <c r="AL26" i="91"/>
  <c r="AF26" i="91"/>
  <c r="AF36" i="91"/>
  <c r="N26" i="91"/>
  <c r="Z16" i="91"/>
  <c r="N6" i="91"/>
  <c r="AL6" i="91"/>
  <c r="AF6" i="91"/>
  <c r="N36" i="91"/>
  <c r="Z26" i="91"/>
  <c r="Y26" i="89"/>
  <c r="Z26" i="89"/>
  <c r="X27" i="89" s="1"/>
  <c r="M40" i="91"/>
  <c r="K34" i="92"/>
  <c r="AK10" i="91"/>
  <c r="S50" i="91"/>
  <c r="AA62" i="89"/>
  <c r="AB63" i="89"/>
  <c r="AA63" i="89" s="1"/>
  <c r="J60" i="92" s="1"/>
  <c r="AK49" i="91"/>
  <c r="AE39" i="91"/>
  <c r="Y29" i="91"/>
  <c r="S19" i="91"/>
  <c r="AC31" i="89"/>
  <c r="Y49" i="91"/>
  <c r="S49" i="91"/>
  <c r="AK29" i="91"/>
  <c r="Y19" i="91"/>
  <c r="Y9" i="91"/>
  <c r="AK39" i="91"/>
  <c r="S29" i="91"/>
  <c r="I28" i="92"/>
  <c r="K28" i="92" s="1"/>
  <c r="Y39" i="91"/>
  <c r="M29" i="91"/>
  <c r="AE9" i="91"/>
  <c r="AE49" i="91"/>
  <c r="S39" i="91"/>
  <c r="AK19" i="91"/>
  <c r="M9" i="91"/>
  <c r="M39" i="91"/>
  <c r="AE19" i="91"/>
  <c r="AK9" i="91"/>
  <c r="M49" i="91"/>
  <c r="AE29" i="91"/>
  <c r="M19" i="91"/>
  <c r="S9" i="91"/>
  <c r="Y48" i="91"/>
  <c r="S38" i="91"/>
  <c r="M28" i="91"/>
  <c r="I22" i="92"/>
  <c r="K22" i="92" s="1"/>
  <c r="AK8" i="91"/>
  <c r="AK48" i="91"/>
  <c r="AE48" i="91"/>
  <c r="M38" i="91"/>
  <c r="AE18" i="91"/>
  <c r="AE8" i="91"/>
  <c r="M48" i="91"/>
  <c r="AE28" i="91"/>
  <c r="S18" i="91"/>
  <c r="AC25" i="89"/>
  <c r="AK38" i="91"/>
  <c r="Y28" i="91"/>
  <c r="M18" i="91"/>
  <c r="AE38" i="91"/>
  <c r="S28" i="91"/>
  <c r="Y8" i="91"/>
  <c r="Y38" i="91"/>
  <c r="AK18" i="91"/>
  <c r="M8" i="91"/>
  <c r="S48" i="91"/>
  <c r="AK28" i="91"/>
  <c r="S8" i="91"/>
  <c r="Y18" i="91"/>
  <c r="J58" i="92"/>
  <c r="K58" i="92" s="1"/>
  <c r="AE24" i="91"/>
  <c r="S44" i="91"/>
  <c r="M24" i="91"/>
  <c r="S34" i="91"/>
  <c r="AK14" i="91"/>
  <c r="AE14" i="91"/>
  <c r="AC61" i="89"/>
  <c r="Y14" i="91"/>
  <c r="S54" i="91"/>
  <c r="AE54" i="91"/>
  <c r="AK54" i="91"/>
  <c r="AE44" i="91"/>
  <c r="M44" i="91"/>
  <c r="Y44" i="91"/>
  <c r="S24" i="91"/>
  <c r="Y24" i="91"/>
  <c r="M34" i="91"/>
  <c r="Y54" i="91"/>
  <c r="AK24" i="91"/>
  <c r="M54" i="91"/>
  <c r="S14" i="91"/>
  <c r="AE34" i="91"/>
  <c r="AK34" i="91"/>
  <c r="M14" i="91"/>
  <c r="Y34" i="91"/>
  <c r="AK44" i="91"/>
  <c r="Z21" i="89"/>
  <c r="Y21" i="89"/>
  <c r="Z32" i="89"/>
  <c r="X33" i="89" s="1"/>
  <c r="Y32" i="89"/>
  <c r="Y39" i="89"/>
  <c r="Z39" i="89"/>
  <c r="Z51" i="89"/>
  <c r="Y51" i="89"/>
  <c r="T52" i="91"/>
  <c r="Z22" i="91"/>
  <c r="Z12" i="91"/>
  <c r="AF32" i="91"/>
  <c r="I47" i="92"/>
  <c r="K47" i="92" s="1"/>
  <c r="N32" i="91"/>
  <c r="AF12" i="91"/>
  <c r="AC50" i="89"/>
  <c r="Z52" i="91"/>
  <c r="AF52" i="91"/>
  <c r="T32" i="91"/>
  <c r="AF42" i="91"/>
  <c r="AF22" i="91"/>
  <c r="N52" i="91"/>
  <c r="Z32" i="91"/>
  <c r="T22" i="91"/>
  <c r="N42" i="91"/>
  <c r="AL12" i="91"/>
  <c r="N22" i="91"/>
  <c r="Z42" i="91"/>
  <c r="AL42" i="91"/>
  <c r="T12" i="91"/>
  <c r="AL32" i="91"/>
  <c r="AL52" i="91"/>
  <c r="N12" i="91"/>
  <c r="T42" i="91"/>
  <c r="AL22" i="91"/>
  <c r="N20" i="66" l="1"/>
  <c r="N10" i="66"/>
  <c r="AG14" i="66"/>
  <c r="AA24" i="66"/>
  <c r="AG54" i="66"/>
  <c r="AL44" i="66"/>
  <c r="AL34" i="66"/>
  <c r="AF34" i="66"/>
  <c r="T54" i="66"/>
  <c r="N54" i="66"/>
  <c r="Z24" i="66"/>
  <c r="AF14" i="66"/>
  <c r="AF44" i="66"/>
  <c r="Z44" i="66"/>
  <c r="AL14" i="66"/>
  <c r="AF54" i="66"/>
  <c r="N44" i="66"/>
  <c r="N14" i="66"/>
  <c r="T44" i="66"/>
  <c r="T34" i="66"/>
  <c r="T14" i="66"/>
  <c r="Z34" i="66"/>
  <c r="AL24" i="66"/>
  <c r="T24" i="66"/>
  <c r="AL54" i="66"/>
  <c r="N24" i="66"/>
  <c r="AF24" i="66"/>
  <c r="Z54" i="66"/>
  <c r="N34" i="66"/>
  <c r="Z14" i="66"/>
  <c r="T20" i="66"/>
  <c r="AL10" i="66"/>
  <c r="T40" i="66"/>
  <c r="AA14" i="66"/>
  <c r="AM34" i="66"/>
  <c r="O54" i="66"/>
  <c r="AL30" i="66"/>
  <c r="AF20" i="66"/>
  <c r="AF50" i="66"/>
  <c r="AG24" i="66"/>
  <c r="AA34" i="66"/>
  <c r="AM44" i="66"/>
  <c r="Z10" i="66"/>
  <c r="T30" i="66"/>
  <c r="N40" i="66"/>
  <c r="AM24" i="66"/>
  <c r="O44" i="66"/>
  <c r="AA54" i="66"/>
  <c r="U50" i="66"/>
  <c r="AG40" i="66"/>
  <c r="AG50" i="66"/>
  <c r="U40" i="66"/>
  <c r="U30" i="66"/>
  <c r="AM50" i="66"/>
  <c r="AA50" i="66"/>
  <c r="AM40" i="66"/>
  <c r="O30" i="66"/>
  <c r="AA40" i="66"/>
  <c r="U20" i="66"/>
  <c r="AM30" i="66"/>
  <c r="AA20" i="66"/>
  <c r="AG30" i="66"/>
  <c r="AG20" i="66"/>
  <c r="AM10" i="66"/>
  <c r="O10" i="66"/>
  <c r="O50" i="66"/>
  <c r="AA30" i="66"/>
  <c r="O40" i="66"/>
  <c r="AM20" i="66"/>
  <c r="AA10" i="66"/>
  <c r="O20" i="66"/>
  <c r="AG10" i="66"/>
  <c r="U10" i="66"/>
  <c r="Z49" i="66"/>
  <c r="AL39" i="66"/>
  <c r="N39" i="66"/>
  <c r="AF49" i="66"/>
  <c r="T49" i="66"/>
  <c r="AF39" i="66"/>
  <c r="T39" i="66"/>
  <c r="AL49" i="66"/>
  <c r="N49" i="66"/>
  <c r="Z39" i="66"/>
  <c r="AF29" i="66"/>
  <c r="T29" i="66"/>
  <c r="AL29" i="66"/>
  <c r="Z29" i="66"/>
  <c r="T19" i="66"/>
  <c r="T9" i="66"/>
  <c r="AL19" i="66"/>
  <c r="Z9" i="66"/>
  <c r="Z19" i="66"/>
  <c r="N29" i="66"/>
  <c r="N19" i="66"/>
  <c r="AF9" i="66"/>
  <c r="AF19" i="66"/>
  <c r="N9" i="66"/>
  <c r="AL9" i="66"/>
  <c r="AM51" i="66"/>
  <c r="O51" i="66"/>
  <c r="AA41" i="66"/>
  <c r="AG51" i="66"/>
  <c r="U51" i="66"/>
  <c r="AG41" i="66"/>
  <c r="AM31" i="66"/>
  <c r="O31" i="66"/>
  <c r="AM41" i="66"/>
  <c r="AA31" i="66"/>
  <c r="AA51" i="66"/>
  <c r="AG31" i="66"/>
  <c r="AM21" i="66"/>
  <c r="O21" i="66"/>
  <c r="U41" i="66"/>
  <c r="U31" i="66"/>
  <c r="U21" i="66"/>
  <c r="AA21" i="66"/>
  <c r="AG11" i="66"/>
  <c r="U11" i="66"/>
  <c r="AG21" i="66"/>
  <c r="AA11" i="66"/>
  <c r="O41" i="66"/>
  <c r="O11" i="66"/>
  <c r="AM11" i="66"/>
  <c r="Z20" i="66"/>
  <c r="AF30" i="66"/>
  <c r="Z40" i="66"/>
  <c r="AG34" i="66"/>
  <c r="U24" i="66"/>
  <c r="AM54" i="66"/>
  <c r="AM47" i="66"/>
  <c r="O47" i="66"/>
  <c r="AA37" i="66"/>
  <c r="O37" i="66"/>
  <c r="AM27" i="66"/>
  <c r="O27" i="66"/>
  <c r="AA47" i="66"/>
  <c r="U47" i="66"/>
  <c r="AM37" i="66"/>
  <c r="U37" i="66"/>
  <c r="AA27" i="66"/>
  <c r="AM17" i="66"/>
  <c r="O17" i="66"/>
  <c r="AG37" i="66"/>
  <c r="AG27" i="66"/>
  <c r="U17" i="66"/>
  <c r="AA17" i="66"/>
  <c r="AG7" i="66"/>
  <c r="AG47" i="66"/>
  <c r="AG17" i="66"/>
  <c r="U7" i="66"/>
  <c r="U27" i="66"/>
  <c r="AA7" i="66"/>
  <c r="O7" i="66"/>
  <c r="AM7" i="66"/>
  <c r="AL55" i="66"/>
  <c r="N55" i="66"/>
  <c r="Z45" i="66"/>
  <c r="AL35" i="66"/>
  <c r="N45" i="66"/>
  <c r="AF55" i="66"/>
  <c r="T55" i="66"/>
  <c r="AF45" i="66"/>
  <c r="N35" i="66"/>
  <c r="T45" i="66"/>
  <c r="Z55" i="66"/>
  <c r="AL45" i="66"/>
  <c r="T35" i="66"/>
  <c r="AF25" i="66"/>
  <c r="Z35" i="66"/>
  <c r="T25" i="66"/>
  <c r="AF15" i="66"/>
  <c r="N15" i="66"/>
  <c r="AF35" i="66"/>
  <c r="N25" i="66"/>
  <c r="AL15" i="66"/>
  <c r="T15" i="66"/>
  <c r="AL25" i="66"/>
  <c r="Z25" i="66"/>
  <c r="Z15" i="66"/>
  <c r="AL20" i="66"/>
  <c r="Z30" i="66"/>
  <c r="N50" i="66"/>
  <c r="O14" i="66"/>
  <c r="U44" i="66"/>
  <c r="U34" i="66"/>
  <c r="N30" i="66"/>
  <c r="AL40" i="66"/>
  <c r="AF40" i="66"/>
  <c r="AM14" i="66"/>
  <c r="O34" i="66"/>
  <c r="AG44" i="66"/>
  <c r="AG52" i="66"/>
  <c r="U42" i="66"/>
  <c r="AA52" i="66"/>
  <c r="O52" i="66"/>
  <c r="O42" i="66"/>
  <c r="AG32" i="66"/>
  <c r="U52" i="66"/>
  <c r="AM42" i="66"/>
  <c r="AG42" i="66"/>
  <c r="AA42" i="66"/>
  <c r="O32" i="66"/>
  <c r="AG22" i="66"/>
  <c r="U32" i="66"/>
  <c r="AM22" i="66"/>
  <c r="O22" i="66"/>
  <c r="AM52" i="66"/>
  <c r="AA12" i="66"/>
  <c r="AA32" i="66"/>
  <c r="U22" i="66"/>
  <c r="AM12" i="66"/>
  <c r="O12" i="66"/>
  <c r="AM32" i="66"/>
  <c r="AA22" i="66"/>
  <c r="U12" i="66"/>
  <c r="AG12" i="66"/>
  <c r="AF48" i="66"/>
  <c r="T38" i="66"/>
  <c r="T48" i="66"/>
  <c r="AL48" i="66"/>
  <c r="Z48" i="66"/>
  <c r="N48" i="66"/>
  <c r="N38" i="66"/>
  <c r="AL28" i="66"/>
  <c r="N28" i="66"/>
  <c r="AF38" i="66"/>
  <c r="AF28" i="66"/>
  <c r="Z38" i="66"/>
  <c r="AL38" i="66"/>
  <c r="Z28" i="66"/>
  <c r="AL18" i="66"/>
  <c r="Z8" i="66"/>
  <c r="Z18" i="66"/>
  <c r="N18" i="66"/>
  <c r="AF8" i="66"/>
  <c r="T28" i="66"/>
  <c r="AL8" i="66"/>
  <c r="N8" i="66"/>
  <c r="AF18" i="66"/>
  <c r="T18" i="66"/>
  <c r="T8" i="66"/>
  <c r="AF10" i="66"/>
  <c r="T10" i="66"/>
  <c r="Z50" i="66"/>
  <c r="T50" i="66"/>
  <c r="U14" i="66"/>
  <c r="O24" i="66"/>
  <c r="AA44" i="66"/>
  <c r="U54" i="66"/>
  <c r="AF20" i="91"/>
  <c r="AL50" i="91"/>
  <c r="AF50" i="91"/>
  <c r="AF40" i="91"/>
  <c r="N30" i="91"/>
  <c r="Z49" i="91"/>
  <c r="AF29" i="91"/>
  <c r="AF9" i="91"/>
  <c r="AF19" i="91"/>
  <c r="AF39" i="91"/>
  <c r="I29" i="92"/>
  <c r="K29" i="92" s="1"/>
  <c r="Z39" i="91"/>
  <c r="N9" i="91"/>
  <c r="AC32" i="89"/>
  <c r="N39" i="91"/>
  <c r="T19" i="91"/>
  <c r="T29" i="91"/>
  <c r="AL19" i="91"/>
  <c r="AF49" i="91"/>
  <c r="AL9" i="91"/>
  <c r="N29" i="91"/>
  <c r="T39" i="91"/>
  <c r="Z9" i="91"/>
  <c r="Z19" i="91"/>
  <c r="T49" i="91"/>
  <c r="AL39" i="91"/>
  <c r="T9" i="91"/>
  <c r="N19" i="91"/>
  <c r="AL49" i="91"/>
  <c r="N49" i="91"/>
  <c r="Z29" i="91"/>
  <c r="AL29" i="91"/>
  <c r="AG50" i="91"/>
  <c r="U20" i="91"/>
  <c r="O40" i="91"/>
  <c r="AA20" i="91"/>
  <c r="U10" i="91"/>
  <c r="AM50" i="91"/>
  <c r="AG40" i="91"/>
  <c r="AG30" i="91"/>
  <c r="AM10" i="91"/>
  <c r="AG10" i="91"/>
  <c r="U40" i="91"/>
  <c r="O30" i="91"/>
  <c r="O20" i="91"/>
  <c r="AA10" i="91"/>
  <c r="AM40" i="91"/>
  <c r="U30" i="91"/>
  <c r="AA40" i="91"/>
  <c r="AM30" i="91"/>
  <c r="AA50" i="91"/>
  <c r="AG20" i="91"/>
  <c r="AC39" i="89"/>
  <c r="O10" i="91"/>
  <c r="I36" i="92"/>
  <c r="K36" i="92" s="1"/>
  <c r="O50" i="91"/>
  <c r="U50" i="91"/>
  <c r="AM20" i="91"/>
  <c r="AA30" i="91"/>
  <c r="AL20" i="91"/>
  <c r="Z10" i="91"/>
  <c r="AL30" i="91"/>
  <c r="AF30" i="91"/>
  <c r="AM14" i="91"/>
  <c r="AG54" i="91"/>
  <c r="O54" i="91"/>
  <c r="K60" i="92"/>
  <c r="T20" i="91"/>
  <c r="T10" i="91"/>
  <c r="N20" i="91"/>
  <c r="N50" i="91"/>
  <c r="N10" i="91"/>
  <c r="U44" i="91"/>
  <c r="AA54" i="91"/>
  <c r="AA34" i="91"/>
  <c r="U14" i="91"/>
  <c r="Z27" i="89"/>
  <c r="Y27" i="89"/>
  <c r="AG31" i="91"/>
  <c r="O41" i="91"/>
  <c r="U41" i="91"/>
  <c r="AG41" i="91"/>
  <c r="U31" i="91"/>
  <c r="AG21" i="91"/>
  <c r="AA11" i="91"/>
  <c r="O31" i="91"/>
  <c r="AM41" i="91"/>
  <c r="U21" i="91"/>
  <c r="O11" i="91"/>
  <c r="O21" i="91"/>
  <c r="AA51" i="91"/>
  <c r="U11" i="91"/>
  <c r="I42" i="92"/>
  <c r="K42" i="92" s="1"/>
  <c r="AA41" i="91"/>
  <c r="U51" i="91"/>
  <c r="AM31" i="91"/>
  <c r="AA21" i="91"/>
  <c r="AA31" i="91"/>
  <c r="AM11" i="91"/>
  <c r="AG11" i="91"/>
  <c r="O51" i="91"/>
  <c r="AM51" i="91"/>
  <c r="AG51" i="91"/>
  <c r="AM21" i="91"/>
  <c r="AC45" i="89"/>
  <c r="N55" i="91"/>
  <c r="N35" i="91"/>
  <c r="AF15" i="91"/>
  <c r="AF55" i="91"/>
  <c r="AL35" i="91"/>
  <c r="Z45" i="91"/>
  <c r="AL25" i="91"/>
  <c r="AL55" i="91"/>
  <c r="I65" i="92"/>
  <c r="K65" i="92" s="1"/>
  <c r="Z35" i="91"/>
  <c r="AL15" i="91"/>
  <c r="N45" i="91"/>
  <c r="T55" i="91"/>
  <c r="T35" i="91"/>
  <c r="Z15" i="91"/>
  <c r="AC68" i="89"/>
  <c r="AL45" i="91"/>
  <c r="Z55" i="91"/>
  <c r="T15" i="91"/>
  <c r="AF25" i="91"/>
  <c r="AF45" i="91"/>
  <c r="T45" i="91"/>
  <c r="N15" i="91"/>
  <c r="N25" i="91"/>
  <c r="AF35" i="91"/>
  <c r="Z25" i="91"/>
  <c r="T25" i="91"/>
  <c r="O44" i="91"/>
  <c r="AG44" i="91"/>
  <c r="AA24" i="91"/>
  <c r="O14" i="91"/>
  <c r="J59" i="92"/>
  <c r="K59" i="92" s="1"/>
  <c r="AL44" i="91"/>
  <c r="N14" i="91"/>
  <c r="Z44" i="91"/>
  <c r="AF44" i="91"/>
  <c r="T34" i="91"/>
  <c r="AF14" i="91"/>
  <c r="N44" i="91"/>
  <c r="Z14" i="91"/>
  <c r="AL54" i="91"/>
  <c r="AL14" i="91"/>
  <c r="AF24" i="91"/>
  <c r="N24" i="91"/>
  <c r="Z54" i="91"/>
  <c r="Z24" i="91"/>
  <c r="N34" i="91"/>
  <c r="AL24" i="91"/>
  <c r="T54" i="91"/>
  <c r="AF54" i="91"/>
  <c r="T24" i="91"/>
  <c r="N54" i="91"/>
  <c r="AC62" i="89"/>
  <c r="AF34" i="91"/>
  <c r="T44" i="91"/>
  <c r="Z34" i="91"/>
  <c r="AL34" i="91"/>
  <c r="T14" i="91"/>
  <c r="N48" i="91"/>
  <c r="Z28" i="91"/>
  <c r="AL8" i="91"/>
  <c r="T18" i="91"/>
  <c r="T48" i="91"/>
  <c r="T38" i="91"/>
  <c r="AL18" i="91"/>
  <c r="N28" i="91"/>
  <c r="Z48" i="91"/>
  <c r="AF48" i="91"/>
  <c r="T8" i="91"/>
  <c r="AC26" i="89"/>
  <c r="Z38" i="91"/>
  <c r="N8" i="91"/>
  <c r="Z8" i="91"/>
  <c r="AL48" i="91"/>
  <c r="AF28" i="91"/>
  <c r="AF38" i="91"/>
  <c r="Z18" i="91"/>
  <c r="N38" i="91"/>
  <c r="AL28" i="91"/>
  <c r="AF18" i="91"/>
  <c r="T28" i="91"/>
  <c r="AL38" i="91"/>
  <c r="N18" i="91"/>
  <c r="AF8" i="91"/>
  <c r="I23" i="92"/>
  <c r="K23" i="92" s="1"/>
  <c r="Y69" i="89"/>
  <c r="Z69" i="89"/>
  <c r="Z50" i="91"/>
  <c r="N40" i="91"/>
  <c r="K35" i="92"/>
  <c r="T50" i="91"/>
  <c r="AL40" i="91"/>
  <c r="AC63" i="89"/>
  <c r="AG14" i="91"/>
  <c r="AM44" i="91"/>
  <c r="AA14" i="91"/>
  <c r="O34" i="91"/>
  <c r="AG42" i="91"/>
  <c r="U32" i="91"/>
  <c r="U22" i="91"/>
  <c r="AM22" i="91"/>
  <c r="O12" i="91"/>
  <c r="AG52" i="91"/>
  <c r="AM52" i="91"/>
  <c r="AM42" i="91"/>
  <c r="AA32" i="91"/>
  <c r="O22" i="91"/>
  <c r="O52" i="91"/>
  <c r="AA42" i="91"/>
  <c r="AG32" i="91"/>
  <c r="AA22" i="91"/>
  <c r="O42" i="91"/>
  <c r="O32" i="91"/>
  <c r="AM12" i="91"/>
  <c r="I48" i="92"/>
  <c r="K48" i="92" s="1"/>
  <c r="AG22" i="91"/>
  <c r="AG12" i="91"/>
  <c r="AC51" i="89"/>
  <c r="AA52" i="91"/>
  <c r="U42" i="91"/>
  <c r="U12" i="91"/>
  <c r="AA12" i="91"/>
  <c r="U52" i="91"/>
  <c r="AM32" i="91"/>
  <c r="Z30" i="91"/>
  <c r="AC38" i="89"/>
  <c r="Z40" i="91"/>
  <c r="Z20" i="91"/>
  <c r="AA44" i="91"/>
  <c r="AM24" i="91"/>
  <c r="AG24" i="91"/>
  <c r="AG34" i="91"/>
  <c r="U34" i="91"/>
  <c r="Z33" i="89"/>
  <c r="Y33" i="89"/>
  <c r="U47" i="91"/>
  <c r="AM17" i="91"/>
  <c r="O17" i="91"/>
  <c r="U27" i="91"/>
  <c r="O27" i="91"/>
  <c r="AG47" i="91"/>
  <c r="AG27" i="91"/>
  <c r="U7" i="91"/>
  <c r="AA37" i="91"/>
  <c r="AA7" i="91"/>
  <c r="O47" i="91"/>
  <c r="U17" i="91"/>
  <c r="AM7" i="91"/>
  <c r="AA27" i="91"/>
  <c r="AM37" i="91"/>
  <c r="AG7" i="91"/>
  <c r="AM47" i="91"/>
  <c r="AG17" i="91"/>
  <c r="AG37" i="91"/>
  <c r="AA17" i="91"/>
  <c r="I18" i="92"/>
  <c r="K18" i="92" s="1"/>
  <c r="AA47" i="91"/>
  <c r="U37" i="91"/>
  <c r="O7" i="91"/>
  <c r="AC21" i="89"/>
  <c r="O37" i="91"/>
  <c r="AM27" i="91"/>
  <c r="AL10" i="91"/>
  <c r="T30" i="91"/>
  <c r="AF10" i="91"/>
  <c r="T40" i="91"/>
  <c r="O24" i="91"/>
  <c r="AM54" i="91"/>
  <c r="U24" i="91"/>
  <c r="AM34" i="91"/>
  <c r="U54" i="91"/>
  <c r="AG48" i="66" l="1"/>
  <c r="U38" i="66"/>
  <c r="AA48" i="66"/>
  <c r="O48" i="66"/>
  <c r="AM38" i="66"/>
  <c r="AA38" i="66"/>
  <c r="AG28" i="66"/>
  <c r="O38" i="66"/>
  <c r="U28" i="66"/>
  <c r="U48" i="66"/>
  <c r="AM28" i="66"/>
  <c r="AA28" i="66"/>
  <c r="AG18" i="66"/>
  <c r="AM48" i="66"/>
  <c r="O28" i="66"/>
  <c r="AM18" i="66"/>
  <c r="O18" i="66"/>
  <c r="AA8" i="66"/>
  <c r="AM8" i="66"/>
  <c r="O8" i="66"/>
  <c r="AG38" i="66"/>
  <c r="U18" i="66"/>
  <c r="U8" i="66"/>
  <c r="AA18" i="66"/>
  <c r="AG8" i="66"/>
  <c r="AA49" i="66"/>
  <c r="AM39" i="66"/>
  <c r="O39" i="66"/>
  <c r="AM49" i="66"/>
  <c r="AA29" i="66"/>
  <c r="AG49" i="66"/>
  <c r="U49" i="66"/>
  <c r="O49" i="66"/>
  <c r="AG39" i="66"/>
  <c r="AA39" i="66"/>
  <c r="AM29" i="66"/>
  <c r="AA19" i="66"/>
  <c r="O29" i="66"/>
  <c r="AG19" i="66"/>
  <c r="AG29" i="66"/>
  <c r="U19" i="66"/>
  <c r="U9" i="66"/>
  <c r="U39" i="66"/>
  <c r="U29" i="66"/>
  <c r="O19" i="66"/>
  <c r="AG9" i="66"/>
  <c r="AM9" i="66"/>
  <c r="O9" i="66"/>
  <c r="AA9" i="66"/>
  <c r="AM19" i="66"/>
  <c r="AM55" i="66"/>
  <c r="O55" i="66"/>
  <c r="AA45" i="66"/>
  <c r="AM35" i="66"/>
  <c r="O35" i="66"/>
  <c r="AG55" i="66"/>
  <c r="U55" i="66"/>
  <c r="U45" i="66"/>
  <c r="AG35" i="66"/>
  <c r="AA55" i="66"/>
  <c r="AG45" i="66"/>
  <c r="AA35" i="66"/>
  <c r="AM25" i="66"/>
  <c r="O25" i="66"/>
  <c r="O45" i="66"/>
  <c r="AM45" i="66"/>
  <c r="U25" i="66"/>
  <c r="AG15" i="66"/>
  <c r="AM15" i="66"/>
  <c r="U15" i="66"/>
  <c r="U35" i="66"/>
  <c r="AA25" i="66"/>
  <c r="AA15" i="66"/>
  <c r="AG25" i="66"/>
  <c r="O15" i="66"/>
  <c r="U45" i="91"/>
  <c r="AG35" i="91"/>
  <c r="U35" i="91"/>
  <c r="AM25" i="91"/>
  <c r="AM55" i="91"/>
  <c r="O35" i="91"/>
  <c r="AG25" i="91"/>
  <c r="O45" i="91"/>
  <c r="AA45" i="91"/>
  <c r="O25" i="91"/>
  <c r="AG45" i="91"/>
  <c r="AA15" i="91"/>
  <c r="AC69" i="89"/>
  <c r="I66" i="92"/>
  <c r="K66" i="92" s="1"/>
  <c r="AM45" i="91"/>
  <c r="AM35" i="91"/>
  <c r="O15" i="91"/>
  <c r="O55" i="91"/>
  <c r="AG15" i="91"/>
  <c r="AA25" i="91"/>
  <c r="AA35" i="91"/>
  <c r="U15" i="91"/>
  <c r="U55" i="91"/>
  <c r="AA55" i="91"/>
  <c r="U25" i="91"/>
  <c r="AG55" i="91"/>
  <c r="AM15" i="91"/>
  <c r="AA49" i="91"/>
  <c r="AM29" i="91"/>
  <c r="AA19" i="91"/>
  <c r="AG29" i="91"/>
  <c r="U19" i="91"/>
  <c r="AA39" i="91"/>
  <c r="O39" i="91"/>
  <c r="AC33" i="89"/>
  <c r="U9" i="91"/>
  <c r="AM49" i="91"/>
  <c r="O9" i="91"/>
  <c r="AA29" i="91"/>
  <c r="U39" i="91"/>
  <c r="O29" i="91"/>
  <c r="AM19" i="91"/>
  <c r="U49" i="91"/>
  <c r="AG19" i="91"/>
  <c r="AG9" i="91"/>
  <c r="AM39" i="91"/>
  <c r="U29" i="91"/>
  <c r="AG39" i="91"/>
  <c r="O19" i="91"/>
  <c r="AA9" i="91"/>
  <c r="AM9" i="91"/>
  <c r="AG49" i="91"/>
  <c r="O49" i="91"/>
  <c r="I30" i="92"/>
  <c r="K30" i="92" s="1"/>
  <c r="AA48" i="91"/>
  <c r="AM28" i="91"/>
  <c r="AG18" i="91"/>
  <c r="AM8" i="91"/>
  <c r="O48" i="91"/>
  <c r="AG38" i="91"/>
  <c r="U8" i="91"/>
  <c r="AA8" i="91"/>
  <c r="O38" i="91"/>
  <c r="U18" i="91"/>
  <c r="AA28" i="91"/>
  <c r="AA38" i="91"/>
  <c r="U48" i="91"/>
  <c r="U38" i="91"/>
  <c r="U28" i="91"/>
  <c r="O18" i="91"/>
  <c r="AM18" i="91"/>
  <c r="AM48" i="91"/>
  <c r="AG48" i="91"/>
  <c r="O28" i="91"/>
  <c r="O8" i="91"/>
  <c r="AC27" i="89"/>
  <c r="I24" i="92"/>
  <c r="K24" i="92" s="1"/>
  <c r="AG28" i="91"/>
  <c r="AG8" i="91"/>
  <c r="AM38" i="91"/>
  <c r="AA18" i="91"/>
  <c r="F221" i="85" l="1"/>
  <c r="F220" i="85"/>
  <c r="F219" i="85"/>
  <c r="F218" i="85"/>
  <c r="F217" i="85"/>
  <c r="F216" i="85"/>
  <c r="F215" i="85"/>
  <c r="F214" i="85"/>
  <c r="F213" i="85"/>
  <c r="F212" i="85"/>
  <c r="F211" i="85"/>
  <c r="F210" i="85"/>
  <c r="B221" i="85" a="1"/>
  <c r="B221" i="85" l="1"/>
  <c r="B222" i="85"/>
  <c r="B223" i="85"/>
  <c r="E6" i="72"/>
  <c r="E5" i="72"/>
  <c r="H210" i="85"/>
  <c r="F6" i="54" l="1"/>
  <c r="C5" i="78" l="1"/>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K403" i="78" l="1"/>
  <c r="K412" i="78"/>
  <c r="K391" i="78"/>
  <c r="K376" i="78"/>
  <c r="K316" i="78"/>
  <c r="K312" i="78"/>
  <c r="K300" i="78"/>
  <c r="K296" i="78"/>
  <c r="K278" i="78"/>
  <c r="K266" i="78"/>
  <c r="K246" i="78"/>
  <c r="K239" i="78"/>
  <c r="K221" i="78"/>
  <c r="K212" i="78"/>
  <c r="K207" i="78"/>
  <c r="K183" i="78"/>
  <c r="K175" i="78"/>
  <c r="K171" i="78"/>
  <c r="K155" i="78"/>
  <c r="K151" i="78"/>
  <c r="K147" i="78"/>
  <c r="K128" i="78"/>
  <c r="K124" i="78"/>
  <c r="K120" i="78"/>
  <c r="K113" i="78"/>
  <c r="K95" i="78"/>
  <c r="K91" i="78"/>
  <c r="K84" i="78"/>
  <c r="H85" i="78"/>
  <c r="K299" i="78"/>
  <c r="K293" i="78"/>
  <c r="K281" i="78"/>
  <c r="K96" i="78"/>
  <c r="H127"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218" i="78"/>
  <c r="K194" i="78"/>
  <c r="K182" i="78"/>
  <c r="K162" i="78"/>
  <c r="K415" i="78"/>
  <c r="K411" i="78"/>
  <c r="K407" i="78"/>
  <c r="K386" i="78"/>
  <c r="K373" i="78"/>
  <c r="K369" i="78"/>
  <c r="K365" i="78"/>
  <c r="K331" i="78"/>
  <c r="K310" i="78"/>
  <c r="K306" i="78"/>
  <c r="K302" i="78"/>
  <c r="K298" i="78"/>
  <c r="K230" i="78"/>
  <c r="K201" i="78"/>
  <c r="K193" i="78"/>
  <c r="K189" i="78"/>
  <c r="K165" i="78"/>
  <c r="K161" i="78"/>
  <c r="K70" i="78"/>
  <c r="K400" i="78"/>
  <c r="K379" i="78"/>
  <c r="K352" i="78"/>
  <c r="K319" i="78"/>
  <c r="K287" i="78"/>
  <c r="K269" i="78"/>
  <c r="K248" i="78"/>
  <c r="K245" i="78"/>
  <c r="K219" i="78"/>
  <c r="K138" i="78"/>
  <c r="K135" i="78"/>
  <c r="K131" i="78"/>
  <c r="K123" i="78"/>
  <c r="K93" i="78"/>
  <c r="K338" i="78"/>
  <c r="K254" i="78"/>
  <c r="K200" i="78"/>
  <c r="K176" i="78"/>
  <c r="K152" i="78"/>
  <c r="K144" i="78"/>
  <c r="K111" i="78"/>
  <c r="K99" i="78"/>
  <c r="H271" i="78"/>
  <c r="H253" i="78"/>
  <c r="H229" i="78"/>
  <c r="H223" i="78"/>
  <c r="K363" i="78"/>
  <c r="K255" i="78"/>
  <c r="K145" i="78"/>
  <c r="K100" i="78"/>
  <c r="H337" i="78"/>
  <c r="K397" i="78"/>
  <c r="K382" i="78"/>
  <c r="K274" i="78"/>
  <c r="K133" i="78"/>
  <c r="K129" i="78"/>
  <c r="K125" i="78"/>
  <c r="K119" i="78"/>
  <c r="K115" i="78"/>
  <c r="K75" i="78"/>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164" i="78"/>
  <c r="K118" i="78"/>
  <c r="H217" i="78"/>
  <c r="K136" i="78"/>
  <c r="H391" i="78"/>
  <c r="K154" i="78"/>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L52" i="72"/>
  <c r="X51" i="72"/>
  <c r="U51" i="72"/>
  <c r="X50" i="72"/>
  <c r="U50" i="72"/>
  <c r="X49" i="72"/>
  <c r="U49" i="72"/>
  <c r="X48" i="72"/>
  <c r="U48" i="72"/>
  <c r="X47" i="72"/>
  <c r="U47" i="72"/>
  <c r="X46" i="72"/>
  <c r="U46" i="72"/>
  <c r="AF46" i="72" s="1"/>
  <c r="AE46" i="72" s="1"/>
  <c r="L46" i="72"/>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AB34" i="72" s="1"/>
  <c r="L34" i="72"/>
  <c r="X33" i="72"/>
  <c r="U33" i="72"/>
  <c r="X32" i="72"/>
  <c r="U32" i="72"/>
  <c r="X31" i="72"/>
  <c r="U31" i="72"/>
  <c r="X30" i="72"/>
  <c r="U30" i="72"/>
  <c r="X29" i="72"/>
  <c r="U29" i="72"/>
  <c r="X28" i="72"/>
  <c r="U28" i="72"/>
  <c r="AF28" i="72" s="1"/>
  <c r="AE28" i="72" s="1"/>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L16" i="72"/>
  <c r="X15" i="72"/>
  <c r="U15" i="72"/>
  <c r="X14" i="72"/>
  <c r="U14" i="72"/>
  <c r="X13" i="72"/>
  <c r="U13" i="72"/>
  <c r="X12" i="72"/>
  <c r="U12" i="72"/>
  <c r="X11" i="72"/>
  <c r="U11" i="72"/>
  <c r="X10" i="72"/>
  <c r="U10" i="72"/>
  <c r="L10" i="72"/>
  <c r="F221" i="68"/>
  <c r="F220" i="68"/>
  <c r="F219" i="68"/>
  <c r="F218" i="68"/>
  <c r="F217" i="68"/>
  <c r="F216" i="68"/>
  <c r="F215" i="68"/>
  <c r="F214" i="68"/>
  <c r="F213" i="68"/>
  <c r="F212" i="68"/>
  <c r="F211" i="68"/>
  <c r="F210" i="68"/>
  <c r="O45" i="72"/>
  <c r="O48" i="72"/>
  <c r="O51" i="72"/>
  <c r="O20" i="72"/>
  <c r="O17" i="72"/>
  <c r="O32" i="72"/>
  <c r="O62" i="72"/>
  <c r="O55" i="72"/>
  <c r="O59" i="72"/>
  <c r="O25" i="72"/>
  <c r="O44" i="72"/>
  <c r="O63" i="72"/>
  <c r="O50" i="72"/>
  <c r="O18" i="72"/>
  <c r="O61" i="72"/>
  <c r="O49" i="72"/>
  <c r="O27" i="72"/>
  <c r="O65" i="72"/>
  <c r="O15" i="72"/>
  <c r="O39" i="72"/>
  <c r="O66" i="72"/>
  <c r="O13" i="72"/>
  <c r="O35" i="72"/>
  <c r="O24" i="72"/>
  <c r="O21" i="72"/>
  <c r="O23" i="72"/>
  <c r="O57" i="72"/>
  <c r="O67" i="72"/>
  <c r="O53" i="72"/>
  <c r="O14" i="72"/>
  <c r="O19" i="72"/>
  <c r="O26" i="72"/>
  <c r="O68" i="72"/>
  <c r="O41" i="72"/>
  <c r="O69" i="72"/>
  <c r="O11" i="72"/>
  <c r="O54" i="72"/>
  <c r="O29" i="72"/>
  <c r="O60" i="72"/>
  <c r="O56" i="72"/>
  <c r="O30" i="72"/>
  <c r="O12" i="72"/>
  <c r="O38" i="72"/>
  <c r="O37" i="72"/>
  <c r="O42" i="72"/>
  <c r="O36" i="72"/>
  <c r="B221" i="68" a="1"/>
  <c r="O33" i="72"/>
  <c r="O43" i="72"/>
  <c r="O47" i="72"/>
  <c r="O31" i="72"/>
  <c r="AF21" i="72" l="1"/>
  <c r="AE21" i="72" s="1"/>
  <c r="J18" i="78" s="1"/>
  <c r="J25" i="78"/>
  <c r="F31" i="78"/>
  <c r="J43" i="78"/>
  <c r="J13" i="78"/>
  <c r="I49" i="78"/>
  <c r="AB63" i="72"/>
  <c r="AD63" i="72" s="1"/>
  <c r="F7" i="78"/>
  <c r="F25" i="78"/>
  <c r="J37" i="78"/>
  <c r="F61" i="78"/>
  <c r="AB23" i="72"/>
  <c r="AC23" i="72" s="1"/>
  <c r="AF51" i="72"/>
  <c r="AE51" i="72" s="1"/>
  <c r="AF30" i="72"/>
  <c r="AE30" i="72" s="1"/>
  <c r="AB54" i="72"/>
  <c r="AC54" i="72" s="1"/>
  <c r="AB61" i="72"/>
  <c r="AD61" i="72" s="1"/>
  <c r="AB18" i="72"/>
  <c r="AC18" i="72" s="1"/>
  <c r="AF37" i="72"/>
  <c r="AE37" i="72" s="1"/>
  <c r="AF62" i="72"/>
  <c r="AE62" i="72" s="1"/>
  <c r="AF35" i="72"/>
  <c r="AE35" i="72" s="1"/>
  <c r="AF19" i="72"/>
  <c r="AE19" i="72" s="1"/>
  <c r="AF45" i="72"/>
  <c r="AE45" i="72" s="1"/>
  <c r="M52" i="72"/>
  <c r="F49" i="78"/>
  <c r="M16" i="72"/>
  <c r="F13" i="78"/>
  <c r="M34" i="72"/>
  <c r="AB39" i="72"/>
  <c r="AC39" i="72" s="1"/>
  <c r="M58" i="72"/>
  <c r="F55" i="78"/>
  <c r="M22" i="72"/>
  <c r="F19" i="78"/>
  <c r="M40" i="72"/>
  <c r="F37" i="78"/>
  <c r="AB19" i="72"/>
  <c r="AD19" i="72" s="1"/>
  <c r="M46" i="72"/>
  <c r="F43" i="78"/>
  <c r="M64" i="72"/>
  <c r="B223" i="68"/>
  <c r="M10" i="72"/>
  <c r="AB10" i="72" s="1"/>
  <c r="AB20" i="72"/>
  <c r="AC20" i="72" s="1"/>
  <c r="AB21" i="72"/>
  <c r="AD21" i="72" s="1"/>
  <c r="AB37" i="72"/>
  <c r="AB40" i="72"/>
  <c r="AF43" i="72"/>
  <c r="AE43" i="72" s="1"/>
  <c r="AB55" i="72"/>
  <c r="AD55" i="72" s="1"/>
  <c r="AF22" i="72"/>
  <c r="AE22" i="72" s="1"/>
  <c r="AF32" i="72"/>
  <c r="AE32" i="72" s="1"/>
  <c r="AB51" i="72"/>
  <c r="AC51" i="72" s="1"/>
  <c r="AB53" i="72"/>
  <c r="AD53" i="72" s="1"/>
  <c r="AF60" i="72"/>
  <c r="AE60" i="72" s="1"/>
  <c r="AF66" i="72"/>
  <c r="AE66" i="72" s="1"/>
  <c r="AF13" i="72"/>
  <c r="AE13" i="72" s="1"/>
  <c r="AF15" i="72"/>
  <c r="AE15" i="72" s="1"/>
  <c r="AF26" i="72"/>
  <c r="AE26" i="72" s="1"/>
  <c r="AB35" i="72"/>
  <c r="AC35" i="72" s="1"/>
  <c r="AB36" i="72"/>
  <c r="AD36" i="72" s="1"/>
  <c r="AB38" i="72"/>
  <c r="AC38" i="72" s="1"/>
  <c r="AB44" i="72"/>
  <c r="AB45" i="72"/>
  <c r="AC45" i="72" s="1"/>
  <c r="AF47" i="72"/>
  <c r="AE47" i="72" s="1"/>
  <c r="AB56" i="72"/>
  <c r="AB57" i="72"/>
  <c r="AC57" i="72" s="1"/>
  <c r="AB13" i="72"/>
  <c r="AB15" i="72"/>
  <c r="AB16" i="72"/>
  <c r="AF17" i="72"/>
  <c r="AE17" i="72" s="1"/>
  <c r="AF59" i="72"/>
  <c r="AE59" i="72" s="1"/>
  <c r="AB58" i="72"/>
  <c r="AF25" i="72"/>
  <c r="AE25" i="72" s="1"/>
  <c r="AB24" i="72"/>
  <c r="AF42" i="72"/>
  <c r="AE42" i="72" s="1"/>
  <c r="AB41" i="72"/>
  <c r="AF50" i="72"/>
  <c r="AE50" i="72" s="1"/>
  <c r="AB49" i="72"/>
  <c r="AB50" i="72"/>
  <c r="AD18" i="72"/>
  <c r="AB25" i="72"/>
  <c r="AB30" i="72"/>
  <c r="AF31" i="72"/>
  <c r="AE31" i="72" s="1"/>
  <c r="AB31" i="72"/>
  <c r="AC34" i="72"/>
  <c r="AD34" i="72"/>
  <c r="AB42" i="72"/>
  <c r="AD52" i="72"/>
  <c r="AB59" i="72"/>
  <c r="AF65" i="72"/>
  <c r="AE65" i="72" s="1"/>
  <c r="AB64" i="72"/>
  <c r="AB65" i="72"/>
  <c r="AB17" i="72"/>
  <c r="AF23" i="72"/>
  <c r="AE23" i="72" s="1"/>
  <c r="AB22" i="72"/>
  <c r="M28" i="72"/>
  <c r="AF48" i="72"/>
  <c r="AE48" i="72" s="1"/>
  <c r="AB47" i="72"/>
  <c r="AB48" i="72"/>
  <c r="AF49" i="72"/>
  <c r="AE49" i="72" s="1"/>
  <c r="AF63" i="72"/>
  <c r="AE63" i="72" s="1"/>
  <c r="AB62" i="72"/>
  <c r="AF24" i="72"/>
  <c r="AE24" i="72" s="1"/>
  <c r="AB28" i="72"/>
  <c r="AF29" i="72"/>
  <c r="AE29" i="72" s="1"/>
  <c r="AB29" i="72"/>
  <c r="AF41" i="72"/>
  <c r="AE41" i="72" s="1"/>
  <c r="AF58" i="72"/>
  <c r="AE58" i="72" s="1"/>
  <c r="AF64" i="72"/>
  <c r="AE64" i="72" s="1"/>
  <c r="AF69" i="72"/>
  <c r="AE69" i="72" s="1"/>
  <c r="AB68" i="72"/>
  <c r="AB69" i="72"/>
  <c r="AF12" i="72"/>
  <c r="AE12" i="72" s="1"/>
  <c r="AB12" i="72"/>
  <c r="AF14" i="72"/>
  <c r="AE14" i="72" s="1"/>
  <c r="AB14" i="72"/>
  <c r="AF27" i="72"/>
  <c r="AE27" i="72" s="1"/>
  <c r="AB26" i="72"/>
  <c r="AF44" i="72"/>
  <c r="AE44" i="72" s="1"/>
  <c r="AB43" i="72"/>
  <c r="AF61" i="72"/>
  <c r="AE61" i="72" s="1"/>
  <c r="AB60" i="72"/>
  <c r="AB27" i="72"/>
  <c r="AF33" i="72"/>
  <c r="AE33" i="72" s="1"/>
  <c r="AB32" i="72"/>
  <c r="AB33" i="72"/>
  <c r="AF67" i="72"/>
  <c r="AE67" i="72" s="1"/>
  <c r="AB66" i="72"/>
  <c r="AB67" i="72"/>
  <c r="AF68" i="72"/>
  <c r="AE68" i="72" s="1"/>
  <c r="AF18" i="72"/>
  <c r="AE18" i="72" s="1"/>
  <c r="AF20" i="72"/>
  <c r="AE20" i="72" s="1"/>
  <c r="AF34" i="72"/>
  <c r="AE34" i="72" s="1"/>
  <c r="AF36" i="72"/>
  <c r="AE36" i="72" s="1"/>
  <c r="AF38" i="72"/>
  <c r="AE38" i="72" s="1"/>
  <c r="AB46" i="72"/>
  <c r="AF53" i="72"/>
  <c r="AE53" i="72" s="1"/>
  <c r="AF55" i="72"/>
  <c r="AE55" i="72" s="1"/>
  <c r="AF57" i="72"/>
  <c r="AE57" i="72" s="1"/>
  <c r="AF39" i="72"/>
  <c r="AE39" i="72" s="1"/>
  <c r="AF52" i="72"/>
  <c r="AE52" i="72" s="1"/>
  <c r="AF54" i="72"/>
  <c r="AE54" i="72" s="1"/>
  <c r="AF56" i="72"/>
  <c r="AE56" i="72" s="1"/>
  <c r="B221" i="68"/>
  <c r="B222" i="68"/>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34" i="89" l="1"/>
  <c r="K40" i="89"/>
  <c r="K46" i="89"/>
  <c r="K52" i="89"/>
  <c r="K58" i="89"/>
  <c r="K64" i="89"/>
  <c r="K16" i="89"/>
  <c r="L16" i="89" s="1"/>
  <c r="K22" i="89"/>
  <c r="L22" i="89" s="1"/>
  <c r="K28" i="89"/>
  <c r="L28" i="89" s="1"/>
  <c r="K10" i="89"/>
  <c r="L10" i="89" s="1"/>
  <c r="AC63" i="72"/>
  <c r="AC36" i="72"/>
  <c r="I33" i="78" s="1"/>
  <c r="AD51" i="72"/>
  <c r="J49" i="78"/>
  <c r="K49" i="78" s="1"/>
  <c r="J52" i="78"/>
  <c r="J35" i="78"/>
  <c r="K35" i="78" s="1"/>
  <c r="J17" i="78"/>
  <c r="K17" i="78" s="1"/>
  <c r="J30" i="78"/>
  <c r="J24" i="78"/>
  <c r="J55" i="78"/>
  <c r="J26" i="78"/>
  <c r="J62" i="78"/>
  <c r="J39" i="78"/>
  <c r="I54" i="78"/>
  <c r="J44" i="78"/>
  <c r="I35" i="78"/>
  <c r="J23" i="78"/>
  <c r="J57" i="78"/>
  <c r="J29" i="78"/>
  <c r="J40" i="78"/>
  <c r="I60" i="78"/>
  <c r="K60" i="78" s="1"/>
  <c r="I15" i="78"/>
  <c r="I20" i="78"/>
  <c r="J36" i="78"/>
  <c r="J33" i="78"/>
  <c r="J41" i="78"/>
  <c r="J66" i="78"/>
  <c r="J60" i="78"/>
  <c r="J28" i="78"/>
  <c r="J47" i="78"/>
  <c r="J56" i="78"/>
  <c r="J12" i="78"/>
  <c r="J19" i="78"/>
  <c r="I17" i="78"/>
  <c r="J42" i="78"/>
  <c r="J32" i="78"/>
  <c r="J59" i="78"/>
  <c r="I51" i="78"/>
  <c r="J53" i="78"/>
  <c r="J50" i="78"/>
  <c r="J15" i="78"/>
  <c r="J58" i="78"/>
  <c r="J9" i="78"/>
  <c r="J38" i="78"/>
  <c r="J51" i="78"/>
  <c r="J54" i="78"/>
  <c r="J31" i="78"/>
  <c r="J65" i="78"/>
  <c r="J64" i="78"/>
  <c r="AD20" i="72"/>
  <c r="J11" i="78"/>
  <c r="J61" i="78"/>
  <c r="J21" i="78"/>
  <c r="J46" i="78"/>
  <c r="J45" i="78"/>
  <c r="I31" i="78"/>
  <c r="J22" i="78"/>
  <c r="J14" i="78"/>
  <c r="AD54" i="72"/>
  <c r="W50" i="74"/>
  <c r="J10" i="78"/>
  <c r="J63" i="78"/>
  <c r="AD23" i="72"/>
  <c r="I36" i="78"/>
  <c r="J16" i="78"/>
  <c r="J34" i="78"/>
  <c r="J27" i="78"/>
  <c r="J48" i="78"/>
  <c r="AC21" i="72"/>
  <c r="AG27" i="74" s="1"/>
  <c r="AC61" i="72"/>
  <c r="AE54" i="74" s="1"/>
  <c r="AD45" i="72"/>
  <c r="AD39" i="72"/>
  <c r="AC55" i="72"/>
  <c r="S33" i="74" s="1"/>
  <c r="W30" i="74"/>
  <c r="K40" i="74"/>
  <c r="AD38" i="72"/>
  <c r="Q50" i="74"/>
  <c r="Q10" i="74"/>
  <c r="AG51" i="72"/>
  <c r="I48" i="78"/>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Q20" i="74"/>
  <c r="AI20" i="74"/>
  <c r="Q30" i="74"/>
  <c r="AC53" i="72"/>
  <c r="AI53" i="74" s="1"/>
  <c r="AG35" i="72"/>
  <c r="I32" i="78"/>
  <c r="K32" i="78" s="1"/>
  <c r="AI10" i="74"/>
  <c r="W20" i="74"/>
  <c r="AC40" i="74"/>
  <c r="AC20" i="74"/>
  <c r="K30" i="74"/>
  <c r="AC30" i="74"/>
  <c r="AI50" i="74"/>
  <c r="AG23" i="72"/>
  <c r="J20" i="78"/>
  <c r="AC19" i="72"/>
  <c r="K10" i="74"/>
  <c r="AC10" i="74"/>
  <c r="AI30" i="74"/>
  <c r="W40" i="74"/>
  <c r="AC50" i="74"/>
  <c r="AD57" i="72"/>
  <c r="W10" i="74"/>
  <c r="K20" i="74"/>
  <c r="Q40" i="74"/>
  <c r="AI40" i="74"/>
  <c r="AJ50" i="74"/>
  <c r="L50" i="74"/>
  <c r="AD50" i="74"/>
  <c r="AJ40" i="74"/>
  <c r="X40" i="74"/>
  <c r="AD40" i="74"/>
  <c r="R40" i="74"/>
  <c r="AJ20" i="74"/>
  <c r="X20" i="74"/>
  <c r="AD10" i="74"/>
  <c r="R10" i="74"/>
  <c r="L30" i="74"/>
  <c r="R30" i="74"/>
  <c r="R20" i="74"/>
  <c r="AJ10" i="74"/>
  <c r="L10" i="74"/>
  <c r="X30" i="74"/>
  <c r="AE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Q43" i="74"/>
  <c r="AI33" i="74"/>
  <c r="Q33" i="74"/>
  <c r="AI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D40" i="72"/>
  <c r="AC40" i="72"/>
  <c r="AD44" i="72"/>
  <c r="AC44" i="72"/>
  <c r="AD35" i="72"/>
  <c r="AC56" i="72"/>
  <c r="AD56" i="72"/>
  <c r="AC37" i="72"/>
  <c r="AD37" i="72"/>
  <c r="AG34" i="72"/>
  <c r="AG36" i="72"/>
  <c r="AD10" i="72"/>
  <c r="AB11" i="72" s="1"/>
  <c r="AC10" i="72"/>
  <c r="AD33" i="72"/>
  <c r="AC33" i="72"/>
  <c r="AC26" i="72"/>
  <c r="AD26" i="72"/>
  <c r="AD66" i="72"/>
  <c r="AC66" i="72"/>
  <c r="AD12" i="72"/>
  <c r="AC12" i="72"/>
  <c r="AD29" i="72"/>
  <c r="AC29" i="72"/>
  <c r="AG57" i="72"/>
  <c r="AG53" i="72"/>
  <c r="AC41" i="72"/>
  <c r="AD41" i="72"/>
  <c r="AC17" i="72"/>
  <c r="AD17" i="72"/>
  <c r="AD32" i="72"/>
  <c r="AC32" i="72"/>
  <c r="AC43" i="72"/>
  <c r="AD43" i="72"/>
  <c r="AD69" i="72"/>
  <c r="AC69" i="72"/>
  <c r="AD28" i="72"/>
  <c r="AC28" i="72"/>
  <c r="AD65" i="72"/>
  <c r="AC65" i="72"/>
  <c r="AD42" i="72"/>
  <c r="AC42" i="72"/>
  <c r="AD50" i="72"/>
  <c r="AC50" i="72"/>
  <c r="AD15" i="72"/>
  <c r="AC15" i="72"/>
  <c r="AC58" i="72"/>
  <c r="AD58" i="72"/>
  <c r="AC60" i="72"/>
  <c r="AD60" i="72"/>
  <c r="AC46" i="72"/>
  <c r="AD46" i="72"/>
  <c r="AD68" i="72"/>
  <c r="AC68" i="72"/>
  <c r="AG38" i="72"/>
  <c r="AD48" i="72"/>
  <c r="AC48" i="72"/>
  <c r="AD64" i="72"/>
  <c r="AC64" i="72"/>
  <c r="AD25" i="72"/>
  <c r="AC25" i="72"/>
  <c r="AD49" i="72"/>
  <c r="AC49" i="72"/>
  <c r="AC24" i="72"/>
  <c r="AD24" i="72"/>
  <c r="AD13" i="72"/>
  <c r="AC13" i="72"/>
  <c r="AC62" i="72"/>
  <c r="AD62" i="72"/>
  <c r="AD47" i="72"/>
  <c r="AC47" i="72"/>
  <c r="O52" i="72"/>
  <c r="P52" i="72" s="1"/>
  <c r="O16" i="72"/>
  <c r="P16" i="72" s="1"/>
  <c r="O58" i="72"/>
  <c r="P58" i="72" s="1"/>
  <c r="O22" i="72"/>
  <c r="P22" i="72" s="1"/>
  <c r="O64" i="72"/>
  <c r="P64" i="72" s="1"/>
  <c r="O46" i="72"/>
  <c r="P46" i="72" s="1"/>
  <c r="O10" i="72"/>
  <c r="P10" i="72" s="1"/>
  <c r="O28" i="72"/>
  <c r="P28" i="72" s="1"/>
  <c r="O40" i="72"/>
  <c r="P40" i="72" s="1"/>
  <c r="O34" i="72"/>
  <c r="P34" i="72" s="1"/>
  <c r="AD30" i="72"/>
  <c r="AC30" i="72"/>
  <c r="AC16" i="72"/>
  <c r="AD16" i="72"/>
  <c r="AD27" i="72"/>
  <c r="AC27" i="72"/>
  <c r="AD14" i="72"/>
  <c r="AC14" i="72"/>
  <c r="AD67" i="72"/>
  <c r="AC67" i="72"/>
  <c r="AC22" i="72"/>
  <c r="AD22" i="72"/>
  <c r="AD59" i="72"/>
  <c r="AC59" i="72"/>
  <c r="AD31" i="72"/>
  <c r="AC31" i="72"/>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I23" i="74" l="1"/>
  <c r="K53" i="74"/>
  <c r="S54" i="74"/>
  <c r="K54" i="78"/>
  <c r="AK34" i="74"/>
  <c r="K13" i="74"/>
  <c r="W53" i="74"/>
  <c r="O17" i="74"/>
  <c r="U27" i="74"/>
  <c r="AC33" i="74"/>
  <c r="M24" i="74"/>
  <c r="S24" i="74"/>
  <c r="AM27" i="74"/>
  <c r="AG21" i="72"/>
  <c r="O27" i="74"/>
  <c r="AA37" i="74"/>
  <c r="Q23" i="74"/>
  <c r="Q53" i="74"/>
  <c r="AM17" i="74"/>
  <c r="AG37" i="74"/>
  <c r="AA7" i="74"/>
  <c r="U47" i="74"/>
  <c r="U7" i="74"/>
  <c r="AG47" i="74"/>
  <c r="O37" i="74"/>
  <c r="AC13" i="74"/>
  <c r="W43" i="74"/>
  <c r="AA47" i="74"/>
  <c r="AM7" i="74"/>
  <c r="O7" i="74"/>
  <c r="U17" i="74"/>
  <c r="AA17" i="74"/>
  <c r="K23" i="74"/>
  <c r="K33" i="74"/>
  <c r="AM37" i="74"/>
  <c r="I18" i="78"/>
  <c r="K18" i="78" s="1"/>
  <c r="AG7" i="74"/>
  <c r="AM47" i="74"/>
  <c r="U37" i="74"/>
  <c r="K36" i="78"/>
  <c r="AG17" i="74"/>
  <c r="AA27" i="74"/>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B38" i="65"/>
  <c r="P38" i="65"/>
  <c r="AB30" i="65"/>
  <c r="P30" i="65"/>
  <c r="AB22" i="65"/>
  <c r="P22" i="65"/>
  <c r="AB14" i="65"/>
  <c r="P14" i="65"/>
  <c r="AB6" i="65"/>
  <c r="P6" i="65"/>
  <c r="AH22" i="65"/>
  <c r="J14" i="65"/>
  <c r="AH6" i="65"/>
  <c r="V38" i="65"/>
  <c r="J30" i="65"/>
  <c r="J22" i="65"/>
  <c r="V14" i="65"/>
  <c r="V6" i="65"/>
  <c r="AH38" i="65"/>
  <c r="J38" i="65"/>
  <c r="AH30" i="65"/>
  <c r="V30" i="65"/>
  <c r="V22" i="65"/>
  <c r="AH14" i="65"/>
  <c r="J6" i="65"/>
  <c r="AH40" i="65"/>
  <c r="V40" i="65"/>
  <c r="J40" i="65"/>
  <c r="AH32" i="65"/>
  <c r="V32" i="65"/>
  <c r="J32" i="65"/>
  <c r="AH24" i="65"/>
  <c r="V24" i="65"/>
  <c r="J24" i="65"/>
  <c r="AH16" i="65"/>
  <c r="V16" i="65"/>
  <c r="J16" i="65"/>
  <c r="AH8" i="65"/>
  <c r="V8" i="65"/>
  <c r="J8" i="65"/>
  <c r="AB8" i="65"/>
  <c r="AB40" i="65"/>
  <c r="AB32" i="65"/>
  <c r="P32" i="65"/>
  <c r="AB24" i="65"/>
  <c r="P24" i="65"/>
  <c r="AB16" i="65"/>
  <c r="P16" i="65"/>
  <c r="P40" i="65"/>
  <c r="P8" i="65"/>
  <c r="AD38" i="65"/>
  <c r="R38" i="65"/>
  <c r="AD30" i="65"/>
  <c r="R30" i="65"/>
  <c r="AD22" i="65"/>
  <c r="AD6" i="65"/>
  <c r="R14" i="65"/>
  <c r="R6" i="65"/>
  <c r="AD14" i="65"/>
  <c r="AJ38" i="65"/>
  <c r="X38" i="65"/>
  <c r="L38" i="65"/>
  <c r="AJ30" i="65"/>
  <c r="X30" i="65"/>
  <c r="L30" i="65"/>
  <c r="AJ22" i="65"/>
  <c r="X22" i="65"/>
  <c r="L22" i="65"/>
  <c r="AJ14" i="65"/>
  <c r="X14" i="65"/>
  <c r="L14" i="65"/>
  <c r="AJ6" i="65"/>
  <c r="X6" i="65"/>
  <c r="L6" i="65"/>
  <c r="R22" i="65"/>
  <c r="K33" i="78"/>
  <c r="P14" i="90"/>
  <c r="G7" i="92"/>
  <c r="H7" i="92" s="1"/>
  <c r="V38" i="90"/>
  <c r="V22" i="90"/>
  <c r="V6" i="90"/>
  <c r="P6" i="90"/>
  <c r="P38" i="90"/>
  <c r="J38" i="90"/>
  <c r="M10" i="89"/>
  <c r="AH30" i="90"/>
  <c r="AH14" i="90"/>
  <c r="AB38" i="90"/>
  <c r="AB6" i="90"/>
  <c r="J6" i="90"/>
  <c r="V30" i="90"/>
  <c r="V14" i="90"/>
  <c r="AB14" i="90"/>
  <c r="N10" i="89"/>
  <c r="AH38" i="90"/>
  <c r="P30" i="90"/>
  <c r="AB30" i="90"/>
  <c r="J30" i="90"/>
  <c r="J14" i="90"/>
  <c r="P22" i="90"/>
  <c r="AB22" i="90"/>
  <c r="AH22" i="90"/>
  <c r="J22" i="90"/>
  <c r="AH6" i="90"/>
  <c r="G25" i="92"/>
  <c r="H25" i="92" s="1"/>
  <c r="AB40" i="90"/>
  <c r="AB16" i="90"/>
  <c r="AH24" i="90"/>
  <c r="J32" i="90"/>
  <c r="P40" i="90"/>
  <c r="N28" i="89"/>
  <c r="AB32" i="90"/>
  <c r="AB8" i="90"/>
  <c r="V40" i="90"/>
  <c r="J8" i="90"/>
  <c r="AH8" i="90"/>
  <c r="AH32" i="90"/>
  <c r="P32" i="90"/>
  <c r="P8" i="90"/>
  <c r="V16" i="90"/>
  <c r="P24" i="90"/>
  <c r="P16" i="90"/>
  <c r="V32" i="90"/>
  <c r="AB24" i="90"/>
  <c r="V24" i="90"/>
  <c r="J24" i="90"/>
  <c r="AH40" i="90"/>
  <c r="M28" i="89"/>
  <c r="AH16" i="90"/>
  <c r="J40" i="90"/>
  <c r="V8" i="90"/>
  <c r="J16" i="90"/>
  <c r="G19" i="92"/>
  <c r="H19" i="92" s="1"/>
  <c r="AF14" i="90"/>
  <c r="AL30" i="90"/>
  <c r="Z6" i="90"/>
  <c r="AL38" i="90"/>
  <c r="N38" i="90"/>
  <c r="N22" i="90"/>
  <c r="AF38" i="90"/>
  <c r="T22" i="90"/>
  <c r="N30" i="90"/>
  <c r="AL6" i="90"/>
  <c r="Z22" i="90"/>
  <c r="T14" i="90"/>
  <c r="Z38" i="90"/>
  <c r="AF6" i="90"/>
  <c r="AL14" i="90"/>
  <c r="AF30" i="90"/>
  <c r="T6" i="90"/>
  <c r="T38" i="90"/>
  <c r="T30" i="90"/>
  <c r="Z30" i="90"/>
  <c r="AF22" i="90"/>
  <c r="M22" i="89"/>
  <c r="N22" i="89"/>
  <c r="N6" i="90"/>
  <c r="N14" i="90"/>
  <c r="Z14" i="90"/>
  <c r="AL22" i="90"/>
  <c r="G13" i="92"/>
  <c r="H13" i="92" s="1"/>
  <c r="L22" i="90"/>
  <c r="AJ30" i="90"/>
  <c r="X6" i="90"/>
  <c r="AD22" i="90"/>
  <c r="X38" i="90"/>
  <c r="X22" i="90"/>
  <c r="M16" i="89"/>
  <c r="R38" i="90"/>
  <c r="AD14" i="90"/>
  <c r="AJ6" i="90"/>
  <c r="AJ38" i="90"/>
  <c r="AD6" i="90"/>
  <c r="L38" i="90"/>
  <c r="R6" i="90"/>
  <c r="R30" i="90"/>
  <c r="R14" i="90"/>
  <c r="L30" i="90"/>
  <c r="R22" i="90"/>
  <c r="AJ22" i="90"/>
  <c r="L14" i="90"/>
  <c r="N16" i="89"/>
  <c r="X30" i="90"/>
  <c r="L6" i="90"/>
  <c r="AD38" i="90"/>
  <c r="AJ14" i="90"/>
  <c r="X14" i="90"/>
  <c r="AD30" i="90"/>
  <c r="M53" i="74"/>
  <c r="Y24" i="74"/>
  <c r="Y34" i="74"/>
  <c r="X10" i="74"/>
  <c r="AD20" i="74"/>
  <c r="AJ30" i="74"/>
  <c r="L20" i="74"/>
  <c r="AD30" i="74"/>
  <c r="L40" i="74"/>
  <c r="R50" i="74"/>
  <c r="X50" i="74"/>
  <c r="K42" i="78"/>
  <c r="K15" i="78"/>
  <c r="K20" i="78"/>
  <c r="K31" i="78"/>
  <c r="S23" i="74"/>
  <c r="Y53" i="74"/>
  <c r="Y23" i="74"/>
  <c r="K51" i="78"/>
  <c r="AG55" i="72"/>
  <c r="AK23" i="74"/>
  <c r="AK43" i="74"/>
  <c r="K48" i="78"/>
  <c r="AM38" i="74"/>
  <c r="I10" i="78"/>
  <c r="K10" i="78" s="1"/>
  <c r="R28" i="74"/>
  <c r="AK48" i="74"/>
  <c r="AJ44" i="74"/>
  <c r="I12" i="78"/>
  <c r="K12" i="78" s="1"/>
  <c r="Q35" i="74"/>
  <c r="I9" i="78"/>
  <c r="K9" i="78" s="1"/>
  <c r="AG49" i="74"/>
  <c r="N53" i="74"/>
  <c r="I52" i="78"/>
  <c r="K52" i="78" s="1"/>
  <c r="I58" i="78"/>
  <c r="K58" i="78" s="1"/>
  <c r="AC44" i="74"/>
  <c r="AB38" i="74"/>
  <c r="I11" i="78"/>
  <c r="K11" i="78" s="1"/>
  <c r="W52" i="74"/>
  <c r="Y32" i="74"/>
  <c r="X52" i="74"/>
  <c r="T45" i="74"/>
  <c r="L51" i="74"/>
  <c r="AG35" i="74"/>
  <c r="Y41" i="74"/>
  <c r="AC31" i="74"/>
  <c r="AI49" i="74"/>
  <c r="Q13" i="74"/>
  <c r="W23" i="74"/>
  <c r="W13" i="74"/>
  <c r="AC23" i="74"/>
  <c r="K43" i="74"/>
  <c r="W33" i="74"/>
  <c r="AC43" i="74"/>
  <c r="AC53" i="74"/>
  <c r="O47" i="74"/>
  <c r="M49" i="74"/>
  <c r="M45" i="74"/>
  <c r="AL42" i="74"/>
  <c r="AL49" i="74"/>
  <c r="R55" i="74"/>
  <c r="I7" i="78"/>
  <c r="I50" i="78"/>
  <c r="K50" i="78" s="1"/>
  <c r="G31" i="78"/>
  <c r="H31" i="78" s="1"/>
  <c r="G19" i="78"/>
  <c r="H19" i="78" s="1"/>
  <c r="G37" i="78"/>
  <c r="H37" i="78" s="1"/>
  <c r="G55" i="78"/>
  <c r="H55" i="78" s="1"/>
  <c r="G25" i="78"/>
  <c r="H25" i="78" s="1"/>
  <c r="G13" i="78"/>
  <c r="H13" i="78" s="1"/>
  <c r="G49" i="78"/>
  <c r="H49" i="78" s="1"/>
  <c r="G7" i="78"/>
  <c r="H7" i="78" s="1"/>
  <c r="G43" i="78"/>
  <c r="H43" i="78" s="1"/>
  <c r="G61" i="78"/>
  <c r="H61" i="78" s="1"/>
  <c r="AE23" i="74"/>
  <c r="M33" i="74"/>
  <c r="AE33" i="74"/>
  <c r="AK53" i="74"/>
  <c r="AK24" i="74"/>
  <c r="S34" i="74"/>
  <c r="S44" i="74"/>
  <c r="M54" i="74"/>
  <c r="S13" i="74"/>
  <c r="Y33" i="74"/>
  <c r="M43" i="74"/>
  <c r="S53" i="74"/>
  <c r="M14" i="74"/>
  <c r="AE34" i="74"/>
  <c r="AE44" i="74"/>
  <c r="Y54" i="74"/>
  <c r="M13" i="74"/>
  <c r="AE13" i="74"/>
  <c r="AK33" i="74"/>
  <c r="Y43" i="74"/>
  <c r="AE53" i="74"/>
  <c r="S14" i="74"/>
  <c r="Y14" i="74"/>
  <c r="M44" i="74"/>
  <c r="Y44" i="74"/>
  <c r="AK54" i="74"/>
  <c r="Y13" i="74"/>
  <c r="M23" i="74"/>
  <c r="S43" i="74"/>
  <c r="AE43" i="74"/>
  <c r="AE14" i="74"/>
  <c r="AK14" i="74"/>
  <c r="M34" i="74"/>
  <c r="AK44" i="74"/>
  <c r="AG61" i="72"/>
  <c r="AL33" i="74"/>
  <c r="Z13" i="74"/>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G12" i="72"/>
  <c r="L6" i="74"/>
  <c r="R46" i="72"/>
  <c r="Q46" i="72"/>
  <c r="Q34" i="72"/>
  <c r="R34" i="72"/>
  <c r="Q22" i="72"/>
  <c r="R22" i="72"/>
  <c r="Q58" i="72"/>
  <c r="R58" i="72"/>
  <c r="Q40" i="72"/>
  <c r="R40" i="72"/>
  <c r="Q28" i="72"/>
  <c r="R28" i="72"/>
  <c r="R16" i="72"/>
  <c r="Q16" i="72"/>
  <c r="Q64" i="72"/>
  <c r="R64" i="72"/>
  <c r="R10" i="72"/>
  <c r="Q10" i="72"/>
  <c r="AF10" i="72" s="1"/>
  <c r="R52" i="72"/>
  <c r="Q52" i="72"/>
  <c r="AD11" i="72"/>
  <c r="AC11" i="72"/>
  <c r="AD13" i="55"/>
  <c r="AD15" i="55"/>
  <c r="X14" i="55"/>
  <c r="AB14" i="55" s="1"/>
  <c r="AC14" i="55" s="1"/>
  <c r="BM12" i="54"/>
  <c r="BJ11" i="54"/>
  <c r="BH11" i="54" s="1"/>
  <c r="I11" i="54"/>
  <c r="K11" i="54"/>
  <c r="M11" i="54"/>
  <c r="O11" i="54"/>
  <c r="Q11" i="54"/>
  <c r="I13" i="54"/>
  <c r="K13" i="54"/>
  <c r="M13" i="54"/>
  <c r="O13" i="54"/>
  <c r="Q13" i="54"/>
  <c r="I8" i="78" l="1"/>
  <c r="R13" i="54"/>
  <c r="S13" i="54" s="1"/>
  <c r="AL6" i="74"/>
  <c r="AF6" i="74"/>
  <c r="N6" i="74"/>
  <c r="Z6" i="74"/>
  <c r="T6" i="74"/>
  <c r="U6" i="74"/>
  <c r="AM6" i="74"/>
  <c r="O6" i="74"/>
  <c r="AA6" i="74"/>
  <c r="AG6" i="74"/>
  <c r="AE10" i="72"/>
  <c r="AF11" i="72"/>
  <c r="AE11" i="72" s="1"/>
  <c r="BL11" i="54"/>
  <c r="BK11" i="54" s="1"/>
  <c r="R11" i="54"/>
  <c r="S11" i="54" s="1"/>
  <c r="J7" i="78" l="1"/>
  <c r="K7" i="78"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K11" i="55"/>
  <c r="AL11"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P9" i="74" l="1"/>
  <c r="P6" i="74"/>
  <c r="AH6" i="74"/>
  <c r="V6" i="74"/>
  <c r="W6" i="74" l="1"/>
  <c r="R6" i="74" l="1"/>
  <c r="AJ6" i="74"/>
  <c r="AD6" i="74"/>
  <c r="X6" i="74"/>
  <c r="AC6" i="74"/>
  <c r="AI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 ref="G16" authorId="0" shapeId="0" xr:uid="{00000000-0006-0000-0400-000002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 ref="G22" authorId="0" shapeId="0" xr:uid="{00000000-0006-0000-0400-000003000000}">
      <text>
        <r>
          <rPr>
            <sz val="11"/>
            <color indexed="81"/>
            <rFont val="Tahoma"/>
            <family val="2"/>
          </rPr>
          <t>Se determinó que la cantidad de veces que se puede pasar por el punto de riesgo en el periodo de 1 año es 2  teniendo en cuenta que se pagan dos tipos de impuestos anuales 1 vehicular y 1 predial.</t>
        </r>
      </text>
    </comment>
    <comment ref="G28" authorId="0" shapeId="0" xr:uid="{00000000-0006-0000-0400-000004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3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<sst xmlns="http://schemas.openxmlformats.org/spreadsheetml/2006/main" count="2983" uniqueCount="1321">
  <si>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</si>
  <si>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</si>
  <si>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</si>
  <si>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</si>
  <si>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</si>
  <si>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</si>
  <si>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</si>
  <si>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</si>
  <si>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</si>
  <si>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</si>
  <si>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</si>
  <si>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</si>
  <si>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</si>
  <si>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</si>
  <si>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</si>
  <si>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</si>
  <si>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</si>
  <si>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</si>
  <si>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</si>
  <si>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</si>
  <si>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</si>
  <si>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</si>
  <si>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</si>
  <si>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</si>
  <si>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</si>
  <si>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</si>
  <si>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</si>
  <si>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</si>
  <si>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</si>
  <si>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</si>
  <si>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</si>
  <si>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</si>
  <si>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</si>
  <si>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</si>
  <si>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</si>
  <si>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</si>
  <si>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</si>
  <si>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</si>
  <si>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</si>
  <si>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</si>
  <si>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</si>
  <si>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</si>
  <si>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</si>
  <si>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</si>
  <si>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</si>
  <si>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</si>
  <si>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</si>
  <si>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</si>
  <si>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</si>
  <si>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</si>
  <si>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</si>
  <si>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</si>
  <si>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</si>
  <si>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</si>
  <si>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</si>
  <si>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</si>
  <si>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</si>
  <si>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</si>
  <si>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</si>
  <si>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</si>
  <si>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</si>
  <si>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</si>
  <si>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</si>
  <si>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</si>
  <si>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</si>
  <si>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</si>
  <si>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</si>
  <si>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</si>
  <si>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</si>
  <si>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</si>
  <si>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</si>
  <si>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</si>
  <si>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</si>
  <si>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</si>
  <si>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</si>
  <si>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</si>
  <si>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</si>
  <si>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</si>
  <si>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</si>
  <si>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</si>
  <si>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</si>
  <si>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</si>
  <si>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</si>
  <si>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</si>
  <si>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</si>
  <si>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</si>
  <si>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</si>
  <si>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</si>
  <si>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</si>
  <si>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</si>
  <si>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</si>
  <si>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</si>
  <si>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</si>
  <si>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</si>
  <si>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</si>
  <si>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</si>
  <si>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</si>
  <si>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</si>
  <si>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</si>
  <si>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</si>
  <si>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</si>
  <si>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</si>
  <si>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</si>
  <si>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</si>
  <si>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</si>
  <si>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</si>
  <si>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</si>
  <si>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</si>
  <si>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</si>
  <si>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</si>
  <si>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</si>
  <si>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</si>
  <si>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</si>
  <si>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</si>
  <si>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</si>
  <si>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</si>
  <si>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</si>
  <si>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</si>
  <si>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</si>
  <si>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</si>
  <si>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</si>
  <si>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</si>
  <si>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</si>
  <si>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</si>
  <si>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</si>
  <si>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</si>
  <si>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</si>
  <si>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</si>
  <si>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</si>
  <si>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</si>
  <si>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</si>
  <si>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</si>
  <si>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</si>
  <si>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</si>
  <si>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</si>
  <si>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</si>
  <si>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</si>
  <si>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</si>
  <si>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</si>
  <si>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</si>
  <si>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</si>
  <si>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</si>
  <si>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</si>
  <si>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</si>
  <si>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</si>
  <si>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</si>
  <si>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</si>
  <si>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</si>
  <si>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</si>
  <si>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</si>
  <si>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</si>
  <si>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</si>
  <si>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</si>
  <si>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</si>
  <si>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</si>
  <si>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</si>
  <si>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</si>
  <si>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</si>
  <si>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</si>
  <si>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</si>
  <si>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</si>
  <si>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</si>
  <si>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</si>
  <si>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</si>
  <si>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</si>
  <si>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</si>
  <si>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</si>
  <si>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</si>
  <si>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</si>
  <si>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</si>
  <si>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</si>
  <si>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</si>
  <si>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</si>
  <si>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</si>
  <si>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</si>
  <si>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</si>
  <si>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</si>
  <si>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</si>
  <si>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</si>
  <si>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</si>
  <si>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</si>
  <si>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</si>
  <si>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</si>
  <si>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</si>
  <si>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</si>
  <si>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</si>
  <si>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</si>
  <si>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</si>
  <si>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</si>
  <si>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</si>
  <si>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</si>
  <si>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</si>
  <si>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</si>
  <si>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</si>
  <si>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</si>
  <si>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</si>
  <si>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</si>
  <si>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</si>
  <si>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</si>
  <si>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</si>
  <si>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</si>
  <si>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</si>
  <si>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</si>
  <si>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</si>
  <si>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</si>
  <si>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</si>
  <si>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</si>
  <si>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</si>
  <si>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</si>
  <si>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</si>
  <si>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</si>
  <si>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</si>
  <si>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</si>
  <si>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</si>
  <si>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</si>
  <si>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</si>
  <si>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</si>
  <si>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</si>
  <si>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</si>
  <si>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</si>
  <si>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</si>
  <si>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</si>
  <si>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</si>
  <si>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</si>
  <si>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</si>
  <si>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</si>
  <si>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</si>
  <si>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</si>
  <si>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</si>
  <si>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</si>
  <si>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</si>
  <si>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</si>
  <si>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</si>
  <si>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</si>
  <si>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</si>
  <si>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</si>
  <si>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</si>
  <si>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</si>
  <si>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</si>
  <si>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</si>
  <si>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</si>
  <si>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</si>
  <si>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</si>
  <si>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</si>
  <si>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</si>
  <si>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</si>
  <si>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</si>
  <si>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</si>
  <si>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</si>
  <si>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</si>
  <si>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</si>
  <si>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</si>
  <si>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</si>
  <si>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</si>
  <si>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</si>
  <si>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</si>
  <si>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</si>
  <si>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</si>
  <si>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</si>
  <si>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</si>
  <si>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</si>
  <si>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</si>
  <si>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</si>
  <si>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</si>
  <si>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</si>
  <si>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</si>
  <si>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</si>
  <si>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</si>
  <si>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</si>
  <si>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</si>
  <si>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</si>
  <si>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</si>
  <si>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</si>
  <si>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</si>
  <si>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</si>
  <si>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</si>
  <si>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</si>
  <si>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</si>
  <si>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</si>
  <si>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</si>
  <si>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</si>
  <si>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</si>
  <si>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</si>
  <si>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</si>
  <si>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</si>
  <si>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</si>
  <si>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</si>
  <si>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</si>
  <si>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</si>
  <si>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</si>
  <si>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</si>
  <si>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</si>
  <si>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</si>
  <si>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</si>
  <si>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</si>
  <si>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</si>
  <si>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</si>
  <si>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</si>
  <si>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</si>
  <si>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</si>
  <si>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</si>
  <si>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</si>
  <si>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</si>
  <si>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</si>
  <si>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</si>
  <si>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</si>
  <si>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</si>
  <si>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</si>
  <si>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</si>
  <si>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</si>
  <si>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</si>
  <si>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</si>
  <si>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</si>
  <si>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</si>
  <si>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</si>
  <si>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</si>
  <si>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</si>
  <si>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</si>
  <si>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</si>
  <si>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</si>
  <si>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</si>
  <si>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</si>
  <si>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</si>
  <si>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</si>
  <si>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</si>
  <si>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</si>
  <si>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</si>
  <si>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</si>
  <si>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</si>
  <si>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</si>
  <si>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</si>
  <si>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</si>
  <si>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</si>
  <si>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</si>
  <si>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</si>
  <si>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</si>
  <si>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</si>
  <si>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</si>
  <si>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</si>
  <si>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</si>
  <si>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</si>
  <si>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</si>
  <si>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</si>
  <si>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</si>
  <si>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</si>
  <si>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</si>
  <si>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</si>
  <si>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</si>
  <si>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</si>
  <si>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</si>
  <si>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</si>
  <si>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</si>
  <si>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</si>
  <si>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</si>
  <si>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</si>
  <si>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</si>
  <si>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</si>
  <si>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</si>
  <si>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</si>
  <si>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</si>
  <si>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</si>
  <si>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</si>
  <si>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</si>
  <si>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</si>
  <si>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</si>
  <si>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</si>
  <si>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</si>
  <si>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</si>
  <si>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</si>
  <si>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</si>
  <si>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</si>
  <si>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</si>
  <si>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</si>
  <si>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</si>
  <si>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</si>
  <si>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</si>
  <si>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</si>
  <si>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</si>
  <si>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</si>
  <si>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</si>
  <si>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</si>
  <si>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</si>
  <si>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</si>
  <si>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</si>
  <si>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</si>
  <si>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</si>
  <si>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</si>
  <si>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</si>
  <si>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</si>
  <si>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</si>
  <si>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</si>
  <si>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</si>
  <si>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</si>
  <si>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</si>
  <si>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</si>
  <si>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</si>
  <si>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</si>
  <si>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</si>
  <si>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</si>
  <si>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</si>
  <si>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</si>
  <si>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</si>
  <si>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</si>
  <si>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</si>
  <si>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</si>
  <si>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</si>
  <si>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</si>
  <si>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</si>
  <si>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</si>
  <si>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</si>
  <si>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</si>
  <si>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</si>
  <si>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</si>
  <si>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</si>
  <si>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</si>
  <si>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</si>
  <si>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</si>
  <si>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</si>
  <si>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</si>
  <si>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</si>
  <si>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</si>
  <si>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</si>
  <si>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</si>
  <si>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</si>
  <si>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</si>
  <si>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</si>
  <si>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</si>
  <si>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</si>
  <si>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</si>
  <si>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</si>
  <si>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</si>
  <si>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</si>
  <si>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</si>
  <si>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</si>
  <si>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</si>
  <si>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</si>
  <si>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</si>
  <si>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</si>
  <si>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</si>
  <si>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</si>
  <si>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</si>
  <si>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</si>
  <si>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</si>
  <si>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</si>
  <si>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</si>
  <si>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</si>
  <si>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</si>
  <si>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</si>
  <si>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</si>
  <si>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</si>
  <si>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</si>
  <si>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</si>
  <si>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</si>
  <si>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</si>
  <si>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</si>
  <si>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</si>
  <si>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</si>
  <si>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</si>
  <si>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</si>
  <si>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</si>
  <si>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</si>
  <si>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</si>
  <si>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</si>
  <si>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</si>
  <si>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</si>
  <si>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</si>
  <si>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</si>
  <si>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</si>
  <si>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</si>
  <si>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</si>
  <si>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</si>
  <si>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</si>
  <si>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</si>
  <si>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</si>
  <si>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</si>
  <si>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</si>
  <si>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</si>
  <si>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</si>
  <si>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</si>
  <si>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</si>
  <si>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</si>
  <si>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</si>
  <si>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</si>
  <si>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</si>
  <si>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</si>
  <si>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</si>
  <si>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</si>
  <si>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</si>
  <si>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</si>
  <si>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</si>
  <si>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</si>
  <si>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</si>
  <si>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</si>
  <si>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</si>
  <si>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</si>
  <si>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</si>
  <si>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</si>
  <si>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</si>
  <si>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</si>
  <si>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</si>
  <si>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</si>
  <si>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</si>
  <si>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</si>
  <si>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</si>
  <si>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</si>
  <si>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</si>
  <si>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</si>
  <si>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</si>
  <si>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</si>
  <si>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</si>
  <si>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</si>
  <si>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</si>
  <si>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</si>
  <si>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</si>
  <si>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</si>
  <si>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</si>
  <si>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</si>
  <si>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</si>
  <si>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</si>
  <si>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</si>
  <si>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</si>
  <si>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</si>
  <si>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</si>
  <si>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</si>
  <si>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</si>
  <si>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</si>
  <si>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</si>
  <si>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</si>
  <si>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</si>
  <si>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</si>
  <si>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</si>
  <si>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</si>
  <si>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</si>
  <si>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</si>
  <si>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</si>
  <si>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</si>
  <si>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</si>
  <si>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</si>
  <si>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</si>
  <si>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</si>
  <si>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</si>
  <si>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</si>
  <si>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</si>
  <si>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</si>
  <si>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</si>
  <si>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</si>
  <si>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</si>
  <si>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</si>
  <si>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</si>
  <si>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</si>
  <si>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</si>
  <si>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</si>
  <si>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</si>
  <si>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</si>
  <si>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</si>
  <si>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</si>
  <si>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</si>
  <si>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</si>
  <si>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</si>
  <si>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</si>
  <si>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</si>
  <si>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</si>
  <si>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</si>
  <si>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</si>
  <si>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</si>
  <si>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</si>
  <si>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</si>
  <si>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</si>
  <si>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</si>
  <si>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</si>
  <si>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</si>
  <si>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</si>
  <si>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</si>
  <si>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</si>
  <si>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</si>
  <si>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</si>
  <si>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</si>
  <si>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</si>
  <si>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</si>
  <si>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</si>
  <si>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</si>
  <si>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</si>
  <si>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</si>
  <si>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</si>
  <si>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</si>
  <si>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</si>
  <si>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</si>
  <si>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</si>
  <si>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</si>
  <si>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</si>
  <si>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</si>
  <si>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</si>
  <si>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</si>
  <si>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</si>
  <si>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</si>
  <si>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</si>
  <si>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</si>
  <si>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</si>
  <si>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</si>
  <si>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</si>
  <si>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</si>
  <si>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</si>
  <si>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</si>
  <si>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</si>
  <si>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</si>
  <si>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</si>
  <si>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</si>
  <si>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</si>
  <si>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</si>
  <si>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</si>
  <si>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</si>
  <si>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</si>
  <si>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</si>
  <si>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</si>
  <si>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</si>
  <si>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</si>
  <si>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</si>
  <si>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</si>
  <si>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</si>
  <si>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</si>
  <si>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</si>
  <si>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</si>
  <si>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</si>
  <si>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</si>
  <si>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</si>
  <si>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</si>
  <si>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</si>
  <si>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</si>
  <si>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</si>
  <si>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</si>
  <si>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</si>
  <si>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</si>
  <si>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</si>
  <si>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</si>
  <si>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</si>
  <si>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</si>
  <si>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</si>
  <si>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</si>
  <si>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</si>
  <si>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</si>
  <si>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</si>
  <si>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</si>
  <si>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</si>
  <si>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</si>
  <si>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</si>
  <si>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</si>
  <si>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</si>
  <si>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</si>
  <si>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</si>
  <si>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</si>
  <si>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</si>
  <si>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</si>
  <si>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</si>
  <si>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</si>
  <si>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</si>
  <si>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</si>
  <si>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</si>
  <si>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</si>
  <si>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</si>
  <si>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</si>
  <si>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</si>
  <si>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</si>
  <si>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</si>
  <si>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</si>
  <si>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</si>
  <si>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</si>
  <si>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</si>
  <si>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</si>
  <si>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</si>
  <si>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</si>
  <si>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</si>
  <si>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</si>
  <si>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</si>
  <si>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</si>
  <si>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</si>
  <si>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</si>
  <si>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</si>
  <si>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</si>
  <si>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</si>
  <si>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</si>
  <si>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</si>
  <si>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</si>
  <si>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</si>
  <si>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</si>
  <si>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</si>
  <si>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</si>
  <si>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</si>
  <si>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</si>
  <si>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</si>
  <si>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</si>
  <si>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</si>
  <si>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</si>
  <si>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</si>
  <si>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</si>
  <si>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</si>
  <si>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</si>
  <si>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</si>
  <si>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</si>
  <si>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</si>
  <si>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</si>
  <si>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</si>
  <si>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</si>
  <si>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</si>
  <si>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</si>
  <si>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</si>
  <si>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</si>
  <si>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</si>
  <si>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</si>
  <si>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</si>
  <si>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</si>
  <si>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</si>
  <si>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</si>
  <si>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</si>
  <si>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</si>
  <si>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</si>
  <si>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</si>
  <si>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</si>
  <si>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</si>
  <si>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</si>
  <si>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</si>
  <si>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</si>
  <si>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</si>
  <si>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</si>
  <si>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</si>
  <si>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</si>
  <si>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</si>
  <si>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</si>
  <si>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</si>
  <si>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</si>
  <si>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</si>
  <si>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</si>
  <si>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</si>
  <si>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</si>
  <si>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</si>
  <si>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</si>
  <si>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</si>
  <si>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</si>
  <si>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</si>
  <si>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</si>
  <si>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</si>
  <si>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</si>
  <si>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</si>
  <si>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</si>
  <si>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</si>
  <si>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</si>
  <si>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</si>
  <si>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</si>
  <si>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</si>
  <si>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</si>
  <si>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</si>
  <si>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</si>
  <si>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</si>
  <si>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</si>
  <si>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</si>
  <si>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</si>
  <si>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</si>
  <si>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</si>
  <si>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</si>
  <si>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</si>
  <si>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</si>
  <si>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</si>
  <si>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</si>
  <si>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</si>
  <si>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</si>
  <si>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</si>
  <si>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</si>
  <si>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</si>
  <si>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</si>
  <si>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</si>
  <si>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</si>
  <si>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</si>
  <si>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</si>
  <si>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</si>
  <si>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</si>
  <si>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</si>
  <si>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</si>
  <si>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</si>
  <si>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</si>
  <si>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</si>
  <si>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</si>
  <si>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</si>
  <si>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</si>
  <si>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</si>
  <si>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</si>
  <si>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</si>
  <si>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</si>
  <si>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</si>
  <si>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</si>
  <si>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</si>
  <si>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</si>
  <si>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</si>
  <si>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</si>
  <si>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</si>
  <si>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</si>
  <si>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</si>
  <si>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</si>
  <si>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</si>
  <si>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</si>
  <si>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</si>
  <si>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</si>
  <si>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</si>
  <si>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</si>
  <si>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</si>
  <si>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</si>
  <si>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</si>
  <si>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</si>
  <si>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</si>
  <si>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</si>
  <si>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</si>
  <si>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</si>
  <si>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</si>
  <si>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</si>
  <si>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</si>
  <si>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</si>
  <si>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</si>
  <si>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</si>
  <si>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</si>
  <si>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</si>
  <si>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</si>
  <si>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</si>
  <si>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</si>
  <si>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</si>
  <si>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</si>
  <si>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</si>
  <si>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</si>
  <si>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</si>
  <si>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</si>
  <si>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</si>
  <si>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</si>
  <si>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</si>
  <si>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</si>
  <si>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</si>
  <si>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</si>
  <si>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</si>
  <si>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</si>
  <si>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</si>
  <si>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</si>
  <si>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</si>
  <si>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</si>
  <si>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</si>
  <si>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</si>
  <si>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</si>
  <si>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</si>
  <si>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</si>
  <si>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</si>
  <si>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</si>
  <si>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</si>
  <si>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</si>
  <si>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</si>
  <si>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</si>
  <si>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</si>
  <si>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</si>
  <si>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</si>
  <si>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</si>
  <si>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</si>
  <si>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</si>
  <si>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</si>
  <si>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</si>
  <si>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</si>
  <si>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</si>
  <si>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</si>
  <si>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</si>
  <si>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</si>
  <si>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</si>
  <si>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</si>
  <si>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</si>
  <si>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</si>
  <si>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</si>
  <si>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</si>
  <si>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</si>
  <si>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</si>
  <si>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</si>
  <si>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</si>
  <si>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</si>
  <si>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</si>
  <si>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</si>
  <si>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</si>
  <si>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</si>
  <si>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</si>
  <si>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</si>
  <si>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</si>
  <si>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</si>
  <si>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</si>
  <si>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</si>
  <si>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</si>
  <si>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</si>
  <si>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</si>
  <si>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</si>
  <si>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</si>
  <si>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</si>
  <si>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</si>
  <si>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</si>
  <si>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</si>
  <si>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</si>
  <si>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</si>
  <si>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</si>
  <si>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</si>
  <si>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</si>
  <si>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</si>
  <si>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</si>
  <si>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</si>
  <si>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</si>
  <si>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</si>
  <si>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</si>
  <si>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</si>
  <si>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</si>
  <si>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</si>
  <si>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</si>
  <si>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</si>
  <si>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</si>
  <si>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</si>
  <si>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</si>
  <si>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</si>
  <si>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</si>
  <si>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</si>
  <si>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</si>
  <si>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</si>
  <si>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</si>
  <si>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</si>
  <si>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</si>
  <si>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</si>
  <si>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</si>
  <si>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</si>
  <si>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</si>
  <si>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</si>
  <si>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</si>
  <si>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</si>
  <si>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</si>
  <si>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</si>
  <si>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</si>
  <si>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</si>
  <si>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</si>
  <si>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</si>
  <si>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</si>
  <si>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</si>
  <si>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</si>
  <si>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</si>
  <si>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</si>
  <si>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</si>
  <si>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</si>
  <si>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</si>
  <si>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</si>
  <si>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</si>
  <si>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</si>
  <si>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</si>
  <si>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</si>
  <si>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</si>
  <si>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</si>
  <si>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</si>
  <si>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</si>
  <si>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</si>
  <si>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</si>
  <si>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</si>
  <si>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</si>
  <si>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</si>
  <si>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</si>
  <si>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</si>
  <si>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</si>
  <si>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</si>
  <si>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</si>
  <si>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</si>
  <si>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</si>
  <si>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</si>
  <si>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</si>
  <si>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</si>
  <si>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</si>
  <si>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</si>
  <si>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</si>
  <si>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</si>
  <si>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</si>
  <si>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</si>
  <si>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</si>
  <si>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</si>
  <si>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</si>
  <si>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</si>
  <si>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</si>
  <si>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</si>
  <si>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</si>
  <si>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</si>
  <si>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</si>
  <si>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</si>
  <si>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</si>
  <si>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</si>
  <si>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</si>
  <si>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</si>
  <si>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</si>
  <si>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</si>
  <si>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</si>
  <si>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</si>
  <si>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</si>
  <si>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</si>
  <si>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</si>
  <si>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</si>
  <si>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</si>
  <si>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</si>
  <si>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</si>
  <si>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</si>
  <si>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</si>
  <si>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</si>
  <si>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</si>
  <si>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</si>
  <si>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</si>
  <si>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</si>
  <si>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</si>
  <si>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</si>
  <si>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</si>
  <si>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</si>
  <si>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</si>
  <si>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</si>
  <si>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</si>
  <si>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</si>
  <si>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</si>
  <si>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</si>
  <si>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</si>
  <si>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</si>
  <si>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</si>
  <si>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</si>
  <si>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</si>
  <si>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</si>
  <si>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</si>
  <si>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</si>
  <si>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</si>
  <si>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</si>
  <si>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</si>
  <si>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</si>
  <si>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</si>
  <si>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</si>
  <si>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</si>
  <si>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</si>
  <si>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</si>
  <si>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</si>
  <si>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</si>
  <si>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</si>
  <si>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</si>
  <si>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</si>
  <si>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</si>
  <si>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</si>
  <si>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</si>
  <si>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</si>
  <si>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</si>
  <si>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</si>
  <si>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</si>
  <si>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</si>
  <si>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</si>
  <si>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</si>
  <si>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</si>
  <si>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</si>
  <si>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</si>
  <si>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</si>
  <si>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</si>
  <si>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</si>
  <si>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</si>
  <si>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</si>
  <si>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</si>
  <si>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</si>
  <si>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</si>
  <si>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</si>
  <si>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</si>
  <si>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</si>
  <si>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</si>
  <si>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</si>
  <si>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</si>
  <si>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</si>
  <si>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</si>
  <si>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</si>
  <si>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</si>
  <si>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</si>
  <si>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</si>
  <si>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</si>
  <si>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</si>
  <si>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</si>
  <si>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</si>
  <si>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</si>
  <si>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</si>
  <si>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</si>
  <si>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</si>
  <si>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</si>
  <si>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</si>
  <si>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</si>
  <si>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</si>
  <si>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</si>
  <si>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</si>
  <si>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</si>
  <si>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</si>
  <si>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</si>
  <si>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</si>
  <si>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</si>
  <si>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</si>
  <si>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</si>
  <si>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</si>
  <si>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</si>
  <si>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</si>
  <si>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</si>
  <si>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</si>
  <si>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</si>
  <si>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</si>
  <si>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</si>
  <si>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</si>
  <si>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</si>
  <si>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</si>
  <si>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</si>
  <si>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</si>
  <si>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</si>
  <si>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</si>
  <si>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</si>
  <si>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</si>
  <si>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</si>
  <si>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</si>
  <si>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</si>
  <si>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</si>
  <si>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</si>
  <si>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</si>
  <si>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</si>
  <si>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</si>
  <si>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</si>
  <si>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</si>
  <si>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</si>
  <si>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</si>
  <si>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</si>
  <si>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</si>
  <si>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</si>
  <si>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</si>
  <si>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</si>
  <si>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</si>
  <si>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</si>
  <si>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</si>
  <si>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</si>
  <si>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</si>
  <si>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</si>
  <si>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</si>
  <si>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</si>
  <si>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</si>
  <si>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</si>
  <si>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</si>
  <si>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</si>
  <si>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</si>
  <si>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</si>
  <si>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</si>
  <si>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</si>
  <si>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</si>
  <si>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</si>
  <si>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</si>
  <si>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</si>
  <si>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</si>
  <si>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</si>
  <si>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</si>
  <si>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</si>
  <si>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</si>
  <si>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</si>
  <si>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</si>
  <si>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</si>
  <si>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</si>
  <si>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</si>
  <si>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</si>
  <si>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</si>
  <si>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</si>
  <si>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</si>
  <si>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</si>
  <si>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</si>
  <si>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</si>
  <si>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</si>
  <si>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</si>
  <si>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</si>
  <si>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</si>
  <si>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</si>
  <si>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</si>
  <si>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</si>
  <si>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</si>
  <si>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</si>
  <si>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</si>
  <si>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</si>
  <si>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</si>
  <si>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</si>
  <si>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</si>
  <si>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</si>
  <si>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</si>
  <si>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</si>
  <si>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</si>
  <si>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</si>
  <si>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</si>
  <si>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</si>
  <si>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</si>
  <si>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</si>
  <si>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</si>
  <si>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</si>
  <si>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</si>
  <si>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</si>
  <si>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</si>
  <si>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</si>
  <si>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</si>
  <si>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</si>
  <si>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</si>
  <si>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</si>
  <si>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</si>
  <si>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</si>
  <si>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</si>
  <si>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</si>
  <si>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</si>
  <si>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</si>
  <si>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</si>
  <si>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</si>
  <si>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</si>
  <si>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</si>
  <si>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</si>
  <si>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</si>
  <si>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</si>
  <si>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</si>
  <si>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</si>
  <si>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</si>
  <si>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</si>
  <si>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</si>
  <si>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</si>
  <si>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</si>
  <si>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</si>
  <si>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</si>
  <si>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</si>
  <si>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</si>
  <si>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</si>
  <si>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</si>
  <si>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</si>
  <si>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</si>
  <si>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</si>
  <si>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</si>
  <si>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</si>
  <si>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</si>
  <si>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</si>
  <si>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</si>
  <si>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</si>
  <si>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Seguimiento al 30 de Abril de 202X</t>
  </si>
  <si>
    <t>Seguimiento al 31 de Agosto de 202X</t>
  </si>
  <si>
    <t>Seguimiento al 31 de Diciembre de 202X</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</si>
  <si>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</si>
  <si>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</si>
  <si>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 xml:space="preserve">PLANEACIÓN, DIRECCIONAMIENTO ESTRATÉGICO Y COMUNICACIONES </t>
  </si>
  <si>
    <t>MATRIZ MAPA DE RIESGO DE CORRUPCIÓN</t>
  </si>
  <si>
    <t>4 DE 4</t>
  </si>
  <si>
    <t>1 de 4</t>
  </si>
  <si>
    <t>2 de 4</t>
  </si>
  <si>
    <t>3 de 4</t>
  </si>
  <si>
    <t>4 de 4</t>
  </si>
  <si>
    <t>MATRIZ MAPA DE RIESGOS SEGURIDAD DE LA INFORMACIÓN</t>
  </si>
  <si>
    <t>El(la) funcionario(a) encargado(a) del área de Almacén e Inventarios del Grupo de Gestión de Bienes e Inventarios coordina trimestralmente una socialización del Procedimiento de Gestión de Bienes, y el Manual Administración de Bienes a las dependencias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 electrónico o Listas de asistencia, memorandos.</t>
  </si>
  <si>
    <t>El (la) funcionario(a) encargado(a) del área de Almacén e Inventarios del Grupo de Gestión de Bienes e Inventarios coordina con su grupo de trabajo la realización de tomas físicas semestrales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 de la misma, listados de toma física.</t>
  </si>
  <si>
    <t>Coordinador y funcionario delegado Grupo Gestión de Bienes e Inventarios</t>
  </si>
  <si>
    <t>Semestral</t>
  </si>
  <si>
    <t>Manual de Administración de Bienes, correo electrónico o Listas de asistencia, memorandos.</t>
  </si>
  <si>
    <t>Coordinador y funcionario delegado Grupo Gestión de Bienes e Inventarios y Coordinador y Funcionario delegado del Grupo de Gestión Administrativa</t>
  </si>
  <si>
    <t xml:space="preserve">Anualmente o cada vez que se requiera actualización </t>
  </si>
  <si>
    <t>Coordinador y funcionario delegado Grupo Gestión Administrativa</t>
  </si>
  <si>
    <t>La ejecución del PAA es Mensual y de conformidad con la programación realizada.
El PAA se formula anualmente.</t>
  </si>
  <si>
    <t>Comprobantes de ingreso y salida, memorandos y/o correos electrónicos.</t>
  </si>
  <si>
    <t>Cada vez que se ejecute el control</t>
  </si>
  <si>
    <t>Recibos de pago y memorandos de solicitud de recursos.</t>
  </si>
  <si>
    <t>Mensual</t>
  </si>
  <si>
    <t>Pagos efectivos dentro de los términos /Tiempo de pago establecidos *100</t>
  </si>
  <si>
    <t>Memorando justificación anteproyecto y cuando los recursos son insuficientes,  se tramita adición y/o traslado presupuestal para cumplir con las obligaciones.</t>
  </si>
  <si>
    <t>Anualmente</t>
  </si>
  <si>
    <t>Documento plan de mantenimiento.</t>
  </si>
  <si>
    <t>De acuerdo a las necesidades de la entidad</t>
  </si>
  <si>
    <t>Plan de mantenimiento preventivo y correctivo elaborado</t>
  </si>
  <si>
    <t xml:space="preserve">  Contratos de mantenimiento locativo y parque automotor, e informes de ejecución.</t>
  </si>
  <si>
    <t>Seguimiento al 30 de Abril de 2024</t>
  </si>
  <si>
    <t>Seguimiento al 31 de Agosto de 2024</t>
  </si>
  <si>
    <t>Seguimiento al 31 de Diciembre de 2024</t>
  </si>
  <si>
    <t xml:space="preserve">Falta de actualización de asignación de los mismos cuando hay retiro de personal o rotación entre las dependencias de la entidad. </t>
  </si>
  <si>
    <t xml:space="preserve">Pérdida, extravío, hurto, robo, o declaratoria de bienes faltantes pertenecientes a la entidad 
</t>
  </si>
  <si>
    <t/>
  </si>
  <si>
    <t>Número de bienes inventariados e ingresados al Sistema de control de inventarios de la entidad</t>
  </si>
  <si>
    <t xml:space="preserve">Elementos con salida de almacén/Solicitudes de salida de elementos recibidas o programadas </t>
  </si>
  <si>
    <t>Manual de Administración de bienes actualizado en lo correspondiente al aseguramiento de bienes</t>
  </si>
  <si>
    <t>Documento de justificación de anteproyecto de presupuesto elaborado y tramitado</t>
  </si>
  <si>
    <t>Solicitudes de inclusión y aseguramiento de bienes atendidos / Solicitudes de Inclusión y aseguramiento de bienes recibidos* 100</t>
  </si>
  <si>
    <t>Planes aprobados y cuadros de control y ejecución</t>
  </si>
  <si>
    <t>No incluir en el contrato de seguros – amparo de
bienes de la entidad- todos los bienes muebles e inmuebles de la entidad</t>
  </si>
  <si>
    <t>Pago de multa impuesta por la entidad competente</t>
  </si>
  <si>
    <t>Presupuesto ejecutado pago de seguros / presupuesto programado en PAA para pago de seguros * 100</t>
  </si>
  <si>
    <t>El (la) funcionario(a) encargado(a) del Grupo de Gestión Administrativa solicita dentro del primer trimestre del año la liquidación de pago de impuestos y remite para pago los respectivos documentos al Grupo de Gestión Financiera. Las evidencias de este control son: Recibos de pago y memorandos de solicitud de recursos.</t>
  </si>
  <si>
    <t>El (la) funcionario(a) encargado(a) del Grupo de Gestión Administrativa atiende las solicitudes de mantenimiento dando cumplimiento al correspondiente procedimiento y a través de la mesa de ayuda creada para este fin. Las evidencias de este control son: Contratos de mantenimiento locativo y parque automotor, e informes de ejecución.</t>
  </si>
  <si>
    <t>El (la) funcionario(a) encargado(a) del Grupo de Gestión Administrativa elabora anualmente un plan de mantenimiento para los bienes de la entidad, el cual sirve como base para la solicitud de recursos que cumplan con las necesidades allí establecidas, una vez se tiene el presupuesto se procede con la contratación de insumos y servicio para cumplir con el mantenimiento de los bienes de la entidad. Las evidencias de este control son: Informe con el documento plan de mantenimiento.</t>
  </si>
  <si>
    <t xml:space="preserve">Obligaciones e impuestos no obligados y no pagados dentro de las fechas correspondientes
</t>
  </si>
  <si>
    <t>El (la) funcionario(a) encargado(a) del área de Almacén e Inventarios del Grupo de Gestión de Bienes e Inventarios coordina con su grupo de trabajo para que ningún elemento salga del almacén sin la nota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sistema de gestión PCT.</t>
  </si>
  <si>
    <t xml:space="preserve">Desarticulación entre el grupo de Gestión Administrativa y el Grupo de Gestión de Bienes e Inventarios. </t>
  </si>
  <si>
    <t>El (la) funcionario(a) encargado(a) del Grupo de Gestión  Administrativa, coordina con su grupo de trabajo incluir dentro del plan anual de adquisiciones la inclusión de la contratación del corredor de seguros que garantice la asesoría para la adquisición del programa de seguros que contiene las  pólizas de aseguramiento de los activos de la entidad, teniendo en cuenta las posibles inclusiones de bienes durante la vigencia. Las evidencias de la ejecución de este control son: Manual de Administración de Bienes, soportes de correos electrónicos o Listas de asistencia, memorandos.</t>
  </si>
  <si>
    <t xml:space="preserve">El (la) funcionario(a) encargado(a) del Grupo de Gestión Administrativa, realiza la inclusión a la póliza respectiva, de los bienes ingresados reportados desde el Grupo de Gestión de Bienes e Inventarios. Las evidencias de la ejecución de este control son: listados de planes aprobados y cuadros de control y ejecución. </t>
  </si>
  <si>
    <t>El (la) funcionario(a) encargado(a) del Grupo de Gestión Administrativa, realiza la solicitud de reposición por los siniestros reportados por los funcionarios responsables de los bienes de la Entidad. Las evidencias de la ejecución de este control son: comprobantes de ingreso y salida, memorandos y/o correos electrónicos.</t>
  </si>
  <si>
    <t>El (la) funcionario(a) encargado(a) del Grupo de Gestión Administrativa solicita anualmente a través del proyecto de presupuesto los recursos necesarios para cubrir el pago de impuestos y servicios públicos incrementándolos en el porcentaje del IPC establecido para la respectiva vigencia. Las evidencias de este control son: memorando justificación anteproyecto y cuando los recursos son insuficientes, se tramita adición y/o traslado presupuestal para cumplir con las obligaciones.</t>
  </si>
  <si>
    <t>Falta de recursos asignados al plan de mantenimiento de la entidad para atender oportunamente las solicitudes de mantenimiento requeridas.</t>
  </si>
  <si>
    <t>Deterioro de bienes</t>
  </si>
  <si>
    <t>Piezas de información, correo electrónico o Listas de asistencia, memorandos.</t>
  </si>
  <si>
    <t xml:space="preserve">Contratos de mantenimiento realizados/ Contratos programados en el Plan de Adquisiciones </t>
  </si>
  <si>
    <t xml:space="preserve">Inventario actualizado, registros de toma física con la fecha de realización de la misma, listados de toma física. </t>
  </si>
  <si>
    <t>listados de los documentos registrados en el sistema de gestión PCT.</t>
  </si>
  <si>
    <t>Número de Formatos de control diligenciados/ Número de funcionarios con bienes a cargo</t>
  </si>
  <si>
    <t>Con registro</t>
  </si>
  <si>
    <t xml:space="preserve">Posibilidad de afectación económica por pérdida, extravío, hurto, robo o declaratoria de bienes faltantes pertenecientes a la entidad, debido a la falta de actualización de asignación de los mismos cuando hay retiro de personal o rotación entre las dependencias de la entidad. </t>
  </si>
  <si>
    <t xml:space="preserve">Posibilidad de afectación económica, por no incluir en el contrato de seguros – amparo de bienes de la entidad- todos los bienes muebles e inmuebles de la entidad, debido a la desarticulación entre el grupo de Gestión Administrativa y el Grupo de Gestión de Bienes e Inventarios. </t>
  </si>
  <si>
    <t xml:space="preserve">Posibilidad de afectación económica, por pago de multa impuesta por la entidad competente, debido a las obligaciones e impuestos no obligados  y no pagados  dentro de las fechas correspondientes. </t>
  </si>
  <si>
    <t>Posibilidad de afectación económica, por deterioro de bienes, debido a la falta de recursos asignados al plan de mantenimiento de la entidad para atender oportunamente las solicitudes de mantenimiento requeridas.</t>
  </si>
  <si>
    <t>MATRIZ  MAPA DE RIESGOS DE GESTIÓN</t>
  </si>
  <si>
    <t xml:space="preserve">0/0 </t>
  </si>
  <si>
    <t xml:space="preserve">Para el primer cuatrimestre mediante el PAA se establecieron los contratos que permiten satisfacer las necesidades para atender las solicitudes de manimiento que se allegaron a la SAF; los cuales se pueden evidenciar en el soporte de excel de los contratos relacionados de mantenimiento en ejecuciòn y pendientes de la SAF. 
Para el indicador  existen 14 contratos de mantenimiento realizados / 17 contratos programados en el PAA*100 = 82,35% el porcentaje de los contratos de mantenimiento realizados.  </t>
  </si>
  <si>
    <t xml:space="preserve">Para el primer cuatrimestre se registraron 3 siniestros reportados por los funcionarios responsables de los bienes de la entidad para la aseguradora AXXA Colpatria la cual se encuentra vigente en el contrato actual. 
Como evidencia estàn los soportes de los 3 siniestros mediante correo y soporte de AXXA Colpatria. 
Para el indicador se identificó que el resultado fue 0 debido a que no se registraron inlcusiones de aseguramiento porque no hubo inclusiones de bienes. </t>
  </si>
  <si>
    <t xml:space="preserve">Para el primer cuatrimestre mediante el Plan Anual de Adquisiciones se registraron las actividades a implementar evidenciadas en el plan de mantenimiento de la entidad; los cuales se pueden evidenciar en la carpeta con el Plan anual de Adquisiciones vigente y el plan de mantenimiento de la entidad. 
Para el indicador  se adjunta el plan de mantenimiento preventivo, correctivo elaborado y publicado en el SIGI del Ministerio del Interior. </t>
  </si>
  <si>
    <t xml:space="preserve">Para el primer cuatrimestre dentro del Plan Anual de Adquisiciones se incluyò el contrato de corredor de seguros. 
Como evidencia està el soporte del PAA con el plan aprobado del corredor de seguros. 
Para el indicador del presupuesto ejecutado para pago de seguros es 0/ 627.270.000 presupuesto programado en PAA para pago de seguros *100 = 0% es el procentaje debido a que el proceso aùn no està en ejecuciòn teniendo en cuenta que està programado para el segundo cuatrimestre. 
</t>
  </si>
  <si>
    <t xml:space="preserve">Para el primer cuatrimestre el contrato de intermediarios del corredor de seguros fue adjudicado mediante CM-01-2024 con el fin de asesorar la adquisiciòn del programa de seguros programada en el PAA para el segundo cuatrimestre, teniendo en cuenta que actualmente se encuentra otro vigente. 
Como indicador y evidencia està el soporte del Manual de Adminnistraciòn de bienes publicado en el SIGI del Ministerio del Interior. </t>
  </si>
  <si>
    <t xml:space="preserve">Para el primer cuatrimestre se solicitó el levantamiento de leyenda Distribución Previo Concepto del  traslado de recursos para cubrir el pago de los impuestos, mediante memorando enviado a la Oficina Asesotra de Planeaciòn  para cumplir con las obligaciones de la SAF.
Como evidencia, se adjunta memorando enviado a la OAP. </t>
  </si>
  <si>
    <t xml:space="preserve">Para el primer cuatrimestre se realizaron la toma física de 6 dependencias actualizando el sistema de inventarios. 
Como evidencia está el informe  toma física anexo 6. 
Para el indicador se registran 889 bienes inventariados e ingresados al Sistema de control de inventarios de la entidad </t>
  </si>
  <si>
    <t xml:space="preserve">Para el primer cuatrimestre se realizó la socializacion en 6 dependencias en las cuales se hizo toma física de bienes , con el propósito de que se cumplan los procedimientos y/o actividades de control.
Como evidencia están los formatos de los registros de la toma física con los que se realiza el procedimiento.
Para el indicador se registraron  985 elementos con salida de almacén/ 985 solicitudes de salida de elementos recibidas o programadas = 100%  es el porcentaje de los elementos con salida de almacén debido a que en el área se atienden todas las solicitudes recibidas. </t>
  </si>
  <si>
    <t>Para este cuatrimestre se registraron documentos en los cuales esta establecido el visto bueno de la coordindora, por demanda según  las solicitudes recibidas. 
Como evidencia esta el listado de documentos registrados en PCT, y los documentos se encuentra en físico en el área de almacen.
Para el indicador se identificó que 275 Número de formatos de control / 340 numero de funcionarios con bienes a cargo *100 = 80% es el porcentaje de formatos de control diligenciados  debido a que no todos los funcionarios tienen movimiento de inventarios.</t>
  </si>
  <si>
    <t xml:space="preserve">Para el primer cuatrimestre dentro del primer trimestre se liquidaron los impuestos oportunamente teniendo en cuenta la disponibilidad presupuestal del rubro Impuesto predial y aunque se solicitó el traslado de los recursos; se realizó el trámite de su respectivo pago a 12 impuestos. Como evidencia está el soporte de los pagos de los impuestos realizados con su comprobante.
Para el indicador existen 12 pagos efectivos dentro de los tèrminos/ 15 impuestos en el tiempo de pago establecidos *100 = 80% es el porcentaje de los pagos de impuestos realizados dentro de los tèrminos. </t>
  </si>
  <si>
    <r>
      <rPr>
        <sz val="12"/>
        <rFont val="Arial"/>
        <family val="2"/>
      </rPr>
      <t>Para el segundo cuatrimestre se registró 1 siniestro reportado por los funcionarios responsables de los bienes de la entidad para afectación de la poliza de automoviles que para el momento correspondió a la  aseguradora AXA Colpatria.
Como evidencia están los soportes de 1 siniestro mediante correo y soporte de AXA Colpatria.</t>
    </r>
    <r>
      <rPr>
        <sz val="12"/>
        <color theme="1"/>
        <rFont val="Arial"/>
        <family val="2"/>
      </rPr>
      <t xml:space="preserve"> 
Para el indicador se identificó que el resultado fue 0 debido a que no se registraron inlcusiones de aseguramiento porque no hubo inclusiones de bienes. </t>
    </r>
  </si>
  <si>
    <t xml:space="preserve">Para el segundo cuatrimestre una vez se dio el concepto favorable del levantamiento de concepto previo de autorizacion de  los recursos  por parte del Ministerio de Hacienda se hizo el respectivo  pago de los 3 impuestos prediales crrespondientes.
 Como evidencia está el soporte de los pagos de los impuestos realizados con su comprobante.
Para el indicador existen 3 pagos efectivos/ 3 impuestos correspondientes a la asignación de recursos.*100 = 100% es el porcentaje de los pagos de impuestos realizados. </t>
  </si>
  <si>
    <t xml:space="preserve">Para el segundo cuatrimestre se realizó el proceso precontracual ,contractual y adjudicación del contrato 1790-2024 mediante proceso SAMC-MI-001-2024 que tiene como objeto "Contratar los seguros que garantizan y amparan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
Como indicador y evidencia está el soporte del Manual de Adminnistraciòn de bienes publicado en el SIGI del Ministerio del Interior y publicación del  proceso mencionado. </t>
  </si>
  <si>
    <t>Para el segundo cuatrimestre dentro del Plan Anual de Adquisiciones se encuentra la adquisicion del programa de seguros con recurso transversal por la unidad ejecutora 37-01-01 $400.000.000 y por la 37-01-02 $200.000.000 adjudicado por valor total en  $599.911.216.
Como evidencia está el soporte del memorando radicado a financiera con el pago solicitadoo que refleja la ejecución.
Para el indicador del presupuesto ejecutado para pago de seguros es 575.371.293/ 599.911.216 presupuesto programado en PAA para pago de seguros *100 = 95% es el procentaje ejecutado en este cuatrimestre lo demás corresponde de acuerdo a las inclusones, modifiaciones, renovaciones durante la vigencia del año.</t>
  </si>
  <si>
    <t xml:space="preserve">Para el segundo  cuatrimestre se recibió la aprobación del levantamiento de leyenda Distribución Previo Concepto del  traslado de recursos para cubrir el pago de los impuestos, mediante memorando enviado a la Oficina Asesotra de Planeación  para cumplir con las obligaciones de la SAF.
Como evidencia, se adjunta memorando enviado a la OAP. </t>
  </si>
  <si>
    <t>Para el segundo cuatrimestre se registraron 250 notas de salida de solicitudes de salidas al servicio, y bienes entregados a otras entidades y se registraron 307 traslados de bienes, en total se registraton 557 solicitudes de las 557 realizadas para un 100% de cumplimiento,.</t>
  </si>
  <si>
    <t>"Para el segundo cuatrimestre se realizó la socializacion en 9 dependencias en las cuales se hizo toma física de bienes , con el propósito de que se cumplan los procedimientos y/o actividades de control.
Como evidencia están los formatos de los registros de la toma física con los que se realiza el procedimiento.
Se socializo los procedimientos en 15 dependencias de las 25 existentes un total del 60% de dependencias socializadas."</t>
  </si>
  <si>
    <t>"Para el segundo cuatrimestre se realizó la socializacion en 9 dependencias en las cuales se hizo toma física de bienes , con el propósito de que se cumplan los procedimientos y/o actividades de control.
Como evidencia están los formatos de los registros de la toma física con los que se realiza el procedimiento.
En total se han realizado 15 tomas fisica de 25 que se deben realizar en el año. es decir el 60% de cumplimiento"</t>
  </si>
  <si>
    <t xml:space="preserve">Para el segundo cuatrimestre se atendieron oportunamente las solicitudes realizadas mediante plataforma GLPI, mesa de ayuda, correo electrónico  a los mantenimientos preventivos y correctivos solicitados en la entidad 
Para el indicador  se adjunta el plan de mantenimiento preventivo, correctivo elaborado y publicado en el SIGI del Ministerio del Interior. </t>
  </si>
  <si>
    <t xml:space="preserve">Para el segundo cuatrimestre mediante el PAA se establecieron los contratos que permiten satisfacer las necesidades para atender las solicitudes de manimiento que se allegaron a la SAF; los cuales se pueden evidenciar en el soporte de excel de los contratos relacionados de mantenimiento en ejecuciòn de la SAF. 
Para el indicador  existen 17 contratos de mantenimiento realizados /17 contratos programados en el PAA*100 = 100% el porcentaje de los contratos de mantenimiento realizados.  </t>
  </si>
  <si>
    <t>Trimestralmente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</si>
</sst>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4"/>
      <color theme="1"/>
      <name val="Arial"/>
      <family val="2"/>
    </font>
    <font>
      <b/>
      <sz val="12"/>
      <color theme="1"/>
      <name val="Arial Narrow"/>
      <family val="2"/>
    </font>
    <font>
      <sz val="12"/>
      <color theme="1"/>
      <name val="Arial"/>
      <family val="2"/>
    </font>
    <font>
      <sz val="12"/>
      <name val="Arial"/>
      <family val="2"/>
    </font>
    <font>
      <b/>
      <sz val="12"/>
      <color theme="1"/>
      <name val="Arial"/>
      <family val="2"/>
    </font>
    <font>
      <sz val="12"/>
      <color rgb="FFFF0000"/>
      <name val="Arial"/>
      <family val="2"/>
    </font>
    <font>
      <sz val="11"/>
      <color indexed="81"/>
      <name val="Tahoma"/>
      <family val="2"/>
    </font>
    <font>
      <sz val="10"/>
      <color rgb="FFFF0000"/>
      <name val="Arial"/>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style="thin">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8" fillId="0" borderId="0"/>
    <xf numFmtId="0" fontId="57" fillId="0" borderId="0"/>
  </cellStyleXfs>
  <cellXfs count="90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7"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4"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2"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4"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5" fillId="0" borderId="59" xfId="0" applyFont="1" applyBorder="1" applyAlignment="1" applyProtection="1">
      <alignment horizontal="justify" vertical="center" wrapText="1"/>
      <protection locked="0"/>
    </xf>
    <xf numFmtId="0" fontId="18" fillId="0" borderId="75"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0" fillId="10" borderId="86" xfId="3" applyFont="1" applyFill="1" applyBorder="1"/>
    <xf numFmtId="0" fontId="50" fillId="10" borderId="4" xfId="3" applyFont="1" applyFill="1" applyBorder="1"/>
    <xf numFmtId="0" fontId="50" fillId="10" borderId="70" xfId="3" applyFont="1" applyFill="1" applyBorder="1"/>
    <xf numFmtId="0" fontId="52" fillId="10" borderId="12" xfId="3" quotePrefix="1" applyFont="1" applyFill="1" applyBorder="1" applyAlignment="1">
      <alignment horizontal="left" vertical="top" wrapText="1"/>
    </xf>
    <xf numFmtId="0" fontId="53" fillId="10" borderId="0" xfId="3" quotePrefix="1" applyFont="1" applyFill="1" applyAlignment="1">
      <alignment horizontal="left" vertical="top" wrapText="1"/>
    </xf>
    <xf numFmtId="0" fontId="53" fillId="10" borderId="3" xfId="3" quotePrefix="1" applyFont="1" applyFill="1" applyBorder="1" applyAlignment="1">
      <alignment horizontal="left" vertical="top" wrapText="1"/>
    </xf>
    <xf numFmtId="0" fontId="50" fillId="10" borderId="12" xfId="3" applyFont="1" applyFill="1" applyBorder="1"/>
    <xf numFmtId="0" fontId="50" fillId="10" borderId="0" xfId="3" applyFont="1" applyFill="1"/>
    <xf numFmtId="0" fontId="56" fillId="10" borderId="0" xfId="3" applyFont="1" applyFill="1" applyAlignment="1">
      <alignment horizontal="left" vertical="center" wrapText="1"/>
    </xf>
    <xf numFmtId="0" fontId="50" fillId="10" borderId="0" xfId="3" applyFont="1" applyFill="1" applyAlignment="1">
      <alignment horizontal="left" vertical="center" wrapText="1"/>
    </xf>
    <xf numFmtId="0" fontId="50" fillId="10" borderId="0" xfId="3" quotePrefix="1" applyFont="1" applyFill="1" applyAlignment="1">
      <alignment horizontal="left" vertical="center" wrapText="1"/>
    </xf>
    <xf numFmtId="0" fontId="50" fillId="10" borderId="3" xfId="3" applyFont="1" applyFill="1" applyBorder="1"/>
    <xf numFmtId="0" fontId="58" fillId="10" borderId="0" xfId="0" applyFont="1" applyFill="1" applyAlignment="1">
      <alignment horizontal="left" vertical="center" wrapText="1"/>
    </xf>
    <xf numFmtId="0" fontId="59" fillId="10" borderId="0" xfId="0" applyFont="1" applyFill="1" applyAlignment="1">
      <alignment horizontal="left" vertical="top" wrapText="1"/>
    </xf>
    <xf numFmtId="0" fontId="50" fillId="10" borderId="15" xfId="3" applyFont="1" applyFill="1" applyBorder="1"/>
    <xf numFmtId="0" fontId="50" fillId="10" borderId="16" xfId="3" applyFont="1" applyFill="1" applyBorder="1"/>
    <xf numFmtId="0" fontId="50" fillId="10" borderId="13" xfId="3" applyFont="1" applyFill="1" applyBorder="1"/>
    <xf numFmtId="0" fontId="61" fillId="10" borderId="0" xfId="0" applyFont="1" applyFill="1"/>
    <xf numFmtId="0" fontId="61" fillId="0" borderId="0" xfId="0" applyFont="1"/>
    <xf numFmtId="0" fontId="61" fillId="10" borderId="0" xfId="0" applyFont="1" applyFill="1" applyAlignment="1">
      <alignment horizontal="center" vertical="center"/>
    </xf>
    <xf numFmtId="0" fontId="61" fillId="10" borderId="0" xfId="0" applyFont="1" applyFill="1" applyAlignment="1">
      <alignment horizontal="left" vertical="center"/>
    </xf>
    <xf numFmtId="0" fontId="61" fillId="10" borderId="0" xfId="0" applyFont="1" applyFill="1" applyAlignment="1">
      <alignment horizontal="center"/>
    </xf>
    <xf numFmtId="0" fontId="64" fillId="19" borderId="114" xfId="0" applyFont="1" applyFill="1" applyBorder="1" applyAlignment="1">
      <alignment horizontal="center" vertical="center" textRotation="90"/>
    </xf>
    <xf numFmtId="0" fontId="64" fillId="10" borderId="0" xfId="0" applyFont="1" applyFill="1" applyAlignment="1">
      <alignment horizontal="center" vertical="center"/>
    </xf>
    <xf numFmtId="0" fontId="64" fillId="19" borderId="0" xfId="0" applyFont="1" applyFill="1" applyAlignment="1">
      <alignment horizontal="center" vertical="center"/>
    </xf>
    <xf numFmtId="0" fontId="61" fillId="0" borderId="114" xfId="0" applyFont="1" applyBorder="1" applyAlignment="1">
      <alignment horizontal="center" vertical="top"/>
    </xf>
    <xf numFmtId="0" fontId="66" fillId="0" borderId="114" xfId="0" applyFont="1" applyBorder="1" applyAlignment="1" applyProtection="1">
      <alignment horizontal="justify" vertical="top" wrapText="1"/>
      <protection locked="0"/>
    </xf>
    <xf numFmtId="0" fontId="61" fillId="0" borderId="114" xfId="0" applyFont="1" applyBorder="1" applyAlignment="1" applyProtection="1">
      <alignment horizontal="center" vertical="top"/>
      <protection hidden="1"/>
    </xf>
    <xf numFmtId="0" fontId="61" fillId="0" borderId="114" xfId="0" applyFont="1" applyBorder="1" applyAlignment="1" applyProtection="1">
      <alignment horizontal="center" vertical="top" textRotation="90"/>
      <protection locked="0"/>
    </xf>
    <xf numFmtId="9" fontId="61" fillId="0" borderId="114" xfId="0" applyNumberFormat="1" applyFont="1" applyBorder="1" applyAlignment="1" applyProtection="1">
      <alignment horizontal="center" vertical="top"/>
      <protection hidden="1"/>
    </xf>
    <xf numFmtId="165" fontId="61" fillId="0" borderId="114" xfId="2" applyNumberFormat="1" applyFont="1" applyBorder="1" applyAlignment="1">
      <alignment horizontal="center" vertical="top"/>
    </xf>
    <xf numFmtId="0" fontId="64" fillId="0" borderId="114" xfId="0" applyFont="1" applyBorder="1" applyAlignment="1" applyProtection="1">
      <alignment horizontal="center" vertical="top" textRotation="90" wrapText="1"/>
      <protection hidden="1"/>
    </xf>
    <xf numFmtId="9" fontId="61" fillId="0" borderId="113" xfId="0" applyNumberFormat="1" applyFont="1" applyBorder="1" applyAlignment="1" applyProtection="1">
      <alignment horizontal="center" vertical="top"/>
      <protection hidden="1"/>
    </xf>
    <xf numFmtId="0" fontId="64" fillId="0" borderId="114" xfId="0" applyFont="1" applyBorder="1" applyAlignment="1" applyProtection="1">
      <alignment horizontal="center" vertical="top" textRotation="90"/>
      <protection hidden="1"/>
    </xf>
    <xf numFmtId="0" fontId="61" fillId="0" borderId="113" xfId="0" applyFont="1" applyBorder="1" applyAlignment="1" applyProtection="1">
      <alignment horizontal="center" vertical="top" textRotation="90"/>
      <protection locked="0"/>
    </xf>
    <xf numFmtId="0" fontId="61" fillId="0" borderId="114" xfId="0" applyFont="1" applyBorder="1" applyAlignment="1" applyProtection="1">
      <alignment horizontal="center" vertical="top" wrapText="1"/>
      <protection locked="0"/>
    </xf>
    <xf numFmtId="0" fontId="61" fillId="0" borderId="114" xfId="0" applyFont="1" applyBorder="1" applyAlignment="1" applyProtection="1">
      <alignment horizontal="center" vertical="top"/>
      <protection locked="0"/>
    </xf>
    <xf numFmtId="14" fontId="61" fillId="0" borderId="114" xfId="0" applyNumberFormat="1" applyFont="1" applyBorder="1" applyAlignment="1" applyProtection="1">
      <alignment horizontal="center" vertical="top"/>
      <protection locked="0"/>
    </xf>
    <xf numFmtId="0" fontId="61" fillId="10" borderId="0" xfId="0" applyFont="1" applyFill="1" applyAlignment="1">
      <alignment vertical="center"/>
    </xf>
    <xf numFmtId="0" fontId="61" fillId="0" borderId="0" xfId="0" applyFont="1" applyAlignment="1">
      <alignment vertical="center"/>
    </xf>
    <xf numFmtId="0" fontId="61" fillId="0" borderId="114" xfId="0" applyFont="1" applyBorder="1" applyAlignment="1" applyProtection="1">
      <alignment horizontal="justify" vertical="top"/>
      <protection locked="0"/>
    </xf>
    <xf numFmtId="165" fontId="61" fillId="6" borderId="114" xfId="2" applyNumberFormat="1" applyFont="1" applyFill="1" applyBorder="1" applyAlignment="1">
      <alignment horizontal="center" vertical="top"/>
    </xf>
    <xf numFmtId="0" fontId="61" fillId="0" borderId="114" xfId="0" applyFont="1" applyBorder="1" applyAlignment="1">
      <alignment horizontal="center" vertical="center"/>
    </xf>
    <xf numFmtId="0" fontId="64" fillId="0" borderId="0" xfId="0" applyFont="1" applyAlignment="1">
      <alignment horizontal="left" vertical="center"/>
    </xf>
    <xf numFmtId="0" fontId="61" fillId="0" borderId="0" xfId="0" applyFont="1" applyAlignment="1">
      <alignment horizontal="center" vertical="center"/>
    </xf>
    <xf numFmtId="0" fontId="61" fillId="0" borderId="0" xfId="0" applyFont="1" applyAlignment="1">
      <alignment horizontal="center"/>
    </xf>
    <xf numFmtId="0" fontId="71" fillId="10" borderId="0" xfId="0" applyFont="1" applyFill="1" applyAlignment="1">
      <alignment vertical="center"/>
    </xf>
    <xf numFmtId="0" fontId="75" fillId="25" borderId="34" xfId="0" applyFont="1" applyFill="1" applyBorder="1" applyAlignment="1" applyProtection="1">
      <alignment horizontal="center" vertical="center" wrapText="1" readingOrder="1"/>
      <protection hidden="1"/>
    </xf>
    <xf numFmtId="0" fontId="75" fillId="25" borderId="39" xfId="0" applyFont="1" applyFill="1" applyBorder="1" applyAlignment="1" applyProtection="1">
      <alignment horizontal="center" vertical="center" wrapText="1" readingOrder="1"/>
      <protection hidden="1"/>
    </xf>
    <xf numFmtId="0" fontId="75" fillId="25" borderId="63" xfId="0" applyFont="1" applyFill="1" applyBorder="1" applyAlignment="1" applyProtection="1">
      <alignment horizontal="center" vertical="center" wrapText="1" readingOrder="1"/>
      <protection hidden="1"/>
    </xf>
    <xf numFmtId="0" fontId="75" fillId="26" borderId="34" xfId="0" applyFont="1" applyFill="1" applyBorder="1" applyAlignment="1" applyProtection="1">
      <alignment horizontal="center" wrapText="1" readingOrder="1"/>
      <protection hidden="1"/>
    </xf>
    <xf numFmtId="0" fontId="75" fillId="26" borderId="39" xfId="0" applyFont="1" applyFill="1" applyBorder="1" applyAlignment="1" applyProtection="1">
      <alignment horizontal="center" wrapText="1" readingOrder="1"/>
      <protection hidden="1"/>
    </xf>
    <xf numFmtId="0" fontId="75" fillId="26" borderId="63" xfId="0" applyFont="1" applyFill="1" applyBorder="1" applyAlignment="1" applyProtection="1">
      <alignment horizontal="center" wrapText="1" readingOrder="1"/>
      <protection hidden="1"/>
    </xf>
    <xf numFmtId="0" fontId="75" fillId="25" borderId="12" xfId="0" applyFont="1" applyFill="1" applyBorder="1" applyAlignment="1" applyProtection="1">
      <alignment horizontal="center" vertical="center" wrapText="1" readingOrder="1"/>
      <protection hidden="1"/>
    </xf>
    <xf numFmtId="0" fontId="75" fillId="25" borderId="0" xfId="0" applyFont="1" applyFill="1" applyAlignment="1" applyProtection="1">
      <alignment horizontal="center" vertical="center" wrapText="1" readingOrder="1"/>
      <protection hidden="1"/>
    </xf>
    <xf numFmtId="0" fontId="75" fillId="25" borderId="3" xfId="0" applyFont="1" applyFill="1" applyBorder="1" applyAlignment="1" applyProtection="1">
      <alignment horizontal="center" vertical="center" wrapText="1" readingOrder="1"/>
      <protection hidden="1"/>
    </xf>
    <xf numFmtId="0" fontId="75" fillId="26" borderId="12" xfId="0" applyFont="1" applyFill="1" applyBorder="1" applyAlignment="1" applyProtection="1">
      <alignment horizontal="center" wrapText="1" readingOrder="1"/>
      <protection hidden="1"/>
    </xf>
    <xf numFmtId="0" fontId="75" fillId="26" borderId="0" xfId="0" applyFont="1" applyFill="1" applyAlignment="1" applyProtection="1">
      <alignment horizontal="center" wrapText="1" readingOrder="1"/>
      <protection hidden="1"/>
    </xf>
    <xf numFmtId="0" fontId="75" fillId="26" borderId="3" xfId="0" applyFont="1" applyFill="1" applyBorder="1" applyAlignment="1" applyProtection="1">
      <alignment horizontal="center" wrapText="1" readingOrder="1"/>
      <protection hidden="1"/>
    </xf>
    <xf numFmtId="0" fontId="75" fillId="25" borderId="15" xfId="0" applyFont="1" applyFill="1" applyBorder="1" applyAlignment="1" applyProtection="1">
      <alignment horizontal="center" vertical="center" wrapText="1" readingOrder="1"/>
      <protection hidden="1"/>
    </xf>
    <xf numFmtId="0" fontId="75" fillId="25" borderId="16" xfId="0" applyFont="1" applyFill="1" applyBorder="1" applyAlignment="1" applyProtection="1">
      <alignment horizontal="center" vertical="center" wrapText="1" readingOrder="1"/>
      <protection hidden="1"/>
    </xf>
    <xf numFmtId="0" fontId="75" fillId="25" borderId="13" xfId="0" applyFont="1" applyFill="1" applyBorder="1" applyAlignment="1" applyProtection="1">
      <alignment horizontal="center" vertical="center" wrapText="1" readingOrder="1"/>
      <protection hidden="1"/>
    </xf>
    <xf numFmtId="0" fontId="75" fillId="26" borderId="15" xfId="0" applyFont="1" applyFill="1" applyBorder="1" applyAlignment="1" applyProtection="1">
      <alignment horizontal="center" wrapText="1" readingOrder="1"/>
      <protection hidden="1"/>
    </xf>
    <xf numFmtId="0" fontId="75" fillId="26" borderId="16" xfId="0" applyFont="1" applyFill="1" applyBorder="1" applyAlignment="1" applyProtection="1">
      <alignment horizontal="center" wrapText="1" readingOrder="1"/>
      <protection hidden="1"/>
    </xf>
    <xf numFmtId="0" fontId="75" fillId="26" borderId="13" xfId="0" applyFont="1" applyFill="1" applyBorder="1" applyAlignment="1" applyProtection="1">
      <alignment horizontal="center" wrapText="1" readingOrder="1"/>
      <protection hidden="1"/>
    </xf>
    <xf numFmtId="0" fontId="75" fillId="7" borderId="34"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5" fillId="7" borderId="63" xfId="0" applyFont="1" applyFill="1" applyBorder="1" applyAlignment="1" applyProtection="1">
      <alignment horizontal="center" wrapText="1" readingOrder="1"/>
      <protection hidden="1"/>
    </xf>
    <xf numFmtId="0" fontId="75" fillId="7" borderId="12" xfId="0" applyFont="1" applyFill="1" applyBorder="1" applyAlignment="1" applyProtection="1">
      <alignment horizontal="center" wrapText="1" readingOrder="1"/>
      <protection hidden="1"/>
    </xf>
    <xf numFmtId="0" fontId="75" fillId="7" borderId="0" xfId="0" applyFont="1" applyFill="1" applyAlignment="1" applyProtection="1">
      <alignment horizontal="center" wrapText="1" readingOrder="1"/>
      <protection hidden="1"/>
    </xf>
    <xf numFmtId="0" fontId="75" fillId="7" borderId="3" xfId="0" applyFont="1" applyFill="1" applyBorder="1" applyAlignment="1" applyProtection="1">
      <alignment horizontal="center" wrapText="1" readingOrder="1"/>
      <protection hidden="1"/>
    </xf>
    <xf numFmtId="0" fontId="75" fillId="7" borderId="15" xfId="0" applyFont="1" applyFill="1" applyBorder="1" applyAlignment="1" applyProtection="1">
      <alignment horizontal="center" wrapText="1" readingOrder="1"/>
      <protection hidden="1"/>
    </xf>
    <xf numFmtId="0" fontId="75" fillId="7" borderId="16" xfId="0" applyFont="1" applyFill="1" applyBorder="1" applyAlignment="1" applyProtection="1">
      <alignment horizontal="center" wrapText="1" readingOrder="1"/>
      <protection hidden="1"/>
    </xf>
    <xf numFmtId="0" fontId="75" fillId="7" borderId="13" xfId="0" applyFont="1" applyFill="1" applyBorder="1" applyAlignment="1" applyProtection="1">
      <alignment horizontal="center" wrapText="1" readingOrder="1"/>
      <protection hidden="1"/>
    </xf>
    <xf numFmtId="0" fontId="75" fillId="8" borderId="34" xfId="0" applyFont="1" applyFill="1" applyBorder="1" applyAlignment="1" applyProtection="1">
      <alignment horizontal="center" wrapText="1" readingOrder="1"/>
      <protection hidden="1"/>
    </xf>
    <xf numFmtId="0" fontId="75" fillId="8" borderId="39" xfId="0" applyFont="1" applyFill="1" applyBorder="1" applyAlignment="1" applyProtection="1">
      <alignment horizontal="center" wrapText="1" readingOrder="1"/>
      <protection hidden="1"/>
    </xf>
    <xf numFmtId="0" fontId="75" fillId="8" borderId="63" xfId="0" applyFont="1" applyFill="1" applyBorder="1" applyAlignment="1" applyProtection="1">
      <alignment horizontal="center" wrapText="1" readingOrder="1"/>
      <protection hidden="1"/>
    </xf>
    <xf numFmtId="0" fontId="75" fillId="8" borderId="12" xfId="0" applyFont="1" applyFill="1" applyBorder="1" applyAlignment="1" applyProtection="1">
      <alignment horizontal="center" wrapText="1" readingOrder="1"/>
      <protection hidden="1"/>
    </xf>
    <xf numFmtId="0" fontId="75" fillId="8" borderId="0" xfId="0" applyFont="1" applyFill="1" applyAlignment="1" applyProtection="1">
      <alignment horizontal="center" wrapText="1" readingOrder="1"/>
      <protection hidden="1"/>
    </xf>
    <xf numFmtId="0" fontId="75" fillId="8" borderId="3" xfId="0" applyFont="1" applyFill="1" applyBorder="1" applyAlignment="1" applyProtection="1">
      <alignment horizontal="center" wrapText="1" readingOrder="1"/>
      <protection hidden="1"/>
    </xf>
    <xf numFmtId="0" fontId="75" fillId="8" borderId="15" xfId="0" applyFont="1" applyFill="1" applyBorder="1" applyAlignment="1" applyProtection="1">
      <alignment horizontal="center" wrapText="1" readingOrder="1"/>
      <protection hidden="1"/>
    </xf>
    <xf numFmtId="0" fontId="75" fillId="8" borderId="16" xfId="0" applyFont="1" applyFill="1" applyBorder="1" applyAlignment="1" applyProtection="1">
      <alignment horizontal="center" wrapText="1" readingOrder="1"/>
      <protection hidden="1"/>
    </xf>
    <xf numFmtId="0" fontId="75" fillId="8" borderId="13" xfId="0" applyFont="1" applyFill="1" applyBorder="1" applyAlignment="1" applyProtection="1">
      <alignment horizontal="center" wrapText="1" readingOrder="1"/>
      <protection hidden="1"/>
    </xf>
    <xf numFmtId="0" fontId="77" fillId="7" borderId="39" xfId="0" applyFont="1" applyFill="1" applyBorder="1" applyAlignment="1" applyProtection="1">
      <alignment horizontal="center" wrapText="1" readingOrder="1"/>
      <protection hidden="1"/>
    </xf>
    <xf numFmtId="0" fontId="78" fillId="0" borderId="0" xfId="0" applyFont="1" applyAlignment="1">
      <alignment horizontal="center" vertical="center" wrapText="1"/>
    </xf>
    <xf numFmtId="0" fontId="79" fillId="27" borderId="0" xfId="0" applyFont="1" applyFill="1" applyAlignment="1">
      <alignment horizontal="center" vertical="center" wrapText="1" readingOrder="1"/>
    </xf>
    <xf numFmtId="0" fontId="80" fillId="8" borderId="126" xfId="0" applyFont="1" applyFill="1" applyBorder="1" applyAlignment="1">
      <alignment horizontal="center" vertical="center" wrapText="1" readingOrder="1"/>
    </xf>
    <xf numFmtId="0" fontId="80" fillId="0" borderId="126" xfId="0" applyFont="1" applyBorder="1" applyAlignment="1">
      <alignment horizontal="justify" vertical="center" wrapText="1" readingOrder="1"/>
    </xf>
    <xf numFmtId="9" fontId="80" fillId="0" borderId="126" xfId="0" applyNumberFormat="1" applyFont="1" applyBorder="1" applyAlignment="1">
      <alignment horizontal="center" vertical="center" wrapText="1" readingOrder="1"/>
    </xf>
    <xf numFmtId="0" fontId="80" fillId="28" borderId="127" xfId="0" applyFont="1" applyFill="1" applyBorder="1" applyAlignment="1">
      <alignment horizontal="center" vertical="center" wrapText="1" readingOrder="1"/>
    </xf>
    <xf numFmtId="0" fontId="80" fillId="0" borderId="127" xfId="0" applyFont="1" applyBorder="1" applyAlignment="1">
      <alignment horizontal="justify" vertical="center" wrapText="1" readingOrder="1"/>
    </xf>
    <xf numFmtId="9" fontId="80" fillId="0" borderId="127" xfId="0" applyNumberFormat="1" applyFont="1" applyBorder="1" applyAlignment="1">
      <alignment horizontal="center" vertical="center" wrapText="1" readingOrder="1"/>
    </xf>
    <xf numFmtId="0" fontId="80" fillId="29" borderId="127" xfId="0" applyFont="1" applyFill="1" applyBorder="1" applyAlignment="1">
      <alignment horizontal="center" vertical="center" wrapText="1" readingOrder="1"/>
    </xf>
    <xf numFmtId="0" fontId="80" fillId="22" borderId="127" xfId="0" applyFont="1" applyFill="1" applyBorder="1" applyAlignment="1">
      <alignment horizontal="center" vertical="center" wrapText="1" readingOrder="1"/>
    </xf>
    <xf numFmtId="0" fontId="81" fillId="6" borderId="127" xfId="0" applyFont="1" applyFill="1" applyBorder="1" applyAlignment="1">
      <alignment horizontal="center" vertical="center" wrapText="1" readingOrder="1"/>
    </xf>
    <xf numFmtId="0" fontId="82" fillId="10" borderId="0" xfId="0" applyFont="1" applyFill="1"/>
    <xf numFmtId="0" fontId="84" fillId="10" borderId="0" xfId="0" applyFont="1" applyFill="1" applyAlignment="1">
      <alignment horizontal="center" vertical="center" wrapText="1"/>
    </xf>
    <xf numFmtId="0" fontId="85" fillId="27" borderId="0" xfId="0" applyFont="1" applyFill="1" applyAlignment="1">
      <alignment horizontal="center" vertical="center" wrapText="1" readingOrder="1"/>
    </xf>
    <xf numFmtId="0" fontId="35" fillId="10" borderId="0" xfId="0" applyFont="1" applyFill="1"/>
    <xf numFmtId="0" fontId="86" fillId="8" borderId="126" xfId="0" applyFont="1" applyFill="1" applyBorder="1" applyAlignment="1">
      <alignment horizontal="center" vertical="center" wrapText="1" readingOrder="1"/>
    </xf>
    <xf numFmtId="0" fontId="86" fillId="0" borderId="126" xfId="0" applyFont="1" applyBorder="1" applyAlignment="1">
      <alignment horizontal="center" vertical="center" wrapText="1" readingOrder="1"/>
    </xf>
    <xf numFmtId="0" fontId="86" fillId="0" borderId="126" xfId="0" applyFont="1" applyBorder="1" applyAlignment="1">
      <alignment horizontal="justify" vertical="center" wrapText="1" readingOrder="1"/>
    </xf>
    <xf numFmtId="0" fontId="86" fillId="28" borderId="127" xfId="0" applyFont="1" applyFill="1" applyBorder="1" applyAlignment="1">
      <alignment horizontal="center" vertical="center" wrapText="1" readingOrder="1"/>
    </xf>
    <xf numFmtId="0" fontId="86" fillId="0" borderId="127" xfId="0" applyFont="1" applyBorder="1" applyAlignment="1">
      <alignment horizontal="center" vertical="center" wrapText="1" readingOrder="1"/>
    </xf>
    <xf numFmtId="0" fontId="86" fillId="0" borderId="127" xfId="0" applyFont="1" applyBorder="1" applyAlignment="1">
      <alignment horizontal="justify" vertical="center" wrapText="1" readingOrder="1"/>
    </xf>
    <xf numFmtId="0" fontId="86" fillId="29" borderId="127" xfId="0" applyFont="1" applyFill="1" applyBorder="1" applyAlignment="1">
      <alignment horizontal="center" vertical="center" wrapText="1" readingOrder="1"/>
    </xf>
    <xf numFmtId="0" fontId="86" fillId="22" borderId="127" xfId="0" applyFont="1" applyFill="1" applyBorder="1" applyAlignment="1">
      <alignment horizontal="center" vertical="center" wrapText="1" readingOrder="1"/>
    </xf>
    <xf numFmtId="0" fontId="87" fillId="6" borderId="127" xfId="0" applyFont="1" applyFill="1" applyBorder="1" applyAlignment="1">
      <alignment horizontal="center" vertical="center" wrapText="1" readingOrder="1"/>
    </xf>
    <xf numFmtId="0" fontId="88" fillId="10" borderId="0" xfId="0" applyFont="1" applyFill="1" applyAlignment="1">
      <alignment horizontal="justify" vertical="center" wrapText="1" readingOrder="1"/>
    </xf>
    <xf numFmtId="0" fontId="35" fillId="0" borderId="0" xfId="0" applyFont="1"/>
    <xf numFmtId="0" fontId="88" fillId="0" borderId="0" xfId="0" applyFont="1" applyAlignment="1">
      <alignment horizontal="justify" vertical="center" wrapText="1" readingOrder="1"/>
    </xf>
    <xf numFmtId="0" fontId="89" fillId="0" borderId="0" xfId="0" applyFont="1" applyAlignment="1">
      <alignment vertical="center"/>
    </xf>
    <xf numFmtId="0" fontId="90" fillId="0" borderId="0" xfId="0" applyFont="1"/>
    <xf numFmtId="0" fontId="47" fillId="0" borderId="0" xfId="0" applyFont="1"/>
    <xf numFmtId="0" fontId="91" fillId="0" borderId="0" xfId="0" applyFont="1"/>
    <xf numFmtId="0" fontId="82" fillId="0" borderId="0" xfId="0" applyFont="1"/>
    <xf numFmtId="0" fontId="93" fillId="10" borderId="0" xfId="0" applyFont="1" applyFill="1"/>
    <xf numFmtId="0" fontId="17" fillId="10" borderId="0" xfId="0" applyFont="1" applyFill="1"/>
    <xf numFmtId="0" fontId="94" fillId="16" borderId="42" xfId="0" applyFont="1" applyFill="1" applyBorder="1" applyAlignment="1">
      <alignment horizontal="center" vertical="center" wrapText="1" readingOrder="1"/>
    </xf>
    <xf numFmtId="0" fontId="94" fillId="16" borderId="43"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5" fillId="10" borderId="11" xfId="0" applyFont="1" applyFill="1" applyBorder="1" applyAlignment="1">
      <alignment horizontal="justify" vertical="center" wrapText="1" readingOrder="1"/>
    </xf>
    <xf numFmtId="9" fontId="94" fillId="10" borderId="48" xfId="0" applyNumberFormat="1"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5" fillId="10" borderId="5" xfId="0" applyFont="1" applyFill="1" applyBorder="1" applyAlignment="1">
      <alignment horizontal="justify" vertical="center" wrapText="1" readingOrder="1"/>
    </xf>
    <xf numFmtId="9" fontId="94" fillId="10" borderId="60" xfId="0" applyNumberFormat="1" applyFont="1" applyFill="1" applyBorder="1" applyAlignment="1">
      <alignment horizontal="center" vertical="center" wrapText="1" readingOrder="1"/>
    </xf>
    <xf numFmtId="0" fontId="95" fillId="10" borderId="60"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95" fillId="10" borderId="6" xfId="0" applyFont="1" applyFill="1" applyBorder="1" applyAlignment="1">
      <alignment horizontal="justify" vertical="center" wrapText="1" readingOrder="1"/>
    </xf>
    <xf numFmtId="0" fontId="95" fillId="10" borderId="9" xfId="0" applyFont="1" applyFill="1" applyBorder="1" applyAlignment="1">
      <alignment horizontal="center" vertical="center" wrapText="1" readingOrder="1"/>
    </xf>
    <xf numFmtId="0" fontId="99" fillId="10" borderId="0" xfId="0" applyFont="1" applyFill="1"/>
    <xf numFmtId="0" fontId="100" fillId="0" borderId="127" xfId="0" applyFont="1" applyBorder="1" applyAlignment="1">
      <alignment horizontal="left" vertical="center" wrapText="1" indent="1" readingOrder="1"/>
    </xf>
    <xf numFmtId="0" fontId="93" fillId="0" borderId="0" xfId="0" applyFont="1"/>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47" fillId="10" borderId="0" xfId="0" applyFont="1" applyFill="1"/>
    <xf numFmtId="0" fontId="101" fillId="10" borderId="0" xfId="0" applyFont="1" applyFill="1" applyAlignment="1">
      <alignment horizontal="left" vertical="center"/>
    </xf>
    <xf numFmtId="0" fontId="89" fillId="10" borderId="0" xfId="0" applyFont="1" applyFill="1" applyAlignment="1">
      <alignment horizontal="justify" vertical="center" wrapText="1" readingOrder="1"/>
    </xf>
    <xf numFmtId="0" fontId="61" fillId="0" borderId="110" xfId="0" applyFont="1" applyBorder="1" applyAlignment="1">
      <alignment horizontal="center" vertical="center"/>
    </xf>
    <xf numFmtId="0" fontId="64" fillId="0" borderId="114"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2" fillId="10" borderId="0" xfId="0" applyFont="1" applyFill="1" applyAlignment="1">
      <alignment vertical="center"/>
    </xf>
    <xf numFmtId="0" fontId="104" fillId="0" borderId="0" xfId="1" applyFont="1"/>
    <xf numFmtId="0" fontId="104" fillId="0" borderId="0" xfId="0" applyFont="1"/>
    <xf numFmtId="0" fontId="104" fillId="10" borderId="76" xfId="0" applyFont="1" applyFill="1" applyBorder="1" applyAlignment="1">
      <alignment horizontal="justify" vertical="center" wrapText="1"/>
    </xf>
    <xf numFmtId="0" fontId="104" fillId="0" borderId="0" xfId="0" applyFont="1" applyAlignment="1">
      <alignment vertical="center" wrapText="1"/>
    </xf>
    <xf numFmtId="0" fontId="104" fillId="10" borderId="81" xfId="0" applyFont="1" applyFill="1" applyBorder="1" applyAlignment="1">
      <alignment horizontal="justify" vertical="center" wrapText="1"/>
    </xf>
    <xf numFmtId="0" fontId="104" fillId="10" borderId="78" xfId="0" applyFont="1" applyFill="1" applyBorder="1" applyAlignment="1">
      <alignment horizontal="justify" vertical="center" wrapText="1"/>
    </xf>
    <xf numFmtId="0" fontId="104" fillId="10" borderId="77" xfId="0" applyFont="1" applyFill="1" applyBorder="1" applyAlignment="1">
      <alignment horizontal="justify" vertical="center" wrapText="1"/>
    </xf>
    <xf numFmtId="0" fontId="104" fillId="10" borderId="80" xfId="0" applyFont="1" applyFill="1" applyBorder="1" applyAlignment="1">
      <alignment vertical="center" wrapText="1"/>
    </xf>
    <xf numFmtId="0" fontId="104" fillId="7" borderId="80" xfId="0" applyFont="1" applyFill="1" applyBorder="1" applyAlignment="1">
      <alignment vertical="center" wrapText="1"/>
    </xf>
    <xf numFmtId="0" fontId="104" fillId="7" borderId="0" xfId="0" applyFont="1" applyFill="1" applyAlignment="1">
      <alignment vertical="center" wrapText="1"/>
    </xf>
    <xf numFmtId="0" fontId="104" fillId="7" borderId="79" xfId="0" applyFont="1" applyFill="1" applyBorder="1" applyAlignment="1">
      <alignment vertical="center" wrapText="1"/>
    </xf>
    <xf numFmtId="0" fontId="104" fillId="10" borderId="0" xfId="0" applyFont="1" applyFill="1" applyAlignment="1">
      <alignment vertical="center" wrapText="1"/>
    </xf>
    <xf numFmtId="0" fontId="0" fillId="0" borderId="0" xfId="0" applyAlignment="1">
      <alignment vertical="center"/>
    </xf>
    <xf numFmtId="0" fontId="61" fillId="0" borderId="110" xfId="0" applyFont="1" applyBorder="1" applyAlignment="1" applyProtection="1">
      <alignment horizontal="center" vertical="top"/>
      <protection locked="0"/>
    </xf>
    <xf numFmtId="0" fontId="61" fillId="10" borderId="129" xfId="0" applyFont="1" applyFill="1" applyBorder="1" applyAlignment="1">
      <alignment vertical="center"/>
    </xf>
    <xf numFmtId="0" fontId="61" fillId="10" borderId="129" xfId="0" applyFont="1" applyFill="1" applyBorder="1"/>
    <xf numFmtId="0" fontId="61" fillId="0" borderId="129"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6" fillId="0" borderId="17" xfId="0" applyFont="1" applyBorder="1" applyAlignment="1">
      <alignment horizontal="center" vertical="center"/>
    </xf>
    <xf numFmtId="0" fontId="46"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20" xfId="0" applyFont="1" applyBorder="1" applyAlignment="1" applyProtection="1">
      <alignment horizontal="center" vertical="center"/>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43"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0" fillId="0" borderId="64" xfId="0" applyBorder="1" applyProtection="1">
      <protection locked="0"/>
    </xf>
    <xf numFmtId="0" fontId="18" fillId="0" borderId="65" xfId="0" applyFont="1" applyBorder="1" applyProtection="1">
      <protection locked="0"/>
    </xf>
    <xf numFmtId="0" fontId="27" fillId="0" borderId="65" xfId="0" applyFont="1" applyBorder="1" applyAlignment="1" applyProtection="1">
      <alignment vertical="center"/>
      <protection locked="0"/>
    </xf>
    <xf numFmtId="0" fontId="43" fillId="0" borderId="65" xfId="0" applyFont="1" applyBorder="1" applyAlignment="1" applyProtection="1">
      <alignment vertical="center"/>
      <protection locked="0"/>
    </xf>
    <xf numFmtId="0" fontId="0" fillId="0" borderId="25" xfId="0" applyBorder="1" applyProtection="1">
      <protection locked="0"/>
    </xf>
    <xf numFmtId="0" fontId="0" fillId="0" borderId="20" xfId="0" applyBorder="1" applyProtection="1">
      <protection locked="0"/>
    </xf>
    <xf numFmtId="0" fontId="12"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left" vertical="center" wrapText="1"/>
      <protection locked="0"/>
    </xf>
    <xf numFmtId="0" fontId="12" fillId="0" borderId="37"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05" fillId="10" borderId="0" xfId="0" applyFont="1" applyFill="1" applyAlignment="1" applyProtection="1">
      <alignment vertical="center"/>
      <protection locked="0"/>
    </xf>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98" fillId="10" borderId="0" xfId="0" applyFont="1" applyFill="1"/>
    <xf numFmtId="0" fontId="98" fillId="0" borderId="0" xfId="0" applyFont="1"/>
    <xf numFmtId="0" fontId="106" fillId="19" borderId="114"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64" fillId="10" borderId="0" xfId="0" applyFont="1" applyFill="1"/>
    <xf numFmtId="0" fontId="64" fillId="0" borderId="0" xfId="0" applyFont="1"/>
    <xf numFmtId="0" fontId="109" fillId="0" borderId="114" xfId="0" applyFont="1" applyBorder="1" applyAlignment="1">
      <alignment horizontal="center" vertical="top"/>
    </xf>
    <xf numFmtId="0" fontId="108" fillId="0" borderId="114" xfId="0" applyFont="1" applyBorder="1" applyAlignment="1" applyProtection="1">
      <alignment horizontal="justify" vertical="top" wrapText="1"/>
      <protection locked="0"/>
    </xf>
    <xf numFmtId="0" fontId="107" fillId="0" borderId="114" xfId="0" applyFont="1" applyBorder="1" applyAlignment="1" applyProtection="1">
      <alignment horizontal="center" vertical="top"/>
      <protection hidden="1"/>
    </xf>
    <xf numFmtId="0" fontId="107" fillId="0" borderId="114" xfId="0" applyFont="1" applyBorder="1" applyAlignment="1" applyProtection="1">
      <alignment horizontal="center" vertical="top" textRotation="90"/>
      <protection locked="0"/>
    </xf>
    <xf numFmtId="9" fontId="107" fillId="0" borderId="114" xfId="0" applyNumberFormat="1" applyFont="1" applyBorder="1" applyAlignment="1" applyProtection="1">
      <alignment horizontal="center" vertical="top"/>
      <protection hidden="1"/>
    </xf>
    <xf numFmtId="165" fontId="107" fillId="0" borderId="114" xfId="2" applyNumberFormat="1" applyFont="1" applyBorder="1" applyAlignment="1">
      <alignment horizontal="center" vertical="top"/>
    </xf>
    <xf numFmtId="0" fontId="109" fillId="0" borderId="114" xfId="0" applyFont="1" applyBorder="1" applyAlignment="1" applyProtection="1">
      <alignment horizontal="center" vertical="top" textRotation="90" wrapText="1"/>
      <protection hidden="1"/>
    </xf>
    <xf numFmtId="9" fontId="107" fillId="0" borderId="113" xfId="0" applyNumberFormat="1" applyFont="1" applyBorder="1" applyAlignment="1" applyProtection="1">
      <alignment horizontal="center" vertical="top"/>
      <protection hidden="1"/>
    </xf>
    <xf numFmtId="0" fontId="109" fillId="0" borderId="114" xfId="0" applyFont="1" applyBorder="1" applyAlignment="1" applyProtection="1">
      <alignment horizontal="center" vertical="top" textRotation="90"/>
      <protection hidden="1"/>
    </xf>
    <xf numFmtId="0" fontId="107" fillId="0" borderId="113" xfId="0" applyFont="1" applyBorder="1" applyAlignment="1" applyProtection="1">
      <alignment horizontal="center" vertical="top" textRotation="90"/>
      <protection locked="0"/>
    </xf>
    <xf numFmtId="0" fontId="107" fillId="0" borderId="114" xfId="0" applyFont="1" applyBorder="1" applyAlignment="1" applyProtection="1">
      <alignment horizontal="center" vertical="top" wrapText="1"/>
      <protection locked="0"/>
    </xf>
    <xf numFmtId="14" fontId="107" fillId="0" borderId="114" xfId="0" applyNumberFormat="1"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0" fontId="107" fillId="0" borderId="114" xfId="0" applyFont="1" applyBorder="1" applyAlignment="1" applyProtection="1">
      <alignment horizontal="justify" vertical="top" wrapText="1"/>
      <protection locked="0"/>
    </xf>
    <xf numFmtId="0" fontId="107" fillId="0" borderId="114" xfId="0" applyFont="1" applyBorder="1" applyAlignment="1" applyProtection="1">
      <alignment horizontal="justify" vertical="top"/>
      <protection locked="0"/>
    </xf>
    <xf numFmtId="0" fontId="26" fillId="0" borderId="37" xfId="0" applyFont="1" applyBorder="1" applyAlignment="1" applyProtection="1">
      <alignment horizontal="left" vertical="center" wrapText="1"/>
      <protection locked="0"/>
    </xf>
    <xf numFmtId="0" fontId="106" fillId="0" borderId="114" xfId="0" applyFont="1" applyBorder="1" applyAlignment="1">
      <alignment horizontal="center" vertical="center"/>
    </xf>
    <xf numFmtId="0" fontId="106" fillId="0" borderId="0" xfId="0" applyFont="1"/>
    <xf numFmtId="0" fontId="106" fillId="0" borderId="0" xfId="0" applyFont="1" applyAlignment="1">
      <alignment horizontal="center" vertical="center"/>
    </xf>
    <xf numFmtId="165" fontId="107" fillId="0" borderId="114" xfId="2" applyNumberFormat="1" applyFont="1" applyFill="1" applyBorder="1" applyAlignment="1">
      <alignment horizontal="center" vertical="top"/>
    </xf>
    <xf numFmtId="0" fontId="108" fillId="0" borderId="114" xfId="0" applyFont="1" applyBorder="1" applyAlignment="1" applyProtection="1">
      <alignment horizontal="center" vertical="top" wrapText="1"/>
      <protection locked="0"/>
    </xf>
    <xf numFmtId="9" fontId="107" fillId="0" borderId="114" xfId="2" applyFont="1" applyBorder="1" applyAlignment="1" applyProtection="1">
      <alignment horizontal="center" vertical="top"/>
      <protection locked="0"/>
    </xf>
    <xf numFmtId="0" fontId="107" fillId="0" borderId="114" xfId="0" applyFont="1" applyBorder="1" applyAlignment="1" applyProtection="1">
      <alignment horizontal="left" vertical="top" wrapText="1"/>
      <protection locked="0"/>
    </xf>
    <xf numFmtId="0" fontId="108" fillId="0" borderId="114" xfId="0" applyFont="1" applyBorder="1" applyAlignment="1" applyProtection="1">
      <alignment horizontal="lef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6" fillId="23" borderId="87" xfId="4" applyFont="1" applyFill="1" applyBorder="1" applyAlignment="1">
      <alignment horizontal="center" vertical="center" wrapText="1"/>
    </xf>
    <xf numFmtId="0" fontId="56" fillId="23" borderId="88" xfId="4" applyFont="1" applyFill="1" applyBorder="1" applyAlignment="1">
      <alignment horizontal="center" vertical="center" wrapText="1"/>
    </xf>
    <xf numFmtId="0" fontId="56" fillId="23" borderId="89" xfId="3" applyFont="1" applyFill="1" applyBorder="1" applyAlignment="1">
      <alignment horizontal="center" vertical="center"/>
    </xf>
    <xf numFmtId="0" fontId="56" fillId="23" borderId="90" xfId="3" applyFont="1" applyFill="1" applyBorder="1" applyAlignment="1">
      <alignment horizontal="center" vertical="center"/>
    </xf>
    <xf numFmtId="0" fontId="49" fillId="23" borderId="83" xfId="3" applyFont="1" applyFill="1" applyBorder="1" applyAlignment="1">
      <alignment horizontal="center" vertical="center" wrapText="1"/>
    </xf>
    <xf numFmtId="0" fontId="49" fillId="23" borderId="84" xfId="3" applyFont="1" applyFill="1" applyBorder="1" applyAlignment="1">
      <alignment horizontal="center" vertical="center" wrapText="1"/>
    </xf>
    <xf numFmtId="0" fontId="49" fillId="23" borderId="85" xfId="3" applyFont="1" applyFill="1" applyBorder="1" applyAlignment="1">
      <alignment horizontal="center" vertical="center" wrapText="1"/>
    </xf>
    <xf numFmtId="0" fontId="50" fillId="0" borderId="12" xfId="3" quotePrefix="1" applyFont="1" applyBorder="1" applyAlignment="1">
      <alignment horizontal="left" vertical="center" wrapText="1"/>
    </xf>
    <xf numFmtId="0" fontId="50" fillId="0" borderId="0" xfId="3" quotePrefix="1" applyFont="1" applyAlignment="1">
      <alignment horizontal="left" vertical="center" wrapText="1"/>
    </xf>
    <xf numFmtId="0" fontId="50" fillId="0" borderId="3" xfId="3" quotePrefix="1" applyFont="1" applyBorder="1" applyAlignment="1">
      <alignment horizontal="left" vertical="center" wrapText="1"/>
    </xf>
    <xf numFmtId="0" fontId="50" fillId="0" borderId="72" xfId="3" quotePrefix="1" applyFont="1" applyBorder="1" applyAlignment="1">
      <alignment horizontal="left" vertical="center" wrapText="1"/>
    </xf>
    <xf numFmtId="0" fontId="50" fillId="0" borderId="22" xfId="3" quotePrefix="1" applyFont="1" applyBorder="1" applyAlignment="1">
      <alignment horizontal="left" vertical="center" wrapText="1"/>
    </xf>
    <xf numFmtId="0" fontId="50" fillId="0" borderId="37" xfId="3" quotePrefix="1" applyFont="1" applyBorder="1" applyAlignment="1">
      <alignment horizontal="left" vertical="center" wrapText="1"/>
    </xf>
    <xf numFmtId="0" fontId="52" fillId="10" borderId="86" xfId="3" quotePrefix="1" applyFont="1" applyFill="1" applyBorder="1" applyAlignment="1">
      <alignment horizontal="left" vertical="top" wrapText="1"/>
    </xf>
    <xf numFmtId="0" fontId="53" fillId="10" borderId="4" xfId="3" quotePrefix="1" applyFont="1" applyFill="1" applyBorder="1" applyAlignment="1">
      <alignment horizontal="left" vertical="top" wrapText="1"/>
    </xf>
    <xf numFmtId="0" fontId="53" fillId="10" borderId="70" xfId="3" quotePrefix="1" applyFont="1" applyFill="1" applyBorder="1" applyAlignment="1">
      <alignment horizontal="left" vertical="top" wrapText="1"/>
    </xf>
    <xf numFmtId="0" fontId="54" fillId="10" borderId="72" xfId="3" quotePrefix="1" applyFont="1" applyFill="1" applyBorder="1" applyAlignment="1">
      <alignment horizontal="justify" vertical="center"/>
    </xf>
    <xf numFmtId="0" fontId="54" fillId="10" borderId="22" xfId="3" quotePrefix="1" applyFont="1" applyFill="1" applyBorder="1" applyAlignment="1">
      <alignment horizontal="justify" vertical="center"/>
    </xf>
    <xf numFmtId="0" fontId="54" fillId="10" borderId="37" xfId="3" quotePrefix="1" applyFont="1" applyFill="1" applyBorder="1" applyAlignment="1">
      <alignment horizontal="justify" vertical="center"/>
    </xf>
    <xf numFmtId="0" fontId="50" fillId="0" borderId="12" xfId="3" quotePrefix="1" applyFont="1" applyBorder="1" applyAlignment="1">
      <alignment horizontal="left" vertical="top" wrapText="1"/>
    </xf>
    <xf numFmtId="0" fontId="50" fillId="0" borderId="0" xfId="3" quotePrefix="1" applyFont="1" applyAlignment="1">
      <alignment horizontal="left" vertical="top" wrapText="1"/>
    </xf>
    <xf numFmtId="0" fontId="50" fillId="0" borderId="3" xfId="3" quotePrefix="1" applyFont="1" applyBorder="1" applyAlignment="1">
      <alignment horizontal="left" vertical="top" wrapText="1"/>
    </xf>
    <xf numFmtId="0" fontId="56" fillId="10" borderId="91" xfId="4" applyFont="1" applyFill="1" applyBorder="1" applyAlignment="1">
      <alignment horizontal="left" vertical="top" wrapText="1" readingOrder="1"/>
    </xf>
    <xf numFmtId="0" fontId="56" fillId="10" borderId="92" xfId="4" applyFont="1" applyFill="1" applyBorder="1" applyAlignment="1">
      <alignment horizontal="left" vertical="top" wrapText="1" readingOrder="1"/>
    </xf>
    <xf numFmtId="0" fontId="50" fillId="10" borderId="93" xfId="3" applyFont="1" applyFill="1" applyBorder="1" applyAlignment="1">
      <alignment horizontal="justify" vertical="center" wrapText="1"/>
    </xf>
    <xf numFmtId="0" fontId="50" fillId="10" borderId="94" xfId="3" applyFont="1" applyFill="1" applyBorder="1" applyAlignment="1">
      <alignment horizontal="justify" vertical="center" wrapText="1"/>
    </xf>
    <xf numFmtId="0" fontId="56" fillId="10" borderId="95" xfId="0" applyFont="1" applyFill="1" applyBorder="1" applyAlignment="1">
      <alignment horizontal="left" vertical="center" wrapText="1"/>
    </xf>
    <xf numFmtId="0" fontId="56" fillId="10" borderId="1" xfId="0" applyFont="1" applyFill="1" applyBorder="1" applyAlignment="1">
      <alignment horizontal="left" vertical="center" wrapText="1"/>
    </xf>
    <xf numFmtId="0" fontId="50" fillId="10" borderId="96" xfId="3" applyFont="1" applyFill="1" applyBorder="1" applyAlignment="1">
      <alignment horizontal="justify" vertical="center" wrapText="1"/>
    </xf>
    <xf numFmtId="0" fontId="50" fillId="10" borderId="97" xfId="3" applyFont="1" applyFill="1" applyBorder="1" applyAlignment="1">
      <alignment horizontal="justify" vertical="center" wrapText="1"/>
    </xf>
    <xf numFmtId="0" fontId="56" fillId="10" borderId="98" xfId="0" applyFont="1" applyFill="1" applyBorder="1" applyAlignment="1">
      <alignment horizontal="left" vertical="center" wrapText="1"/>
    </xf>
    <xf numFmtId="0" fontId="56" fillId="10" borderId="99" xfId="0" applyFont="1" applyFill="1" applyBorder="1" applyAlignment="1">
      <alignment horizontal="left" vertical="center" wrapText="1"/>
    </xf>
    <xf numFmtId="0" fontId="50" fillId="10" borderId="12" xfId="3" applyFont="1" applyFill="1" applyBorder="1" applyAlignment="1">
      <alignment horizontal="left" vertical="top" wrapText="1"/>
    </xf>
    <xf numFmtId="0" fontId="50" fillId="10" borderId="0" xfId="3" applyFont="1" applyFill="1" applyAlignment="1">
      <alignment horizontal="left" vertical="top" wrapText="1"/>
    </xf>
    <xf numFmtId="0" fontId="50" fillId="10" borderId="3" xfId="3" applyFont="1" applyFill="1" applyBorder="1" applyAlignment="1">
      <alignment horizontal="left" vertical="top" wrapText="1"/>
    </xf>
    <xf numFmtId="0" fontId="58" fillId="10" borderId="100" xfId="0" applyFont="1" applyFill="1" applyBorder="1" applyAlignment="1">
      <alignment horizontal="left" vertical="center" wrapText="1"/>
    </xf>
    <xf numFmtId="0" fontId="58" fillId="10" borderId="101" xfId="0" applyFont="1" applyFill="1" applyBorder="1" applyAlignment="1">
      <alignment horizontal="left" vertical="center" wrapText="1"/>
    </xf>
    <xf numFmtId="0" fontId="59" fillId="10" borderId="102" xfId="0" applyFont="1" applyFill="1" applyBorder="1" applyAlignment="1">
      <alignment horizontal="justify" vertical="center" wrapText="1"/>
    </xf>
    <xf numFmtId="0" fontId="59" fillId="10" borderId="103" xfId="0" applyFont="1" applyFill="1" applyBorder="1" applyAlignment="1">
      <alignment horizontal="justify" vertical="center" wrapText="1"/>
    </xf>
    <xf numFmtId="0" fontId="61" fillId="0" borderId="110" xfId="0" applyFont="1" applyBorder="1" applyAlignment="1">
      <alignment horizontal="left" vertical="center" wrapText="1"/>
    </xf>
    <xf numFmtId="0" fontId="61" fillId="0" borderId="112" xfId="0" applyFont="1" applyBorder="1" applyAlignment="1">
      <alignment horizontal="left" vertical="center" wrapText="1"/>
    </xf>
    <xf numFmtId="0" fontId="61" fillId="0" borderId="111" xfId="0" applyFont="1" applyBorder="1" applyAlignment="1">
      <alignment horizontal="left" vertical="center" wrapText="1"/>
    </xf>
    <xf numFmtId="9" fontId="107" fillId="0" borderId="113" xfId="0" applyNumberFormat="1" applyFont="1" applyBorder="1" applyAlignment="1" applyProtection="1">
      <alignment horizontal="center" vertical="top" wrapText="1"/>
      <protection hidden="1"/>
    </xf>
    <xf numFmtId="9" fontId="107" fillId="0" borderId="116"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3" xfId="0" applyNumberFormat="1" applyFont="1" applyBorder="1" applyAlignment="1" applyProtection="1">
      <alignment horizontal="center" vertical="top" wrapText="1"/>
      <protection locked="0"/>
    </xf>
    <xf numFmtId="9" fontId="107" fillId="0" borderId="116"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0" fontId="109" fillId="0" borderId="113" xfId="0" applyFont="1" applyBorder="1" applyAlignment="1">
      <alignment horizontal="center" vertical="top" wrapText="1"/>
    </xf>
    <xf numFmtId="0" fontId="109" fillId="0" borderId="116"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3" xfId="0" applyFont="1" applyBorder="1" applyAlignment="1" applyProtection="1">
      <alignment horizontal="center" vertical="top"/>
      <protection hidden="1"/>
    </xf>
    <xf numFmtId="0" fontId="109" fillId="0" borderId="116"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6" fillId="0" borderId="113" xfId="0" applyFont="1" applyBorder="1" applyAlignment="1">
      <alignment horizontal="center" vertical="top"/>
    </xf>
    <xf numFmtId="0" fontId="106" fillId="0" borderId="116" xfId="0" applyFont="1" applyBorder="1" applyAlignment="1">
      <alignment horizontal="center" vertical="top"/>
    </xf>
    <xf numFmtId="0" fontId="106" fillId="0" borderId="115"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6"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8" fillId="0" borderId="116"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6"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9" fillId="0" borderId="113" xfId="0" applyFont="1" applyBorder="1" applyAlignment="1" applyProtection="1">
      <alignment horizontal="center" vertical="top" wrapText="1"/>
      <protection hidden="1"/>
    </xf>
    <xf numFmtId="0" fontId="109" fillId="0" borderId="116"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10" fillId="0" borderId="116"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5"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7"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3" xfId="0" applyFont="1" applyFill="1" applyBorder="1" applyAlignment="1">
      <alignment horizontal="center" vertical="center" textRotation="90"/>
    </xf>
    <xf numFmtId="0" fontId="106" fillId="19" borderId="115" xfId="0" applyFont="1" applyFill="1" applyBorder="1" applyAlignment="1">
      <alignment horizontal="center" vertical="center" textRotation="90"/>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0" xfId="0" applyFont="1" applyFill="1" applyBorder="1" applyAlignment="1">
      <alignment horizontal="center" vertical="center"/>
    </xf>
    <xf numFmtId="0" fontId="106" fillId="19" borderId="112"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6" xfId="0" applyFont="1" applyFill="1" applyBorder="1" applyAlignment="1">
      <alignment horizontal="center" vertical="center" wrapText="1"/>
    </xf>
    <xf numFmtId="0" fontId="106" fillId="19" borderId="117" xfId="0" applyFont="1" applyFill="1" applyBorder="1" applyAlignment="1">
      <alignment horizontal="center" vertical="center" wrapText="1"/>
    </xf>
    <xf numFmtId="0" fontId="65" fillId="19" borderId="107" xfId="0" applyFont="1" applyFill="1" applyBorder="1" applyAlignment="1">
      <alignment horizontal="center" vertical="center" wrapText="1"/>
    </xf>
    <xf numFmtId="0" fontId="65" fillId="19" borderId="108" xfId="0" applyFont="1" applyFill="1" applyBorder="1" applyAlignment="1">
      <alignment horizontal="center" vertical="center" wrapText="1"/>
    </xf>
    <xf numFmtId="0" fontId="65" fillId="19" borderId="109" xfId="0" applyFont="1" applyFill="1" applyBorder="1" applyAlignment="1">
      <alignment horizontal="center" vertical="center" wrapText="1"/>
    </xf>
    <xf numFmtId="0" fontId="60" fillId="0" borderId="117" xfId="0" applyFont="1" applyBorder="1" applyAlignment="1">
      <alignment horizontal="center" vertical="center"/>
    </xf>
    <xf numFmtId="0" fontId="60" fillId="0" borderId="0" xfId="0" applyFont="1" applyAlignment="1">
      <alignment horizontal="center" vertical="center"/>
    </xf>
    <xf numFmtId="0" fontId="103" fillId="19" borderId="110" xfId="0" applyFont="1" applyFill="1" applyBorder="1" applyAlignment="1">
      <alignment horizontal="left" vertical="center"/>
    </xf>
    <xf numFmtId="0" fontId="103" fillId="19" borderId="111" xfId="0" applyFont="1" applyFill="1" applyBorder="1" applyAlignment="1">
      <alignment horizontal="left" vertical="center"/>
    </xf>
    <xf numFmtId="0" fontId="105" fillId="10" borderId="104" xfId="0" applyFont="1" applyFill="1" applyBorder="1" applyAlignment="1" applyProtection="1">
      <alignment horizontal="left" vertical="center"/>
      <protection locked="0"/>
    </xf>
    <xf numFmtId="0" fontId="105" fillId="10" borderId="105" xfId="0" applyFont="1" applyFill="1" applyBorder="1" applyAlignment="1" applyProtection="1">
      <alignment horizontal="left" vertical="center"/>
      <protection locked="0"/>
    </xf>
    <xf numFmtId="0" fontId="105" fillId="10" borderId="106" xfId="0" applyFont="1" applyFill="1" applyBorder="1" applyAlignment="1" applyProtection="1">
      <alignment horizontal="left" vertical="center"/>
      <protection locked="0"/>
    </xf>
    <xf numFmtId="0" fontId="105" fillId="10" borderId="104" xfId="0" applyFont="1" applyFill="1" applyBorder="1" applyAlignment="1" applyProtection="1">
      <alignment horizontal="left" vertical="center" wrapText="1"/>
      <protection locked="0"/>
    </xf>
    <xf numFmtId="0" fontId="105" fillId="10" borderId="105" xfId="0" applyFont="1" applyFill="1" applyBorder="1" applyAlignment="1" applyProtection="1">
      <alignment horizontal="left" vertical="center" wrapText="1"/>
      <protection locked="0"/>
    </xf>
    <xf numFmtId="0" fontId="105" fillId="10" borderId="106" xfId="0" applyFont="1" applyFill="1" applyBorder="1" applyAlignment="1" applyProtection="1">
      <alignment horizontal="left" vertical="center" wrapText="1"/>
      <protection locked="0"/>
    </xf>
    <xf numFmtId="0" fontId="103" fillId="19" borderId="112" xfId="0" applyFont="1" applyFill="1" applyBorder="1" applyAlignment="1">
      <alignment horizontal="left" vertical="center"/>
    </xf>
    <xf numFmtId="0" fontId="105" fillId="10" borderId="130" xfId="0" applyFont="1" applyFill="1" applyBorder="1" applyAlignment="1" applyProtection="1">
      <alignment horizontal="left" vertical="center"/>
      <protection locked="0"/>
    </xf>
    <xf numFmtId="0" fontId="105" fillId="10" borderId="131" xfId="0" applyFont="1" applyFill="1" applyBorder="1" applyAlignment="1" applyProtection="1">
      <alignment horizontal="left" vertical="center"/>
      <protection locked="0"/>
    </xf>
    <xf numFmtId="0" fontId="105" fillId="10" borderId="132" xfId="0" applyFont="1" applyFill="1" applyBorder="1" applyAlignment="1" applyProtection="1">
      <alignment horizontal="left" vertical="center"/>
      <protection locked="0"/>
    </xf>
    <xf numFmtId="0" fontId="60" fillId="0" borderId="0" xfId="0" applyFont="1" applyAlignment="1">
      <alignment horizontal="center" vertical="center" wrapText="1"/>
    </xf>
    <xf numFmtId="0" fontId="67" fillId="24" borderId="0" xfId="0" applyFont="1" applyFill="1" applyAlignment="1">
      <alignment horizontal="center" vertical="center" wrapText="1" readingOrder="1"/>
    </xf>
    <xf numFmtId="0" fontId="67" fillId="24" borderId="0" xfId="0" applyFont="1" applyFill="1" applyAlignment="1">
      <alignment horizontal="center" vertical="center" textRotation="90" wrapText="1" readingOrder="1"/>
    </xf>
    <xf numFmtId="0" fontId="67" fillId="24" borderId="3" xfId="0" applyFont="1" applyFill="1" applyBorder="1" applyAlignment="1">
      <alignment horizontal="center" vertical="center" textRotation="90" wrapText="1" readingOrder="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6" borderId="34"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70" fillId="26" borderId="125" xfId="0" applyFont="1" applyFill="1" applyBorder="1" applyAlignment="1">
      <alignment horizontal="center" vertical="center" wrapText="1" readingOrder="1"/>
    </xf>
    <xf numFmtId="0" fontId="69" fillId="26" borderId="16"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26" borderId="15" xfId="0" applyFont="1" applyFill="1" applyBorder="1" applyAlignment="1" applyProtection="1">
      <alignment horizontal="center" wrapText="1" readingOrder="1"/>
      <protection hidden="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25" borderId="124" xfId="0" applyFont="1" applyFill="1" applyBorder="1" applyAlignment="1">
      <alignment horizontal="center" vertical="center" wrapText="1" readingOrder="1"/>
    </xf>
    <xf numFmtId="0" fontId="70" fillId="25" borderId="125" xfId="0" applyFont="1" applyFill="1" applyBorder="1" applyAlignment="1">
      <alignment horizontal="center" vertical="center" wrapText="1" readingOrder="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70" fillId="7" borderId="125" xfId="0" applyFont="1" applyFill="1" applyBorder="1" applyAlignment="1">
      <alignment horizontal="center" vertical="center" wrapText="1" readingOrder="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70" fillId="8" borderId="125" xfId="0" applyFont="1" applyFill="1" applyBorder="1" applyAlignment="1">
      <alignment horizontal="center" vertical="center" wrapText="1" readingOrder="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68" fillId="0" borderId="39" xfId="0"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74" fillId="0" borderId="34" xfId="0" applyFont="1" applyBorder="1" applyAlignment="1">
      <alignment horizontal="center" vertical="center" wrapText="1"/>
    </xf>
    <xf numFmtId="0" fontId="74" fillId="0" borderId="39" xfId="0" applyFont="1" applyBorder="1" applyAlignment="1">
      <alignment horizontal="center" vertical="center"/>
    </xf>
    <xf numFmtId="0" fontId="74" fillId="0" borderId="63"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4" fillId="0" borderId="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3" xfId="0" applyFont="1" applyBorder="1" applyAlignment="1">
      <alignment horizontal="center" vertical="center"/>
    </xf>
    <xf numFmtId="0" fontId="76" fillId="26" borderId="118" xfId="0" applyFont="1" applyFill="1" applyBorder="1" applyAlignment="1">
      <alignment horizontal="center" vertical="center" wrapText="1" readingOrder="1"/>
    </xf>
    <xf numFmtId="0" fontId="76" fillId="26" borderId="119" xfId="0" applyFont="1" applyFill="1" applyBorder="1" applyAlignment="1">
      <alignment horizontal="center" vertical="center" wrapText="1" readingOrder="1"/>
    </xf>
    <xf numFmtId="0" fontId="76" fillId="26" borderId="120" xfId="0" applyFont="1" applyFill="1" applyBorder="1" applyAlignment="1">
      <alignment horizontal="center" vertical="center" wrapText="1" readingOrder="1"/>
    </xf>
    <xf numFmtId="0" fontId="76" fillId="26" borderId="121" xfId="0" applyFont="1" applyFill="1" applyBorder="1" applyAlignment="1">
      <alignment horizontal="center" vertical="center" wrapText="1" readingOrder="1"/>
    </xf>
    <xf numFmtId="0" fontId="76" fillId="26" borderId="0" xfId="0" applyFont="1" applyFill="1" applyAlignment="1">
      <alignment horizontal="center" vertical="center" wrapText="1" readingOrder="1"/>
    </xf>
    <xf numFmtId="0" fontId="76" fillId="26" borderId="122" xfId="0" applyFont="1" applyFill="1" applyBorder="1" applyAlignment="1">
      <alignment horizontal="center" vertical="center" wrapText="1" readingOrder="1"/>
    </xf>
    <xf numFmtId="0" fontId="76" fillId="26" borderId="123" xfId="0" applyFont="1" applyFill="1" applyBorder="1" applyAlignment="1">
      <alignment horizontal="center" vertical="center" wrapText="1" readingOrder="1"/>
    </xf>
    <xf numFmtId="0" fontId="76" fillId="26" borderId="124" xfId="0" applyFont="1" applyFill="1" applyBorder="1" applyAlignment="1">
      <alignment horizontal="center" vertical="center" wrapText="1" readingOrder="1"/>
    </xf>
    <xf numFmtId="0" fontId="76" fillId="26" borderId="125" xfId="0" applyFont="1" applyFill="1" applyBorder="1" applyAlignment="1">
      <alignment horizontal="center" vertical="center" wrapText="1" readingOrder="1"/>
    </xf>
    <xf numFmtId="0" fontId="74" fillId="0" borderId="12" xfId="0" applyFont="1" applyBorder="1" applyAlignment="1">
      <alignment horizontal="center" vertical="center" wrapText="1"/>
    </xf>
    <xf numFmtId="0" fontId="76" fillId="25" borderId="118" xfId="0" applyFont="1" applyFill="1" applyBorder="1" applyAlignment="1">
      <alignment horizontal="center" vertical="center" wrapText="1" readingOrder="1"/>
    </xf>
    <xf numFmtId="0" fontId="76" fillId="25" borderId="119" xfId="0" applyFont="1" applyFill="1" applyBorder="1" applyAlignment="1">
      <alignment horizontal="center" vertical="center" wrapText="1" readingOrder="1"/>
    </xf>
    <xf numFmtId="0" fontId="76" fillId="25" borderId="120" xfId="0" applyFont="1" applyFill="1" applyBorder="1" applyAlignment="1">
      <alignment horizontal="center" vertical="center" wrapText="1" readingOrder="1"/>
    </xf>
    <xf numFmtId="0" fontId="76" fillId="25" borderId="121" xfId="0" applyFont="1" applyFill="1" applyBorder="1" applyAlignment="1">
      <alignment horizontal="center" vertical="center" wrapText="1" readingOrder="1"/>
    </xf>
    <xf numFmtId="0" fontId="76" fillId="25" borderId="0" xfId="0" applyFont="1" applyFill="1" applyAlignment="1">
      <alignment horizontal="center" vertical="center" wrapText="1" readingOrder="1"/>
    </xf>
    <xf numFmtId="0" fontId="76" fillId="25" borderId="122" xfId="0" applyFont="1" applyFill="1" applyBorder="1" applyAlignment="1">
      <alignment horizontal="center" vertical="center" wrapText="1" readingOrder="1"/>
    </xf>
    <xf numFmtId="0" fontId="76" fillId="25" borderId="123" xfId="0" applyFont="1" applyFill="1" applyBorder="1" applyAlignment="1">
      <alignment horizontal="center" vertical="center" wrapText="1" readingOrder="1"/>
    </xf>
    <xf numFmtId="0" fontId="76" fillId="25" borderId="124" xfId="0" applyFont="1" applyFill="1" applyBorder="1" applyAlignment="1">
      <alignment horizontal="center" vertical="center" wrapText="1" readingOrder="1"/>
    </xf>
    <xf numFmtId="0" fontId="76" fillId="25" borderId="125" xfId="0" applyFont="1" applyFill="1" applyBorder="1" applyAlignment="1">
      <alignment horizontal="center" vertical="center" wrapText="1" readingOrder="1"/>
    </xf>
    <xf numFmtId="0" fontId="76" fillId="7" borderId="118" xfId="0" applyFont="1" applyFill="1" applyBorder="1" applyAlignment="1">
      <alignment horizontal="center" vertical="center" wrapText="1" readingOrder="1"/>
    </xf>
    <xf numFmtId="0" fontId="76" fillId="7" borderId="119" xfId="0" applyFont="1" applyFill="1" applyBorder="1" applyAlignment="1">
      <alignment horizontal="center" vertical="center" wrapText="1" readingOrder="1"/>
    </xf>
    <xf numFmtId="0" fontId="76" fillId="7" borderId="120" xfId="0" applyFont="1" applyFill="1" applyBorder="1" applyAlignment="1">
      <alignment horizontal="center" vertical="center" wrapText="1" readingOrder="1"/>
    </xf>
    <xf numFmtId="0" fontId="76" fillId="7" borderId="121" xfId="0" applyFont="1" applyFill="1" applyBorder="1" applyAlignment="1">
      <alignment horizontal="center" vertical="center" wrapText="1" readingOrder="1"/>
    </xf>
    <xf numFmtId="0" fontId="76" fillId="7" borderId="0" xfId="0" applyFont="1" applyFill="1" applyAlignment="1">
      <alignment horizontal="center" vertical="center" wrapText="1" readingOrder="1"/>
    </xf>
    <xf numFmtId="0" fontId="76" fillId="7" borderId="122" xfId="0" applyFont="1" applyFill="1" applyBorder="1" applyAlignment="1">
      <alignment horizontal="center" vertical="center" wrapText="1" readingOrder="1"/>
    </xf>
    <xf numFmtId="0" fontId="76" fillId="7" borderId="123" xfId="0" applyFont="1" applyFill="1" applyBorder="1" applyAlignment="1">
      <alignment horizontal="center" vertical="center" wrapText="1" readingOrder="1"/>
    </xf>
    <xf numFmtId="0" fontId="76" fillId="7" borderId="124" xfId="0" applyFont="1" applyFill="1" applyBorder="1" applyAlignment="1">
      <alignment horizontal="center" vertical="center" wrapText="1" readingOrder="1"/>
    </xf>
    <xf numFmtId="0" fontId="76" fillId="7" borderId="125" xfId="0" applyFont="1" applyFill="1" applyBorder="1" applyAlignment="1">
      <alignment horizontal="center" vertical="center" wrapText="1" readingOrder="1"/>
    </xf>
    <xf numFmtId="0" fontId="76" fillId="8" borderId="118" xfId="0" applyFont="1" applyFill="1" applyBorder="1" applyAlignment="1">
      <alignment horizontal="center" vertical="center" wrapText="1" readingOrder="1"/>
    </xf>
    <xf numFmtId="0" fontId="76" fillId="8" borderId="119" xfId="0" applyFont="1" applyFill="1" applyBorder="1" applyAlignment="1">
      <alignment horizontal="center" vertical="center" wrapText="1" readingOrder="1"/>
    </xf>
    <xf numFmtId="0" fontId="76" fillId="8" borderId="120" xfId="0" applyFont="1" applyFill="1" applyBorder="1" applyAlignment="1">
      <alignment horizontal="center" vertical="center" wrapText="1" readingOrder="1"/>
    </xf>
    <xf numFmtId="0" fontId="76" fillId="8" borderId="121" xfId="0" applyFont="1" applyFill="1" applyBorder="1" applyAlignment="1">
      <alignment horizontal="center" vertical="center" wrapText="1" readingOrder="1"/>
    </xf>
    <xf numFmtId="0" fontId="76" fillId="8" borderId="0" xfId="0" applyFont="1" applyFill="1" applyAlignment="1">
      <alignment horizontal="center" vertical="center" wrapText="1" readingOrder="1"/>
    </xf>
    <xf numFmtId="0" fontId="76" fillId="8" borderId="122" xfId="0" applyFont="1" applyFill="1" applyBorder="1" applyAlignment="1">
      <alignment horizontal="center" vertical="center" wrapText="1" readingOrder="1"/>
    </xf>
    <xf numFmtId="0" fontId="76" fillId="8" borderId="123" xfId="0" applyFont="1" applyFill="1" applyBorder="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8" borderId="125" xfId="0" applyFont="1" applyFill="1" applyBorder="1" applyAlignment="1">
      <alignment horizontal="center" vertical="center" wrapText="1" readingOrder="1"/>
    </xf>
    <xf numFmtId="0" fontId="74" fillId="0" borderId="39" xfId="0" applyFont="1" applyBorder="1" applyAlignment="1">
      <alignment horizontal="center" vertical="center" wrapText="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2" fillId="0" borderId="59" xfId="0" applyFont="1" applyBorder="1" applyAlignment="1" applyProtection="1">
      <alignment horizontal="center" vertical="center"/>
      <protection hidden="1"/>
    </xf>
    <xf numFmtId="0" fontId="62" fillId="0" borderId="0" xfId="0" applyFont="1" applyAlignment="1">
      <alignment horizontal="center" vertical="center"/>
    </xf>
    <xf numFmtId="0" fontId="83" fillId="0" borderId="0" xfId="0" applyFont="1" applyAlignment="1">
      <alignment horizontal="center" vertical="center"/>
    </xf>
    <xf numFmtId="0" fontId="98" fillId="10" borderId="0" xfId="0" applyFont="1" applyFill="1" applyAlignment="1">
      <alignment horizontal="justify" vertical="center" wrapText="1"/>
    </xf>
    <xf numFmtId="0" fontId="92" fillId="16" borderId="26" xfId="0" applyFont="1" applyFill="1" applyBorder="1" applyAlignment="1">
      <alignment horizontal="center" vertical="center" wrapText="1" readingOrder="1"/>
    </xf>
    <xf numFmtId="0" fontId="92" fillId="16" borderId="27" xfId="0" applyFont="1" applyFill="1" applyBorder="1" applyAlignment="1">
      <alignment horizontal="center" vertical="center" wrapText="1" readingOrder="1"/>
    </xf>
    <xf numFmtId="0" fontId="92" fillId="16" borderId="28" xfId="0" applyFont="1" applyFill="1" applyBorder="1" applyAlignment="1">
      <alignment horizontal="center" vertical="center" wrapText="1" readingOrder="1"/>
    </xf>
    <xf numFmtId="0" fontId="94" fillId="16" borderId="62" xfId="0" applyFont="1" applyFill="1" applyBorder="1" applyAlignment="1">
      <alignment horizontal="center" vertical="center" wrapText="1" readingOrder="1"/>
    </xf>
    <xf numFmtId="0" fontId="94" fillId="16" borderId="42" xfId="0" applyFont="1" applyFill="1" applyBorder="1" applyAlignment="1">
      <alignment horizontal="center" vertical="center" wrapText="1" readingOrder="1"/>
    </xf>
    <xf numFmtId="0" fontId="94" fillId="10" borderId="128" xfId="0" applyFont="1" applyFill="1" applyBorder="1" applyAlignment="1">
      <alignment horizontal="center" vertical="center" wrapText="1" readingOrder="1"/>
    </xf>
    <xf numFmtId="0" fontId="94" fillId="10" borderId="36"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4" fillId="10" borderId="58"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6" fillId="0" borderId="26" xfId="0" applyFont="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20" borderId="26" xfId="0" applyFont="1" applyFill="1" applyBorder="1" applyAlignment="1" applyProtection="1">
      <alignment horizontal="center" vertical="center"/>
      <protection hidden="1"/>
    </xf>
    <xf numFmtId="0" fontId="46" fillId="20" borderId="27" xfId="0" applyFont="1" applyFill="1" applyBorder="1" applyAlignment="1" applyProtection="1">
      <alignment horizontal="center" vertical="center"/>
      <protection hidden="1"/>
    </xf>
    <xf numFmtId="0" fontId="46" fillId="20" borderId="28" xfId="0" applyFont="1" applyFill="1" applyBorder="1" applyAlignment="1" applyProtection="1">
      <alignment horizontal="center" vertical="center"/>
      <protection hidden="1"/>
    </xf>
    <xf numFmtId="0" fontId="45" fillId="0" borderId="17" xfId="0" applyFont="1" applyBorder="1" applyAlignment="1" applyProtection="1">
      <alignment horizontal="center" vertical="center" textRotation="90" wrapText="1"/>
      <protection hidden="1"/>
    </xf>
    <xf numFmtId="0" fontId="45" fillId="0" borderId="38" xfId="0" applyFont="1" applyBorder="1" applyAlignment="1" applyProtection="1">
      <alignment horizontal="center" vertical="center" textRotation="90" wrapText="1"/>
      <protection hidden="1"/>
    </xf>
    <xf numFmtId="0" fontId="45"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4" fillId="19" borderId="134" xfId="0" applyFont="1" applyFill="1" applyBorder="1" applyAlignment="1">
      <alignment horizontal="center" vertical="center"/>
    </xf>
    <xf numFmtId="0" fontId="64" fillId="19" borderId="135" xfId="0" applyFont="1" applyFill="1" applyBorder="1" applyAlignment="1">
      <alignment horizontal="center" vertical="center"/>
    </xf>
    <xf numFmtId="0" fontId="64" fillId="19" borderId="136" xfId="0" applyFont="1" applyFill="1" applyBorder="1" applyAlignment="1">
      <alignment horizontal="center" vertical="center"/>
    </xf>
    <xf numFmtId="0" fontId="64" fillId="19" borderId="115" xfId="0" applyFont="1" applyFill="1" applyBorder="1" applyAlignment="1">
      <alignment horizontal="center" vertical="center" wrapText="1"/>
    </xf>
    <xf numFmtId="0" fontId="64" fillId="19" borderId="133" xfId="0" applyFont="1" applyFill="1" applyBorder="1" applyAlignment="1">
      <alignment horizontal="center" vertical="center" wrapText="1"/>
    </xf>
    <xf numFmtId="0" fontId="63" fillId="10" borderId="130" xfId="0" applyFont="1" applyFill="1" applyBorder="1" applyAlignment="1" applyProtection="1">
      <alignment horizontal="left" vertical="center" wrapText="1"/>
      <protection locked="0"/>
    </xf>
    <xf numFmtId="0" fontId="63" fillId="10" borderId="131" xfId="0" applyFont="1" applyFill="1" applyBorder="1" applyAlignment="1" applyProtection="1">
      <alignment horizontal="left" vertical="center" wrapText="1"/>
      <protection locked="0"/>
    </xf>
    <xf numFmtId="0" fontId="63" fillId="10" borderId="132" xfId="0" applyFont="1" applyFill="1" applyBorder="1" applyAlignment="1" applyProtection="1">
      <alignment horizontal="left" vertical="center" wrapText="1"/>
      <protection locked="0"/>
    </xf>
    <xf numFmtId="0" fontId="60" fillId="10" borderId="104" xfId="0" applyFont="1" applyFill="1" applyBorder="1" applyAlignment="1">
      <alignment horizontal="center" vertical="center"/>
    </xf>
    <xf numFmtId="0" fontId="60" fillId="10" borderId="105" xfId="0" applyFont="1" applyFill="1" applyBorder="1" applyAlignment="1">
      <alignment horizontal="center" vertical="center"/>
    </xf>
    <xf numFmtId="0" fontId="60" fillId="10" borderId="106" xfId="0" applyFont="1" applyFill="1" applyBorder="1" applyAlignment="1">
      <alignment horizontal="center" vertical="center"/>
    </xf>
    <xf numFmtId="0" fontId="60" fillId="10" borderId="107" xfId="0" applyFont="1" applyFill="1" applyBorder="1" applyAlignment="1">
      <alignment horizontal="center" vertical="center"/>
    </xf>
    <xf numFmtId="0" fontId="60" fillId="10" borderId="108" xfId="0" applyFont="1" applyFill="1" applyBorder="1" applyAlignment="1">
      <alignment horizontal="center" vertical="center"/>
    </xf>
    <xf numFmtId="0" fontId="60" fillId="10" borderId="109" xfId="0" applyFont="1" applyFill="1" applyBorder="1" applyAlignment="1">
      <alignment horizontal="center" vertical="center"/>
    </xf>
    <xf numFmtId="0" fontId="64" fillId="19" borderId="110" xfId="0" applyFont="1" applyFill="1" applyBorder="1" applyAlignment="1">
      <alignment horizontal="center" vertical="center"/>
    </xf>
    <xf numFmtId="0" fontId="64" fillId="19" borderId="112" xfId="0" applyFont="1" applyFill="1" applyBorder="1" applyAlignment="1">
      <alignment horizontal="center" vertical="center"/>
    </xf>
    <xf numFmtId="0" fontId="64" fillId="19" borderId="108" xfId="0" applyFont="1" applyFill="1" applyBorder="1" applyAlignment="1">
      <alignment horizontal="center" vertical="center"/>
    </xf>
    <xf numFmtId="0" fontId="64" fillId="19" borderId="109" xfId="0" applyFont="1" applyFill="1" applyBorder="1" applyAlignment="1">
      <alignment horizontal="center" vertical="center"/>
    </xf>
    <xf numFmtId="0" fontId="64" fillId="19" borderId="107" xfId="0" applyFont="1" applyFill="1" applyBorder="1" applyAlignment="1">
      <alignment horizontal="center" vertical="center"/>
    </xf>
    <xf numFmtId="0" fontId="63" fillId="10" borderId="104" xfId="0" applyFont="1" applyFill="1" applyBorder="1" applyAlignment="1" applyProtection="1">
      <alignment horizontal="left" vertical="center"/>
      <protection locked="0"/>
    </xf>
    <xf numFmtId="0" fontId="63" fillId="10" borderId="105" xfId="0" applyFont="1" applyFill="1" applyBorder="1" applyAlignment="1" applyProtection="1">
      <alignment horizontal="left" vertical="center"/>
      <protection locked="0"/>
    </xf>
    <xf numFmtId="0" fontId="63" fillId="10" borderId="106" xfId="0" applyFont="1" applyFill="1" applyBorder="1" applyAlignment="1" applyProtection="1">
      <alignment horizontal="left" vertical="center"/>
      <protection locked="0"/>
    </xf>
    <xf numFmtId="0" fontId="61" fillId="10" borderId="0" xfId="0" applyFont="1" applyFill="1" applyAlignment="1">
      <alignment horizontal="left" vertical="center"/>
    </xf>
    <xf numFmtId="0" fontId="64" fillId="19" borderId="113" xfId="0" applyFont="1" applyFill="1" applyBorder="1" applyAlignment="1">
      <alignment horizontal="center" vertical="center" wrapText="1"/>
    </xf>
    <xf numFmtId="0" fontId="64" fillId="19" borderId="117" xfId="0" applyFont="1" applyFill="1" applyBorder="1" applyAlignment="1">
      <alignment horizontal="center" vertical="center" wrapText="1"/>
    </xf>
    <xf numFmtId="0" fontId="64" fillId="19" borderId="117" xfId="0" applyFont="1" applyFill="1" applyBorder="1" applyAlignment="1">
      <alignment horizontal="center" vertical="center"/>
    </xf>
    <xf numFmtId="0" fontId="64" fillId="19" borderId="114" xfId="0" applyFont="1" applyFill="1" applyBorder="1" applyAlignment="1">
      <alignment horizontal="center" vertical="center" wrapText="1"/>
    </xf>
    <xf numFmtId="0" fontId="64" fillId="19" borderId="113" xfId="0" applyFont="1" applyFill="1" applyBorder="1" applyAlignment="1">
      <alignment horizontal="center" vertical="center" textRotation="90" wrapText="1"/>
    </xf>
    <xf numFmtId="0" fontId="64" fillId="19" borderId="115"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xf>
    <xf numFmtId="0" fontId="65" fillId="19" borderId="115" xfId="0" applyFont="1" applyFill="1" applyBorder="1" applyAlignment="1">
      <alignment horizontal="center" vertical="center" textRotation="90"/>
    </xf>
    <xf numFmtId="0" fontId="64" fillId="19" borderId="114" xfId="0" applyFont="1" applyFill="1" applyBorder="1" applyAlignment="1">
      <alignment horizontal="center" vertical="center"/>
    </xf>
    <xf numFmtId="0" fontId="64" fillId="19" borderId="115" xfId="0" applyFont="1" applyFill="1" applyBorder="1" applyAlignment="1">
      <alignment horizontal="center" vertical="center"/>
    </xf>
    <xf numFmtId="0" fontId="64" fillId="19" borderId="116" xfId="0" applyFont="1" applyFill="1" applyBorder="1" applyAlignment="1">
      <alignment horizontal="center" vertical="center" wrapText="1"/>
    </xf>
    <xf numFmtId="0" fontId="64" fillId="19" borderId="114" xfId="0" applyFont="1" applyFill="1" applyBorder="1" applyAlignment="1">
      <alignment horizontal="center" vertical="center" textRotation="90" wrapText="1"/>
    </xf>
    <xf numFmtId="0" fontId="64" fillId="0" borderId="113" xfId="0" applyFont="1" applyBorder="1" applyAlignment="1" applyProtection="1">
      <alignment horizontal="center" vertical="top"/>
      <protection hidden="1"/>
    </xf>
    <xf numFmtId="0" fontId="64" fillId="0" borderId="116" xfId="0" applyFont="1" applyBorder="1" applyAlignment="1" applyProtection="1">
      <alignment horizontal="center" vertical="top"/>
      <protection hidden="1"/>
    </xf>
    <xf numFmtId="0" fontId="64" fillId="0" borderId="115" xfId="0" applyFont="1" applyBorder="1" applyAlignment="1" applyProtection="1">
      <alignment horizontal="center" vertical="top"/>
      <protection hidden="1"/>
    </xf>
    <xf numFmtId="9" fontId="61" fillId="0" borderId="113" xfId="0" applyNumberFormat="1" applyFont="1" applyBorder="1" applyAlignment="1" applyProtection="1">
      <alignment horizontal="center" vertical="top" wrapText="1"/>
      <protection hidden="1"/>
    </xf>
    <xf numFmtId="9" fontId="61" fillId="0" borderId="116" xfId="0" applyNumberFormat="1" applyFont="1" applyBorder="1" applyAlignment="1" applyProtection="1">
      <alignment horizontal="center" vertical="top" wrapText="1"/>
      <protection hidden="1"/>
    </xf>
    <xf numFmtId="9" fontId="61" fillId="0" borderId="115" xfId="0" applyNumberFormat="1" applyFont="1" applyBorder="1" applyAlignment="1" applyProtection="1">
      <alignment horizontal="center" vertical="top" wrapText="1"/>
      <protection hidden="1"/>
    </xf>
    <xf numFmtId="0" fontId="61" fillId="0" borderId="113" xfId="0" applyFont="1" applyBorder="1" applyAlignment="1">
      <alignment horizontal="center" vertical="top"/>
    </xf>
    <xf numFmtId="0" fontId="61" fillId="0" borderId="116" xfId="0" applyFont="1" applyBorder="1" applyAlignment="1">
      <alignment horizontal="center" vertical="top"/>
    </xf>
    <xf numFmtId="0" fontId="61" fillId="0" borderId="115" xfId="0" applyFont="1" applyBorder="1" applyAlignment="1">
      <alignment horizontal="center" vertical="top"/>
    </xf>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54" fillId="0" borderId="116" xfId="0" applyFont="1" applyBorder="1" applyAlignment="1" applyProtection="1">
      <alignment horizontal="center" vertical="top" wrapText="1"/>
      <protection locked="0"/>
    </xf>
    <xf numFmtId="0" fontId="54" fillId="0" borderId="115" xfId="0" applyFont="1" applyBorder="1" applyAlignment="1" applyProtection="1">
      <alignment horizontal="center" vertical="top" wrapText="1"/>
      <protection locked="0"/>
    </xf>
    <xf numFmtId="0" fontId="61" fillId="0" borderId="113" xfId="0" applyFont="1" applyBorder="1" applyAlignment="1" applyProtection="1">
      <alignment horizontal="center" vertical="top"/>
      <protection locked="0"/>
    </xf>
    <xf numFmtId="0" fontId="61" fillId="0" borderId="116" xfId="0" applyFont="1" applyBorder="1" applyAlignment="1" applyProtection="1">
      <alignment horizontal="center" vertical="top"/>
      <protection locked="0"/>
    </xf>
    <xf numFmtId="0" fontId="61" fillId="0" borderId="115" xfId="0" applyFont="1" applyBorder="1" applyAlignment="1" applyProtection="1">
      <alignment horizontal="center" vertical="top"/>
      <protection locked="0"/>
    </xf>
    <xf numFmtId="0" fontId="64" fillId="0" borderId="113" xfId="0" applyFont="1" applyBorder="1" applyAlignment="1" applyProtection="1">
      <alignment horizontal="center" vertical="top" wrapText="1"/>
      <protection hidden="1"/>
    </xf>
    <xf numFmtId="0" fontId="64" fillId="0" borderId="116" xfId="0" applyFont="1" applyBorder="1" applyAlignment="1" applyProtection="1">
      <alignment horizontal="center" vertical="top" wrapText="1"/>
      <protection hidden="1"/>
    </xf>
    <xf numFmtId="0" fontId="64" fillId="0" borderId="115" xfId="0" applyFont="1" applyBorder="1" applyAlignment="1" applyProtection="1">
      <alignment horizontal="center" vertical="top" wrapText="1"/>
      <protection hidden="1"/>
    </xf>
    <xf numFmtId="9" fontId="61" fillId="0" borderId="113" xfId="0" applyNumberFormat="1" applyFont="1" applyBorder="1" applyAlignment="1" applyProtection="1">
      <alignment horizontal="center" vertical="top" wrapText="1"/>
      <protection locked="0"/>
    </xf>
    <xf numFmtId="9" fontId="61" fillId="0" borderId="116" xfId="0" applyNumberFormat="1" applyFont="1" applyBorder="1" applyAlignment="1" applyProtection="1">
      <alignment horizontal="center" vertical="top" wrapText="1"/>
      <protection locked="0"/>
    </xf>
    <xf numFmtId="9" fontId="61" fillId="0" borderId="115" xfId="0" applyNumberFormat="1" applyFont="1" applyBorder="1" applyAlignment="1" applyProtection="1">
      <alignment horizontal="center" vertical="top" wrapText="1"/>
      <protection locked="0"/>
    </xf>
    <xf numFmtId="0" fontId="65" fillId="0" borderId="113" xfId="0" applyFont="1" applyBorder="1" applyAlignment="1">
      <alignment horizontal="center" vertical="center"/>
    </xf>
    <xf numFmtId="0" fontId="65" fillId="0" borderId="116" xfId="0" applyFont="1" applyBorder="1" applyAlignment="1">
      <alignment horizontal="center" vertical="center"/>
    </xf>
    <xf numFmtId="0" fontId="65" fillId="0" borderId="115" xfId="0" applyFont="1" applyBorder="1" applyAlignment="1">
      <alignment horizontal="center" vertical="center"/>
    </xf>
    <xf numFmtId="0" fontId="112" fillId="0" borderId="114" xfId="0" applyFont="1" applyBorder="1" applyAlignment="1" applyProtection="1">
      <alignment horizontal="left" vertical="center" wrapText="1"/>
      <protection locked="0"/>
    </xf>
    <xf numFmtId="0" fontId="26" fillId="0" borderId="114" xfId="0" applyFont="1" applyBorder="1" applyAlignment="1" applyProtection="1">
      <alignment horizontal="left" vertical="center" wrapText="1"/>
      <protection locked="0"/>
    </xf>
    <xf numFmtId="0" fontId="12" fillId="0" borderId="114" xfId="0" applyFont="1" applyBorder="1" applyAlignment="1" applyProtection="1">
      <alignment horizontal="left" vertical="center" wrapText="1"/>
      <protection locked="0"/>
    </xf>
    <xf numFmtId="0" fontId="12" fillId="0" borderId="114" xfId="0" applyFont="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33">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28099776"/>
        <c:axId val="128097032"/>
      </c:scatterChart>
      <c:valAx>
        <c:axId val="12809977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28097032"/>
        <c:crosses val="autoZero"/>
        <c:crossBetween val="midCat"/>
      </c:valAx>
      <c:valAx>
        <c:axId val="1280970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2809977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128097816"/>
        <c:axId val="128098600"/>
      </c:scatterChart>
      <c:valAx>
        <c:axId val="1280978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28098600"/>
        <c:crosses val="autoZero"/>
        <c:crossBetween val="midCat"/>
      </c:valAx>
      <c:valAx>
        <c:axId val="12809860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2809781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1943100</xdr:colOff>
      <xdr:row>1</xdr:row>
      <xdr:rowOff>1524000</xdr:rowOff>
    </xdr:to>
    <xdr:grpSp>
      <xdr:nvGrpSpPr>
        <xdr:cNvPr id="43" name="Group 4">
          <a:extLst>
            <a:ext uri="{FF2B5EF4-FFF2-40B4-BE49-F238E27FC236}">
              <a16:creationId xmlns:a16="http://schemas.microsoft.com/office/drawing/2014/main" id="{2295BC74-51EB-4EA6-B34A-6F97FBD05A9C}"/>
            </a:ext>
          </a:extLst>
        </xdr:cNvPr>
        <xdr:cNvGrpSpPr>
          <a:grpSpLocks/>
        </xdr:cNvGrpSpPr>
      </xdr:nvGrpSpPr>
      <xdr:grpSpPr bwMode="auto">
        <a:xfrm>
          <a:off x="0" y="0"/>
          <a:ext cx="56027782" cy="1939636"/>
          <a:chOff x="-11" y="0"/>
          <a:chExt cx="1406" cy="135"/>
        </a:xfrm>
      </xdr:grpSpPr>
      <xdr:sp macro="" textlink="">
        <xdr:nvSpPr>
          <xdr:cNvPr id="44" name="1 CuadroTexto">
            <a:extLst>
              <a:ext uri="{FF2B5EF4-FFF2-40B4-BE49-F238E27FC236}">
                <a16:creationId xmlns:a16="http://schemas.microsoft.com/office/drawing/2014/main" id="{98D4B250-6875-4E3F-AFFD-EFC52D41B62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 name="3 CuadroTexto">
            <a:extLst>
              <a:ext uri="{FF2B5EF4-FFF2-40B4-BE49-F238E27FC236}">
                <a16:creationId xmlns:a16="http://schemas.microsoft.com/office/drawing/2014/main" id="{DB8D4174-527B-4EFF-9D8B-21F3B1712C3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7 CuadroTexto">
            <a:extLst>
              <a:ext uri="{FF2B5EF4-FFF2-40B4-BE49-F238E27FC236}">
                <a16:creationId xmlns:a16="http://schemas.microsoft.com/office/drawing/2014/main" id="{BFD3D320-2CF3-4E38-89C1-68F42DB080F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8 CuadroTexto">
            <a:extLst>
              <a:ext uri="{FF2B5EF4-FFF2-40B4-BE49-F238E27FC236}">
                <a16:creationId xmlns:a16="http://schemas.microsoft.com/office/drawing/2014/main" id="{AE7722F1-7025-482F-A067-C8CDF844BD4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8" name="10 CuadroTexto">
            <a:extLst>
              <a:ext uri="{FF2B5EF4-FFF2-40B4-BE49-F238E27FC236}">
                <a16:creationId xmlns:a16="http://schemas.microsoft.com/office/drawing/2014/main" id="{36133147-0006-4329-8ABB-19EEF49EA9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p>
        </xdr:txBody>
      </xdr:sp>
      <xdr:sp macro="" textlink="">
        <xdr:nvSpPr>
          <xdr:cNvPr id="49" name="12 CuadroTexto">
            <a:extLst>
              <a:ext uri="{FF2B5EF4-FFF2-40B4-BE49-F238E27FC236}">
                <a16:creationId xmlns:a16="http://schemas.microsoft.com/office/drawing/2014/main" id="{3939B4AF-2D64-403D-93B7-715781452A9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50" name="13 CuadroTexto">
            <a:extLst>
              <a:ext uri="{FF2B5EF4-FFF2-40B4-BE49-F238E27FC236}">
                <a16:creationId xmlns:a16="http://schemas.microsoft.com/office/drawing/2014/main" id="{07FC7ACE-3029-42AE-820A-C231B5E54E7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51" name="14 CuadroTexto">
            <a:extLst>
              <a:ext uri="{FF2B5EF4-FFF2-40B4-BE49-F238E27FC236}">
                <a16:creationId xmlns:a16="http://schemas.microsoft.com/office/drawing/2014/main" id="{AD47FAC2-00AC-484A-A67A-F12B11F2B76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2" name="12 CuadroTexto">
            <a:extLst>
              <a:ext uri="{FF2B5EF4-FFF2-40B4-BE49-F238E27FC236}">
                <a16:creationId xmlns:a16="http://schemas.microsoft.com/office/drawing/2014/main" id="{A42275D8-C98E-49A8-A76B-65D0A705F4D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53" name="13 CuadroTexto">
            <a:extLst>
              <a:ext uri="{FF2B5EF4-FFF2-40B4-BE49-F238E27FC236}">
                <a16:creationId xmlns:a16="http://schemas.microsoft.com/office/drawing/2014/main" id="{83BF87FC-4E87-435B-A784-2FCC1A7B003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4" name="14 CuadroTexto">
            <a:extLst>
              <a:ext uri="{FF2B5EF4-FFF2-40B4-BE49-F238E27FC236}">
                <a16:creationId xmlns:a16="http://schemas.microsoft.com/office/drawing/2014/main" id="{DB57B47C-6582-41E9-9638-597EB9CF62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17318</xdr:colOff>
      <xdr:row>0</xdr:row>
      <xdr:rowOff>138546</xdr:rowOff>
    </xdr:from>
    <xdr:to>
      <xdr:col>3</xdr:col>
      <xdr:colOff>1600437</xdr:colOff>
      <xdr:row>1</xdr:row>
      <xdr:rowOff>1092694</xdr:rowOff>
    </xdr:to>
    <xdr:pic>
      <xdr:nvPicPr>
        <xdr:cNvPr id="55" name="Imagen 54" descr="Ministerio del Interior">
          <a:extLst>
            <a:ext uri="{FF2B5EF4-FFF2-40B4-BE49-F238E27FC236}">
              <a16:creationId xmlns:a16="http://schemas.microsoft.com/office/drawing/2014/main" id="{48D9B94E-2C30-438B-BF2A-4BD0F103F1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273" y="138546"/>
          <a:ext cx="3730573" cy="136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1009650</xdr:colOff>
      <xdr:row>0</xdr:row>
      <xdr:rowOff>114300</xdr:rowOff>
    </xdr:from>
    <xdr:to>
      <xdr:col>2</xdr:col>
      <xdr:colOff>2647950</xdr:colOff>
      <xdr:row>3</xdr:row>
      <xdr:rowOff>22086</xdr:rowOff>
    </xdr:to>
    <xdr:pic>
      <xdr:nvPicPr>
        <xdr:cNvPr id="3" name="Imagen 2" descr="Ministerio del Interior">
          <a:extLst>
            <a:ext uri="{FF2B5EF4-FFF2-40B4-BE49-F238E27FC236}">
              <a16:creationId xmlns:a16="http://schemas.microsoft.com/office/drawing/2014/main" id="{484C38BD-6F9E-49D3-80E5-54DEF943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1143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1152525</xdr:colOff>
      <xdr:row>0</xdr:row>
      <xdr:rowOff>1638300</xdr:rowOff>
    </xdr:to>
    <xdr:grpSp>
      <xdr:nvGrpSpPr>
        <xdr:cNvPr id="4" name="Grupo 3">
          <a:extLst>
            <a:ext uri="{FF2B5EF4-FFF2-40B4-BE49-F238E27FC236}">
              <a16:creationId xmlns:a16="http://schemas.microsoft.com/office/drawing/2014/main" id="{98E3F269-16E9-4CE9-BF82-3578E7F72BAA}"/>
            </a:ext>
          </a:extLst>
        </xdr:cNvPr>
        <xdr:cNvGrpSpPr/>
      </xdr:nvGrpSpPr>
      <xdr:grpSpPr>
        <a:xfrm>
          <a:off x="0" y="0"/>
          <a:ext cx="37139707" cy="1638300"/>
          <a:chOff x="21526500" y="876300"/>
          <a:chExt cx="20764500" cy="1295400"/>
        </a:xfrm>
      </xdr:grpSpPr>
      <xdr:grpSp>
        <xdr:nvGrpSpPr>
          <xdr:cNvPr id="18" name="Group 4">
            <a:extLst>
              <a:ext uri="{FF2B5EF4-FFF2-40B4-BE49-F238E27FC236}">
                <a16:creationId xmlns:a16="http://schemas.microsoft.com/office/drawing/2014/main" id="{8F14B4A4-094F-DE49-2609-71B0D65232B6}"/>
              </a:ext>
            </a:extLst>
          </xdr:cNvPr>
          <xdr:cNvGrpSpPr>
            <a:grpSpLocks/>
          </xdr:cNvGrpSpPr>
        </xdr:nvGrpSpPr>
        <xdr:grpSpPr bwMode="auto">
          <a:xfrm>
            <a:off x="21526500" y="876300"/>
            <a:ext cx="20764500" cy="1295400"/>
            <a:chOff x="-11" y="0"/>
            <a:chExt cx="1406" cy="135"/>
          </a:xfrm>
        </xdr:grpSpPr>
        <xdr:sp macro="" textlink="">
          <xdr:nvSpPr>
            <xdr:cNvPr id="20" name="1 CuadroTexto">
              <a:extLst>
                <a:ext uri="{FF2B5EF4-FFF2-40B4-BE49-F238E27FC236}">
                  <a16:creationId xmlns:a16="http://schemas.microsoft.com/office/drawing/2014/main" id="{E88F637B-5A41-F06F-6965-FC5B9EAAE4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C08EDC0-CBAE-76D1-AA5A-18C558763D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39E9784-3304-F4AA-1B33-503947A147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409BD17-6E13-F2FA-B29E-FAA456EA209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66C63E4-595F-5388-9D3D-1BADC89AE4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C10A282A-6844-F052-BFE4-882A98EEEFD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9C79ED1E-DA24-6F7F-0117-71E58A6D37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BB27689-FB9E-9BBD-B83C-D5ADB78EE31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96A0CD12-758D-3705-ED24-1264BF724A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3EA23060-5575-8478-E47C-0BD3E32D617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9092372-7131-2AF6-DAD5-EFA48F960FA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pic>
        <xdr:nvPicPr>
          <xdr:cNvPr id="19" name="Imagen 18" descr="Ministerio del Interior">
            <a:extLst>
              <a:ext uri="{FF2B5EF4-FFF2-40B4-BE49-F238E27FC236}">
                <a16:creationId xmlns:a16="http://schemas.microsoft.com/office/drawing/2014/main" id="{2EFD9C51-5A4C-35B9-739F-7A19AB519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49704" y="1177555"/>
            <a:ext cx="2037549"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xdr:rowOff>
    </xdr:from>
    <xdr:to>
      <xdr:col>47</xdr:col>
      <xdr:colOff>647700</xdr:colOff>
      <xdr:row>0</xdr:row>
      <xdr:rowOff>1409701</xdr:rowOff>
    </xdr:to>
    <xdr:grpSp>
      <xdr:nvGrpSpPr>
        <xdr:cNvPr id="14" name="Grupo 13">
          <a:extLst>
            <a:ext uri="{FF2B5EF4-FFF2-40B4-BE49-F238E27FC236}">
              <a16:creationId xmlns:a16="http://schemas.microsoft.com/office/drawing/2014/main" id="{E952ED00-EA9D-4819-BBD0-7B736ADC3624}"/>
            </a:ext>
          </a:extLst>
        </xdr:cNvPr>
        <xdr:cNvGrpSpPr/>
      </xdr:nvGrpSpPr>
      <xdr:grpSpPr>
        <a:xfrm>
          <a:off x="0" y="1"/>
          <a:ext cx="19697700" cy="1409700"/>
          <a:chOff x="21526500" y="876300"/>
          <a:chExt cx="20764500" cy="1295400"/>
        </a:xfrm>
      </xdr:grpSpPr>
      <xdr:grpSp>
        <xdr:nvGrpSpPr>
          <xdr:cNvPr id="15" name="Group 4">
            <a:extLst>
              <a:ext uri="{FF2B5EF4-FFF2-40B4-BE49-F238E27FC236}">
                <a16:creationId xmlns:a16="http://schemas.microsoft.com/office/drawing/2014/main" id="{88A26362-2A2A-2C3C-4B8B-C2373F7CD4AD}"/>
              </a:ext>
            </a:extLst>
          </xdr:cNvPr>
          <xdr:cNvGrpSpPr>
            <a:grpSpLocks/>
          </xdr:cNvGrpSpPr>
        </xdr:nvGrpSpPr>
        <xdr:grpSpPr bwMode="auto">
          <a:xfrm>
            <a:off x="21526500" y="876300"/>
            <a:ext cx="20764500" cy="1295400"/>
            <a:chOff x="-11" y="0"/>
            <a:chExt cx="1406" cy="135"/>
          </a:xfrm>
        </xdr:grpSpPr>
        <xdr:sp macro="" textlink="">
          <xdr:nvSpPr>
            <xdr:cNvPr id="18" name="1 CuadroTexto">
              <a:extLst>
                <a:ext uri="{FF2B5EF4-FFF2-40B4-BE49-F238E27FC236}">
                  <a16:creationId xmlns:a16="http://schemas.microsoft.com/office/drawing/2014/main" id="{B0B5F2E9-EF92-8C9E-B8D7-119CD2EF04C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19C08461-F830-4CEC-AFFB-B681535D7BF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4995C79-6E09-476A-4168-C0F9D6B7C03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145D735B-BF2B-F526-E465-6222C881910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CC36F807-3FBC-41BA-E967-899E651435D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78CCA30E-8612-AC1F-F80C-C85295E7DD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860EE98-A9C6-FD34-9BBD-408A87D043C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51B0D6A-DDA3-8E5E-502B-9B4ADB03232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A9E389B-60D6-C6B4-F6E8-9FD71782349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7" name="13 CuadroTexto">
              <a:extLst>
                <a:ext uri="{FF2B5EF4-FFF2-40B4-BE49-F238E27FC236}">
                  <a16:creationId xmlns:a16="http://schemas.microsoft.com/office/drawing/2014/main" id="{9DA22013-6E8E-5454-C305-039490094A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3C60CB3-EFDD-39BF-803E-08C3B708223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pic>
        <xdr:nvPicPr>
          <xdr:cNvPr id="17" name="Imagen 16" descr="Ministerio del Interior">
            <a:extLst>
              <a:ext uri="{FF2B5EF4-FFF2-40B4-BE49-F238E27FC236}">
                <a16:creationId xmlns:a16="http://schemas.microsoft.com/office/drawing/2014/main" id="{BA79531F-A0B2-4A43-C041-48B65D555C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49704" y="1177555"/>
            <a:ext cx="2037549"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0</xdr:row>
      <xdr:rowOff>0</xdr:rowOff>
    </xdr:from>
    <xdr:to>
      <xdr:col>46</xdr:col>
      <xdr:colOff>419100</xdr:colOff>
      <xdr:row>0</xdr:row>
      <xdr:rowOff>1409700</xdr:rowOff>
    </xdr:to>
    <xdr:grpSp>
      <xdr:nvGrpSpPr>
        <xdr:cNvPr id="14" name="Grupo 13">
          <a:extLst>
            <a:ext uri="{FF2B5EF4-FFF2-40B4-BE49-F238E27FC236}">
              <a16:creationId xmlns:a16="http://schemas.microsoft.com/office/drawing/2014/main" id="{8C4DD3F6-D3DE-4B23-B0F7-ED1D47A0A4D7}"/>
            </a:ext>
          </a:extLst>
        </xdr:cNvPr>
        <xdr:cNvGrpSpPr/>
      </xdr:nvGrpSpPr>
      <xdr:grpSpPr>
        <a:xfrm>
          <a:off x="800100" y="0"/>
          <a:ext cx="19697700" cy="1409700"/>
          <a:chOff x="21526500" y="876300"/>
          <a:chExt cx="20764500" cy="1295400"/>
        </a:xfrm>
      </xdr:grpSpPr>
      <xdr:grpSp>
        <xdr:nvGrpSpPr>
          <xdr:cNvPr id="15" name="Group 4">
            <a:extLst>
              <a:ext uri="{FF2B5EF4-FFF2-40B4-BE49-F238E27FC236}">
                <a16:creationId xmlns:a16="http://schemas.microsoft.com/office/drawing/2014/main" id="{F2202E12-C7DE-3D82-D0F5-F7740CB2D33A}"/>
              </a:ext>
            </a:extLst>
          </xdr:cNvPr>
          <xdr:cNvGrpSpPr>
            <a:grpSpLocks/>
          </xdr:cNvGrpSpPr>
        </xdr:nvGrpSpPr>
        <xdr:grpSpPr bwMode="auto">
          <a:xfrm>
            <a:off x="21526500" y="876300"/>
            <a:ext cx="20764500" cy="1295400"/>
            <a:chOff x="-11" y="0"/>
            <a:chExt cx="1406" cy="135"/>
          </a:xfrm>
        </xdr:grpSpPr>
        <xdr:sp macro="" textlink="">
          <xdr:nvSpPr>
            <xdr:cNvPr id="18" name="1 CuadroTexto">
              <a:extLst>
                <a:ext uri="{FF2B5EF4-FFF2-40B4-BE49-F238E27FC236}">
                  <a16:creationId xmlns:a16="http://schemas.microsoft.com/office/drawing/2014/main" id="{BF05C2E5-EE29-724D-1BD7-13A6DB2C324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E1881516-B454-FA1F-5A07-12FFBD42A8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A812D35-08BD-81A0-B240-2E542DD2B93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01B6AF25-D743-04A2-9FD3-D646AE4D34B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8C8A1BC-AD5F-FC27-F22F-D33F8C91166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AF14276-A911-1074-A935-8285061D1A0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5D8CD7ED-A656-B17A-078B-8250970DD02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8326ED9A-6610-2F7C-6C2F-73292396A2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C03846C-9CDF-C681-ABAA-40CB41D0134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7" name="13 CuadroTexto">
              <a:extLst>
                <a:ext uri="{FF2B5EF4-FFF2-40B4-BE49-F238E27FC236}">
                  <a16:creationId xmlns:a16="http://schemas.microsoft.com/office/drawing/2014/main" id="{A41A023C-80AC-C5A0-60A2-6A794DE45A2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2DFDB5F8-9551-A17A-8F2D-570EA3EEC1B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pic>
        <xdr:nvPicPr>
          <xdr:cNvPr id="17" name="Imagen 16" descr="Ministerio del Interior">
            <a:extLst>
              <a:ext uri="{FF2B5EF4-FFF2-40B4-BE49-F238E27FC236}">
                <a16:creationId xmlns:a16="http://schemas.microsoft.com/office/drawing/2014/main" id="{A72BD337-2AA0-2F84-44CE-3380ABF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49704" y="1177555"/>
            <a:ext cx="2037549"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2</xdr:col>
      <xdr:colOff>2419350</xdr:colOff>
      <xdr:row>2</xdr:row>
      <xdr:rowOff>460236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209550</xdr:rowOff>
    </xdr:from>
    <xdr:to>
      <xdr:col>49</xdr:col>
      <xdr:colOff>190500</xdr:colOff>
      <xdr:row>0</xdr:row>
      <xdr:rowOff>1504950</xdr:rowOff>
    </xdr:to>
    <xdr:grpSp>
      <xdr:nvGrpSpPr>
        <xdr:cNvPr id="14" name="Group 4">
          <a:extLst>
            <a:ext uri="{FF2B5EF4-FFF2-40B4-BE49-F238E27FC236}">
              <a16:creationId xmlns:a16="http://schemas.microsoft.com/office/drawing/2014/main" id="{C76668B2-A98F-4ADB-9D1B-76A5B469735C}"/>
            </a:ext>
          </a:extLst>
        </xdr:cNvPr>
        <xdr:cNvGrpSpPr>
          <a:grpSpLocks/>
        </xdr:cNvGrpSpPr>
      </xdr:nvGrpSpPr>
      <xdr:grpSpPr bwMode="auto">
        <a:xfrm>
          <a:off x="0" y="209550"/>
          <a:ext cx="20764500" cy="1295400"/>
          <a:chOff x="-11" y="0"/>
          <a:chExt cx="1406" cy="135"/>
        </a:xfrm>
      </xdr:grpSpPr>
      <xdr:sp macro="" textlink="">
        <xdr:nvSpPr>
          <xdr:cNvPr id="15" name="1 CuadroTexto">
            <a:extLst>
              <a:ext uri="{FF2B5EF4-FFF2-40B4-BE49-F238E27FC236}">
                <a16:creationId xmlns:a16="http://schemas.microsoft.com/office/drawing/2014/main" id="{8FF61DC3-EA21-7660-D24E-357DBD8A8E6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04A0FD7B-FD07-B0AC-CA7F-769933CA3D9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DE4F68F-D982-9D2F-BA52-47F1BDF64B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F5A8C1AD-11F4-9755-2FB1-34CCA9BA4A9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16422A43-7F39-86EA-A32B-58C6C8A81F8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C895A961-BFF1-9F31-2202-4FD12013CB4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C2450426-F68D-9F31-6346-3B96BB29830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843F53FE-F984-1774-9E16-4BA20945A2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8B81BCA9-1CFF-553A-E8AB-F7473EA94BB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DCA8AB29-6665-9DC4-CE4F-54CD7A55569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6F72F08F-5E2B-B39A-6444-46D76C98CD9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299357</xdr:colOff>
      <xdr:row>0</xdr:row>
      <xdr:rowOff>359228</xdr:rowOff>
    </xdr:from>
    <xdr:to>
      <xdr:col>8</xdr:col>
      <xdr:colOff>351312</xdr:colOff>
      <xdr:row>0</xdr:row>
      <xdr:rowOff>1451292</xdr:rowOff>
    </xdr:to>
    <xdr:pic>
      <xdr:nvPicPr>
        <xdr:cNvPr id="27" name="Imagen 26" descr="Ministerio del Interior">
          <a:extLst>
            <a:ext uri="{FF2B5EF4-FFF2-40B4-BE49-F238E27FC236}">
              <a16:creationId xmlns:a16="http://schemas.microsoft.com/office/drawing/2014/main" id="{155BAB5B-72D4-4388-93FD-44C812BF2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5922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95250</xdr:colOff>
      <xdr:row>0</xdr:row>
      <xdr:rowOff>114300</xdr:rowOff>
    </xdr:from>
    <xdr:to>
      <xdr:col>47</xdr:col>
      <xdr:colOff>457200</xdr:colOff>
      <xdr:row>0</xdr:row>
      <xdr:rowOff>1409700</xdr:rowOff>
    </xdr:to>
    <xdr:grpSp>
      <xdr:nvGrpSpPr>
        <xdr:cNvPr id="2" name="Group 4">
          <a:extLst>
            <a:ext uri="{FF2B5EF4-FFF2-40B4-BE49-F238E27FC236}">
              <a16:creationId xmlns:a16="http://schemas.microsoft.com/office/drawing/2014/main" id="{F9AE20B7-705F-4364-AFFA-75AECCBDDE5F}"/>
            </a:ext>
          </a:extLst>
        </xdr:cNvPr>
        <xdr:cNvGrpSpPr>
          <a:grpSpLocks/>
        </xdr:cNvGrpSpPr>
      </xdr:nvGrpSpPr>
      <xdr:grpSpPr bwMode="auto">
        <a:xfrm>
          <a:off x="95250" y="114300"/>
          <a:ext cx="20745450" cy="1295400"/>
          <a:chOff x="-11" y="0"/>
          <a:chExt cx="1406" cy="135"/>
        </a:xfrm>
      </xdr:grpSpPr>
      <xdr:sp macro="" textlink="">
        <xdr:nvSpPr>
          <xdr:cNvPr id="4" name="1 CuadroTexto">
            <a:extLst>
              <a:ext uri="{FF2B5EF4-FFF2-40B4-BE49-F238E27FC236}">
                <a16:creationId xmlns:a16="http://schemas.microsoft.com/office/drawing/2014/main" id="{1184B700-31FA-DAA7-F17D-BB52B020C8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51499853-0C2B-F23A-3C17-7AD889F16D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BBA5DD78-B1CC-2975-A5EB-0EE01D15640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1F5FD5B5-44A6-5F59-A975-704ED63E9C1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EB4B986D-8C4D-5B36-FF64-2950F1160F8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2A89F4F3-7C7B-44E5-7618-1D815EB32C8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6A86278-3BA1-C408-097E-26D0C796550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C6863C9D-EFBA-82BD-D65B-71EDEE6E0D8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FBB3FBA8-3855-806F-98A0-B1918E3A79D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3" name="13 CuadroTexto">
            <a:extLst>
              <a:ext uri="{FF2B5EF4-FFF2-40B4-BE49-F238E27FC236}">
                <a16:creationId xmlns:a16="http://schemas.microsoft.com/office/drawing/2014/main" id="{EBBB5B5C-C2BF-3881-1940-4D8CECBB064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423E362-AB59-2F94-6653-ED44BAAF71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394607</xdr:colOff>
      <xdr:row>0</xdr:row>
      <xdr:rowOff>263978</xdr:rowOff>
    </xdr:from>
    <xdr:to>
      <xdr:col>9</xdr:col>
      <xdr:colOff>65562</xdr:colOff>
      <xdr:row>0</xdr:row>
      <xdr:rowOff>1356042</xdr:rowOff>
    </xdr:to>
    <xdr:pic>
      <xdr:nvPicPr>
        <xdr:cNvPr id="28" name="Imagen 27" descr="Ministerio del Interior">
          <a:extLst>
            <a:ext uri="{FF2B5EF4-FFF2-40B4-BE49-F238E27FC236}">
              <a16:creationId xmlns:a16="http://schemas.microsoft.com/office/drawing/2014/main" id="{CB3F3DFD-E2EC-49AE-AFB0-FC7D12F22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2639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1955841</xdr:colOff>
      <xdr:row>3</xdr:row>
      <xdr:rowOff>3036</xdr:rowOff>
    </xdr:to>
    <xdr:pic>
      <xdr:nvPicPr>
        <xdr:cNvPr id="2" name="Imagen 1" descr="Ministerio del Interior">
          <a:extLst>
            <a:ext uri="{FF2B5EF4-FFF2-40B4-BE49-F238E27FC236}">
              <a16:creationId xmlns:a16="http://schemas.microsoft.com/office/drawing/2014/main" id="{14E48443-A674-4ADF-B020-CAAFE4D43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B0E83807-34B9-4C75-8BF3-D137666FDD91}"/>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B9F377AA-7F07-4C82-AA04-6A4F5D115C5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5C9B250-742A-45D9-806D-ABD3CEC9C51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E125253-8EDE-464F-84EC-DE342E5B18A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2A339D8-1A56-49D1-9B9F-C09367201F1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FC8E636B-3323-4E12-9EF7-6EA5532DD67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4617D617-33D1-42D0-85C8-3BC0AD4303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8B189E0-0BDC-4C54-81B8-B943C7AB7CC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BD6C851-8EBB-40D6-A776-0F4876737FC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AB24F8B-4B90-4D2A-B5B2-797318B672B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541865F2-705C-4980-A5B0-53E4687428A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8021F9-2361-404C-89A0-D3CA0CD5609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1106EEA5-A90E-480A-ACD5-FFDBE7BC9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2D6EAABD-A210-43F8-8CD0-6ABB0A700633}"/>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37BFB071-1511-47F1-BD00-F79B9CFB1EF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7D33C42B-0B2B-440B-9F06-184B1714170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E107527-F4B1-441B-9ED7-9C0BCB68501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9BE71D9-C799-4541-8B48-F18F2148E3D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F7B5FFD0-09E2-4567-98E9-04D1DB3F57E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20FEFF4B-56DC-47E5-818F-323FE33E181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79473BD-4636-4B6A-A17B-3F082E131E4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DC3964B-9750-4542-B087-74B598CFBA1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B10CE56-99A1-4C81-9919-BEA3FEF0848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5F687236-090B-432C-B04D-86112CF34EC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D2B317E-B31F-4D2D-863A-39BE070E2DB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17F18343-2491-4B32-83C9-6A7D5F6E3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1181100</xdr:colOff>
      <xdr:row>0</xdr:row>
      <xdr:rowOff>0</xdr:rowOff>
    </xdr:from>
    <xdr:to>
      <xdr:col>4</xdr:col>
      <xdr:colOff>628650</xdr:colOff>
      <xdr:row>2</xdr:row>
      <xdr:rowOff>364986</xdr:rowOff>
    </xdr:to>
    <xdr:pic>
      <xdr:nvPicPr>
        <xdr:cNvPr id="4" name="Imagen 3" descr="Ministerio del Interior">
          <a:extLst>
            <a:ext uri="{FF2B5EF4-FFF2-40B4-BE49-F238E27FC236}">
              <a16:creationId xmlns:a16="http://schemas.microsoft.com/office/drawing/2014/main" id="{F5BB70D0-93D9-458B-B91A-996B67FE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285750</xdr:colOff>
      <xdr:row>0</xdr:row>
      <xdr:rowOff>190500</xdr:rowOff>
    </xdr:from>
    <xdr:to>
      <xdr:col>11</xdr:col>
      <xdr:colOff>1187739</xdr:colOff>
      <xdr:row>2</xdr:row>
      <xdr:rowOff>258536</xdr:rowOff>
    </xdr:to>
    <xdr:pic>
      <xdr:nvPicPr>
        <xdr:cNvPr id="21" name="Imagen 20" descr="Ministerio del Interior">
          <a:extLst>
            <a:ext uri="{FF2B5EF4-FFF2-40B4-BE49-F238E27FC236}">
              <a16:creationId xmlns:a16="http://schemas.microsoft.com/office/drawing/2014/main" id="{EACDA425-6CA1-4221-B503-2AAD721C1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429" y="190500"/>
          <a:ext cx="2221881"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32">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5" dataDxfId="314">
  <autoFilter ref="I1:I31" xr:uid="{00000000-0009-0000-0100-000009000000}"/>
  <tableColumns count="1">
    <tableColumn id="1" xr3:uid="{00000000-0010-0000-0900-000001000000}" name="N° CAUSA" dataDxfId="31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12" dataDxfId="310" headerRowBorderDxfId="311" tableBorderDxfId="309" totalsRowBorderDxfId="308">
  <autoFilter ref="AB21:AD35" xr:uid="{00000000-0009-0000-0100-00000A000000}"/>
  <tableColumns count="3">
    <tableColumn id="1" xr3:uid="{00000000-0010-0000-0A00-000001000000}" name="PROCESOS" dataDxfId="307"/>
    <tableColumn id="2" xr3:uid="{00000000-0010-0000-0A00-000002000000}" name="OBJETIVO" dataDxfId="306"/>
    <tableColumn id="3" xr3:uid="{00000000-0010-0000-0A00-000003000000}" name="ALCANCE" dataDxfId="30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300" dataDxfId="299">
  <autoFilter ref="B209:C219" xr:uid="{00000000-0009-0000-0100-00000D000000}"/>
  <tableColumns count="2">
    <tableColumn id="1" xr3:uid="{00000000-0010-0000-0C00-000001000000}" name="Criterios" dataDxfId="298"/>
    <tableColumn id="2" xr3:uid="{00000000-0010-0000-0C00-000002000000}" name="Subcriterios" dataDxfId="29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31" dataDxfId="330">
  <autoFilter ref="E1:E201" xr:uid="{00000000-0009-0000-0100-000004000000}"/>
  <tableColumns count="1">
    <tableColumn id="1" xr3:uid="{00000000-0010-0000-0100-000001000000}" name="N° RIESGO" dataDxfId="32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8" dataDxfId="327">
  <autoFilter ref="K1:K16" xr:uid="{00000000-0009-0000-0100-000005000000}"/>
  <sortState xmlns:xlrd2="http://schemas.microsoft.com/office/spreadsheetml/2017/richdata2" ref="K2:K16">
    <sortCondition ref="K14"/>
  </sortState>
  <tableColumns count="1">
    <tableColumn id="1" xr3:uid="{00000000-0010-0000-0200-000001000000}" name="PROCESOS" dataDxfId="32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5" dataDxfId="324">
  <autoFilter ref="O1:O6" xr:uid="{00000000-0009-0000-0100-00000C000000}"/>
  <sortState xmlns:xlrd2="http://schemas.microsoft.com/office/spreadsheetml/2017/richdata2" ref="O2:O6">
    <sortCondition ref="O1"/>
  </sortState>
  <tableColumns count="1">
    <tableColumn id="1" xr3:uid="{00000000-0010-0000-0300-000001000000}" name="IMPACTO" dataDxfId="32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22" dataDxfId="321">
  <autoFilter ref="G1:G31" xr:uid="{00000000-0009-0000-0100-000002000000}"/>
  <tableColumns count="1">
    <tableColumn id="1" xr3:uid="{00000000-0010-0000-0500-000001000000}" name="N° CONTROL" dataDxfId="32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9" dataDxfId="318">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1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6">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66" t="s">
        <v>67</v>
      </c>
      <c r="D2" s="7"/>
    </row>
    <row r="3" spans="1:4" ht="38.25" x14ac:dyDescent="0.25">
      <c r="A3" s="466"/>
      <c r="B3" s="4" t="s">
        <v>32</v>
      </c>
      <c r="C3" s="4" t="s">
        <v>49</v>
      </c>
      <c r="D3" s="7"/>
    </row>
    <row r="4" spans="1:4" ht="51" x14ac:dyDescent="0.25">
      <c r="A4" s="466"/>
      <c r="B4" s="4" t="s">
        <v>31</v>
      </c>
      <c r="C4" s="4" t="s">
        <v>66</v>
      </c>
    </row>
    <row r="5" spans="1:4" ht="38.25" x14ac:dyDescent="0.25">
      <c r="A5" s="466"/>
      <c r="B5" s="4" t="s">
        <v>33</v>
      </c>
      <c r="C5" s="4" t="s">
        <v>50</v>
      </c>
    </row>
    <row r="6" spans="1:4" ht="51" x14ac:dyDescent="0.25">
      <c r="A6" s="466"/>
      <c r="B6" s="4" t="s">
        <v>34</v>
      </c>
      <c r="C6" s="4" t="s">
        <v>51</v>
      </c>
    </row>
    <row r="7" spans="1:4" ht="51" x14ac:dyDescent="0.25">
      <c r="A7" s="466"/>
      <c r="B7" s="4" t="s">
        <v>35</v>
      </c>
      <c r="C7" s="4" t="s">
        <v>52</v>
      </c>
    </row>
    <row r="8" spans="1:4" ht="38.25" x14ac:dyDescent="0.25">
      <c r="A8" s="466"/>
      <c r="B8" s="4" t="s">
        <v>181</v>
      </c>
      <c r="C8" s="4" t="s">
        <v>182</v>
      </c>
    </row>
    <row r="9" spans="1:4" ht="63.75" x14ac:dyDescent="0.25">
      <c r="A9" s="466" t="s">
        <v>68</v>
      </c>
      <c r="B9" s="4" t="s">
        <v>36</v>
      </c>
      <c r="C9" s="4" t="s">
        <v>53</v>
      </c>
    </row>
    <row r="10" spans="1:4" ht="51" x14ac:dyDescent="0.25">
      <c r="A10" s="466"/>
      <c r="B10" s="4" t="s">
        <v>37</v>
      </c>
      <c r="C10" s="4" t="s">
        <v>54</v>
      </c>
    </row>
    <row r="11" spans="1:4" ht="51" x14ac:dyDescent="0.25">
      <c r="A11" s="466"/>
      <c r="B11" s="4" t="s">
        <v>38</v>
      </c>
      <c r="C11" s="4" t="s">
        <v>55</v>
      </c>
    </row>
    <row r="12" spans="1:4" ht="76.5" x14ac:dyDescent="0.25">
      <c r="A12" s="466"/>
      <c r="B12" s="4" t="s">
        <v>39</v>
      </c>
      <c r="C12" s="4" t="s">
        <v>56</v>
      </c>
    </row>
    <row r="13" spans="1:4" ht="51" x14ac:dyDescent="0.25">
      <c r="A13" s="466"/>
      <c r="B13" s="4" t="s">
        <v>40</v>
      </c>
      <c r="C13" s="4" t="s">
        <v>57</v>
      </c>
    </row>
    <row r="14" spans="1:4" ht="63.75" x14ac:dyDescent="0.25">
      <c r="A14" s="466"/>
      <c r="B14" s="4" t="s">
        <v>41</v>
      </c>
      <c r="C14" s="4" t="s">
        <v>58</v>
      </c>
    </row>
    <row r="15" spans="1:4" ht="38.25" x14ac:dyDescent="0.25">
      <c r="A15" s="467" t="s">
        <v>69</v>
      </c>
      <c r="B15" s="4" t="s">
        <v>42</v>
      </c>
      <c r="C15" s="4" t="s">
        <v>59</v>
      </c>
    </row>
    <row r="16" spans="1:4" ht="63.75" x14ac:dyDescent="0.25">
      <c r="A16" s="468"/>
      <c r="B16" s="4" t="s">
        <v>43</v>
      </c>
      <c r="C16" s="4" t="s">
        <v>60</v>
      </c>
    </row>
    <row r="17" spans="1:3" ht="63.75" x14ac:dyDescent="0.25">
      <c r="A17" s="468"/>
      <c r="B17" s="4" t="s">
        <v>44</v>
      </c>
      <c r="C17" s="4" t="s">
        <v>61</v>
      </c>
    </row>
    <row r="18" spans="1:3" ht="38.25" x14ac:dyDescent="0.25">
      <c r="A18" s="468"/>
      <c r="B18" s="4" t="s">
        <v>45</v>
      </c>
      <c r="C18" s="4" t="s">
        <v>62</v>
      </c>
    </row>
    <row r="19" spans="1:3" ht="51" x14ac:dyDescent="0.25">
      <c r="A19" s="468"/>
      <c r="B19" s="4" t="s">
        <v>46</v>
      </c>
      <c r="C19" s="4" t="s">
        <v>63</v>
      </c>
    </row>
    <row r="20" spans="1:3" ht="63.75" x14ac:dyDescent="0.25">
      <c r="A20" s="468"/>
      <c r="B20" s="4" t="s">
        <v>47</v>
      </c>
      <c r="C20" s="4" t="s">
        <v>64</v>
      </c>
    </row>
    <row r="21" spans="1:3" ht="127.5" x14ac:dyDescent="0.25">
      <c r="A21" s="468"/>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7" sqref="D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2" t="s">
        <v>1077</v>
      </c>
      <c r="C1" s="732"/>
      <c r="D1" s="73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9"/>
      <c r="C3" s="300" t="s">
        <v>1078</v>
      </c>
      <c r="D3" s="300" t="s">
        <v>1079</v>
      </c>
      <c r="E3" s="15"/>
      <c r="F3" s="15"/>
      <c r="G3" s="15"/>
      <c r="H3" s="15"/>
      <c r="I3" s="15"/>
      <c r="J3" s="15"/>
      <c r="K3" s="15"/>
      <c r="L3" s="15"/>
      <c r="M3" s="15"/>
      <c r="N3" s="15"/>
      <c r="O3" s="15"/>
      <c r="P3" s="15"/>
      <c r="Q3" s="15"/>
      <c r="R3" s="15"/>
      <c r="S3" s="15"/>
      <c r="T3" s="15"/>
      <c r="U3" s="15"/>
    </row>
    <row r="4" spans="1:21" ht="33.75" x14ac:dyDescent="0.25">
      <c r="A4" s="301" t="s">
        <v>11</v>
      </c>
      <c r="B4" s="302" t="s">
        <v>1080</v>
      </c>
      <c r="C4" s="303" t="s">
        <v>1081</v>
      </c>
      <c r="D4" s="304" t="s">
        <v>1082</v>
      </c>
      <c r="E4" s="15"/>
      <c r="F4" s="15"/>
      <c r="G4" s="15"/>
      <c r="H4" s="15"/>
      <c r="I4" s="15"/>
      <c r="J4" s="15"/>
      <c r="K4" s="15"/>
      <c r="L4" s="15"/>
      <c r="M4" s="15"/>
      <c r="N4" s="15"/>
      <c r="O4" s="15"/>
      <c r="P4" s="15"/>
      <c r="Q4" s="15"/>
      <c r="R4" s="15"/>
      <c r="S4" s="15"/>
      <c r="T4" s="15"/>
      <c r="U4" s="15"/>
    </row>
    <row r="5" spans="1:21" ht="101.25" x14ac:dyDescent="0.25">
      <c r="A5" s="301" t="s">
        <v>10</v>
      </c>
      <c r="B5" s="305" t="s">
        <v>1083</v>
      </c>
      <c r="C5" s="306" t="s">
        <v>1084</v>
      </c>
      <c r="D5" s="307" t="s">
        <v>1085</v>
      </c>
      <c r="E5" s="15"/>
      <c r="F5" s="15"/>
      <c r="G5" s="15"/>
      <c r="H5" s="15"/>
      <c r="I5" s="15"/>
      <c r="J5" s="15"/>
      <c r="K5" s="15"/>
      <c r="L5" s="15"/>
      <c r="M5" s="15"/>
      <c r="N5" s="15"/>
      <c r="O5" s="15"/>
      <c r="P5" s="15"/>
      <c r="Q5" s="15"/>
      <c r="R5" s="15"/>
      <c r="S5" s="15"/>
      <c r="T5" s="15"/>
      <c r="U5" s="15"/>
    </row>
    <row r="6" spans="1:21" ht="67.5" x14ac:dyDescent="0.25">
      <c r="A6" s="301" t="s">
        <v>9</v>
      </c>
      <c r="B6" s="308" t="s">
        <v>1086</v>
      </c>
      <c r="C6" s="306" t="s">
        <v>1161</v>
      </c>
      <c r="D6" s="307" t="s">
        <v>1088</v>
      </c>
      <c r="E6" s="15"/>
      <c r="F6" s="15"/>
      <c r="G6" s="15"/>
      <c r="H6" s="15"/>
      <c r="I6" s="15"/>
      <c r="J6" s="15"/>
      <c r="K6" s="15"/>
      <c r="L6" s="15"/>
      <c r="M6" s="15"/>
      <c r="N6" s="15"/>
      <c r="O6" s="15"/>
      <c r="P6" s="15"/>
      <c r="Q6" s="15"/>
      <c r="R6" s="15"/>
      <c r="S6" s="15"/>
      <c r="T6" s="15"/>
      <c r="U6" s="15"/>
    </row>
    <row r="7" spans="1:21" ht="101.25" x14ac:dyDescent="0.25">
      <c r="A7" s="301" t="s">
        <v>8</v>
      </c>
      <c r="B7" s="309" t="s">
        <v>1089</v>
      </c>
      <c r="C7" s="306" t="s">
        <v>1162</v>
      </c>
      <c r="D7" s="307" t="s">
        <v>1091</v>
      </c>
      <c r="E7" s="15"/>
      <c r="F7" s="15"/>
      <c r="G7" s="15"/>
      <c r="H7" s="15"/>
      <c r="I7" s="15"/>
      <c r="J7" s="15"/>
      <c r="K7" s="15"/>
      <c r="L7" s="15"/>
      <c r="M7" s="15"/>
      <c r="N7" s="15"/>
      <c r="O7" s="15"/>
      <c r="P7" s="15"/>
      <c r="Q7" s="15"/>
      <c r="R7" s="15"/>
      <c r="S7" s="15"/>
      <c r="T7" s="15"/>
      <c r="U7" s="15"/>
    </row>
    <row r="8" spans="1:21" ht="67.5" x14ac:dyDescent="0.25">
      <c r="A8" s="301" t="s">
        <v>7</v>
      </c>
      <c r="B8" s="310" t="s">
        <v>1092</v>
      </c>
      <c r="C8" s="306" t="s">
        <v>1163</v>
      </c>
      <c r="D8" s="307" t="s">
        <v>1094</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7"/>
      <c r="C10" s="347"/>
      <c r="D10" s="347"/>
      <c r="E10" s="301"/>
      <c r="F10" s="15"/>
      <c r="G10" s="15"/>
      <c r="H10" s="15"/>
      <c r="I10" s="15"/>
      <c r="J10" s="15"/>
      <c r="K10" s="15"/>
      <c r="L10" s="15"/>
      <c r="M10" s="15"/>
      <c r="N10" s="15"/>
      <c r="O10" s="15"/>
      <c r="P10" s="15"/>
      <c r="Q10" s="15"/>
      <c r="R10" s="15"/>
      <c r="S10" s="15"/>
      <c r="T10" s="15"/>
      <c r="U10" s="15"/>
    </row>
    <row r="11" spans="1:21" x14ac:dyDescent="0.25">
      <c r="A11" s="301"/>
      <c r="B11" s="301" t="s">
        <v>1095</v>
      </c>
      <c r="C11" s="301" t="s">
        <v>1096</v>
      </c>
      <c r="D11" s="301" t="s">
        <v>1097</v>
      </c>
      <c r="E11" s="301"/>
      <c r="F11" s="15"/>
      <c r="G11" s="15"/>
      <c r="H11" s="15"/>
      <c r="I11" s="15"/>
      <c r="J11" s="15"/>
      <c r="K11" s="15"/>
      <c r="L11" s="15"/>
      <c r="M11" s="15"/>
      <c r="N11" s="15"/>
      <c r="O11" s="15"/>
      <c r="P11" s="15"/>
      <c r="Q11" s="15"/>
      <c r="R11" s="15"/>
      <c r="S11" s="15"/>
      <c r="T11" s="15"/>
      <c r="U11" s="15"/>
    </row>
    <row r="12" spans="1:21" x14ac:dyDescent="0.25">
      <c r="A12" s="301"/>
      <c r="B12" s="301" t="s">
        <v>1098</v>
      </c>
      <c r="C12" s="301" t="s">
        <v>1099</v>
      </c>
      <c r="D12" s="301" t="s">
        <v>1100</v>
      </c>
      <c r="E12" s="301"/>
      <c r="F12" s="15"/>
      <c r="G12" s="15"/>
      <c r="H12" s="15"/>
      <c r="I12" s="15"/>
      <c r="J12" s="15"/>
      <c r="K12" s="15"/>
      <c r="L12" s="15"/>
      <c r="M12" s="15"/>
      <c r="N12" s="15"/>
      <c r="O12" s="15"/>
      <c r="P12" s="15"/>
      <c r="Q12" s="15"/>
      <c r="R12" s="15"/>
      <c r="S12" s="15"/>
      <c r="T12" s="15"/>
      <c r="U12" s="15"/>
    </row>
    <row r="13" spans="1:21" x14ac:dyDescent="0.25">
      <c r="A13" s="301"/>
      <c r="B13" s="301"/>
      <c r="C13" s="301" t="s">
        <v>1164</v>
      </c>
      <c r="D13" s="301" t="s">
        <v>1101</v>
      </c>
      <c r="E13" s="301"/>
      <c r="F13" s="15"/>
      <c r="G13" s="15"/>
      <c r="H13" s="15"/>
      <c r="I13" s="15"/>
      <c r="J13" s="15"/>
      <c r="K13" s="15"/>
      <c r="L13" s="15"/>
      <c r="M13" s="15"/>
      <c r="N13" s="15"/>
      <c r="O13" s="15"/>
      <c r="P13" s="15"/>
      <c r="Q13" s="15"/>
      <c r="R13" s="15"/>
      <c r="S13" s="15"/>
      <c r="T13" s="15"/>
      <c r="U13" s="15"/>
    </row>
    <row r="14" spans="1:21" x14ac:dyDescent="0.25">
      <c r="A14" s="301"/>
      <c r="B14" s="301"/>
      <c r="C14" s="301" t="s">
        <v>1165</v>
      </c>
      <c r="D14" s="301" t="s">
        <v>1102</v>
      </c>
      <c r="E14" s="301"/>
      <c r="F14" s="15"/>
      <c r="G14" s="15"/>
      <c r="H14" s="15"/>
      <c r="I14" s="15"/>
      <c r="J14" s="15"/>
      <c r="K14" s="15"/>
      <c r="L14" s="15"/>
      <c r="M14" s="15"/>
      <c r="N14" s="15"/>
      <c r="O14" s="15"/>
      <c r="P14" s="15"/>
      <c r="Q14" s="15"/>
      <c r="R14" s="15"/>
      <c r="S14" s="15"/>
      <c r="T14" s="15"/>
      <c r="U14" s="15"/>
    </row>
    <row r="15" spans="1:21" x14ac:dyDescent="0.25">
      <c r="A15" s="301"/>
      <c r="B15" s="301"/>
      <c r="C15" s="301" t="s">
        <v>1166</v>
      </c>
      <c r="D15" s="301" t="s">
        <v>1103</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9"/>
      <c r="C20" s="339"/>
      <c r="D20" s="339"/>
      <c r="E20" s="339"/>
      <c r="F20" s="15"/>
      <c r="G20" s="15"/>
      <c r="H20" s="15"/>
      <c r="I20" s="15"/>
      <c r="J20" s="15"/>
      <c r="K20" s="15"/>
      <c r="L20" s="15"/>
      <c r="M20" s="15"/>
      <c r="N20" s="15"/>
      <c r="O20" s="15"/>
    </row>
    <row r="21" spans="1:15" x14ac:dyDescent="0.25">
      <c r="A21" s="301"/>
      <c r="B21" s="339"/>
      <c r="C21" s="339"/>
      <c r="D21" s="339"/>
      <c r="E21" s="339"/>
      <c r="F21" s="15"/>
      <c r="G21" s="15"/>
      <c r="H21" s="15"/>
      <c r="I21" s="15"/>
      <c r="J21" s="15"/>
      <c r="K21" s="15"/>
      <c r="L21" s="15"/>
      <c r="M21" s="15"/>
      <c r="N21" s="15"/>
      <c r="O21" s="15"/>
    </row>
    <row r="22" spans="1:15" ht="20.25" x14ac:dyDescent="0.25">
      <c r="A22" s="301"/>
      <c r="B22" s="339"/>
      <c r="C22" s="341"/>
      <c r="D22" s="341"/>
      <c r="E22" s="339"/>
      <c r="F22" s="15"/>
      <c r="G22" s="15"/>
      <c r="H22" s="15"/>
      <c r="I22" s="15"/>
      <c r="J22" s="15"/>
      <c r="K22" s="15"/>
      <c r="L22" s="15"/>
      <c r="M22" s="15"/>
      <c r="N22" s="15"/>
      <c r="O22" s="15"/>
    </row>
    <row r="23" spans="1:15" ht="20.25" x14ac:dyDescent="0.25">
      <c r="A23" s="301"/>
      <c r="B23" s="339"/>
      <c r="C23" s="341"/>
      <c r="D23" s="341"/>
      <c r="E23" s="339"/>
      <c r="F23" s="15"/>
      <c r="G23" s="15"/>
      <c r="H23" s="15"/>
      <c r="I23" s="15"/>
      <c r="J23" s="15"/>
      <c r="K23" s="15"/>
      <c r="L23" s="15"/>
      <c r="M23" s="15"/>
      <c r="N23" s="15"/>
      <c r="O23" s="15"/>
    </row>
    <row r="24" spans="1:15" ht="20.25" x14ac:dyDescent="0.25">
      <c r="A24" s="301"/>
      <c r="B24" s="339"/>
      <c r="C24" s="341"/>
      <c r="D24" s="341"/>
      <c r="E24" s="339"/>
      <c r="F24" s="15"/>
      <c r="G24" s="15"/>
      <c r="H24" s="15"/>
      <c r="I24" s="15"/>
      <c r="J24" s="15"/>
      <c r="K24" s="15"/>
      <c r="L24" s="15"/>
      <c r="M24" s="15"/>
      <c r="N24" s="15"/>
      <c r="O24" s="15"/>
    </row>
    <row r="25" spans="1:15" ht="20.25" x14ac:dyDescent="0.25">
      <c r="A25" s="301"/>
      <c r="B25" s="339"/>
      <c r="C25" s="341"/>
      <c r="D25" s="341"/>
      <c r="E25" s="339"/>
      <c r="F25" s="15"/>
      <c r="G25" s="15"/>
      <c r="H25" s="15"/>
      <c r="I25" s="15"/>
      <c r="J25" s="15"/>
      <c r="K25" s="15"/>
      <c r="L25" s="15"/>
      <c r="M25" s="15"/>
      <c r="N25" s="15"/>
      <c r="O25" s="15"/>
    </row>
    <row r="26" spans="1:15" ht="20.25" x14ac:dyDescent="0.25">
      <c r="A26" s="301"/>
      <c r="B26" s="339"/>
      <c r="C26" s="341"/>
      <c r="D26" s="341"/>
      <c r="E26" s="339"/>
      <c r="F26" s="15"/>
      <c r="G26" s="15"/>
      <c r="H26" s="15"/>
      <c r="I26" s="15"/>
      <c r="J26" s="15"/>
      <c r="K26" s="15"/>
      <c r="L26" s="15"/>
      <c r="M26" s="15"/>
      <c r="N26" s="15"/>
      <c r="O26" s="15"/>
    </row>
    <row r="27" spans="1:15" ht="20.25" x14ac:dyDescent="0.25">
      <c r="A27" s="301"/>
      <c r="B27" s="339"/>
      <c r="C27" s="341"/>
      <c r="D27" s="341"/>
      <c r="E27" s="339"/>
      <c r="F27" s="15"/>
      <c r="G27" s="15"/>
      <c r="H27" s="15"/>
      <c r="I27" s="15"/>
      <c r="J27" s="15"/>
      <c r="K27" s="15"/>
      <c r="L27" s="15"/>
      <c r="M27" s="15"/>
      <c r="N27" s="15"/>
      <c r="O27" s="15"/>
    </row>
    <row r="28" spans="1:15" ht="20.25" x14ac:dyDescent="0.25">
      <c r="A28" s="301"/>
      <c r="B28" s="339"/>
      <c r="C28" s="341"/>
      <c r="D28" s="341"/>
      <c r="E28" s="339"/>
      <c r="F28" s="15"/>
      <c r="G28" s="15"/>
      <c r="H28" s="15"/>
      <c r="I28" s="15"/>
      <c r="J28" s="15"/>
      <c r="K28" s="15"/>
      <c r="L28" s="15"/>
      <c r="M28" s="15"/>
      <c r="N28" s="15"/>
      <c r="O28" s="15"/>
    </row>
    <row r="29" spans="1:15" ht="20.25" x14ac:dyDescent="0.25">
      <c r="A29" s="301"/>
      <c r="B29" s="339"/>
      <c r="C29" s="341"/>
      <c r="D29" s="341"/>
      <c r="E29" s="339"/>
      <c r="F29" s="15"/>
      <c r="G29" s="15"/>
      <c r="H29" s="15"/>
      <c r="I29" s="15"/>
      <c r="J29" s="15"/>
      <c r="K29" s="15"/>
      <c r="L29" s="15"/>
      <c r="M29" s="15"/>
      <c r="N29" s="15"/>
      <c r="O29" s="15"/>
    </row>
    <row r="30" spans="1:15" ht="20.25" x14ac:dyDescent="0.25">
      <c r="A30" s="301"/>
      <c r="B30" s="339"/>
      <c r="C30" s="341"/>
      <c r="D30" s="341"/>
      <c r="E30" s="339"/>
      <c r="F30" s="15"/>
      <c r="G30" s="15"/>
      <c r="H30" s="15"/>
      <c r="I30" s="15"/>
      <c r="J30" s="15"/>
      <c r="K30" s="15"/>
      <c r="L30" s="15"/>
      <c r="M30" s="15"/>
      <c r="N30" s="15"/>
      <c r="O30" s="15"/>
    </row>
    <row r="31" spans="1:15" ht="20.25" x14ac:dyDescent="0.25">
      <c r="A31" s="301"/>
      <c r="B31" s="339"/>
      <c r="C31" s="341"/>
      <c r="D31" s="341"/>
      <c r="E31" s="339"/>
      <c r="F31" s="15"/>
      <c r="G31" s="15"/>
      <c r="H31" s="15"/>
      <c r="I31" s="15"/>
      <c r="J31" s="15"/>
      <c r="K31" s="15"/>
      <c r="L31" s="15"/>
      <c r="M31" s="15"/>
      <c r="N31" s="15"/>
      <c r="O31" s="15"/>
    </row>
    <row r="32" spans="1:15" ht="20.25" x14ac:dyDescent="0.25">
      <c r="A32" s="301"/>
      <c r="B32" s="339"/>
      <c r="C32" s="341"/>
      <c r="D32" s="341"/>
      <c r="E32" s="339"/>
      <c r="F32" s="15"/>
      <c r="G32" s="15"/>
      <c r="H32" s="15"/>
      <c r="I32" s="15"/>
      <c r="J32" s="15"/>
      <c r="K32" s="15"/>
      <c r="L32" s="15"/>
      <c r="M32" s="15"/>
      <c r="N32" s="15"/>
      <c r="O32" s="15"/>
    </row>
    <row r="33" spans="1:15" ht="20.25" x14ac:dyDescent="0.25">
      <c r="A33" s="301"/>
      <c r="B33" s="339"/>
      <c r="C33" s="341"/>
      <c r="D33" s="341"/>
      <c r="E33" s="339"/>
      <c r="F33" s="15"/>
      <c r="G33" s="15"/>
      <c r="H33" s="15"/>
      <c r="I33" s="15"/>
      <c r="J33" s="15"/>
      <c r="K33" s="15"/>
      <c r="L33" s="15"/>
      <c r="M33" s="15"/>
      <c r="N33" s="15"/>
      <c r="O33" s="15"/>
    </row>
    <row r="34" spans="1:15" ht="20.25" x14ac:dyDescent="0.25">
      <c r="A34" s="301"/>
      <c r="B34" s="339"/>
      <c r="C34" s="341"/>
      <c r="D34" s="341"/>
      <c r="E34" s="339"/>
      <c r="F34" s="15"/>
      <c r="G34" s="15"/>
      <c r="H34" s="15"/>
      <c r="I34" s="15"/>
      <c r="J34" s="15"/>
      <c r="K34" s="15"/>
      <c r="L34" s="15"/>
      <c r="M34" s="15"/>
      <c r="N34" s="15"/>
      <c r="O34" s="15"/>
    </row>
    <row r="35" spans="1:15" ht="20.25" x14ac:dyDescent="0.25">
      <c r="A35" s="301"/>
      <c r="B35" s="339"/>
      <c r="C35" s="341"/>
      <c r="D35" s="341"/>
      <c r="E35" s="339"/>
      <c r="F35" s="15"/>
      <c r="G35" s="15"/>
      <c r="H35" s="15"/>
      <c r="I35" s="15"/>
      <c r="J35" s="15"/>
      <c r="K35" s="15"/>
      <c r="L35" s="15"/>
      <c r="M35" s="15"/>
      <c r="N35" s="15"/>
      <c r="O35" s="15"/>
    </row>
    <row r="36" spans="1:15" ht="20.25" x14ac:dyDescent="0.25">
      <c r="A36" s="301"/>
      <c r="B36" s="339"/>
      <c r="C36" s="341"/>
      <c r="D36" s="341"/>
      <c r="E36" s="339"/>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1104</v>
      </c>
      <c r="C209" s="314" t="s">
        <v>1105</v>
      </c>
      <c r="D209" t="s">
        <v>1104</v>
      </c>
      <c r="E209" t="s">
        <v>1105</v>
      </c>
    </row>
    <row r="210" spans="1:8" ht="21" x14ac:dyDescent="0.35">
      <c r="A210" s="15"/>
      <c r="B210" s="315" t="s">
        <v>1106</v>
      </c>
      <c r="C210" s="315"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15" t="s">
        <v>1106</v>
      </c>
      <c r="C211" s="315" t="s">
        <v>1084</v>
      </c>
      <c r="E211" t="s">
        <v>1107</v>
      </c>
      <c r="F211" t="str">
        <f t="shared" ref="F211:F221" si="0">IF(NOT(ISBLANK(D211)),D211,IF(NOT(ISBLANK(E211)),"     "&amp;E211,FALSE))</f>
        <v xml:space="preserve">     Afectación menor a 10 SMLMV .</v>
      </c>
    </row>
    <row r="212" spans="1:8" ht="21" x14ac:dyDescent="0.35">
      <c r="A212" s="15"/>
      <c r="B212" s="315" t="s">
        <v>1106</v>
      </c>
      <c r="C212" s="315" t="s">
        <v>1087</v>
      </c>
      <c r="E212" t="s">
        <v>1084</v>
      </c>
      <c r="F212" t="str">
        <f t="shared" si="0"/>
        <v xml:space="preserve">     Entre 10 y 50 SMLMV </v>
      </c>
    </row>
    <row r="213" spans="1:8" ht="21" x14ac:dyDescent="0.35">
      <c r="A213" s="15"/>
      <c r="B213" s="315" t="s">
        <v>1106</v>
      </c>
      <c r="C213" s="315" t="s">
        <v>1090</v>
      </c>
      <c r="E213" t="s">
        <v>1161</v>
      </c>
      <c r="F213" t="str">
        <f t="shared" si="0"/>
        <v xml:space="preserve">     Entre 51 y 100 SMLMV </v>
      </c>
    </row>
    <row r="214" spans="1:8" ht="21" x14ac:dyDescent="0.35">
      <c r="A214" s="15"/>
      <c r="B214" s="315" t="s">
        <v>1106</v>
      </c>
      <c r="C214" s="315" t="s">
        <v>1093</v>
      </c>
      <c r="E214" t="s">
        <v>1162</v>
      </c>
      <c r="F214" t="str">
        <f t="shared" si="0"/>
        <v xml:space="preserve">     Entre 101 y 500 SMLMV </v>
      </c>
    </row>
    <row r="215" spans="1:8" ht="21" x14ac:dyDescent="0.35">
      <c r="A215" s="15"/>
      <c r="B215" s="315" t="s">
        <v>1079</v>
      </c>
      <c r="C215" s="315" t="s">
        <v>1082</v>
      </c>
      <c r="E215" t="s">
        <v>1163</v>
      </c>
      <c r="F215" t="str">
        <f t="shared" si="0"/>
        <v xml:space="preserve">     Mayor a 501 SMLMV </v>
      </c>
    </row>
    <row r="216" spans="1:8" ht="21" x14ac:dyDescent="0.35">
      <c r="A216" s="15"/>
      <c r="B216" s="315" t="s">
        <v>1079</v>
      </c>
      <c r="C216" s="315" t="s">
        <v>1085</v>
      </c>
      <c r="D216" t="s">
        <v>1079</v>
      </c>
      <c r="F216" t="str">
        <f t="shared" si="0"/>
        <v>Pérdida Reputacional</v>
      </c>
    </row>
    <row r="217" spans="1:8" ht="21" x14ac:dyDescent="0.35">
      <c r="A217" s="15"/>
      <c r="B217" s="315" t="s">
        <v>1079</v>
      </c>
      <c r="C217" s="315" t="s">
        <v>1088</v>
      </c>
      <c r="E217" t="s">
        <v>1082</v>
      </c>
      <c r="F217" t="str">
        <f t="shared" si="0"/>
        <v xml:space="preserve">     El riesgo afecta la imagen de alguna área de la organización</v>
      </c>
    </row>
    <row r="218" spans="1:8" ht="21" x14ac:dyDescent="0.35">
      <c r="A218" s="15"/>
      <c r="B218" s="315" t="s">
        <v>1079</v>
      </c>
      <c r="C218" s="315"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15" t="s">
        <v>1079</v>
      </c>
      <c r="C219" s="315" t="s">
        <v>1094</v>
      </c>
      <c r="E219" t="s">
        <v>1088</v>
      </c>
      <c r="F219" t="str">
        <f t="shared" si="0"/>
        <v xml:space="preserve">     El riesgo afecta la imagen de la entidad con algunos usuarios de relevancia frente al logro de los objetivos</v>
      </c>
    </row>
    <row r="220" spans="1:8" x14ac:dyDescent="0.25">
      <c r="A220" s="15"/>
      <c r="B220" s="316"/>
      <c r="C220" s="316"/>
      <c r="E220" t="s">
        <v>1091</v>
      </c>
      <c r="F220" t="str">
        <f t="shared" si="0"/>
        <v xml:space="preserve">     El riesgo afecta la imagen de de la entidad con efecto publicitario sostenido a nivel de sector administrativo, nivel departamental o municipal</v>
      </c>
    </row>
    <row r="221" spans="1:8" x14ac:dyDescent="0.25">
      <c r="A221" s="15"/>
      <c r="B221" s="316" t="str">
        <f t="array" ref="B221:B223">_xlfn.UNIQUE(Tabla112[[#All],[Criterios]])</f>
        <v>Criterios</v>
      </c>
      <c r="C221" s="316"/>
      <c r="E221" t="s">
        <v>1094</v>
      </c>
      <c r="F221" t="str">
        <f t="shared" si="0"/>
        <v xml:space="preserve">     El riesgo afecta la imagen de la entidad a nivel nacional, con efecto publicitarios sostenible a nivel país</v>
      </c>
    </row>
    <row r="222" spans="1:8" x14ac:dyDescent="0.25">
      <c r="A222" s="15"/>
      <c r="B222" s="316" t="str">
        <v>Afectación Económica o presupuestal</v>
      </c>
      <c r="C222" s="316"/>
    </row>
    <row r="223" spans="1:8" x14ac:dyDescent="0.25">
      <c r="B223" s="316" t="str">
        <v>Pérdida Reputacional</v>
      </c>
      <c r="C223" s="316"/>
      <c r="F223" s="317" t="s">
        <v>1108</v>
      </c>
    </row>
    <row r="224" spans="1:8" x14ac:dyDescent="0.25">
      <c r="B224" s="318"/>
      <c r="C224" s="318"/>
      <c r="F224" s="317" t="s">
        <v>1109</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A12" workbookViewId="0">
      <selection activeCell="D46" sqref="D46"/>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734" t="s">
        <v>1110</v>
      </c>
      <c r="C1" s="735"/>
      <c r="D1" s="735"/>
      <c r="E1" s="735"/>
      <c r="F1" s="736"/>
    </row>
    <row r="2" spans="2:6" ht="16.5" thickBot="1" x14ac:dyDescent="0.3">
      <c r="B2" s="320"/>
      <c r="C2" s="320"/>
      <c r="D2" s="320"/>
      <c r="E2" s="320"/>
      <c r="F2" s="320"/>
    </row>
    <row r="3" spans="2:6" ht="16.5" thickBot="1" x14ac:dyDescent="0.25">
      <c r="B3" s="737" t="s">
        <v>1111</v>
      </c>
      <c r="C3" s="738"/>
      <c r="D3" s="738"/>
      <c r="E3" s="321" t="s">
        <v>1112</v>
      </c>
      <c r="F3" s="322" t="s">
        <v>1113</v>
      </c>
    </row>
    <row r="4" spans="2:6" ht="31.5" x14ac:dyDescent="0.2">
      <c r="B4" s="739" t="s">
        <v>1114</v>
      </c>
      <c r="C4" s="741" t="s">
        <v>27</v>
      </c>
      <c r="D4" s="323" t="s">
        <v>1115</v>
      </c>
      <c r="E4" s="324" t="s">
        <v>1116</v>
      </c>
      <c r="F4" s="325">
        <v>0.25</v>
      </c>
    </row>
    <row r="5" spans="2:6" ht="47.25" x14ac:dyDescent="0.2">
      <c r="B5" s="740"/>
      <c r="C5" s="742"/>
      <c r="D5" s="326" t="s">
        <v>1117</v>
      </c>
      <c r="E5" s="327" t="s">
        <v>1118</v>
      </c>
      <c r="F5" s="328">
        <v>0.15</v>
      </c>
    </row>
    <row r="6" spans="2:6" ht="47.25" x14ac:dyDescent="0.2">
      <c r="B6" s="740"/>
      <c r="C6" s="742"/>
      <c r="D6" s="326" t="s">
        <v>1119</v>
      </c>
      <c r="E6" s="327" t="s">
        <v>1120</v>
      </c>
      <c r="F6" s="328">
        <v>0.1</v>
      </c>
    </row>
    <row r="7" spans="2:6" ht="63" x14ac:dyDescent="0.2">
      <c r="B7" s="740"/>
      <c r="C7" s="742" t="s">
        <v>1047</v>
      </c>
      <c r="D7" s="326" t="s">
        <v>1121</v>
      </c>
      <c r="E7" s="327" t="s">
        <v>1122</v>
      </c>
      <c r="F7" s="328">
        <v>0.25</v>
      </c>
    </row>
    <row r="8" spans="2:6" ht="31.5" x14ac:dyDescent="0.2">
      <c r="B8" s="740"/>
      <c r="C8" s="742"/>
      <c r="D8" s="326" t="s">
        <v>1123</v>
      </c>
      <c r="E8" s="327" t="s">
        <v>1124</v>
      </c>
      <c r="F8" s="328">
        <v>0.15</v>
      </c>
    </row>
    <row r="9" spans="2:6" ht="47.25" x14ac:dyDescent="0.2">
      <c r="B9" s="740" t="s">
        <v>1125</v>
      </c>
      <c r="C9" s="742" t="s">
        <v>1049</v>
      </c>
      <c r="D9" s="326" t="s">
        <v>1126</v>
      </c>
      <c r="E9" s="327" t="s">
        <v>1127</v>
      </c>
      <c r="F9" s="329" t="s">
        <v>1128</v>
      </c>
    </row>
    <row r="10" spans="2:6" ht="63" x14ac:dyDescent="0.2">
      <c r="B10" s="740"/>
      <c r="C10" s="742"/>
      <c r="D10" s="326" t="s">
        <v>1129</v>
      </c>
      <c r="E10" s="327" t="s">
        <v>1130</v>
      </c>
      <c r="F10" s="329" t="s">
        <v>1128</v>
      </c>
    </row>
    <row r="11" spans="2:6" ht="47.25" x14ac:dyDescent="0.2">
      <c r="B11" s="740"/>
      <c r="C11" s="742" t="s">
        <v>154</v>
      </c>
      <c r="D11" s="326" t="s">
        <v>1131</v>
      </c>
      <c r="E11" s="327" t="s">
        <v>1132</v>
      </c>
      <c r="F11" s="329" t="s">
        <v>1128</v>
      </c>
    </row>
    <row r="12" spans="2:6" ht="47.25" x14ac:dyDescent="0.2">
      <c r="B12" s="740"/>
      <c r="C12" s="742"/>
      <c r="D12" s="326" t="s">
        <v>1133</v>
      </c>
      <c r="E12" s="327" t="s">
        <v>1134</v>
      </c>
      <c r="F12" s="329" t="s">
        <v>1128</v>
      </c>
    </row>
    <row r="13" spans="2:6" ht="31.5" x14ac:dyDescent="0.2">
      <c r="B13" s="740"/>
      <c r="C13" s="742" t="s">
        <v>1050</v>
      </c>
      <c r="D13" s="326" t="s">
        <v>1135</v>
      </c>
      <c r="E13" s="327" t="s">
        <v>1136</v>
      </c>
      <c r="F13" s="329" t="s">
        <v>1128</v>
      </c>
    </row>
    <row r="14" spans="2:6" ht="32.25" thickBot="1" x14ac:dyDescent="0.25">
      <c r="B14" s="743"/>
      <c r="C14" s="744"/>
      <c r="D14" s="330" t="s">
        <v>1137</v>
      </c>
      <c r="E14" s="331" t="s">
        <v>1138</v>
      </c>
      <c r="F14" s="332" t="s">
        <v>1128</v>
      </c>
    </row>
    <row r="15" spans="2:6" ht="49.5" customHeight="1" x14ac:dyDescent="0.2">
      <c r="B15" s="733" t="s">
        <v>1139</v>
      </c>
      <c r="C15" s="733"/>
      <c r="D15" s="733"/>
      <c r="E15" s="733"/>
      <c r="F15" s="733"/>
    </row>
    <row r="16" spans="2:6" ht="27" customHeight="1" x14ac:dyDescent="0.25">
      <c r="B16" s="33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4" workbookViewId="0">
      <selection activeCell="A15" sqref="A15"/>
    </sheetView>
  </sheetViews>
  <sheetFormatPr baseColWidth="10" defaultRowHeight="12.75" x14ac:dyDescent="0.2"/>
  <cols>
    <col min="1" max="1" width="32.85546875" style="335" customWidth="1"/>
    <col min="2" max="16384" width="11.42578125" style="335"/>
  </cols>
  <sheetData>
    <row r="3" spans="1:1" x14ac:dyDescent="0.2">
      <c r="A3" s="334" t="s">
        <v>1115</v>
      </c>
    </row>
    <row r="4" spans="1:1" x14ac:dyDescent="0.2">
      <c r="A4" s="334" t="s">
        <v>1117</v>
      </c>
    </row>
    <row r="5" spans="1:1" x14ac:dyDescent="0.2">
      <c r="A5" s="334" t="s">
        <v>1119</v>
      </c>
    </row>
    <row r="6" spans="1:1" x14ac:dyDescent="0.2">
      <c r="A6" s="334" t="s">
        <v>1121</v>
      </c>
    </row>
    <row r="7" spans="1:1" x14ac:dyDescent="0.2">
      <c r="A7" s="334" t="s">
        <v>1123</v>
      </c>
    </row>
    <row r="8" spans="1:1" x14ac:dyDescent="0.2">
      <c r="A8" s="334" t="s">
        <v>1126</v>
      </c>
    </row>
    <row r="9" spans="1:1" x14ac:dyDescent="0.2">
      <c r="A9" s="334" t="s">
        <v>1129</v>
      </c>
    </row>
    <row r="10" spans="1:1" x14ac:dyDescent="0.2">
      <c r="A10" s="334" t="s">
        <v>1131</v>
      </c>
    </row>
    <row r="11" spans="1:1" x14ac:dyDescent="0.2">
      <c r="A11" s="334" t="s">
        <v>1133</v>
      </c>
    </row>
    <row r="12" spans="1:1" x14ac:dyDescent="0.2">
      <c r="A12" s="334" t="s">
        <v>1157</v>
      </c>
    </row>
    <row r="13" spans="1:1" x14ac:dyDescent="0.2">
      <c r="A13" s="334" t="s">
        <v>1158</v>
      </c>
    </row>
    <row r="14" spans="1:1" x14ac:dyDescent="0.2">
      <c r="A14" s="334" t="s">
        <v>1159</v>
      </c>
    </row>
    <row r="15" spans="1:1" x14ac:dyDescent="0.2">
      <c r="A15" s="334" t="s">
        <v>1293</v>
      </c>
    </row>
    <row r="16" spans="1:1" x14ac:dyDescent="0.2">
      <c r="A16" s="334" t="s">
        <v>1160</v>
      </c>
    </row>
    <row r="17" spans="1:1" x14ac:dyDescent="0.2">
      <c r="A17" s="334" t="s">
        <v>1140</v>
      </c>
    </row>
    <row r="18" spans="1:1" x14ac:dyDescent="0.2">
      <c r="A18" s="334" t="s">
        <v>1142</v>
      </c>
    </row>
    <row r="20" spans="1:1" x14ac:dyDescent="0.2">
      <c r="A20" s="334" t="s">
        <v>1148</v>
      </c>
    </row>
    <row r="21" spans="1:1" x14ac:dyDescent="0.2">
      <c r="A21" s="334" t="s">
        <v>1149</v>
      </c>
    </row>
    <row r="23" spans="1:1" x14ac:dyDescent="0.2">
      <c r="A23" s="334" t="s">
        <v>1168</v>
      </c>
    </row>
    <row r="24" spans="1:1" x14ac:dyDescent="0.2">
      <c r="A24" s="334" t="s">
        <v>1169</v>
      </c>
    </row>
    <row r="25" spans="1:1" x14ac:dyDescent="0.2">
      <c r="A25" s="334" t="s">
        <v>1170</v>
      </c>
    </row>
    <row r="28" spans="1:1" x14ac:dyDescent="0.2">
      <c r="A28" s="334" t="s">
        <v>1171</v>
      </c>
    </row>
    <row r="29" spans="1:1" x14ac:dyDescent="0.2">
      <c r="A29" s="334" t="s">
        <v>1172</v>
      </c>
    </row>
    <row r="30" spans="1:1" x14ac:dyDescent="0.2">
      <c r="A30" s="334" t="s">
        <v>1173</v>
      </c>
    </row>
    <row r="31" spans="1:1" x14ac:dyDescent="0.2">
      <c r="A31" s="334" t="s">
        <v>1174</v>
      </c>
    </row>
    <row r="32" spans="1:1" x14ac:dyDescent="0.2">
      <c r="A32" s="334" t="s">
        <v>1175</v>
      </c>
    </row>
    <row r="33" spans="1:1" x14ac:dyDescent="0.2">
      <c r="A33" s="334" t="s">
        <v>1176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48" t="s">
        <v>980</v>
      </c>
      <c r="I1" t="s">
        <v>191</v>
      </c>
      <c r="J1" t="s">
        <v>7</v>
      </c>
    </row>
    <row r="2" spans="1:10" x14ac:dyDescent="0.25">
      <c r="A2" s="349" t="s">
        <v>1189</v>
      </c>
      <c r="I2" t="s">
        <v>73</v>
      </c>
      <c r="J2" t="s">
        <v>8</v>
      </c>
    </row>
    <row r="3" spans="1:10" x14ac:dyDescent="0.25">
      <c r="A3" s="348" t="s">
        <v>172</v>
      </c>
      <c r="I3" t="s">
        <v>74</v>
      </c>
      <c r="J3" t="s">
        <v>9</v>
      </c>
    </row>
    <row r="4" spans="1:10" x14ac:dyDescent="0.25">
      <c r="A4" s="348" t="s">
        <v>1190</v>
      </c>
      <c r="I4" t="s">
        <v>75</v>
      </c>
      <c r="J4" t="s">
        <v>10</v>
      </c>
    </row>
    <row r="5" spans="1:10" x14ac:dyDescent="0.25">
      <c r="A5" s="348" t="s">
        <v>1191</v>
      </c>
      <c r="I5" t="s">
        <v>76</v>
      </c>
      <c r="J5" t="s">
        <v>11</v>
      </c>
    </row>
    <row r="6" spans="1:10" x14ac:dyDescent="0.25">
      <c r="A6" s="348" t="s">
        <v>1192</v>
      </c>
    </row>
    <row r="7" spans="1:10" x14ac:dyDescent="0.25">
      <c r="A7" s="348" t="s">
        <v>173</v>
      </c>
    </row>
    <row r="8" spans="1:10" x14ac:dyDescent="0.25">
      <c r="A8" s="348" t="s">
        <v>174</v>
      </c>
    </row>
    <row r="9" spans="1:10" x14ac:dyDescent="0.25">
      <c r="A9" s="348" t="s">
        <v>175</v>
      </c>
    </row>
    <row r="10" spans="1:10" x14ac:dyDescent="0.25">
      <c r="A10" s="348" t="s">
        <v>178</v>
      </c>
    </row>
    <row r="11" spans="1:10" x14ac:dyDescent="0.25">
      <c r="A11" s="348" t="s">
        <v>1193</v>
      </c>
    </row>
    <row r="12" spans="1:10" x14ac:dyDescent="0.25">
      <c r="A12" s="348" t="s">
        <v>979</v>
      </c>
    </row>
    <row r="13" spans="1:10" x14ac:dyDescent="0.25">
      <c r="A13" s="348" t="s">
        <v>180</v>
      </c>
    </row>
    <row r="14" spans="1:10" x14ac:dyDescent="0.25">
      <c r="A14" s="348" t="s">
        <v>1194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U140"/>
  <sheetViews>
    <sheetView zoomScale="40" zoomScaleNormal="40" workbookViewId="0">
      <selection activeCell="AD1" sqref="AD1:AD1048576"/>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6" t="s">
        <v>1053</v>
      </c>
      <c r="C2" s="576"/>
      <c r="D2" s="576"/>
      <c r="E2" s="576"/>
      <c r="F2" s="576"/>
      <c r="G2" s="576"/>
      <c r="H2" s="576"/>
      <c r="I2" s="576"/>
      <c r="J2" s="577" t="s">
        <v>5</v>
      </c>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6"/>
      <c r="C3" s="576"/>
      <c r="D3" s="576"/>
      <c r="E3" s="576"/>
      <c r="F3" s="576"/>
      <c r="G3" s="576"/>
      <c r="H3" s="576"/>
      <c r="I3" s="576"/>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6"/>
      <c r="C4" s="576"/>
      <c r="D4" s="576"/>
      <c r="E4" s="576"/>
      <c r="F4" s="576"/>
      <c r="G4" s="576"/>
      <c r="H4" s="576"/>
      <c r="I4" s="576"/>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78" t="s">
        <v>3</v>
      </c>
      <c r="C6" s="578"/>
      <c r="D6" s="579"/>
      <c r="E6" s="580" t="s">
        <v>1054</v>
      </c>
      <c r="F6" s="581"/>
      <c r="G6" s="581"/>
      <c r="H6" s="581"/>
      <c r="I6" s="582"/>
      <c r="J6" s="589" t="str">
        <f>IF(AND('Mapa final'!$H$10="Muy Alta",'Mapa final'!$L$10="Leve"),CONCATENATE("R",'Mapa final'!$A$10),"")</f>
        <v/>
      </c>
      <c r="K6" s="590"/>
      <c r="L6" s="590" t="str">
        <f>IF(AND('Mapa final'!$H$16="Muy Alta",'Mapa final'!$L$16="Leve"),CONCATENATE("R",'Mapa final'!$A$16),"")</f>
        <v/>
      </c>
      <c r="M6" s="590"/>
      <c r="N6" s="590" t="str">
        <f>IF(AND('Mapa final'!$H$22="Muy Alta",'Mapa final'!$L$22="Leve"),CONCATENATE("R",'Mapa final'!$A$22),"")</f>
        <v/>
      </c>
      <c r="O6" s="593"/>
      <c r="P6" s="589" t="str">
        <f>IF(AND('Mapa final'!$H$10="Muy Alta",'Mapa final'!$L$10="Menor"),CONCATENATE("R",'Mapa final'!$A$10),"")</f>
        <v/>
      </c>
      <c r="Q6" s="590"/>
      <c r="R6" s="590" t="str">
        <f>IF(AND('Mapa final'!$H$16="Muy Alta",'Mapa final'!$L$16="Menor"),CONCATENATE("R",'Mapa final'!$A$16),"")</f>
        <v/>
      </c>
      <c r="S6" s="590"/>
      <c r="T6" s="590" t="str">
        <f>IF(AND('Mapa final'!$H$22="Muy Alta",'Mapa final'!$L$22="Menor"),CONCATENATE("R",'Mapa final'!$A$22),"")</f>
        <v/>
      </c>
      <c r="U6" s="593"/>
      <c r="V6" s="589" t="str">
        <f>IF(AND('Mapa final'!$H$10="Muy Alta",'Mapa final'!$L$10="Moderado"),CONCATENATE("R",'Mapa final'!$A$10),"")</f>
        <v/>
      </c>
      <c r="W6" s="590"/>
      <c r="X6" s="590" t="str">
        <f>IF(AND('Mapa final'!$H$16="Muy Alta",'Mapa final'!$L$16="Moderado"),CONCATENATE("R",'Mapa final'!$A$16),"")</f>
        <v/>
      </c>
      <c r="Y6" s="590"/>
      <c r="Z6" s="590" t="str">
        <f>IF(AND('Mapa final'!$H$22="Muy Alta",'Mapa final'!$L$22="Moderado"),CONCATENATE("R",'Mapa final'!$A$22),"")</f>
        <v/>
      </c>
      <c r="AA6" s="593"/>
      <c r="AB6" s="589" t="str">
        <f>IF(AND('Mapa final'!$H$10="Muy Alta",'Mapa final'!$L$10="Mayor"),CONCATENATE("R",'Mapa final'!$A$10),"")</f>
        <v/>
      </c>
      <c r="AC6" s="590"/>
      <c r="AD6" s="590" t="str">
        <f>IF(AND('Mapa final'!$H$16="Muy Alta",'Mapa final'!$L$16="Mayor"),CONCATENATE("R",'Mapa final'!$A$16),"")</f>
        <v/>
      </c>
      <c r="AE6" s="590"/>
      <c r="AF6" s="590" t="str">
        <f>IF(AND('Mapa final'!$H$22="Muy Alta",'Mapa final'!$L$22="Mayor"),CONCATENATE("R",'Mapa final'!$A$22),"")</f>
        <v/>
      </c>
      <c r="AG6" s="593"/>
      <c r="AH6" s="595" t="str">
        <f>IF(AND('Mapa final'!$H$10="Muy Alta",'Mapa final'!$L$10="Catastrófico"),CONCATENATE("R",'Mapa final'!$A$10),"")</f>
        <v/>
      </c>
      <c r="AI6" s="596"/>
      <c r="AJ6" s="596" t="str">
        <f>IF(AND('Mapa final'!$H$16="Muy Alta",'Mapa final'!$L$16="Catastrófico"),CONCATENATE("R",'Mapa final'!$A$16),"")</f>
        <v/>
      </c>
      <c r="AK6" s="596"/>
      <c r="AL6" s="596" t="str">
        <f>IF(AND('Mapa final'!$H$22="Muy Alta",'Mapa final'!$L$22="Catastrófico"),CONCATENATE("R",'Mapa final'!$A$22),"")</f>
        <v/>
      </c>
      <c r="AM6" s="599"/>
      <c r="AO6" s="601" t="s">
        <v>1055</v>
      </c>
      <c r="AP6" s="602"/>
      <c r="AQ6" s="602"/>
      <c r="AR6" s="602"/>
      <c r="AS6" s="602"/>
      <c r="AT6" s="60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78"/>
      <c r="C7" s="578"/>
      <c r="D7" s="579"/>
      <c r="E7" s="583"/>
      <c r="F7" s="584"/>
      <c r="G7" s="584"/>
      <c r="H7" s="584"/>
      <c r="I7" s="585"/>
      <c r="J7" s="591"/>
      <c r="K7" s="592"/>
      <c r="L7" s="592"/>
      <c r="M7" s="592"/>
      <c r="N7" s="592"/>
      <c r="O7" s="594"/>
      <c r="P7" s="591"/>
      <c r="Q7" s="592"/>
      <c r="R7" s="592"/>
      <c r="S7" s="592"/>
      <c r="T7" s="592"/>
      <c r="U7" s="594"/>
      <c r="V7" s="591"/>
      <c r="W7" s="592"/>
      <c r="X7" s="592"/>
      <c r="Y7" s="592"/>
      <c r="Z7" s="592"/>
      <c r="AA7" s="594"/>
      <c r="AB7" s="591"/>
      <c r="AC7" s="592"/>
      <c r="AD7" s="592"/>
      <c r="AE7" s="592"/>
      <c r="AF7" s="592"/>
      <c r="AG7" s="594"/>
      <c r="AH7" s="597"/>
      <c r="AI7" s="598"/>
      <c r="AJ7" s="598"/>
      <c r="AK7" s="598"/>
      <c r="AL7" s="598"/>
      <c r="AM7" s="600"/>
      <c r="AN7" s="15"/>
      <c r="AO7" s="604"/>
      <c r="AP7" s="605"/>
      <c r="AQ7" s="605"/>
      <c r="AR7" s="605"/>
      <c r="AS7" s="605"/>
      <c r="AT7" s="60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78"/>
      <c r="C8" s="578"/>
      <c r="D8" s="579"/>
      <c r="E8" s="583"/>
      <c r="F8" s="584"/>
      <c r="G8" s="584"/>
      <c r="H8" s="584"/>
      <c r="I8" s="585"/>
      <c r="J8" s="591" t="str">
        <f>IF(AND('Mapa final'!$H$28="Muy Alta",'Mapa final'!$L$28="Leve"),CONCATENATE("R",'Mapa final'!$A$28),"")</f>
        <v/>
      </c>
      <c r="K8" s="592"/>
      <c r="L8" s="592" t="str">
        <f>IF(AND('Mapa final'!$H$34="Muy Alta",'Mapa final'!$L$34="Leve"),CONCATENATE("R",'Mapa final'!$A$34),"")</f>
        <v/>
      </c>
      <c r="M8" s="592"/>
      <c r="N8" s="592" t="str">
        <f>IF(AND('Mapa final'!$H$40="Muy Alta",'Mapa final'!$L$40="Leve"),CONCATENATE("R",'Mapa final'!$A$40),"")</f>
        <v/>
      </c>
      <c r="O8" s="594"/>
      <c r="P8" s="591" t="str">
        <f>IF(AND('Mapa final'!$H$28="Muy Alta",'Mapa final'!$L$28="Menor"),CONCATENATE("R",'Mapa final'!$A$28),"")</f>
        <v/>
      </c>
      <c r="Q8" s="592"/>
      <c r="R8" s="592" t="str">
        <f>IF(AND('Mapa final'!$H$34="Muy Alta",'Mapa final'!$L$34="Menor"),CONCATENATE("R",'Mapa final'!$A$34),"")</f>
        <v/>
      </c>
      <c r="S8" s="592"/>
      <c r="T8" s="592" t="str">
        <f>IF(AND('Mapa final'!$H$40="Muy Alta",'Mapa final'!$L$40="Menor"),CONCATENATE("R",'Mapa final'!$A$40),"")</f>
        <v/>
      </c>
      <c r="U8" s="594"/>
      <c r="V8" s="591" t="str">
        <f>IF(AND('Mapa final'!$H$28="Muy Alta",'Mapa final'!$L$28="Moderado"),CONCATENATE("R",'Mapa final'!$A$28),"")</f>
        <v/>
      </c>
      <c r="W8" s="592"/>
      <c r="X8" s="592" t="str">
        <f>IF(AND('Mapa final'!$H$34="Muy Alta",'Mapa final'!$L$34="Moderado"),CONCATENATE("R",'Mapa final'!$A$34),"")</f>
        <v/>
      </c>
      <c r="Y8" s="592"/>
      <c r="Z8" s="592" t="str">
        <f>IF(AND('Mapa final'!$H$40="Muy Alta",'Mapa final'!$L$40="Moderado"),CONCATENATE("R",'Mapa final'!$A$40),"")</f>
        <v/>
      </c>
      <c r="AA8" s="594"/>
      <c r="AB8" s="591" t="str">
        <f>IF(AND('Mapa final'!$H$28="Muy Alta",'Mapa final'!$L$28="Mayor"),CONCATENATE("R",'Mapa final'!$A$28),"")</f>
        <v/>
      </c>
      <c r="AC8" s="592"/>
      <c r="AD8" s="592" t="str">
        <f>IF(AND('Mapa final'!$H$34="Muy Alta",'Mapa final'!$L$34="Mayor"),CONCATENATE("R",'Mapa final'!$A$34),"")</f>
        <v/>
      </c>
      <c r="AE8" s="592"/>
      <c r="AF8" s="592" t="str">
        <f>IF(AND('Mapa final'!$H$40="Muy Alta",'Mapa final'!$L$40="Mayor"),CONCATENATE("R",'Mapa final'!$A$40),"")</f>
        <v/>
      </c>
      <c r="AG8" s="594"/>
      <c r="AH8" s="597" t="str">
        <f>IF(AND('Mapa final'!$H$28="Muy Alta",'Mapa final'!$L$28="Catastrófico"),CONCATENATE("R",'Mapa final'!$A$28),"")</f>
        <v/>
      </c>
      <c r="AI8" s="598"/>
      <c r="AJ8" s="598" t="str">
        <f>IF(AND('Mapa final'!$H$34="Muy Alta",'Mapa final'!$L$34="Catastrófico"),CONCATENATE("R",'Mapa final'!$A$34),"")</f>
        <v/>
      </c>
      <c r="AK8" s="598"/>
      <c r="AL8" s="598" t="str">
        <f>IF(AND('Mapa final'!$H$40="Muy Alta",'Mapa final'!$L$40="Catastrófico"),CONCATENATE("R",'Mapa final'!$A$40),"")</f>
        <v/>
      </c>
      <c r="AM8" s="600"/>
      <c r="AN8" s="15"/>
      <c r="AO8" s="604"/>
      <c r="AP8" s="605"/>
      <c r="AQ8" s="605"/>
      <c r="AR8" s="605"/>
      <c r="AS8" s="605"/>
      <c r="AT8" s="60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78"/>
      <c r="C9" s="578"/>
      <c r="D9" s="579"/>
      <c r="E9" s="583"/>
      <c r="F9" s="584"/>
      <c r="G9" s="584"/>
      <c r="H9" s="584"/>
      <c r="I9" s="585"/>
      <c r="J9" s="591"/>
      <c r="K9" s="592"/>
      <c r="L9" s="592"/>
      <c r="M9" s="592"/>
      <c r="N9" s="592"/>
      <c r="O9" s="594"/>
      <c r="P9" s="591"/>
      <c r="Q9" s="592"/>
      <c r="R9" s="592"/>
      <c r="S9" s="592"/>
      <c r="T9" s="592"/>
      <c r="U9" s="594"/>
      <c r="V9" s="591"/>
      <c r="W9" s="592"/>
      <c r="X9" s="592"/>
      <c r="Y9" s="592"/>
      <c r="Z9" s="592"/>
      <c r="AA9" s="594"/>
      <c r="AB9" s="591"/>
      <c r="AC9" s="592"/>
      <c r="AD9" s="592"/>
      <c r="AE9" s="592"/>
      <c r="AF9" s="592"/>
      <c r="AG9" s="594"/>
      <c r="AH9" s="597"/>
      <c r="AI9" s="598"/>
      <c r="AJ9" s="598"/>
      <c r="AK9" s="598"/>
      <c r="AL9" s="598"/>
      <c r="AM9" s="600"/>
      <c r="AN9" s="15"/>
      <c r="AO9" s="604"/>
      <c r="AP9" s="605"/>
      <c r="AQ9" s="605"/>
      <c r="AR9" s="605"/>
      <c r="AS9" s="605"/>
      <c r="AT9" s="60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78"/>
      <c r="C10" s="578"/>
      <c r="D10" s="579"/>
      <c r="E10" s="583"/>
      <c r="F10" s="584"/>
      <c r="G10" s="584"/>
      <c r="H10" s="584"/>
      <c r="I10" s="585"/>
      <c r="J10" s="591" t="str">
        <f>IF(AND('Mapa final'!$H$46="Muy Alta",'Mapa final'!$L$46="Leve"),CONCATENATE("R",'Mapa final'!$A$46),"")</f>
        <v/>
      </c>
      <c r="K10" s="592"/>
      <c r="L10" s="592" t="str">
        <f>IF(AND('Mapa final'!$H$52="Muy Alta",'Mapa final'!$L$52="Leve"),CONCATENATE("R",'Mapa final'!$A$52),"")</f>
        <v/>
      </c>
      <c r="M10" s="592"/>
      <c r="N10" s="592" t="str">
        <f>IF(AND('Mapa final'!$H$58="Muy Alta",'Mapa final'!$L$58="Leve"),CONCATENATE("R",'Mapa final'!$A$58),"")</f>
        <v/>
      </c>
      <c r="O10" s="594"/>
      <c r="P10" s="591" t="str">
        <f>IF(AND('Mapa final'!$H$46="Muy Alta",'Mapa final'!$L$46="Menor"),CONCATENATE("R",'Mapa final'!$A$46),"")</f>
        <v/>
      </c>
      <c r="Q10" s="592"/>
      <c r="R10" s="592" t="str">
        <f>IF(AND('Mapa final'!$H$52="Muy Alta",'Mapa final'!$L$52="Menor"),CONCATENATE("R",'Mapa final'!$A$52),"")</f>
        <v/>
      </c>
      <c r="S10" s="592"/>
      <c r="T10" s="592" t="str">
        <f>IF(AND('Mapa final'!$H$58="Muy Alta",'Mapa final'!$L$58="Menor"),CONCATENATE("R",'Mapa final'!$A$58),"")</f>
        <v/>
      </c>
      <c r="U10" s="594"/>
      <c r="V10" s="591" t="str">
        <f>IF(AND('Mapa final'!$H$46="Muy Alta",'Mapa final'!$L$46="Moderado"),CONCATENATE("R",'Mapa final'!$A$46),"")</f>
        <v/>
      </c>
      <c r="W10" s="592"/>
      <c r="X10" s="592" t="str">
        <f>IF(AND('Mapa final'!$H$52="Muy Alta",'Mapa final'!$L$52="Moderado"),CONCATENATE("R",'Mapa final'!$A$52),"")</f>
        <v/>
      </c>
      <c r="Y10" s="592"/>
      <c r="Z10" s="592" t="str">
        <f>IF(AND('Mapa final'!$H$58="Muy Alta",'Mapa final'!$L$58="Moderado"),CONCATENATE("R",'Mapa final'!$A$58),"")</f>
        <v/>
      </c>
      <c r="AA10" s="594"/>
      <c r="AB10" s="591" t="str">
        <f>IF(AND('Mapa final'!$H$46="Muy Alta",'Mapa final'!$L$46="Mayor"),CONCATENATE("R",'Mapa final'!$A$46),"")</f>
        <v/>
      </c>
      <c r="AC10" s="592"/>
      <c r="AD10" s="592" t="str">
        <f>IF(AND('Mapa final'!$H$52="Muy Alta",'Mapa final'!$L$52="Mayor"),CONCATENATE("R",'Mapa final'!$A$52),"")</f>
        <v/>
      </c>
      <c r="AE10" s="592"/>
      <c r="AF10" s="592" t="str">
        <f>IF(AND('Mapa final'!$H$58="Muy Alta",'Mapa final'!$L$58="Mayor"),CONCATENATE("R",'Mapa final'!$A$58),"")</f>
        <v/>
      </c>
      <c r="AG10" s="594"/>
      <c r="AH10" s="597" t="str">
        <f>IF(AND('Mapa final'!$H$46="Muy Alta",'Mapa final'!$L$46="Catastrófico"),CONCATENATE("R",'Mapa final'!$A$46),"")</f>
        <v/>
      </c>
      <c r="AI10" s="598"/>
      <c r="AJ10" s="598" t="str">
        <f>IF(AND('Mapa final'!$H$52="Muy Alta",'Mapa final'!$L$52="Catastrófico"),CONCATENATE("R",'Mapa final'!$A$52),"")</f>
        <v/>
      </c>
      <c r="AK10" s="598"/>
      <c r="AL10" s="598" t="str">
        <f>IF(AND('Mapa final'!$H$58="Muy Alta",'Mapa final'!$L$58="Catastrófico"),CONCATENATE("R",'Mapa final'!$A$58),"")</f>
        <v/>
      </c>
      <c r="AM10" s="600"/>
      <c r="AN10" s="15"/>
      <c r="AO10" s="604"/>
      <c r="AP10" s="605"/>
      <c r="AQ10" s="605"/>
      <c r="AR10" s="605"/>
      <c r="AS10" s="605"/>
      <c r="AT10" s="60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78"/>
      <c r="C11" s="578"/>
      <c r="D11" s="579"/>
      <c r="E11" s="583"/>
      <c r="F11" s="584"/>
      <c r="G11" s="584"/>
      <c r="H11" s="584"/>
      <c r="I11" s="585"/>
      <c r="J11" s="591"/>
      <c r="K11" s="592"/>
      <c r="L11" s="592"/>
      <c r="M11" s="592"/>
      <c r="N11" s="592"/>
      <c r="O11" s="594"/>
      <c r="P11" s="591"/>
      <c r="Q11" s="592"/>
      <c r="R11" s="592"/>
      <c r="S11" s="592"/>
      <c r="T11" s="592"/>
      <c r="U11" s="594"/>
      <c r="V11" s="591"/>
      <c r="W11" s="592"/>
      <c r="X11" s="592"/>
      <c r="Y11" s="592"/>
      <c r="Z11" s="592"/>
      <c r="AA11" s="594"/>
      <c r="AB11" s="591"/>
      <c r="AC11" s="592"/>
      <c r="AD11" s="592"/>
      <c r="AE11" s="592"/>
      <c r="AF11" s="592"/>
      <c r="AG11" s="594"/>
      <c r="AH11" s="597"/>
      <c r="AI11" s="598"/>
      <c r="AJ11" s="598"/>
      <c r="AK11" s="598"/>
      <c r="AL11" s="598"/>
      <c r="AM11" s="600"/>
      <c r="AN11" s="15"/>
      <c r="AO11" s="604"/>
      <c r="AP11" s="605"/>
      <c r="AQ11" s="605"/>
      <c r="AR11" s="605"/>
      <c r="AS11" s="605"/>
      <c r="AT11" s="60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78"/>
      <c r="C12" s="578"/>
      <c r="D12" s="579"/>
      <c r="E12" s="583"/>
      <c r="F12" s="584"/>
      <c r="G12" s="584"/>
      <c r="H12" s="584"/>
      <c r="I12" s="585"/>
      <c r="J12" s="591" t="str">
        <f>IF(AND('Mapa final'!$H$64="Muy Alta",'Mapa final'!$L$64="Leve"),CONCATENATE("R",'Mapa final'!$A$64),"")</f>
        <v/>
      </c>
      <c r="K12" s="592"/>
      <c r="L12" s="592" t="str">
        <f>IF(AND('Mapa final'!$H$70="Muy Alta",'Mapa final'!$L$70="Leve"),CONCATENATE("R",'Mapa final'!$A$70),"")</f>
        <v/>
      </c>
      <c r="M12" s="592"/>
      <c r="N12" s="592" t="str">
        <f>IF(AND('Mapa final'!$H$76="Muy Alta",'Mapa final'!$L$76="Leve"),CONCATENATE("R",'Mapa final'!$A$76),"")</f>
        <v/>
      </c>
      <c r="O12" s="594"/>
      <c r="P12" s="591" t="str">
        <f>IF(AND('Mapa final'!$H$64="Muy Alta",'Mapa final'!$L$64="Menor"),CONCATENATE("R",'Mapa final'!$A$64),"")</f>
        <v/>
      </c>
      <c r="Q12" s="592"/>
      <c r="R12" s="592" t="str">
        <f>IF(AND('Mapa final'!$H$70="Muy Alta",'Mapa final'!$L$70="Menor"),CONCATENATE("R",'Mapa final'!$A$70),"")</f>
        <v/>
      </c>
      <c r="S12" s="592"/>
      <c r="T12" s="592" t="str">
        <f>IF(AND('Mapa final'!$H$76="Muy Alta",'Mapa final'!$L$76="Menor"),CONCATENATE("R",'Mapa final'!$A$76),"")</f>
        <v/>
      </c>
      <c r="U12" s="594"/>
      <c r="V12" s="591" t="str">
        <f>IF(AND('Mapa final'!$H$64="Muy Alta",'Mapa final'!$L$64="Moderado"),CONCATENATE("R",'Mapa final'!$A$64),"")</f>
        <v/>
      </c>
      <c r="W12" s="592"/>
      <c r="X12" s="592" t="str">
        <f>IF(AND('Mapa final'!$H$70="Muy Alta",'Mapa final'!$L$70="Moderado"),CONCATENATE("R",'Mapa final'!$A$70),"")</f>
        <v/>
      </c>
      <c r="Y12" s="592"/>
      <c r="Z12" s="592" t="str">
        <f>IF(AND('Mapa final'!$H$76="Muy Alta",'Mapa final'!$L$76="Moderado"),CONCATENATE("R",'Mapa final'!$A$76),"")</f>
        <v/>
      </c>
      <c r="AA12" s="594"/>
      <c r="AB12" s="591" t="str">
        <f>IF(AND('Mapa final'!$H$64="Muy Alta",'Mapa final'!$L$64="Mayor"),CONCATENATE("R",'Mapa final'!$A$64),"")</f>
        <v/>
      </c>
      <c r="AC12" s="592"/>
      <c r="AD12" s="592" t="str">
        <f>IF(AND('Mapa final'!$H$70="Muy Alta",'Mapa final'!$L$70="Mayor"),CONCATENATE("R",'Mapa final'!$A$70),"")</f>
        <v/>
      </c>
      <c r="AE12" s="592"/>
      <c r="AF12" s="592" t="str">
        <f>IF(AND('Mapa final'!$H$76="Muy Alta",'Mapa final'!$L$76="Mayor"),CONCATENATE("R",'Mapa final'!$A$76),"")</f>
        <v/>
      </c>
      <c r="AG12" s="594"/>
      <c r="AH12" s="597" t="str">
        <f>IF(AND('Mapa final'!$H$64="Muy Alta",'Mapa final'!$L$64="Catastrófico"),CONCATENATE("R",'Mapa final'!$A$64),"")</f>
        <v/>
      </c>
      <c r="AI12" s="598"/>
      <c r="AJ12" s="598" t="str">
        <f>IF(AND('Mapa final'!$H$70="Muy Alta",'Mapa final'!$L$70="Catastrófico"),CONCATENATE("R",'Mapa final'!$A$70),"")</f>
        <v/>
      </c>
      <c r="AK12" s="598"/>
      <c r="AL12" s="598" t="str">
        <f>IF(AND('Mapa final'!$H$76="Muy Alta",'Mapa final'!$L$76="Catastrófico"),CONCATENATE("R",'Mapa final'!$A$76),"")</f>
        <v/>
      </c>
      <c r="AM12" s="600"/>
      <c r="AN12" s="15"/>
      <c r="AO12" s="604"/>
      <c r="AP12" s="605"/>
      <c r="AQ12" s="605"/>
      <c r="AR12" s="605"/>
      <c r="AS12" s="605"/>
      <c r="AT12" s="60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78"/>
      <c r="C13" s="578"/>
      <c r="D13" s="579"/>
      <c r="E13" s="586"/>
      <c r="F13" s="587"/>
      <c r="G13" s="587"/>
      <c r="H13" s="587"/>
      <c r="I13" s="588"/>
      <c r="J13" s="591"/>
      <c r="K13" s="592"/>
      <c r="L13" s="592"/>
      <c r="M13" s="592"/>
      <c r="N13" s="592"/>
      <c r="O13" s="594"/>
      <c r="P13" s="591"/>
      <c r="Q13" s="592"/>
      <c r="R13" s="592"/>
      <c r="S13" s="592"/>
      <c r="T13" s="592"/>
      <c r="U13" s="594"/>
      <c r="V13" s="591"/>
      <c r="W13" s="592"/>
      <c r="X13" s="592"/>
      <c r="Y13" s="592"/>
      <c r="Z13" s="592"/>
      <c r="AA13" s="594"/>
      <c r="AB13" s="591"/>
      <c r="AC13" s="592"/>
      <c r="AD13" s="592"/>
      <c r="AE13" s="592"/>
      <c r="AF13" s="592"/>
      <c r="AG13" s="594"/>
      <c r="AH13" s="618"/>
      <c r="AI13" s="610"/>
      <c r="AJ13" s="610"/>
      <c r="AK13" s="610"/>
      <c r="AL13" s="610"/>
      <c r="AM13" s="611"/>
      <c r="AN13" s="15"/>
      <c r="AO13" s="607"/>
      <c r="AP13" s="608"/>
      <c r="AQ13" s="608"/>
      <c r="AR13" s="608"/>
      <c r="AS13" s="608"/>
      <c r="AT13" s="60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78"/>
      <c r="C14" s="578"/>
      <c r="D14" s="579"/>
      <c r="E14" s="580" t="s">
        <v>1056</v>
      </c>
      <c r="F14" s="581"/>
      <c r="G14" s="581"/>
      <c r="H14" s="581"/>
      <c r="I14" s="581"/>
      <c r="J14" s="612" t="str">
        <f>IF(AND('Mapa final'!$H$10="Alta",'Mapa final'!$L$10="Leve"),CONCATENATE("R",'Mapa final'!$A$10),"")</f>
        <v/>
      </c>
      <c r="K14" s="613"/>
      <c r="L14" s="613" t="str">
        <f>IF(AND('Mapa final'!$H$16="Alta",'Mapa final'!$L$16="Leve"),CONCATENATE("R",'Mapa final'!$A$16),"")</f>
        <v/>
      </c>
      <c r="M14" s="613"/>
      <c r="N14" s="613" t="str">
        <f>IF(AND('Mapa final'!$H$22="Alta",'Mapa final'!$L$22="Leve"),CONCATENATE("R",'Mapa final'!$A$22),"")</f>
        <v/>
      </c>
      <c r="O14" s="616"/>
      <c r="P14" s="612" t="str">
        <f>IF(AND('Mapa final'!$H$10="Alta",'Mapa final'!$L$10="Menor"),CONCATENATE("R",'Mapa final'!$A$10),"")</f>
        <v/>
      </c>
      <c r="Q14" s="613"/>
      <c r="R14" s="613" t="str">
        <f>IF(AND('Mapa final'!$H$16="Alta",'Mapa final'!$L$16="Menor"),CONCATENATE("R",'Mapa final'!$A$16),"")</f>
        <v/>
      </c>
      <c r="S14" s="613"/>
      <c r="T14" s="613" t="str">
        <f>IF(AND('Mapa final'!$H$22="Alta",'Mapa final'!$L$22="Menor"),CONCATENATE("R",'Mapa final'!$A$22),"")</f>
        <v/>
      </c>
      <c r="U14" s="616"/>
      <c r="V14" s="589" t="str">
        <f>IF(AND('Mapa final'!$H$10="Alta",'Mapa final'!$L$10="Moderado"),CONCATENATE("R",'Mapa final'!$A$10),"")</f>
        <v/>
      </c>
      <c r="W14" s="590"/>
      <c r="X14" s="590" t="str">
        <f>IF(AND('Mapa final'!$H$16="Alta",'Mapa final'!$L$16="Moderado"),CONCATENATE("R",'Mapa final'!$A$16),"")</f>
        <v/>
      </c>
      <c r="Y14" s="590"/>
      <c r="Z14" s="590" t="str">
        <f>IF(AND('Mapa final'!$H$22="Alta",'Mapa final'!$L$22="Moderado"),CONCATENATE("R",'Mapa final'!$A$22),"")</f>
        <v/>
      </c>
      <c r="AA14" s="593"/>
      <c r="AB14" s="589" t="str">
        <f>IF(AND('Mapa final'!$H$10="Alta",'Mapa final'!$L$10="Mayor"),CONCATENATE("R",'Mapa final'!$A$10),"")</f>
        <v/>
      </c>
      <c r="AC14" s="590"/>
      <c r="AD14" s="590" t="str">
        <f>IF(AND('Mapa final'!$H$16="Alta",'Mapa final'!$L$16="Mayor"),CONCATENATE("R",'Mapa final'!$A$16),"")</f>
        <v/>
      </c>
      <c r="AE14" s="590"/>
      <c r="AF14" s="590" t="str">
        <f>IF(AND('Mapa final'!$H$22="Alta",'Mapa final'!$L$22="Mayor"),CONCATENATE("R",'Mapa final'!$A$22),"")</f>
        <v/>
      </c>
      <c r="AG14" s="593"/>
      <c r="AH14" s="595" t="str">
        <f>IF(AND('Mapa final'!$H$10="Alta",'Mapa final'!$L$10="Catastrófico"),CONCATENATE("R",'Mapa final'!$A$10),"")</f>
        <v/>
      </c>
      <c r="AI14" s="596"/>
      <c r="AJ14" s="596" t="str">
        <f>IF(AND('Mapa final'!$H$16="Alta",'Mapa final'!$L$16="Catastrófico"),CONCATENATE("R",'Mapa final'!$A$16),"")</f>
        <v/>
      </c>
      <c r="AK14" s="596"/>
      <c r="AL14" s="596" t="str">
        <f>IF(AND('Mapa final'!$H$22="Alta",'Mapa final'!$L$22="Catastrófico"),CONCATENATE("R",'Mapa final'!$A$22),"")</f>
        <v/>
      </c>
      <c r="AM14" s="599"/>
      <c r="AN14" s="15"/>
      <c r="AO14" s="619" t="s">
        <v>1057</v>
      </c>
      <c r="AP14" s="620"/>
      <c r="AQ14" s="620"/>
      <c r="AR14" s="620"/>
      <c r="AS14" s="620"/>
      <c r="AT14" s="62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78"/>
      <c r="C15" s="578"/>
      <c r="D15" s="579"/>
      <c r="E15" s="583"/>
      <c r="F15" s="584"/>
      <c r="G15" s="584"/>
      <c r="H15" s="584"/>
      <c r="I15" s="584"/>
      <c r="J15" s="614"/>
      <c r="K15" s="615"/>
      <c r="L15" s="615"/>
      <c r="M15" s="615"/>
      <c r="N15" s="615"/>
      <c r="O15" s="617"/>
      <c r="P15" s="614"/>
      <c r="Q15" s="615"/>
      <c r="R15" s="615"/>
      <c r="S15" s="615"/>
      <c r="T15" s="615"/>
      <c r="U15" s="617"/>
      <c r="V15" s="591"/>
      <c r="W15" s="592"/>
      <c r="X15" s="592"/>
      <c r="Y15" s="592"/>
      <c r="Z15" s="592"/>
      <c r="AA15" s="594"/>
      <c r="AB15" s="591"/>
      <c r="AC15" s="592"/>
      <c r="AD15" s="592"/>
      <c r="AE15" s="592"/>
      <c r="AF15" s="592"/>
      <c r="AG15" s="594"/>
      <c r="AH15" s="597"/>
      <c r="AI15" s="598"/>
      <c r="AJ15" s="598"/>
      <c r="AK15" s="598"/>
      <c r="AL15" s="598"/>
      <c r="AM15" s="600"/>
      <c r="AN15" s="15"/>
      <c r="AO15" s="622"/>
      <c r="AP15" s="623"/>
      <c r="AQ15" s="623"/>
      <c r="AR15" s="623"/>
      <c r="AS15" s="623"/>
      <c r="AT15" s="62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78"/>
      <c r="C16" s="578"/>
      <c r="D16" s="579"/>
      <c r="E16" s="583"/>
      <c r="F16" s="584"/>
      <c r="G16" s="584"/>
      <c r="H16" s="584"/>
      <c r="I16" s="584"/>
      <c r="J16" s="614" t="str">
        <f>IF(AND('Mapa final'!$H$28="Alta",'Mapa final'!$L$28="Leve"),CONCATENATE("R",'Mapa final'!$A$28),"")</f>
        <v/>
      </c>
      <c r="K16" s="615"/>
      <c r="L16" s="615" t="str">
        <f>IF(AND('Mapa final'!$H$34="Alta",'Mapa final'!$L$34="Leve"),CONCATENATE("R",'Mapa final'!$A$34),"")</f>
        <v/>
      </c>
      <c r="M16" s="615"/>
      <c r="N16" s="615" t="str">
        <f>IF(AND('Mapa final'!$H$40="Alta",'Mapa final'!$L$40="Leve"),CONCATENATE("R",'Mapa final'!$A$40),"")</f>
        <v/>
      </c>
      <c r="O16" s="617"/>
      <c r="P16" s="614" t="str">
        <f>IF(AND('Mapa final'!$H$28="Alta",'Mapa final'!$L$28="Menor"),CONCATENATE("R",'Mapa final'!$A$28),"")</f>
        <v/>
      </c>
      <c r="Q16" s="615"/>
      <c r="R16" s="615" t="str">
        <f>IF(AND('Mapa final'!$H$34="Alta",'Mapa final'!$L$34="Menor"),CONCATENATE("R",'Mapa final'!$A$34),"")</f>
        <v/>
      </c>
      <c r="S16" s="615"/>
      <c r="T16" s="615" t="str">
        <f>IF(AND('Mapa final'!$H$40="Alta",'Mapa final'!$L$40="Menor"),CONCATENATE("R",'Mapa final'!$A$40),"")</f>
        <v/>
      </c>
      <c r="U16" s="617"/>
      <c r="V16" s="591" t="str">
        <f>IF(AND('Mapa final'!$H$28="Alta",'Mapa final'!$L$28="Moderado"),CONCATENATE("R",'Mapa final'!$A$28),"")</f>
        <v/>
      </c>
      <c r="W16" s="592"/>
      <c r="X16" s="592" t="str">
        <f>IF(AND('Mapa final'!$H$34="Alta",'Mapa final'!$L$34="Moderado"),CONCATENATE("R",'Mapa final'!$A$34),"")</f>
        <v/>
      </c>
      <c r="Y16" s="592"/>
      <c r="Z16" s="592" t="str">
        <f>IF(AND('Mapa final'!$H$40="Alta",'Mapa final'!$L$40="Moderado"),CONCATENATE("R",'Mapa final'!$A$40),"")</f>
        <v/>
      </c>
      <c r="AA16" s="594"/>
      <c r="AB16" s="591" t="str">
        <f>IF(AND('Mapa final'!$H$28="Alta",'Mapa final'!$L$28="Mayor"),CONCATENATE("R",'Mapa final'!$A$28),"")</f>
        <v/>
      </c>
      <c r="AC16" s="592"/>
      <c r="AD16" s="592" t="str">
        <f>IF(AND('Mapa final'!$H$34="Alta",'Mapa final'!$L$34="Mayor"),CONCATENATE("R",'Mapa final'!$A$34),"")</f>
        <v/>
      </c>
      <c r="AE16" s="592"/>
      <c r="AF16" s="592" t="str">
        <f>IF(AND('Mapa final'!$H$40="Alta",'Mapa final'!$L$40="Mayor"),CONCATENATE("R",'Mapa final'!$A$40),"")</f>
        <v/>
      </c>
      <c r="AG16" s="594"/>
      <c r="AH16" s="597" t="str">
        <f>IF(AND('Mapa final'!$H$28="Alta",'Mapa final'!$L$28="Catastrófico"),CONCATENATE("R",'Mapa final'!$A$28),"")</f>
        <v/>
      </c>
      <c r="AI16" s="598"/>
      <c r="AJ16" s="598" t="str">
        <f>IF(AND('Mapa final'!$H$34="Alta",'Mapa final'!$L$34="Catastrófico"),CONCATENATE("R",'Mapa final'!$A$34),"")</f>
        <v/>
      </c>
      <c r="AK16" s="598"/>
      <c r="AL16" s="598" t="str">
        <f>IF(AND('Mapa final'!$H$40="Alta",'Mapa final'!$L$40="Catastrófico"),CONCATENATE("R",'Mapa final'!$A$40),"")</f>
        <v/>
      </c>
      <c r="AM16" s="600"/>
      <c r="AN16" s="15"/>
      <c r="AO16" s="622"/>
      <c r="AP16" s="623"/>
      <c r="AQ16" s="623"/>
      <c r="AR16" s="623"/>
      <c r="AS16" s="623"/>
      <c r="AT16" s="62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78"/>
      <c r="C17" s="578"/>
      <c r="D17" s="579"/>
      <c r="E17" s="583"/>
      <c r="F17" s="584"/>
      <c r="G17" s="584"/>
      <c r="H17" s="584"/>
      <c r="I17" s="584"/>
      <c r="J17" s="614"/>
      <c r="K17" s="615"/>
      <c r="L17" s="615"/>
      <c r="M17" s="615"/>
      <c r="N17" s="615"/>
      <c r="O17" s="617"/>
      <c r="P17" s="614"/>
      <c r="Q17" s="615"/>
      <c r="R17" s="615"/>
      <c r="S17" s="615"/>
      <c r="T17" s="615"/>
      <c r="U17" s="617"/>
      <c r="V17" s="591"/>
      <c r="W17" s="592"/>
      <c r="X17" s="592"/>
      <c r="Y17" s="592"/>
      <c r="Z17" s="592"/>
      <c r="AA17" s="594"/>
      <c r="AB17" s="591"/>
      <c r="AC17" s="592"/>
      <c r="AD17" s="592"/>
      <c r="AE17" s="592"/>
      <c r="AF17" s="592"/>
      <c r="AG17" s="594"/>
      <c r="AH17" s="597"/>
      <c r="AI17" s="598"/>
      <c r="AJ17" s="598"/>
      <c r="AK17" s="598"/>
      <c r="AL17" s="598"/>
      <c r="AM17" s="600"/>
      <c r="AN17" s="15"/>
      <c r="AO17" s="622"/>
      <c r="AP17" s="623"/>
      <c r="AQ17" s="623"/>
      <c r="AR17" s="623"/>
      <c r="AS17" s="623"/>
      <c r="AT17" s="62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78"/>
      <c r="C18" s="578"/>
      <c r="D18" s="579"/>
      <c r="E18" s="583"/>
      <c r="F18" s="584"/>
      <c r="G18" s="584"/>
      <c r="H18" s="584"/>
      <c r="I18" s="584"/>
      <c r="J18" s="614" t="str">
        <f>IF(AND('Mapa final'!$H$46="Alta",'Mapa final'!$L$46="Leve"),CONCATENATE("R",'Mapa final'!$A$46),"")</f>
        <v/>
      </c>
      <c r="K18" s="615"/>
      <c r="L18" s="615" t="str">
        <f>IF(AND('Mapa final'!$H$52="Alta",'Mapa final'!$L$52="Leve"),CONCATENATE("R",'Mapa final'!$A$52),"")</f>
        <v/>
      </c>
      <c r="M18" s="615"/>
      <c r="N18" s="615" t="str">
        <f>IF(AND('Mapa final'!$H$58="Alta",'Mapa final'!$L$58="Leve"),CONCATENATE("R",'Mapa final'!$A$58),"")</f>
        <v/>
      </c>
      <c r="O18" s="617"/>
      <c r="P18" s="614" t="str">
        <f>IF(AND('Mapa final'!$H$46="Alta",'Mapa final'!$L$46="Menor"),CONCATENATE("R",'Mapa final'!$A$46),"")</f>
        <v/>
      </c>
      <c r="Q18" s="615"/>
      <c r="R18" s="615" t="str">
        <f>IF(AND('Mapa final'!$H$52="Alta",'Mapa final'!$L$52="Menor"),CONCATENATE("R",'Mapa final'!$A$52),"")</f>
        <v/>
      </c>
      <c r="S18" s="615"/>
      <c r="T18" s="615" t="str">
        <f>IF(AND('Mapa final'!$H$58="Alta",'Mapa final'!$L$58="Menor"),CONCATENATE("R",'Mapa final'!$A$58),"")</f>
        <v/>
      </c>
      <c r="U18" s="617"/>
      <c r="V18" s="591" t="str">
        <f>IF(AND('Mapa final'!$H$46="Alta",'Mapa final'!$L$46="Moderado"),CONCATENATE("R",'Mapa final'!$A$46),"")</f>
        <v/>
      </c>
      <c r="W18" s="592"/>
      <c r="X18" s="592" t="str">
        <f>IF(AND('Mapa final'!$H$52="Alta",'Mapa final'!$L$52="Moderado"),CONCATENATE("R",'Mapa final'!$A$52),"")</f>
        <v/>
      </c>
      <c r="Y18" s="592"/>
      <c r="Z18" s="592" t="str">
        <f>IF(AND('Mapa final'!$H$58="Alta",'Mapa final'!$L$58="Moderado"),CONCATENATE("R",'Mapa final'!$A$58),"")</f>
        <v/>
      </c>
      <c r="AA18" s="594"/>
      <c r="AB18" s="591" t="str">
        <f>IF(AND('Mapa final'!$H$46="Alta",'Mapa final'!$L$46="Mayor"),CONCATENATE("R",'Mapa final'!$A$46),"")</f>
        <v/>
      </c>
      <c r="AC18" s="592"/>
      <c r="AD18" s="592" t="str">
        <f>IF(AND('Mapa final'!$H$52="Alta",'Mapa final'!$L$52="Mayor"),CONCATENATE("R",'Mapa final'!$A$52),"")</f>
        <v/>
      </c>
      <c r="AE18" s="592"/>
      <c r="AF18" s="592" t="str">
        <f>IF(AND('Mapa final'!$H$58="Alta",'Mapa final'!$L$58="Mayor"),CONCATENATE("R",'Mapa final'!$A$58),"")</f>
        <v/>
      </c>
      <c r="AG18" s="594"/>
      <c r="AH18" s="597" t="str">
        <f>IF(AND('Mapa final'!$H$46="Alta",'Mapa final'!$L$46="Catastrófico"),CONCATENATE("R",'Mapa final'!$A$46),"")</f>
        <v/>
      </c>
      <c r="AI18" s="598"/>
      <c r="AJ18" s="598" t="str">
        <f>IF(AND('Mapa final'!$H$52="Alta",'Mapa final'!$L$52="Catastrófico"),CONCATENATE("R",'Mapa final'!$A$52),"")</f>
        <v/>
      </c>
      <c r="AK18" s="598"/>
      <c r="AL18" s="598" t="str">
        <f>IF(AND('Mapa final'!$H$58="Alta",'Mapa final'!$L$58="Catastrófico"),CONCATENATE("R",'Mapa final'!$A$58),"")</f>
        <v/>
      </c>
      <c r="AM18" s="600"/>
      <c r="AN18" s="15"/>
      <c r="AO18" s="622"/>
      <c r="AP18" s="623"/>
      <c r="AQ18" s="623"/>
      <c r="AR18" s="623"/>
      <c r="AS18" s="623"/>
      <c r="AT18" s="62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78"/>
      <c r="C19" s="578"/>
      <c r="D19" s="579"/>
      <c r="E19" s="583"/>
      <c r="F19" s="584"/>
      <c r="G19" s="584"/>
      <c r="H19" s="584"/>
      <c r="I19" s="584"/>
      <c r="J19" s="614"/>
      <c r="K19" s="615"/>
      <c r="L19" s="615"/>
      <c r="M19" s="615"/>
      <c r="N19" s="615"/>
      <c r="O19" s="617"/>
      <c r="P19" s="614"/>
      <c r="Q19" s="615"/>
      <c r="R19" s="615"/>
      <c r="S19" s="615"/>
      <c r="T19" s="615"/>
      <c r="U19" s="617"/>
      <c r="V19" s="591"/>
      <c r="W19" s="592"/>
      <c r="X19" s="592"/>
      <c r="Y19" s="592"/>
      <c r="Z19" s="592"/>
      <c r="AA19" s="594"/>
      <c r="AB19" s="591"/>
      <c r="AC19" s="592"/>
      <c r="AD19" s="592"/>
      <c r="AE19" s="592"/>
      <c r="AF19" s="592"/>
      <c r="AG19" s="594"/>
      <c r="AH19" s="597"/>
      <c r="AI19" s="598"/>
      <c r="AJ19" s="598"/>
      <c r="AK19" s="598"/>
      <c r="AL19" s="598"/>
      <c r="AM19" s="600"/>
      <c r="AN19" s="15"/>
      <c r="AO19" s="622"/>
      <c r="AP19" s="623"/>
      <c r="AQ19" s="623"/>
      <c r="AR19" s="623"/>
      <c r="AS19" s="623"/>
      <c r="AT19" s="62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78"/>
      <c r="C20" s="578"/>
      <c r="D20" s="579"/>
      <c r="E20" s="583"/>
      <c r="F20" s="584"/>
      <c r="G20" s="584"/>
      <c r="H20" s="584"/>
      <c r="I20" s="584"/>
      <c r="J20" s="614" t="str">
        <f>IF(AND('Mapa final'!$H$64="Alta",'Mapa final'!$L$64="Leve"),CONCATENATE("R",'Mapa final'!$A$64),"")</f>
        <v/>
      </c>
      <c r="K20" s="615"/>
      <c r="L20" s="615" t="str">
        <f>IF(AND('Mapa final'!$H$70="Alta",'Mapa final'!$L$70="Leve"),CONCATENATE("R",'Mapa final'!$A$70),"")</f>
        <v/>
      </c>
      <c r="M20" s="615"/>
      <c r="N20" s="615" t="str">
        <f>IF(AND('Mapa final'!$H$76="Alta",'Mapa final'!$L$76="Leve"),CONCATENATE("R",'Mapa final'!$A$76),"")</f>
        <v/>
      </c>
      <c r="O20" s="617"/>
      <c r="P20" s="614" t="str">
        <f>IF(AND('Mapa final'!$H$64="Alta",'Mapa final'!$L$64="Menor"),CONCATENATE("R",'Mapa final'!$A$64),"")</f>
        <v/>
      </c>
      <c r="Q20" s="615"/>
      <c r="R20" s="615" t="str">
        <f>IF(AND('Mapa final'!$H$70="Alta",'Mapa final'!$L$70="Menor"),CONCATENATE("R",'Mapa final'!$A$70),"")</f>
        <v/>
      </c>
      <c r="S20" s="615"/>
      <c r="T20" s="615" t="str">
        <f>IF(AND('Mapa final'!$H$76="Alta",'Mapa final'!$L$76="Menor"),CONCATENATE("R",'Mapa final'!$A$76),"")</f>
        <v/>
      </c>
      <c r="U20" s="617"/>
      <c r="V20" s="591" t="str">
        <f>IF(AND('Mapa final'!$H$64="Alta",'Mapa final'!$L$64="Moderado"),CONCATENATE("R",'Mapa final'!$A$64),"")</f>
        <v/>
      </c>
      <c r="W20" s="592"/>
      <c r="X20" s="592" t="str">
        <f>IF(AND('Mapa final'!$H$70="Alta",'Mapa final'!$L$70="Moderado"),CONCATENATE("R",'Mapa final'!$A$70),"")</f>
        <v/>
      </c>
      <c r="Y20" s="592"/>
      <c r="Z20" s="592" t="str">
        <f>IF(AND('Mapa final'!$H$76="Alta",'Mapa final'!$L$76="Moderado"),CONCATENATE("R",'Mapa final'!$A$76),"")</f>
        <v/>
      </c>
      <c r="AA20" s="594"/>
      <c r="AB20" s="591" t="str">
        <f>IF(AND('Mapa final'!$H$64="Alta",'Mapa final'!$L$64="Mayor"),CONCATENATE("R",'Mapa final'!$A$64),"")</f>
        <v/>
      </c>
      <c r="AC20" s="592"/>
      <c r="AD20" s="592" t="str">
        <f>IF(AND('Mapa final'!$H$70="Alta",'Mapa final'!$L$70="Mayor"),CONCATENATE("R",'Mapa final'!$A$70),"")</f>
        <v/>
      </c>
      <c r="AE20" s="592"/>
      <c r="AF20" s="592" t="str">
        <f>IF(AND('Mapa final'!$H$76="Alta",'Mapa final'!$L$76="Mayor"),CONCATENATE("R",'Mapa final'!$A$76),"")</f>
        <v/>
      </c>
      <c r="AG20" s="594"/>
      <c r="AH20" s="597" t="str">
        <f>IF(AND('Mapa final'!$H$64="Alta",'Mapa final'!$L$64="Catastrófico"),CONCATENATE("R",'Mapa final'!$A$64),"")</f>
        <v/>
      </c>
      <c r="AI20" s="598"/>
      <c r="AJ20" s="598" t="str">
        <f>IF(AND('Mapa final'!$H$70="Alta",'Mapa final'!$L$70="Catastrófico"),CONCATENATE("R",'Mapa final'!$A$70),"")</f>
        <v/>
      </c>
      <c r="AK20" s="598"/>
      <c r="AL20" s="598" t="str">
        <f>IF(AND('Mapa final'!$H$76="Alta",'Mapa final'!$L$76="Catastrófico"),CONCATENATE("R",'Mapa final'!$A$76),"")</f>
        <v/>
      </c>
      <c r="AM20" s="600"/>
      <c r="AN20" s="15"/>
      <c r="AO20" s="622"/>
      <c r="AP20" s="623"/>
      <c r="AQ20" s="623"/>
      <c r="AR20" s="623"/>
      <c r="AS20" s="623"/>
      <c r="AT20" s="62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78"/>
      <c r="C21" s="578"/>
      <c r="D21" s="579"/>
      <c r="E21" s="586"/>
      <c r="F21" s="587"/>
      <c r="G21" s="587"/>
      <c r="H21" s="587"/>
      <c r="I21" s="587"/>
      <c r="J21" s="631"/>
      <c r="K21" s="632"/>
      <c r="L21" s="632"/>
      <c r="M21" s="632"/>
      <c r="N21" s="632"/>
      <c r="O21" s="633"/>
      <c r="P21" s="631"/>
      <c r="Q21" s="632"/>
      <c r="R21" s="632"/>
      <c r="S21" s="632"/>
      <c r="T21" s="632"/>
      <c r="U21" s="633"/>
      <c r="V21" s="628"/>
      <c r="W21" s="629"/>
      <c r="X21" s="629"/>
      <c r="Y21" s="629"/>
      <c r="Z21" s="629"/>
      <c r="AA21" s="630"/>
      <c r="AB21" s="628"/>
      <c r="AC21" s="629"/>
      <c r="AD21" s="629"/>
      <c r="AE21" s="629"/>
      <c r="AF21" s="629"/>
      <c r="AG21" s="630"/>
      <c r="AH21" s="618"/>
      <c r="AI21" s="610"/>
      <c r="AJ21" s="610"/>
      <c r="AK21" s="610"/>
      <c r="AL21" s="610"/>
      <c r="AM21" s="611"/>
      <c r="AN21" s="15"/>
      <c r="AO21" s="625"/>
      <c r="AP21" s="626"/>
      <c r="AQ21" s="626"/>
      <c r="AR21" s="626"/>
      <c r="AS21" s="626"/>
      <c r="AT21" s="62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578"/>
      <c r="C22" s="578"/>
      <c r="D22" s="579"/>
      <c r="E22" s="580" t="s">
        <v>1058</v>
      </c>
      <c r="F22" s="581"/>
      <c r="G22" s="581"/>
      <c r="H22" s="581"/>
      <c r="I22" s="582"/>
      <c r="J22" s="612" t="str">
        <f>IF(AND('Mapa final'!$H$10="Media",'Mapa final'!$L$10="Leve"),CONCATENATE("R",'Mapa final'!$A$10),"")</f>
        <v/>
      </c>
      <c r="K22" s="613"/>
      <c r="L22" s="613" t="str">
        <f>IF(AND('Mapa final'!$H$16="Media",'Mapa final'!$L$16="Leve"),CONCATENATE("R",'Mapa final'!$A$16),"")</f>
        <v/>
      </c>
      <c r="M22" s="613"/>
      <c r="N22" s="613" t="str">
        <f>IF(AND('Mapa final'!$H$22="Media",'Mapa final'!$L$22="Leve"),CONCATENATE("R",'Mapa final'!$A$22),"")</f>
        <v/>
      </c>
      <c r="O22" s="616"/>
      <c r="P22" s="612" t="str">
        <f>IF(AND('Mapa final'!$H$10="Media",'Mapa final'!$L$10="Menor"),CONCATENATE("R",'Mapa final'!$A$10),"")</f>
        <v>R</v>
      </c>
      <c r="Q22" s="613"/>
      <c r="R22" s="613" t="str">
        <f>IF(AND('Mapa final'!$H$16="Media",'Mapa final'!$L$16="Menor"),CONCATENATE("R",'Mapa final'!$A$16),"")</f>
        <v>R2</v>
      </c>
      <c r="S22" s="613"/>
      <c r="T22" s="613" t="str">
        <f>IF(AND('Mapa final'!$H$22="Media",'Mapa final'!$L$22="Menor"),CONCATENATE("R",'Mapa final'!$A$22),"")</f>
        <v/>
      </c>
      <c r="U22" s="616"/>
      <c r="V22" s="612" t="str">
        <f>IF(AND('Mapa final'!$H$10="Media",'Mapa final'!$L$10="Moderado"),CONCATENATE("R",'Mapa final'!$A$10),"")</f>
        <v/>
      </c>
      <c r="W22" s="613"/>
      <c r="X22" s="613" t="str">
        <f>IF(AND('Mapa final'!$H$16="Media",'Mapa final'!$L$16="Moderado"),CONCATENATE("R",'Mapa final'!$A$16),"")</f>
        <v/>
      </c>
      <c r="Y22" s="613"/>
      <c r="Z22" s="613" t="str">
        <f>IF(AND('Mapa final'!$H$22="Media",'Mapa final'!$L$22="Moderado"),CONCATENATE("R",'Mapa final'!$A$22),"")</f>
        <v/>
      </c>
      <c r="AA22" s="616"/>
      <c r="AB22" s="589" t="str">
        <f>IF(AND('Mapa final'!$H$10="Media",'Mapa final'!$L$10="Mayor"),CONCATENATE("R",'Mapa final'!$A$10),"")</f>
        <v/>
      </c>
      <c r="AC22" s="590"/>
      <c r="AD22" s="590" t="str">
        <f>IF(AND('Mapa final'!$H$16="Media",'Mapa final'!$L$16="Mayor"),CONCATENATE("R",'Mapa final'!$A$16),"")</f>
        <v/>
      </c>
      <c r="AE22" s="590"/>
      <c r="AF22" s="590" t="str">
        <f>IF(AND('Mapa final'!$H$22="Media",'Mapa final'!$L$22="Mayor"),CONCATENATE("R",'Mapa final'!$A$22),"")</f>
        <v/>
      </c>
      <c r="AG22" s="593"/>
      <c r="AH22" s="595" t="str">
        <f>IF(AND('Mapa final'!$H$10="Media",'Mapa final'!$L$10="Catastrófico"),CONCATENATE("R",'Mapa final'!$A$10),"")</f>
        <v/>
      </c>
      <c r="AI22" s="596"/>
      <c r="AJ22" s="596" t="str">
        <f>IF(AND('Mapa final'!$H$16="Media",'Mapa final'!$L$16="Catastrófico"),CONCATENATE("R",'Mapa final'!$A$16),"")</f>
        <v/>
      </c>
      <c r="AK22" s="596"/>
      <c r="AL22" s="596" t="str">
        <f>IF(AND('Mapa final'!$H$22="Media",'Mapa final'!$L$22="Catastrófico"),CONCATENATE("R",'Mapa final'!$A$22),"")</f>
        <v/>
      </c>
      <c r="AM22" s="599"/>
      <c r="AN22" s="15"/>
      <c r="AO22" s="634" t="s">
        <v>9</v>
      </c>
      <c r="AP22" s="635"/>
      <c r="AQ22" s="635"/>
      <c r="AR22" s="635"/>
      <c r="AS22" s="635"/>
      <c r="AT22" s="63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578"/>
      <c r="C23" s="578"/>
      <c r="D23" s="579"/>
      <c r="E23" s="583"/>
      <c r="F23" s="584"/>
      <c r="G23" s="584"/>
      <c r="H23" s="584"/>
      <c r="I23" s="585"/>
      <c r="J23" s="614"/>
      <c r="K23" s="615"/>
      <c r="L23" s="615"/>
      <c r="M23" s="615"/>
      <c r="N23" s="615"/>
      <c r="O23" s="617"/>
      <c r="P23" s="614"/>
      <c r="Q23" s="615"/>
      <c r="R23" s="615"/>
      <c r="S23" s="615"/>
      <c r="T23" s="615"/>
      <c r="U23" s="617"/>
      <c r="V23" s="614"/>
      <c r="W23" s="615"/>
      <c r="X23" s="615"/>
      <c r="Y23" s="615"/>
      <c r="Z23" s="615"/>
      <c r="AA23" s="617"/>
      <c r="AB23" s="591"/>
      <c r="AC23" s="592"/>
      <c r="AD23" s="592"/>
      <c r="AE23" s="592"/>
      <c r="AF23" s="592"/>
      <c r="AG23" s="594"/>
      <c r="AH23" s="597"/>
      <c r="AI23" s="598"/>
      <c r="AJ23" s="598"/>
      <c r="AK23" s="598"/>
      <c r="AL23" s="598"/>
      <c r="AM23" s="600"/>
      <c r="AN23" s="15"/>
      <c r="AO23" s="637"/>
      <c r="AP23" s="638"/>
      <c r="AQ23" s="638"/>
      <c r="AR23" s="638"/>
      <c r="AS23" s="638"/>
      <c r="AT23" s="63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578"/>
      <c r="C24" s="578"/>
      <c r="D24" s="579"/>
      <c r="E24" s="583"/>
      <c r="F24" s="584"/>
      <c r="G24" s="584"/>
      <c r="H24" s="584"/>
      <c r="I24" s="585"/>
      <c r="J24" s="614" t="str">
        <f>IF(AND('Mapa final'!$H$28="Media",'Mapa final'!$L$28="Leve"),CONCATENATE("R",'Mapa final'!$A$28),"")</f>
        <v/>
      </c>
      <c r="K24" s="615"/>
      <c r="L24" s="615" t="str">
        <f>IF(AND('Mapa final'!$H$34="Media",'Mapa final'!$L$34="Leve"),CONCATENATE("R",'Mapa final'!$A$34),"")</f>
        <v/>
      </c>
      <c r="M24" s="615"/>
      <c r="N24" s="615" t="str">
        <f>IF(AND('Mapa final'!$H$40="Media",'Mapa final'!$L$40="Leve"),CONCATENATE("R",'Mapa final'!$A$40),"")</f>
        <v/>
      </c>
      <c r="O24" s="617"/>
      <c r="P24" s="614" t="str">
        <f>IF(AND('Mapa final'!$H$28="Media",'Mapa final'!$L$28="Menor"),CONCATENATE("R",'Mapa final'!$A$28),"")</f>
        <v>R4</v>
      </c>
      <c r="Q24" s="615"/>
      <c r="R24" s="615" t="str">
        <f>IF(AND('Mapa final'!$H$34="Media",'Mapa final'!$L$34="Menor"),CONCATENATE("R",'Mapa final'!$A$34),"")</f>
        <v/>
      </c>
      <c r="S24" s="615"/>
      <c r="T24" s="615" t="str">
        <f>IF(AND('Mapa final'!$H$40="Media",'Mapa final'!$L$40="Menor"),CONCATENATE("R",'Mapa final'!$A$40),"")</f>
        <v/>
      </c>
      <c r="U24" s="617"/>
      <c r="V24" s="614" t="str">
        <f>IF(AND('Mapa final'!$H$28="Media",'Mapa final'!$L$28="Moderado"),CONCATENATE("R",'Mapa final'!$A$28),"")</f>
        <v/>
      </c>
      <c r="W24" s="615"/>
      <c r="X24" s="615" t="str">
        <f>IF(AND('Mapa final'!$H$34="Media",'Mapa final'!$L$34="Moderado"),CONCATENATE("R",'Mapa final'!$A$34),"")</f>
        <v/>
      </c>
      <c r="Y24" s="615"/>
      <c r="Z24" s="615" t="str">
        <f>IF(AND('Mapa final'!$H$40="Media",'Mapa final'!$L$40="Moderado"),CONCATENATE("R",'Mapa final'!$A$40),"")</f>
        <v/>
      </c>
      <c r="AA24" s="617"/>
      <c r="AB24" s="591" t="str">
        <f>IF(AND('Mapa final'!$H$28="Media",'Mapa final'!$L$28="Mayor"),CONCATENATE("R",'Mapa final'!$A$28),"")</f>
        <v/>
      </c>
      <c r="AC24" s="592"/>
      <c r="AD24" s="592" t="str">
        <f>IF(AND('Mapa final'!$H$34="Media",'Mapa final'!$L$34="Mayor"),CONCATENATE("R",'Mapa final'!$A$34),"")</f>
        <v/>
      </c>
      <c r="AE24" s="592"/>
      <c r="AF24" s="592" t="str">
        <f>IF(AND('Mapa final'!$H$40="Media",'Mapa final'!$L$40="Mayor"),CONCATENATE("R",'Mapa final'!$A$40),"")</f>
        <v/>
      </c>
      <c r="AG24" s="594"/>
      <c r="AH24" s="597" t="str">
        <f>IF(AND('Mapa final'!$H$28="Media",'Mapa final'!$L$28="Catastrófico"),CONCATENATE("R",'Mapa final'!$A$28),"")</f>
        <v/>
      </c>
      <c r="AI24" s="598"/>
      <c r="AJ24" s="598" t="str">
        <f>IF(AND('Mapa final'!$H$34="Media",'Mapa final'!$L$34="Catastrófico"),CONCATENATE("R",'Mapa final'!$A$34),"")</f>
        <v/>
      </c>
      <c r="AK24" s="598"/>
      <c r="AL24" s="598" t="str">
        <f>IF(AND('Mapa final'!$H$40="Media",'Mapa final'!$L$40="Catastrófico"),CONCATENATE("R",'Mapa final'!$A$40),"")</f>
        <v/>
      </c>
      <c r="AM24" s="600"/>
      <c r="AN24" s="15"/>
      <c r="AO24" s="637"/>
      <c r="AP24" s="638"/>
      <c r="AQ24" s="638"/>
      <c r="AR24" s="638"/>
      <c r="AS24" s="638"/>
      <c r="AT24" s="63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578"/>
      <c r="C25" s="578"/>
      <c r="D25" s="579"/>
      <c r="E25" s="583"/>
      <c r="F25" s="584"/>
      <c r="G25" s="584"/>
      <c r="H25" s="584"/>
      <c r="I25" s="585"/>
      <c r="J25" s="614"/>
      <c r="K25" s="615"/>
      <c r="L25" s="615"/>
      <c r="M25" s="615"/>
      <c r="N25" s="615"/>
      <c r="O25" s="617"/>
      <c r="P25" s="614"/>
      <c r="Q25" s="615"/>
      <c r="R25" s="615"/>
      <c r="S25" s="615"/>
      <c r="T25" s="615"/>
      <c r="U25" s="617"/>
      <c r="V25" s="614"/>
      <c r="W25" s="615"/>
      <c r="X25" s="615"/>
      <c r="Y25" s="615"/>
      <c r="Z25" s="615"/>
      <c r="AA25" s="617"/>
      <c r="AB25" s="591"/>
      <c r="AC25" s="592"/>
      <c r="AD25" s="592"/>
      <c r="AE25" s="592"/>
      <c r="AF25" s="592"/>
      <c r="AG25" s="594"/>
      <c r="AH25" s="597"/>
      <c r="AI25" s="598"/>
      <c r="AJ25" s="598"/>
      <c r="AK25" s="598"/>
      <c r="AL25" s="598"/>
      <c r="AM25" s="600"/>
      <c r="AN25" s="15"/>
      <c r="AO25" s="637"/>
      <c r="AP25" s="638"/>
      <c r="AQ25" s="638"/>
      <c r="AR25" s="638"/>
      <c r="AS25" s="638"/>
      <c r="AT25" s="63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578"/>
      <c r="C26" s="578"/>
      <c r="D26" s="579"/>
      <c r="E26" s="583"/>
      <c r="F26" s="584"/>
      <c r="G26" s="584"/>
      <c r="H26" s="584"/>
      <c r="I26" s="585"/>
      <c r="J26" s="614" t="str">
        <f>IF(AND('Mapa final'!$H$46="Media",'Mapa final'!$L$46="Leve"),CONCATENATE("R",'Mapa final'!$A$46),"")</f>
        <v/>
      </c>
      <c r="K26" s="615"/>
      <c r="L26" s="615" t="str">
        <f>IF(AND('Mapa final'!$H$52="Media",'Mapa final'!$L$52="Leve"),CONCATENATE("R",'Mapa final'!$A$52),"")</f>
        <v/>
      </c>
      <c r="M26" s="615"/>
      <c r="N26" s="615" t="str">
        <f>IF(AND('Mapa final'!$H$58="Media",'Mapa final'!$L$58="Leve"),CONCATENATE("R",'Mapa final'!$A$58),"")</f>
        <v/>
      </c>
      <c r="O26" s="617"/>
      <c r="P26" s="614" t="str">
        <f>IF(AND('Mapa final'!$H$46="Media",'Mapa final'!$L$46="Menor"),CONCATENATE("R",'Mapa final'!$A$46),"")</f>
        <v/>
      </c>
      <c r="Q26" s="615"/>
      <c r="R26" s="615" t="str">
        <f>IF(AND('Mapa final'!$H$52="Media",'Mapa final'!$L$52="Menor"),CONCATENATE("R",'Mapa final'!$A$52),"")</f>
        <v/>
      </c>
      <c r="S26" s="615"/>
      <c r="T26" s="615" t="str">
        <f>IF(AND('Mapa final'!$H$58="Media",'Mapa final'!$L$58="Menor"),CONCATENATE("R",'Mapa final'!$A$58),"")</f>
        <v/>
      </c>
      <c r="U26" s="617"/>
      <c r="V26" s="614" t="str">
        <f>IF(AND('Mapa final'!$H$46="Media",'Mapa final'!$L$46="Moderado"),CONCATENATE("R",'Mapa final'!$A$46),"")</f>
        <v/>
      </c>
      <c r="W26" s="615"/>
      <c r="X26" s="615" t="str">
        <f>IF(AND('Mapa final'!$H$52="Media",'Mapa final'!$L$52="Moderado"),CONCATENATE("R",'Mapa final'!$A$52),"")</f>
        <v/>
      </c>
      <c r="Y26" s="615"/>
      <c r="Z26" s="615" t="str">
        <f>IF(AND('Mapa final'!$H$58="Media",'Mapa final'!$L$58="Moderado"),CONCATENATE("R",'Mapa final'!$A$58),"")</f>
        <v/>
      </c>
      <c r="AA26" s="617"/>
      <c r="AB26" s="591" t="str">
        <f>IF(AND('Mapa final'!$H$46="Media",'Mapa final'!$L$46="Mayor"),CONCATENATE("R",'Mapa final'!$A$46),"")</f>
        <v/>
      </c>
      <c r="AC26" s="592"/>
      <c r="AD26" s="592" t="str">
        <f>IF(AND('Mapa final'!$H$52="Media",'Mapa final'!$L$52="Mayor"),CONCATENATE("R",'Mapa final'!$A$52),"")</f>
        <v/>
      </c>
      <c r="AE26" s="592"/>
      <c r="AF26" s="592" t="str">
        <f>IF(AND('Mapa final'!$H$58="Media",'Mapa final'!$L$58="Mayor"),CONCATENATE("R",'Mapa final'!$A$58),"")</f>
        <v/>
      </c>
      <c r="AG26" s="594"/>
      <c r="AH26" s="597" t="str">
        <f>IF(AND('Mapa final'!$H$46="Media",'Mapa final'!$L$46="Catastrófico"),CONCATENATE("R",'Mapa final'!$A$46),"")</f>
        <v/>
      </c>
      <c r="AI26" s="598"/>
      <c r="AJ26" s="598" t="str">
        <f>IF(AND('Mapa final'!$H$52="Media",'Mapa final'!$L$52="Catastrófico"),CONCATENATE("R",'Mapa final'!$A$52),"")</f>
        <v/>
      </c>
      <c r="AK26" s="598"/>
      <c r="AL26" s="598" t="str">
        <f>IF(AND('Mapa final'!$H$58="Media",'Mapa final'!$L$58="Catastrófico"),CONCATENATE("R",'Mapa final'!$A$58),"")</f>
        <v/>
      </c>
      <c r="AM26" s="600"/>
      <c r="AN26" s="15"/>
      <c r="AO26" s="637"/>
      <c r="AP26" s="638"/>
      <c r="AQ26" s="638"/>
      <c r="AR26" s="638"/>
      <c r="AS26" s="638"/>
      <c r="AT26" s="63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578"/>
      <c r="C27" s="578"/>
      <c r="D27" s="579"/>
      <c r="E27" s="583"/>
      <c r="F27" s="584"/>
      <c r="G27" s="584"/>
      <c r="H27" s="584"/>
      <c r="I27" s="585"/>
      <c r="J27" s="614"/>
      <c r="K27" s="615"/>
      <c r="L27" s="615"/>
      <c r="M27" s="615"/>
      <c r="N27" s="615"/>
      <c r="O27" s="617"/>
      <c r="P27" s="614"/>
      <c r="Q27" s="615"/>
      <c r="R27" s="615"/>
      <c r="S27" s="615"/>
      <c r="T27" s="615"/>
      <c r="U27" s="617"/>
      <c r="V27" s="614"/>
      <c r="W27" s="615"/>
      <c r="X27" s="615"/>
      <c r="Y27" s="615"/>
      <c r="Z27" s="615"/>
      <c r="AA27" s="617"/>
      <c r="AB27" s="591"/>
      <c r="AC27" s="592"/>
      <c r="AD27" s="592"/>
      <c r="AE27" s="592"/>
      <c r="AF27" s="592"/>
      <c r="AG27" s="594"/>
      <c r="AH27" s="597"/>
      <c r="AI27" s="598"/>
      <c r="AJ27" s="598"/>
      <c r="AK27" s="598"/>
      <c r="AL27" s="598"/>
      <c r="AM27" s="600"/>
      <c r="AN27" s="15"/>
      <c r="AO27" s="637"/>
      <c r="AP27" s="638"/>
      <c r="AQ27" s="638"/>
      <c r="AR27" s="638"/>
      <c r="AS27" s="638"/>
      <c r="AT27" s="63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578"/>
      <c r="C28" s="578"/>
      <c r="D28" s="579"/>
      <c r="E28" s="583"/>
      <c r="F28" s="584"/>
      <c r="G28" s="584"/>
      <c r="H28" s="584"/>
      <c r="I28" s="585"/>
      <c r="J28" s="614" t="str">
        <f>IF(AND('Mapa final'!$H$64="Media",'Mapa final'!$L$64="Leve"),CONCATENATE("R",'Mapa final'!$A$64),"")</f>
        <v/>
      </c>
      <c r="K28" s="615"/>
      <c r="L28" s="615" t="str">
        <f>IF(AND('Mapa final'!$H$70="Media",'Mapa final'!$L$70="Leve"),CONCATENATE("R",'Mapa final'!$A$70),"")</f>
        <v/>
      </c>
      <c r="M28" s="615"/>
      <c r="N28" s="615" t="str">
        <f>IF(AND('Mapa final'!$H$76="Media",'Mapa final'!$L$76="Leve"),CONCATENATE("R",'Mapa final'!$A$76),"")</f>
        <v/>
      </c>
      <c r="O28" s="617"/>
      <c r="P28" s="614" t="str">
        <f>IF(AND('Mapa final'!$H$64="Media",'Mapa final'!$L$64="Menor"),CONCATENATE("R",'Mapa final'!$A$64),"")</f>
        <v/>
      </c>
      <c r="Q28" s="615"/>
      <c r="R28" s="615" t="str">
        <f>IF(AND('Mapa final'!$H$70="Media",'Mapa final'!$L$70="Menor"),CONCATENATE("R",'Mapa final'!$A$70),"")</f>
        <v/>
      </c>
      <c r="S28" s="615"/>
      <c r="T28" s="615" t="str">
        <f>IF(AND('Mapa final'!$H$76="Media",'Mapa final'!$L$76="Menor"),CONCATENATE("R",'Mapa final'!$A$76),"")</f>
        <v/>
      </c>
      <c r="U28" s="617"/>
      <c r="V28" s="614" t="str">
        <f>IF(AND('Mapa final'!$H$64="Media",'Mapa final'!$L$64="Moderado"),CONCATENATE("R",'Mapa final'!$A$64),"")</f>
        <v/>
      </c>
      <c r="W28" s="615"/>
      <c r="X28" s="615" t="str">
        <f>IF(AND('Mapa final'!$H$70="Media",'Mapa final'!$L$70="Moderado"),CONCATENATE("R",'Mapa final'!$A$70),"")</f>
        <v/>
      </c>
      <c r="Y28" s="615"/>
      <c r="Z28" s="615" t="str">
        <f>IF(AND('Mapa final'!$H$76="Media",'Mapa final'!$L$76="Moderado"),CONCATENATE("R",'Mapa final'!$A$76),"")</f>
        <v/>
      </c>
      <c r="AA28" s="617"/>
      <c r="AB28" s="591" t="str">
        <f>IF(AND('Mapa final'!$H$64="Media",'Mapa final'!$L$64="Mayor"),CONCATENATE("R",'Mapa final'!$A$64),"")</f>
        <v/>
      </c>
      <c r="AC28" s="592"/>
      <c r="AD28" s="592" t="str">
        <f>IF(AND('Mapa final'!$H$70="Media",'Mapa final'!$L$70="Mayor"),CONCATENATE("R",'Mapa final'!$A$70),"")</f>
        <v/>
      </c>
      <c r="AE28" s="592"/>
      <c r="AF28" s="592" t="str">
        <f>IF(AND('Mapa final'!$H$76="Media",'Mapa final'!$L$76="Mayor"),CONCATENATE("R",'Mapa final'!$A$76),"")</f>
        <v/>
      </c>
      <c r="AG28" s="594"/>
      <c r="AH28" s="597" t="str">
        <f>IF(AND('Mapa final'!$H$64="Media",'Mapa final'!$L$64="Catastrófico"),CONCATENATE("R",'Mapa final'!$A$64),"")</f>
        <v/>
      </c>
      <c r="AI28" s="598"/>
      <c r="AJ28" s="598" t="str">
        <f>IF(AND('Mapa final'!$H$70="Media",'Mapa final'!$L$70="Catastrófico"),CONCATENATE("R",'Mapa final'!$A$70),"")</f>
        <v/>
      </c>
      <c r="AK28" s="598"/>
      <c r="AL28" s="598" t="str">
        <f>IF(AND('Mapa final'!$H$76="Media",'Mapa final'!$L$76="Catastrófico"),CONCATENATE("R",'Mapa final'!$A$76),"")</f>
        <v/>
      </c>
      <c r="AM28" s="600"/>
      <c r="AN28" s="15"/>
      <c r="AO28" s="637"/>
      <c r="AP28" s="638"/>
      <c r="AQ28" s="638"/>
      <c r="AR28" s="638"/>
      <c r="AS28" s="638"/>
      <c r="AT28" s="63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578"/>
      <c r="C29" s="578"/>
      <c r="D29" s="579"/>
      <c r="E29" s="586"/>
      <c r="F29" s="587"/>
      <c r="G29" s="587"/>
      <c r="H29" s="587"/>
      <c r="I29" s="588"/>
      <c r="J29" s="614"/>
      <c r="K29" s="615"/>
      <c r="L29" s="615"/>
      <c r="M29" s="615"/>
      <c r="N29" s="615"/>
      <c r="O29" s="617"/>
      <c r="P29" s="631"/>
      <c r="Q29" s="632"/>
      <c r="R29" s="632"/>
      <c r="S29" s="632"/>
      <c r="T29" s="632"/>
      <c r="U29" s="633"/>
      <c r="V29" s="631"/>
      <c r="W29" s="632"/>
      <c r="X29" s="632"/>
      <c r="Y29" s="632"/>
      <c r="Z29" s="632"/>
      <c r="AA29" s="633"/>
      <c r="AB29" s="628"/>
      <c r="AC29" s="629"/>
      <c r="AD29" s="629"/>
      <c r="AE29" s="629"/>
      <c r="AF29" s="629"/>
      <c r="AG29" s="630"/>
      <c r="AH29" s="618"/>
      <c r="AI29" s="610"/>
      <c r="AJ29" s="610"/>
      <c r="AK29" s="610"/>
      <c r="AL29" s="610"/>
      <c r="AM29" s="611"/>
      <c r="AN29" s="15"/>
      <c r="AO29" s="640"/>
      <c r="AP29" s="641"/>
      <c r="AQ29" s="641"/>
      <c r="AR29" s="641"/>
      <c r="AS29" s="641"/>
      <c r="AT29" s="64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578"/>
      <c r="C30" s="578"/>
      <c r="D30" s="579"/>
      <c r="E30" s="580" t="s">
        <v>1059</v>
      </c>
      <c r="F30" s="581"/>
      <c r="G30" s="581"/>
      <c r="H30" s="581"/>
      <c r="I30" s="581"/>
      <c r="J30" s="643" t="str">
        <f>IF(AND('Mapa final'!$H$10="Baja",'Mapa final'!$L$10="Leve"),CONCATENATE("R",'Mapa final'!$A$10),"")</f>
        <v/>
      </c>
      <c r="K30" s="644"/>
      <c r="L30" s="644" t="str">
        <f>IF(AND('Mapa final'!$H$16="Baja",'Mapa final'!$L$16="Leve"),CONCATENATE("R",'Mapa final'!$A$16),"")</f>
        <v/>
      </c>
      <c r="M30" s="644"/>
      <c r="N30" s="644" t="str">
        <f>IF(AND('Mapa final'!$H$22="Baja",'Mapa final'!$L$22="Leve"),CONCATENATE("R",'Mapa final'!$A$22),"")</f>
        <v/>
      </c>
      <c r="O30" s="647"/>
      <c r="P30" s="613" t="str">
        <f>IF(AND('Mapa final'!$H$10="Baja",'Mapa final'!$L$10="Menor"),CONCATENATE("R",'Mapa final'!$A$10),"")</f>
        <v/>
      </c>
      <c r="Q30" s="613"/>
      <c r="R30" s="613" t="str">
        <f>IF(AND('Mapa final'!$H$16="Baja",'Mapa final'!$L$16="Menor"),CONCATENATE("R",'Mapa final'!$A$16),"")</f>
        <v/>
      </c>
      <c r="S30" s="613"/>
      <c r="T30" s="613" t="str">
        <f>IF(AND('Mapa final'!$H$22="Baja",'Mapa final'!$L$22="Menor"),CONCATENATE("R",'Mapa final'!$A$22),"")</f>
        <v/>
      </c>
      <c r="U30" s="616"/>
      <c r="V30" s="612" t="str">
        <f>IF(AND('Mapa final'!$H$10="Baja",'Mapa final'!$L$10="Moderado"),CONCATENATE("R",'Mapa final'!$A$10),"")</f>
        <v/>
      </c>
      <c r="W30" s="613"/>
      <c r="X30" s="613" t="str">
        <f>IF(AND('Mapa final'!$H$16="Baja",'Mapa final'!$L$16="Moderado"),CONCATENATE("R",'Mapa final'!$A$16),"")</f>
        <v/>
      </c>
      <c r="Y30" s="613"/>
      <c r="Z30" s="613" t="str">
        <f>IF(AND('Mapa final'!$H$22="Baja",'Mapa final'!$L$22="Moderado"),CONCATENATE("R",'Mapa final'!$A$22),"")</f>
        <v/>
      </c>
      <c r="AA30" s="616"/>
      <c r="AB30" s="589" t="str">
        <f>IF(AND('Mapa final'!$H$10="Baja",'Mapa final'!$L$10="Mayor"),CONCATENATE("R",'Mapa final'!$A$10),"")</f>
        <v/>
      </c>
      <c r="AC30" s="590"/>
      <c r="AD30" s="590" t="str">
        <f>IF(AND('Mapa final'!$H$16="Baja",'Mapa final'!$L$16="Mayor"),CONCATENATE("R",'Mapa final'!$A$16),"")</f>
        <v/>
      </c>
      <c r="AE30" s="590"/>
      <c r="AF30" s="590" t="str">
        <f>IF(AND('Mapa final'!$H$22="Baja",'Mapa final'!$L$22="Mayor"),CONCATENATE("R",'Mapa final'!$A$22),"")</f>
        <v/>
      </c>
      <c r="AG30" s="593"/>
      <c r="AH30" s="595" t="str">
        <f>IF(AND('Mapa final'!$H$10="Baja",'Mapa final'!$L$10="Catastrófico"),CONCATENATE("R",'Mapa final'!$A$10),"")</f>
        <v/>
      </c>
      <c r="AI30" s="596"/>
      <c r="AJ30" s="596" t="str">
        <f>IF(AND('Mapa final'!$H$16="Baja",'Mapa final'!$L$16="Catastrófico"),CONCATENATE("R",'Mapa final'!$A$16),"")</f>
        <v/>
      </c>
      <c r="AK30" s="596"/>
      <c r="AL30" s="596" t="str">
        <f>IF(AND('Mapa final'!$H$22="Baja",'Mapa final'!$L$22="Catastrófico"),CONCATENATE("R",'Mapa final'!$A$22),"")</f>
        <v/>
      </c>
      <c r="AM30" s="599"/>
      <c r="AN30" s="15"/>
      <c r="AO30" s="649" t="s">
        <v>1060</v>
      </c>
      <c r="AP30" s="650"/>
      <c r="AQ30" s="650"/>
      <c r="AR30" s="650"/>
      <c r="AS30" s="650"/>
      <c r="AT30" s="65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578"/>
      <c r="C31" s="578"/>
      <c r="D31" s="579"/>
      <c r="E31" s="583"/>
      <c r="F31" s="584"/>
      <c r="G31" s="584"/>
      <c r="H31" s="584"/>
      <c r="I31" s="584"/>
      <c r="J31" s="645"/>
      <c r="K31" s="646"/>
      <c r="L31" s="646"/>
      <c r="M31" s="646"/>
      <c r="N31" s="646"/>
      <c r="O31" s="648"/>
      <c r="P31" s="615"/>
      <c r="Q31" s="615"/>
      <c r="R31" s="615"/>
      <c r="S31" s="615"/>
      <c r="T31" s="615"/>
      <c r="U31" s="617"/>
      <c r="V31" s="614"/>
      <c r="W31" s="615"/>
      <c r="X31" s="615"/>
      <c r="Y31" s="615"/>
      <c r="Z31" s="615"/>
      <c r="AA31" s="617"/>
      <c r="AB31" s="591"/>
      <c r="AC31" s="592"/>
      <c r="AD31" s="592"/>
      <c r="AE31" s="592"/>
      <c r="AF31" s="592"/>
      <c r="AG31" s="594"/>
      <c r="AH31" s="597"/>
      <c r="AI31" s="598"/>
      <c r="AJ31" s="598"/>
      <c r="AK31" s="598"/>
      <c r="AL31" s="598"/>
      <c r="AM31" s="600"/>
      <c r="AN31" s="15"/>
      <c r="AO31" s="652"/>
      <c r="AP31" s="653"/>
      <c r="AQ31" s="653"/>
      <c r="AR31" s="653"/>
      <c r="AS31" s="653"/>
      <c r="AT31" s="65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578"/>
      <c r="C32" s="578"/>
      <c r="D32" s="579"/>
      <c r="E32" s="583"/>
      <c r="F32" s="584"/>
      <c r="G32" s="584"/>
      <c r="H32" s="584"/>
      <c r="I32" s="584"/>
      <c r="J32" s="645" t="str">
        <f>IF(AND('Mapa final'!$H$28="Baja",'Mapa final'!$L$28="Leve"),CONCATENATE("R",'Mapa final'!$A$28),"")</f>
        <v/>
      </c>
      <c r="K32" s="646"/>
      <c r="L32" s="646" t="str">
        <f>IF(AND('Mapa final'!$H$34="Baja",'Mapa final'!$L$34="Leve"),CONCATENATE("R",'Mapa final'!$A$34),"")</f>
        <v/>
      </c>
      <c r="M32" s="646"/>
      <c r="N32" s="646" t="str">
        <f>IF(AND('Mapa final'!$H$40="Baja",'Mapa final'!$L$40="Leve"),CONCATENATE("R",'Mapa final'!$A$40),"")</f>
        <v/>
      </c>
      <c r="O32" s="648"/>
      <c r="P32" s="615" t="str">
        <f>IF(AND('Mapa final'!$H$28="Baja",'Mapa final'!$L$28="Menor"),CONCATENATE("R",'Mapa final'!$A$28),"")</f>
        <v/>
      </c>
      <c r="Q32" s="615"/>
      <c r="R32" s="615" t="str">
        <f>IF(AND('Mapa final'!$H$34="Baja",'Mapa final'!$L$34="Menor"),CONCATENATE("R",'Mapa final'!$A$34),"")</f>
        <v/>
      </c>
      <c r="S32" s="615"/>
      <c r="T32" s="615" t="str">
        <f>IF(AND('Mapa final'!$H$40="Baja",'Mapa final'!$L$40="Menor"),CONCATENATE("R",'Mapa final'!$A$40),"")</f>
        <v/>
      </c>
      <c r="U32" s="617"/>
      <c r="V32" s="614" t="str">
        <f>IF(AND('Mapa final'!$H$28="Baja",'Mapa final'!$L$28="Moderado"),CONCATENATE("R",'Mapa final'!$A$28),"")</f>
        <v/>
      </c>
      <c r="W32" s="615"/>
      <c r="X32" s="615" t="str">
        <f>IF(AND('Mapa final'!$H$34="Baja",'Mapa final'!$L$34="Moderado"),CONCATENATE("R",'Mapa final'!$A$34),"")</f>
        <v/>
      </c>
      <c r="Y32" s="615"/>
      <c r="Z32" s="615" t="str">
        <f>IF(AND('Mapa final'!$H$40="Baja",'Mapa final'!$L$40="Moderado"),CONCATENATE("R",'Mapa final'!$A$40),"")</f>
        <v/>
      </c>
      <c r="AA32" s="617"/>
      <c r="AB32" s="591" t="str">
        <f>IF(AND('Mapa final'!$H$28="Baja",'Mapa final'!$L$28="Mayor"),CONCATENATE("R",'Mapa final'!$A$28),"")</f>
        <v/>
      </c>
      <c r="AC32" s="592"/>
      <c r="AD32" s="592" t="str">
        <f>IF(AND('Mapa final'!$H$34="Baja",'Mapa final'!$L$34="Mayor"),CONCATENATE("R",'Mapa final'!$A$34),"")</f>
        <v/>
      </c>
      <c r="AE32" s="592"/>
      <c r="AF32" s="592" t="str">
        <f>IF(AND('Mapa final'!$H$40="Baja",'Mapa final'!$L$40="Mayor"),CONCATENATE("R",'Mapa final'!$A$40),"")</f>
        <v/>
      </c>
      <c r="AG32" s="594"/>
      <c r="AH32" s="597" t="str">
        <f>IF(AND('Mapa final'!$H$28="Baja",'Mapa final'!$L$28="Catastrófico"),CONCATENATE("R",'Mapa final'!$A$28),"")</f>
        <v/>
      </c>
      <c r="AI32" s="598"/>
      <c r="AJ32" s="598" t="str">
        <f>IF(AND('Mapa final'!$H$34="Baja",'Mapa final'!$L$34="Catastrófico"),CONCATENATE("R",'Mapa final'!$A$34),"")</f>
        <v/>
      </c>
      <c r="AK32" s="598"/>
      <c r="AL32" s="598" t="str">
        <f>IF(AND('Mapa final'!$H$40="Baja",'Mapa final'!$L$40="Catastrófico"),CONCATENATE("R",'Mapa final'!$A$40),"")</f>
        <v/>
      </c>
      <c r="AM32" s="600"/>
      <c r="AN32" s="15"/>
      <c r="AO32" s="652"/>
      <c r="AP32" s="653"/>
      <c r="AQ32" s="653"/>
      <c r="AR32" s="653"/>
      <c r="AS32" s="653"/>
      <c r="AT32" s="65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578"/>
      <c r="C33" s="578"/>
      <c r="D33" s="579"/>
      <c r="E33" s="583"/>
      <c r="F33" s="584"/>
      <c r="G33" s="584"/>
      <c r="H33" s="584"/>
      <c r="I33" s="584"/>
      <c r="J33" s="645"/>
      <c r="K33" s="646"/>
      <c r="L33" s="646"/>
      <c r="M33" s="646"/>
      <c r="N33" s="646"/>
      <c r="O33" s="648"/>
      <c r="P33" s="615"/>
      <c r="Q33" s="615"/>
      <c r="R33" s="615"/>
      <c r="S33" s="615"/>
      <c r="T33" s="615"/>
      <c r="U33" s="617"/>
      <c r="V33" s="614"/>
      <c r="W33" s="615"/>
      <c r="X33" s="615"/>
      <c r="Y33" s="615"/>
      <c r="Z33" s="615"/>
      <c r="AA33" s="617"/>
      <c r="AB33" s="591"/>
      <c r="AC33" s="592"/>
      <c r="AD33" s="592"/>
      <c r="AE33" s="592"/>
      <c r="AF33" s="592"/>
      <c r="AG33" s="594"/>
      <c r="AH33" s="597"/>
      <c r="AI33" s="598"/>
      <c r="AJ33" s="598"/>
      <c r="AK33" s="598"/>
      <c r="AL33" s="598"/>
      <c r="AM33" s="600"/>
      <c r="AN33" s="15"/>
      <c r="AO33" s="652"/>
      <c r="AP33" s="653"/>
      <c r="AQ33" s="653"/>
      <c r="AR33" s="653"/>
      <c r="AS33" s="653"/>
      <c r="AT33" s="65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578"/>
      <c r="C34" s="578"/>
      <c r="D34" s="579"/>
      <c r="E34" s="583"/>
      <c r="F34" s="584"/>
      <c r="G34" s="584"/>
      <c r="H34" s="584"/>
      <c r="I34" s="584"/>
      <c r="J34" s="645" t="str">
        <f>IF(AND('Mapa final'!$H$46="Baja",'Mapa final'!$L$46="Leve"),CONCATENATE("R",'Mapa final'!$A$46),"")</f>
        <v/>
      </c>
      <c r="K34" s="646"/>
      <c r="L34" s="646" t="str">
        <f>IF(AND('Mapa final'!$H$52="Baja",'Mapa final'!$L$52="Leve"),CONCATENATE("R",'Mapa final'!$A$52),"")</f>
        <v/>
      </c>
      <c r="M34" s="646"/>
      <c r="N34" s="646" t="str">
        <f>IF(AND('Mapa final'!$H$58="Baja",'Mapa final'!$L$58="Leve"),CONCATENATE("R",'Mapa final'!$A$58),"")</f>
        <v/>
      </c>
      <c r="O34" s="648"/>
      <c r="P34" s="615" t="str">
        <f>IF(AND('Mapa final'!$H$46="Baja",'Mapa final'!$L$46="Menor"),CONCATENATE("R",'Mapa final'!$A$46),"")</f>
        <v/>
      </c>
      <c r="Q34" s="615"/>
      <c r="R34" s="615" t="str">
        <f>IF(AND('Mapa final'!$H$52="Baja",'Mapa final'!$L$52="Menor"),CONCATENATE("R",'Mapa final'!$A$52),"")</f>
        <v/>
      </c>
      <c r="S34" s="615"/>
      <c r="T34" s="615" t="str">
        <f>IF(AND('Mapa final'!$H$58="Baja",'Mapa final'!$L$58="Menor"),CONCATENATE("R",'Mapa final'!$A$58),"")</f>
        <v/>
      </c>
      <c r="U34" s="617"/>
      <c r="V34" s="614" t="str">
        <f>IF(AND('Mapa final'!$H$46="Baja",'Mapa final'!$L$46="Moderado"),CONCATENATE("R",'Mapa final'!$A$46),"")</f>
        <v/>
      </c>
      <c r="W34" s="615"/>
      <c r="X34" s="615" t="str">
        <f>IF(AND('Mapa final'!$H$52="Baja",'Mapa final'!$L$52="Moderado"),CONCATENATE("R",'Mapa final'!$A$52),"")</f>
        <v/>
      </c>
      <c r="Y34" s="615"/>
      <c r="Z34" s="615" t="str">
        <f>IF(AND('Mapa final'!$H$58="Baja",'Mapa final'!$L$58="Moderado"),CONCATENATE("R",'Mapa final'!$A$58),"")</f>
        <v/>
      </c>
      <c r="AA34" s="617"/>
      <c r="AB34" s="591" t="str">
        <f>IF(AND('Mapa final'!$H$46="Baja",'Mapa final'!$L$46="Mayor"),CONCATENATE("R",'Mapa final'!$A$46),"")</f>
        <v/>
      </c>
      <c r="AC34" s="592"/>
      <c r="AD34" s="592" t="str">
        <f>IF(AND('Mapa final'!$H$52="Baja",'Mapa final'!$L$52="Mayor"),CONCATENATE("R",'Mapa final'!$A$52),"")</f>
        <v/>
      </c>
      <c r="AE34" s="592"/>
      <c r="AF34" s="592" t="str">
        <f>IF(AND('Mapa final'!$H$58="Baja",'Mapa final'!$L$58="Mayor"),CONCATENATE("R",'Mapa final'!$A$58),"")</f>
        <v/>
      </c>
      <c r="AG34" s="594"/>
      <c r="AH34" s="597" t="str">
        <f>IF(AND('Mapa final'!$H$46="Baja",'Mapa final'!$L$46="Catastrófico"),CONCATENATE("R",'Mapa final'!$A$46),"")</f>
        <v/>
      </c>
      <c r="AI34" s="598"/>
      <c r="AJ34" s="598" t="str">
        <f>IF(AND('Mapa final'!$H$52="Baja",'Mapa final'!$L$52="Catastrófico"),CONCATENATE("R",'Mapa final'!$A$52),"")</f>
        <v/>
      </c>
      <c r="AK34" s="598"/>
      <c r="AL34" s="598" t="str">
        <f>IF(AND('Mapa final'!$H$58="Baja",'Mapa final'!$L$58="Catastrófico"),CONCATENATE("R",'Mapa final'!$A$58),"")</f>
        <v/>
      </c>
      <c r="AM34" s="600"/>
      <c r="AN34" s="15"/>
      <c r="AO34" s="652"/>
      <c r="AP34" s="653"/>
      <c r="AQ34" s="653"/>
      <c r="AR34" s="653"/>
      <c r="AS34" s="653"/>
      <c r="AT34" s="65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578"/>
      <c r="C35" s="578"/>
      <c r="D35" s="579"/>
      <c r="E35" s="583"/>
      <c r="F35" s="584"/>
      <c r="G35" s="584"/>
      <c r="H35" s="584"/>
      <c r="I35" s="584"/>
      <c r="J35" s="645"/>
      <c r="K35" s="646"/>
      <c r="L35" s="646"/>
      <c r="M35" s="646"/>
      <c r="N35" s="646"/>
      <c r="O35" s="648"/>
      <c r="P35" s="615"/>
      <c r="Q35" s="615"/>
      <c r="R35" s="615"/>
      <c r="S35" s="615"/>
      <c r="T35" s="615"/>
      <c r="U35" s="617"/>
      <c r="V35" s="614"/>
      <c r="W35" s="615"/>
      <c r="X35" s="615"/>
      <c r="Y35" s="615"/>
      <c r="Z35" s="615"/>
      <c r="AA35" s="617"/>
      <c r="AB35" s="591"/>
      <c r="AC35" s="592"/>
      <c r="AD35" s="592"/>
      <c r="AE35" s="592"/>
      <c r="AF35" s="592"/>
      <c r="AG35" s="594"/>
      <c r="AH35" s="597"/>
      <c r="AI35" s="598"/>
      <c r="AJ35" s="598"/>
      <c r="AK35" s="598"/>
      <c r="AL35" s="598"/>
      <c r="AM35" s="600"/>
      <c r="AN35" s="15"/>
      <c r="AO35" s="652"/>
      <c r="AP35" s="653"/>
      <c r="AQ35" s="653"/>
      <c r="AR35" s="653"/>
      <c r="AS35" s="653"/>
      <c r="AT35" s="65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578"/>
      <c r="C36" s="578"/>
      <c r="D36" s="579"/>
      <c r="E36" s="583"/>
      <c r="F36" s="584"/>
      <c r="G36" s="584"/>
      <c r="H36" s="584"/>
      <c r="I36" s="584"/>
      <c r="J36" s="645" t="str">
        <f>IF(AND('Mapa final'!$H$64="Baja",'Mapa final'!$L$64="Leve"),CONCATENATE("R",'Mapa final'!$A$64),"")</f>
        <v/>
      </c>
      <c r="K36" s="646"/>
      <c r="L36" s="646" t="str">
        <f>IF(AND('Mapa final'!$H$70="Baja",'Mapa final'!$L$70="Leve"),CONCATENATE("R",'Mapa final'!$A$70),"")</f>
        <v/>
      </c>
      <c r="M36" s="646"/>
      <c r="N36" s="646" t="str">
        <f>IF(AND('Mapa final'!$H$76="Baja",'Mapa final'!$L$76="Leve"),CONCATENATE("R",'Mapa final'!$A$76),"")</f>
        <v/>
      </c>
      <c r="O36" s="648"/>
      <c r="P36" s="615" t="str">
        <f>IF(AND('Mapa final'!$H$64="Baja",'Mapa final'!$L$64="Menor"),CONCATENATE("R",'Mapa final'!$A$64),"")</f>
        <v/>
      </c>
      <c r="Q36" s="615"/>
      <c r="R36" s="615" t="str">
        <f>IF(AND('Mapa final'!$H$70="Baja",'Mapa final'!$L$70="Menor"),CONCATENATE("R",'Mapa final'!$A$70),"")</f>
        <v/>
      </c>
      <c r="S36" s="615"/>
      <c r="T36" s="615" t="str">
        <f>IF(AND('Mapa final'!$H$76="Baja",'Mapa final'!$L$76="Menor"),CONCATENATE("R",'Mapa final'!$A$76),"")</f>
        <v/>
      </c>
      <c r="U36" s="617"/>
      <c r="V36" s="614" t="str">
        <f>IF(AND('Mapa final'!$H$64="Baja",'Mapa final'!$L$64="Moderado"),CONCATENATE("R",'Mapa final'!$A$64),"")</f>
        <v/>
      </c>
      <c r="W36" s="615"/>
      <c r="X36" s="615" t="str">
        <f>IF(AND('Mapa final'!$H$70="Baja",'Mapa final'!$L$70="Moderado"),CONCATENATE("R",'Mapa final'!$A$70),"")</f>
        <v/>
      </c>
      <c r="Y36" s="615"/>
      <c r="Z36" s="615" t="str">
        <f>IF(AND('Mapa final'!$H$76="Baja",'Mapa final'!$L$76="Moderado"),CONCATENATE("R",'Mapa final'!$A$76),"")</f>
        <v/>
      </c>
      <c r="AA36" s="617"/>
      <c r="AB36" s="591" t="str">
        <f>IF(AND('Mapa final'!$H$64="Baja",'Mapa final'!$L$64="Mayor"),CONCATENATE("R",'Mapa final'!$A$64),"")</f>
        <v/>
      </c>
      <c r="AC36" s="592"/>
      <c r="AD36" s="592" t="str">
        <f>IF(AND('Mapa final'!$H$70="Baja",'Mapa final'!$L$70="Mayor"),CONCATENATE("R",'Mapa final'!$A$70),"")</f>
        <v/>
      </c>
      <c r="AE36" s="592"/>
      <c r="AF36" s="592" t="str">
        <f>IF(AND('Mapa final'!$H$76="Baja",'Mapa final'!$L$76="Mayor"),CONCATENATE("R",'Mapa final'!$A$76),"")</f>
        <v/>
      </c>
      <c r="AG36" s="594"/>
      <c r="AH36" s="597" t="str">
        <f>IF(AND('Mapa final'!$H$64="Baja",'Mapa final'!$L$64="Catastrófico"),CONCATENATE("R",'Mapa final'!$A$64),"")</f>
        <v/>
      </c>
      <c r="AI36" s="598"/>
      <c r="AJ36" s="598" t="str">
        <f>IF(AND('Mapa final'!$H$70="Baja",'Mapa final'!$L$70="Catastrófico"),CONCATENATE("R",'Mapa final'!$A$70),"")</f>
        <v/>
      </c>
      <c r="AK36" s="598"/>
      <c r="AL36" s="598" t="str">
        <f>IF(AND('Mapa final'!$H$76="Baja",'Mapa final'!$L$76="Catastrófico"),CONCATENATE("R",'Mapa final'!$A$76),"")</f>
        <v/>
      </c>
      <c r="AM36" s="600"/>
      <c r="AN36" s="15"/>
      <c r="AO36" s="652"/>
      <c r="AP36" s="653"/>
      <c r="AQ36" s="653"/>
      <c r="AR36" s="653"/>
      <c r="AS36" s="653"/>
      <c r="AT36" s="65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578"/>
      <c r="C37" s="578"/>
      <c r="D37" s="579"/>
      <c r="E37" s="586"/>
      <c r="F37" s="587"/>
      <c r="G37" s="587"/>
      <c r="H37" s="587"/>
      <c r="I37" s="587"/>
      <c r="J37" s="658"/>
      <c r="K37" s="659"/>
      <c r="L37" s="659"/>
      <c r="M37" s="659"/>
      <c r="N37" s="659"/>
      <c r="O37" s="660"/>
      <c r="P37" s="632"/>
      <c r="Q37" s="632"/>
      <c r="R37" s="632"/>
      <c r="S37" s="632"/>
      <c r="T37" s="632"/>
      <c r="U37" s="633"/>
      <c r="V37" s="631"/>
      <c r="W37" s="632"/>
      <c r="X37" s="632"/>
      <c r="Y37" s="632"/>
      <c r="Z37" s="632"/>
      <c r="AA37" s="633"/>
      <c r="AB37" s="628"/>
      <c r="AC37" s="629"/>
      <c r="AD37" s="629"/>
      <c r="AE37" s="629"/>
      <c r="AF37" s="629"/>
      <c r="AG37" s="630"/>
      <c r="AH37" s="618"/>
      <c r="AI37" s="610"/>
      <c r="AJ37" s="610"/>
      <c r="AK37" s="610"/>
      <c r="AL37" s="610"/>
      <c r="AM37" s="611"/>
      <c r="AN37" s="15"/>
      <c r="AO37" s="655"/>
      <c r="AP37" s="656"/>
      <c r="AQ37" s="656"/>
      <c r="AR37" s="656"/>
      <c r="AS37" s="656"/>
      <c r="AT37" s="65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578"/>
      <c r="C38" s="578"/>
      <c r="D38" s="579"/>
      <c r="E38" s="580" t="s">
        <v>1061</v>
      </c>
      <c r="F38" s="581"/>
      <c r="G38" s="581"/>
      <c r="H38" s="581"/>
      <c r="I38" s="582"/>
      <c r="J38" s="643" t="str">
        <f>IF(AND('Mapa final'!$H$10="Muy Baja",'Mapa final'!$L$10="Leve"),CONCATENATE("R",'Mapa final'!$A$10),"")</f>
        <v/>
      </c>
      <c r="K38" s="644"/>
      <c r="L38" s="644" t="str">
        <f>IF(AND('Mapa final'!$H$16="Muy Baja",'Mapa final'!$L$16="Leve"),CONCATENATE("R",'Mapa final'!$A$16),"")</f>
        <v/>
      </c>
      <c r="M38" s="644"/>
      <c r="N38" s="644" t="str">
        <f>IF(AND('Mapa final'!$H$22="Muy Baja",'Mapa final'!$L$22="Leve"),CONCATENATE("R",'Mapa final'!$A$22),"")</f>
        <v/>
      </c>
      <c r="O38" s="647"/>
      <c r="P38" s="643" t="str">
        <f>IF(AND('Mapa final'!$H$10="Muy Baja",'Mapa final'!$L$10="Menor"),CONCATENATE("R",'Mapa final'!$A$10),"")</f>
        <v/>
      </c>
      <c r="Q38" s="644"/>
      <c r="R38" s="644" t="str">
        <f>IF(AND('Mapa final'!$H$16="Muy Baja",'Mapa final'!$L$16="Menor"),CONCATENATE("R",'Mapa final'!$A$16),"")</f>
        <v/>
      </c>
      <c r="S38" s="644"/>
      <c r="T38" s="644" t="str">
        <f>IF(AND('Mapa final'!$H$22="Muy Baja",'Mapa final'!$L$22="Menor"),CONCATENATE("R",'Mapa final'!$A$22),"")</f>
        <v>R3</v>
      </c>
      <c r="U38" s="647"/>
      <c r="V38" s="612" t="str">
        <f>IF(AND('Mapa final'!$H$10="Muy Baja",'Mapa final'!$L$10="Moderado"),CONCATENATE("R",'Mapa final'!$A$10),"")</f>
        <v/>
      </c>
      <c r="W38" s="613"/>
      <c r="X38" s="613" t="str">
        <f>IF(AND('Mapa final'!$H$16="Muy Baja",'Mapa final'!$L$16="Moderado"),CONCATENATE("R",'Mapa final'!$A$16),"")</f>
        <v/>
      </c>
      <c r="Y38" s="613"/>
      <c r="Z38" s="613" t="str">
        <f>IF(AND('Mapa final'!$H$22="Muy Baja",'Mapa final'!$L$22="Moderado"),CONCATENATE("R",'Mapa final'!$A$22),"")</f>
        <v/>
      </c>
      <c r="AA38" s="616"/>
      <c r="AB38" s="589" t="str">
        <f>IF(AND('Mapa final'!$H$10="Muy Baja",'Mapa final'!$L$10="Mayor"),CONCATENATE("R",'Mapa final'!$A$10),"")</f>
        <v/>
      </c>
      <c r="AC38" s="590"/>
      <c r="AD38" s="590" t="str">
        <f>IF(AND('Mapa final'!$H$16="Muy Baja",'Mapa final'!$L$16="Mayor"),CONCATENATE("R",'Mapa final'!$A$16),"")</f>
        <v/>
      </c>
      <c r="AE38" s="590"/>
      <c r="AF38" s="590" t="str">
        <f>IF(AND('Mapa final'!$H$22="Muy Baja",'Mapa final'!$L$22="Mayor"),CONCATENATE("R",'Mapa final'!$A$22),"")</f>
        <v/>
      </c>
      <c r="AG38" s="593"/>
      <c r="AH38" s="595" t="str">
        <f>IF(AND('Mapa final'!$H$10="Muy Baja",'Mapa final'!$L$10="Catastrófico"),CONCATENATE("R",'Mapa final'!$A$10),"")</f>
        <v/>
      </c>
      <c r="AI38" s="596"/>
      <c r="AJ38" s="596" t="str">
        <f>IF(AND('Mapa final'!$H$16="Muy Baja",'Mapa final'!$L$16="Catastrófico"),CONCATENATE("R",'Mapa final'!$A$16),"")</f>
        <v/>
      </c>
      <c r="AK38" s="596"/>
      <c r="AL38" s="596" t="str">
        <f>IF(AND('Mapa final'!$H$22="Muy Baja",'Mapa final'!$L$22="Catastrófico"),CONCATENATE("R",'Mapa final'!$A$22),"")</f>
        <v/>
      </c>
      <c r="AM38" s="59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578"/>
      <c r="C39" s="578"/>
      <c r="D39" s="579"/>
      <c r="E39" s="583"/>
      <c r="F39" s="584"/>
      <c r="G39" s="584"/>
      <c r="H39" s="584"/>
      <c r="I39" s="585"/>
      <c r="J39" s="645"/>
      <c r="K39" s="646"/>
      <c r="L39" s="646"/>
      <c r="M39" s="646"/>
      <c r="N39" s="646"/>
      <c r="O39" s="648"/>
      <c r="P39" s="645"/>
      <c r="Q39" s="646"/>
      <c r="R39" s="646"/>
      <c r="S39" s="646"/>
      <c r="T39" s="646"/>
      <c r="U39" s="648"/>
      <c r="V39" s="614"/>
      <c r="W39" s="615"/>
      <c r="X39" s="615"/>
      <c r="Y39" s="615"/>
      <c r="Z39" s="615"/>
      <c r="AA39" s="617"/>
      <c r="AB39" s="591"/>
      <c r="AC39" s="592"/>
      <c r="AD39" s="592"/>
      <c r="AE39" s="592"/>
      <c r="AF39" s="592"/>
      <c r="AG39" s="594"/>
      <c r="AH39" s="597"/>
      <c r="AI39" s="598"/>
      <c r="AJ39" s="598"/>
      <c r="AK39" s="598"/>
      <c r="AL39" s="598"/>
      <c r="AM39" s="60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578"/>
      <c r="C40" s="578"/>
      <c r="D40" s="579"/>
      <c r="E40" s="583"/>
      <c r="F40" s="584"/>
      <c r="G40" s="584"/>
      <c r="H40" s="584"/>
      <c r="I40" s="585"/>
      <c r="J40" s="645" t="str">
        <f>IF(AND('Mapa final'!$H$28="Muy Baja",'Mapa final'!$L$28="Leve"),CONCATENATE("R",'Mapa final'!$A$28),"")</f>
        <v/>
      </c>
      <c r="K40" s="646"/>
      <c r="L40" s="646" t="str">
        <f>IF(AND('Mapa final'!$H$34="Muy Baja",'Mapa final'!$L$34="Leve"),CONCATENATE("R",'Mapa final'!$A$34),"")</f>
        <v/>
      </c>
      <c r="M40" s="646"/>
      <c r="N40" s="646" t="str">
        <f>IF(AND('Mapa final'!$H$40="Muy Baja",'Mapa final'!$L$40="Leve"),CONCATENATE("R",'Mapa final'!$A$40),"")</f>
        <v/>
      </c>
      <c r="O40" s="648"/>
      <c r="P40" s="645" t="str">
        <f>IF(AND('Mapa final'!$H$28="Muy Baja",'Mapa final'!$L$28="Menor"),CONCATENATE("R",'Mapa final'!$A$28),"")</f>
        <v/>
      </c>
      <c r="Q40" s="646"/>
      <c r="R40" s="646" t="str">
        <f>IF(AND('Mapa final'!$H$34="Muy Baja",'Mapa final'!$L$34="Menor"),CONCATENATE("R",'Mapa final'!$A$34),"")</f>
        <v/>
      </c>
      <c r="S40" s="646"/>
      <c r="T40" s="646" t="str">
        <f>IF(AND('Mapa final'!$H$40="Muy Baja",'Mapa final'!$L$40="Menor"),CONCATENATE("R",'Mapa final'!$A$40),"")</f>
        <v/>
      </c>
      <c r="U40" s="648"/>
      <c r="V40" s="614" t="str">
        <f>IF(AND('Mapa final'!$H$28="Muy Baja",'Mapa final'!$L$28="Moderado"),CONCATENATE("R",'Mapa final'!$A$28),"")</f>
        <v/>
      </c>
      <c r="W40" s="615"/>
      <c r="X40" s="615" t="str">
        <f>IF(AND('Mapa final'!$H$34="Muy Baja",'Mapa final'!$L$34="Moderado"),CONCATENATE("R",'Mapa final'!$A$34),"")</f>
        <v/>
      </c>
      <c r="Y40" s="615"/>
      <c r="Z40" s="615" t="str">
        <f>IF(AND('Mapa final'!$H$40="Muy Baja",'Mapa final'!$L$40="Moderado"),CONCATENATE("R",'Mapa final'!$A$40),"")</f>
        <v/>
      </c>
      <c r="AA40" s="617"/>
      <c r="AB40" s="591" t="str">
        <f>IF(AND('Mapa final'!$H$28="Muy Baja",'Mapa final'!$L$28="Mayor"),CONCATENATE("R",'Mapa final'!$A$28),"")</f>
        <v/>
      </c>
      <c r="AC40" s="592"/>
      <c r="AD40" s="592" t="str">
        <f>IF(AND('Mapa final'!$H$34="Muy Baja",'Mapa final'!$L$34="Mayor"),CONCATENATE("R",'Mapa final'!$A$34),"")</f>
        <v/>
      </c>
      <c r="AE40" s="592"/>
      <c r="AF40" s="592" t="str">
        <f>IF(AND('Mapa final'!$H$40="Muy Baja",'Mapa final'!$L$40="Mayor"),CONCATENATE("R",'Mapa final'!$A$40),"")</f>
        <v/>
      </c>
      <c r="AG40" s="594"/>
      <c r="AH40" s="597" t="str">
        <f>IF(AND('Mapa final'!$H$28="Muy Baja",'Mapa final'!$L$28="Catastrófico"),CONCATENATE("R",'Mapa final'!$A$28),"")</f>
        <v/>
      </c>
      <c r="AI40" s="598"/>
      <c r="AJ40" s="598" t="str">
        <f>IF(AND('Mapa final'!$H$34="Muy Baja",'Mapa final'!$L$34="Catastrófico"),CONCATENATE("R",'Mapa final'!$A$34),"")</f>
        <v/>
      </c>
      <c r="AK40" s="598"/>
      <c r="AL40" s="598" t="str">
        <f>IF(AND('Mapa final'!$H$40="Muy Baja",'Mapa final'!$L$40="Catastrófico"),CONCATENATE("R",'Mapa final'!$A$40),"")</f>
        <v/>
      </c>
      <c r="AM40" s="60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578"/>
      <c r="C41" s="578"/>
      <c r="D41" s="579"/>
      <c r="E41" s="583"/>
      <c r="F41" s="584"/>
      <c r="G41" s="584"/>
      <c r="H41" s="584"/>
      <c r="I41" s="585"/>
      <c r="J41" s="645"/>
      <c r="K41" s="646"/>
      <c r="L41" s="646"/>
      <c r="M41" s="646"/>
      <c r="N41" s="646"/>
      <c r="O41" s="648"/>
      <c r="P41" s="645"/>
      <c r="Q41" s="646"/>
      <c r="R41" s="646"/>
      <c r="S41" s="646"/>
      <c r="T41" s="646"/>
      <c r="U41" s="648"/>
      <c r="V41" s="614"/>
      <c r="W41" s="615"/>
      <c r="X41" s="615"/>
      <c r="Y41" s="615"/>
      <c r="Z41" s="615"/>
      <c r="AA41" s="617"/>
      <c r="AB41" s="591"/>
      <c r="AC41" s="592"/>
      <c r="AD41" s="592"/>
      <c r="AE41" s="592"/>
      <c r="AF41" s="592"/>
      <c r="AG41" s="594"/>
      <c r="AH41" s="597"/>
      <c r="AI41" s="598"/>
      <c r="AJ41" s="598"/>
      <c r="AK41" s="598"/>
      <c r="AL41" s="598"/>
      <c r="AM41" s="60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578"/>
      <c r="C42" s="578"/>
      <c r="D42" s="579"/>
      <c r="E42" s="583"/>
      <c r="F42" s="584"/>
      <c r="G42" s="584"/>
      <c r="H42" s="584"/>
      <c r="I42" s="585"/>
      <c r="J42" s="645" t="str">
        <f>IF(AND('Mapa final'!$H$46="Muy Baja",'Mapa final'!$L$46="Leve"),CONCATENATE("R",'Mapa final'!$A$46),"")</f>
        <v/>
      </c>
      <c r="K42" s="646"/>
      <c r="L42" s="646" t="str">
        <f>IF(AND('Mapa final'!$H$52="Muy Baja",'Mapa final'!$L$52="Leve"),CONCATENATE("R",'Mapa final'!$A$52),"")</f>
        <v/>
      </c>
      <c r="M42" s="646"/>
      <c r="N42" s="646" t="str">
        <f>IF(AND('Mapa final'!$H$58="Muy Baja",'Mapa final'!$L$58="Leve"),CONCATENATE("R",'Mapa final'!$A$58),"")</f>
        <v/>
      </c>
      <c r="O42" s="648"/>
      <c r="P42" s="645" t="str">
        <f>IF(AND('Mapa final'!$H$46="Muy Baja",'Mapa final'!$L$46="Menor"),CONCATENATE("R",'Mapa final'!$A$46),"")</f>
        <v/>
      </c>
      <c r="Q42" s="646"/>
      <c r="R42" s="646" t="str">
        <f>IF(AND('Mapa final'!$H$52="Muy Baja",'Mapa final'!$L$52="Menor"),CONCATENATE("R",'Mapa final'!$A$52),"")</f>
        <v/>
      </c>
      <c r="S42" s="646"/>
      <c r="T42" s="646" t="str">
        <f>IF(AND('Mapa final'!$H$58="Muy Baja",'Mapa final'!$L$58="Menor"),CONCATENATE("R",'Mapa final'!$A$58),"")</f>
        <v/>
      </c>
      <c r="U42" s="648"/>
      <c r="V42" s="614" t="str">
        <f>IF(AND('Mapa final'!$H$46="Muy Baja",'Mapa final'!$L$46="Moderado"),CONCATENATE("R",'Mapa final'!$A$46),"")</f>
        <v/>
      </c>
      <c r="W42" s="615"/>
      <c r="X42" s="615" t="str">
        <f>IF(AND('Mapa final'!$H$52="Muy Baja",'Mapa final'!$L$52="Moderado"),CONCATENATE("R",'Mapa final'!$A$52),"")</f>
        <v/>
      </c>
      <c r="Y42" s="615"/>
      <c r="Z42" s="615" t="str">
        <f>IF(AND('Mapa final'!$H$58="Muy Baja",'Mapa final'!$L$58="Moderado"),CONCATENATE("R",'Mapa final'!$A$58),"")</f>
        <v/>
      </c>
      <c r="AA42" s="617"/>
      <c r="AB42" s="591" t="str">
        <f>IF(AND('Mapa final'!$H$46="Muy Baja",'Mapa final'!$L$46="Mayor"),CONCATENATE("R",'Mapa final'!$A$46),"")</f>
        <v/>
      </c>
      <c r="AC42" s="592"/>
      <c r="AD42" s="592" t="str">
        <f>IF(AND('Mapa final'!$H$52="Muy Baja",'Mapa final'!$L$52="Mayor"),CONCATENATE("R",'Mapa final'!$A$52),"")</f>
        <v/>
      </c>
      <c r="AE42" s="592"/>
      <c r="AF42" s="592" t="str">
        <f>IF(AND('Mapa final'!$H$58="Muy Baja",'Mapa final'!$L$58="Mayor"),CONCATENATE("R",'Mapa final'!$A$58),"")</f>
        <v/>
      </c>
      <c r="AG42" s="594"/>
      <c r="AH42" s="597" t="str">
        <f>IF(AND('Mapa final'!$H$46="Muy Baja",'Mapa final'!$L$46="Catastrófico"),CONCATENATE("R",'Mapa final'!$A$46),"")</f>
        <v/>
      </c>
      <c r="AI42" s="598"/>
      <c r="AJ42" s="598" t="str">
        <f>IF(AND('Mapa final'!$H$52="Muy Baja",'Mapa final'!$L$52="Catastrófico"),CONCATENATE("R",'Mapa final'!$A$52),"")</f>
        <v/>
      </c>
      <c r="AK42" s="598"/>
      <c r="AL42" s="598" t="str">
        <f>IF(AND('Mapa final'!$H$58="Muy Baja",'Mapa final'!$L$58="Catastrófico"),CONCATENATE("R",'Mapa final'!$A$58),"")</f>
        <v/>
      </c>
      <c r="AM42" s="60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578"/>
      <c r="C43" s="578"/>
      <c r="D43" s="579"/>
      <c r="E43" s="583"/>
      <c r="F43" s="584"/>
      <c r="G43" s="584"/>
      <c r="H43" s="584"/>
      <c r="I43" s="585"/>
      <c r="J43" s="645"/>
      <c r="K43" s="646"/>
      <c r="L43" s="646"/>
      <c r="M43" s="646"/>
      <c r="N43" s="646"/>
      <c r="O43" s="648"/>
      <c r="P43" s="645"/>
      <c r="Q43" s="646"/>
      <c r="R43" s="646"/>
      <c r="S43" s="646"/>
      <c r="T43" s="646"/>
      <c r="U43" s="648"/>
      <c r="V43" s="614"/>
      <c r="W43" s="615"/>
      <c r="X43" s="615"/>
      <c r="Y43" s="615"/>
      <c r="Z43" s="615"/>
      <c r="AA43" s="617"/>
      <c r="AB43" s="591"/>
      <c r="AC43" s="592"/>
      <c r="AD43" s="592"/>
      <c r="AE43" s="592"/>
      <c r="AF43" s="592"/>
      <c r="AG43" s="594"/>
      <c r="AH43" s="597"/>
      <c r="AI43" s="598"/>
      <c r="AJ43" s="598"/>
      <c r="AK43" s="598"/>
      <c r="AL43" s="598"/>
      <c r="AM43" s="60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578"/>
      <c r="C44" s="578"/>
      <c r="D44" s="579"/>
      <c r="E44" s="583"/>
      <c r="F44" s="584"/>
      <c r="G44" s="584"/>
      <c r="H44" s="584"/>
      <c r="I44" s="585"/>
      <c r="J44" s="645" t="str">
        <f>IF(AND('Mapa final'!$H$64="Muy Baja",'Mapa final'!$L$64="Leve"),CONCATENATE("R",'Mapa final'!$A$64),"")</f>
        <v/>
      </c>
      <c r="K44" s="646"/>
      <c r="L44" s="646" t="str">
        <f>IF(AND('Mapa final'!$H$70="Muy Baja",'Mapa final'!$L$70="Leve"),CONCATENATE("R",'Mapa final'!$A$70),"")</f>
        <v/>
      </c>
      <c r="M44" s="646"/>
      <c r="N44" s="646" t="str">
        <f>IF(AND('Mapa final'!$H$76="Muy Baja",'Mapa final'!$L$76="Leve"),CONCATENATE("R",'Mapa final'!$A$76),"")</f>
        <v/>
      </c>
      <c r="O44" s="648"/>
      <c r="P44" s="645" t="str">
        <f>IF(AND('Mapa final'!$H$64="Muy Baja",'Mapa final'!$L$64="Menor"),CONCATENATE("R",'Mapa final'!$A$64),"")</f>
        <v/>
      </c>
      <c r="Q44" s="646"/>
      <c r="R44" s="646" t="str">
        <f>IF(AND('Mapa final'!$H$70="Muy Baja",'Mapa final'!$L$70="Menor"),CONCATENATE("R",'Mapa final'!$A$70),"")</f>
        <v/>
      </c>
      <c r="S44" s="646"/>
      <c r="T44" s="646" t="str">
        <f>IF(AND('Mapa final'!$H$76="Muy Baja",'Mapa final'!$L$76="Menor"),CONCATENATE("R",'Mapa final'!$A$76),"")</f>
        <v/>
      </c>
      <c r="U44" s="648"/>
      <c r="V44" s="614" t="str">
        <f>IF(AND('Mapa final'!$H$64="Muy Baja",'Mapa final'!$L$64="Moderado"),CONCATENATE("R",'Mapa final'!$A$64),"")</f>
        <v/>
      </c>
      <c r="W44" s="615"/>
      <c r="X44" s="615" t="str">
        <f>IF(AND('Mapa final'!$H$70="Muy Baja",'Mapa final'!$L$70="Moderado"),CONCATENATE("R",'Mapa final'!$A$70),"")</f>
        <v/>
      </c>
      <c r="Y44" s="615"/>
      <c r="Z44" s="615" t="str">
        <f>IF(AND('Mapa final'!$H$76="Muy Baja",'Mapa final'!$L$76="Moderado"),CONCATENATE("R",'Mapa final'!$A$76),"")</f>
        <v/>
      </c>
      <c r="AA44" s="617"/>
      <c r="AB44" s="591" t="str">
        <f>IF(AND('Mapa final'!$H$64="Muy Baja",'Mapa final'!$L$64="Mayor"),CONCATENATE("R",'Mapa final'!$A$64),"")</f>
        <v/>
      </c>
      <c r="AC44" s="592"/>
      <c r="AD44" s="592" t="str">
        <f>IF(AND('Mapa final'!$H$70="Muy Baja",'Mapa final'!$L$70="Mayor"),CONCATENATE("R",'Mapa final'!$A$70),"")</f>
        <v/>
      </c>
      <c r="AE44" s="592"/>
      <c r="AF44" s="592" t="str">
        <f>IF(AND('Mapa final'!$H$76="Muy Baja",'Mapa final'!$L$76="Mayor"),CONCATENATE("R",'Mapa final'!$A$76),"")</f>
        <v/>
      </c>
      <c r="AG44" s="594"/>
      <c r="AH44" s="597" t="str">
        <f>IF(AND('Mapa final'!$H$64="Muy Baja",'Mapa final'!$L$64="Catastrófico"),CONCATENATE("R",'Mapa final'!$A$64),"")</f>
        <v/>
      </c>
      <c r="AI44" s="598"/>
      <c r="AJ44" s="598" t="str">
        <f>IF(AND('Mapa final'!$H$70="Muy Baja",'Mapa final'!$L$70="Catastrófico"),CONCATENATE("R",'Mapa final'!$A$70),"")</f>
        <v/>
      </c>
      <c r="AK44" s="598"/>
      <c r="AL44" s="598" t="str">
        <f>IF(AND('Mapa final'!$H$76="Muy Baja",'Mapa final'!$L$76="Catastrófico"),CONCATENATE("R",'Mapa final'!$A$76),"")</f>
        <v/>
      </c>
      <c r="AM44" s="60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578"/>
      <c r="C45" s="578"/>
      <c r="D45" s="579"/>
      <c r="E45" s="586"/>
      <c r="F45" s="587"/>
      <c r="G45" s="587"/>
      <c r="H45" s="587"/>
      <c r="I45" s="588"/>
      <c r="J45" s="658"/>
      <c r="K45" s="659"/>
      <c r="L45" s="659"/>
      <c r="M45" s="659"/>
      <c r="N45" s="659"/>
      <c r="O45" s="660"/>
      <c r="P45" s="658"/>
      <c r="Q45" s="659"/>
      <c r="R45" s="659"/>
      <c r="S45" s="659"/>
      <c r="T45" s="659"/>
      <c r="U45" s="660"/>
      <c r="V45" s="631"/>
      <c r="W45" s="632"/>
      <c r="X45" s="632"/>
      <c r="Y45" s="632"/>
      <c r="Z45" s="632"/>
      <c r="AA45" s="633"/>
      <c r="AB45" s="628"/>
      <c r="AC45" s="629"/>
      <c r="AD45" s="629"/>
      <c r="AE45" s="629"/>
      <c r="AF45" s="629"/>
      <c r="AG45" s="630"/>
      <c r="AH45" s="618"/>
      <c r="AI45" s="610"/>
      <c r="AJ45" s="610"/>
      <c r="AK45" s="610"/>
      <c r="AL45" s="610"/>
      <c r="AM45" s="61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0" t="s">
        <v>1062</v>
      </c>
      <c r="K46" s="581"/>
      <c r="L46" s="581"/>
      <c r="M46" s="581"/>
      <c r="N46" s="581"/>
      <c r="O46" s="582"/>
      <c r="P46" s="580" t="s">
        <v>1063</v>
      </c>
      <c r="Q46" s="581"/>
      <c r="R46" s="581"/>
      <c r="S46" s="581"/>
      <c r="T46" s="581"/>
      <c r="U46" s="582"/>
      <c r="V46" s="580" t="s">
        <v>1064</v>
      </c>
      <c r="W46" s="581"/>
      <c r="X46" s="581"/>
      <c r="Y46" s="581"/>
      <c r="Z46" s="581"/>
      <c r="AA46" s="582"/>
      <c r="AB46" s="580" t="s">
        <v>1065</v>
      </c>
      <c r="AC46" s="661"/>
      <c r="AD46" s="581"/>
      <c r="AE46" s="581"/>
      <c r="AF46" s="581"/>
      <c r="AG46" s="582"/>
      <c r="AH46" s="580" t="s">
        <v>1066</v>
      </c>
      <c r="AI46" s="581"/>
      <c r="AJ46" s="581"/>
      <c r="AK46" s="581"/>
      <c r="AL46" s="581"/>
      <c r="AM46" s="58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3"/>
      <c r="K47" s="584"/>
      <c r="L47" s="584"/>
      <c r="M47" s="584"/>
      <c r="N47" s="584"/>
      <c r="O47" s="585"/>
      <c r="P47" s="583"/>
      <c r="Q47" s="584"/>
      <c r="R47" s="584"/>
      <c r="S47" s="584"/>
      <c r="T47" s="584"/>
      <c r="U47" s="585"/>
      <c r="V47" s="583"/>
      <c r="W47" s="584"/>
      <c r="X47" s="584"/>
      <c r="Y47" s="584"/>
      <c r="Z47" s="584"/>
      <c r="AA47" s="585"/>
      <c r="AB47" s="583"/>
      <c r="AC47" s="584"/>
      <c r="AD47" s="584"/>
      <c r="AE47" s="584"/>
      <c r="AF47" s="584"/>
      <c r="AG47" s="585"/>
      <c r="AH47" s="583"/>
      <c r="AI47" s="584"/>
      <c r="AJ47" s="584"/>
      <c r="AK47" s="584"/>
      <c r="AL47" s="584"/>
      <c r="AM47" s="58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3"/>
      <c r="K48" s="584"/>
      <c r="L48" s="584"/>
      <c r="M48" s="584"/>
      <c r="N48" s="584"/>
      <c r="O48" s="585"/>
      <c r="P48" s="583"/>
      <c r="Q48" s="584"/>
      <c r="R48" s="584"/>
      <c r="S48" s="584"/>
      <c r="T48" s="584"/>
      <c r="U48" s="585"/>
      <c r="V48" s="583"/>
      <c r="W48" s="584"/>
      <c r="X48" s="584"/>
      <c r="Y48" s="584"/>
      <c r="Z48" s="584"/>
      <c r="AA48" s="585"/>
      <c r="AB48" s="583"/>
      <c r="AC48" s="584"/>
      <c r="AD48" s="584"/>
      <c r="AE48" s="584"/>
      <c r="AF48" s="584"/>
      <c r="AG48" s="585"/>
      <c r="AH48" s="583"/>
      <c r="AI48" s="584"/>
      <c r="AJ48" s="584"/>
      <c r="AK48" s="584"/>
      <c r="AL48" s="584"/>
      <c r="AM48" s="58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3"/>
      <c r="K49" s="584"/>
      <c r="L49" s="584"/>
      <c r="M49" s="584"/>
      <c r="N49" s="584"/>
      <c r="O49" s="585"/>
      <c r="P49" s="583"/>
      <c r="Q49" s="584"/>
      <c r="R49" s="584"/>
      <c r="S49" s="584"/>
      <c r="T49" s="584"/>
      <c r="U49" s="585"/>
      <c r="V49" s="583"/>
      <c r="W49" s="584"/>
      <c r="X49" s="584"/>
      <c r="Y49" s="584"/>
      <c r="Z49" s="584"/>
      <c r="AA49" s="585"/>
      <c r="AB49" s="583"/>
      <c r="AC49" s="584"/>
      <c r="AD49" s="584"/>
      <c r="AE49" s="584"/>
      <c r="AF49" s="584"/>
      <c r="AG49" s="585"/>
      <c r="AH49" s="583"/>
      <c r="AI49" s="584"/>
      <c r="AJ49" s="584"/>
      <c r="AK49" s="584"/>
      <c r="AL49" s="584"/>
      <c r="AM49" s="58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3"/>
      <c r="K50" s="584"/>
      <c r="L50" s="584"/>
      <c r="M50" s="584"/>
      <c r="N50" s="584"/>
      <c r="O50" s="585"/>
      <c r="P50" s="583"/>
      <c r="Q50" s="584"/>
      <c r="R50" s="584"/>
      <c r="S50" s="584"/>
      <c r="T50" s="584"/>
      <c r="U50" s="585"/>
      <c r="V50" s="583"/>
      <c r="W50" s="584"/>
      <c r="X50" s="584"/>
      <c r="Y50" s="584"/>
      <c r="Z50" s="584"/>
      <c r="AA50" s="585"/>
      <c r="AB50" s="583"/>
      <c r="AC50" s="584"/>
      <c r="AD50" s="584"/>
      <c r="AE50" s="584"/>
      <c r="AF50" s="584"/>
      <c r="AG50" s="585"/>
      <c r="AH50" s="583"/>
      <c r="AI50" s="584"/>
      <c r="AJ50" s="584"/>
      <c r="AK50" s="584"/>
      <c r="AL50" s="584"/>
      <c r="AM50" s="58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6"/>
      <c r="K51" s="587"/>
      <c r="L51" s="587"/>
      <c r="M51" s="587"/>
      <c r="N51" s="587"/>
      <c r="O51" s="588"/>
      <c r="P51" s="586"/>
      <c r="Q51" s="587"/>
      <c r="R51" s="587"/>
      <c r="S51" s="587"/>
      <c r="T51" s="587"/>
      <c r="U51" s="588"/>
      <c r="V51" s="586"/>
      <c r="W51" s="587"/>
      <c r="X51" s="587"/>
      <c r="Y51" s="587"/>
      <c r="Z51" s="587"/>
      <c r="AA51" s="588"/>
      <c r="AB51" s="586"/>
      <c r="AC51" s="587"/>
      <c r="AD51" s="587"/>
      <c r="AE51" s="587"/>
      <c r="AF51" s="587"/>
      <c r="AG51" s="588"/>
      <c r="AH51" s="586"/>
      <c r="AI51" s="587"/>
      <c r="AJ51" s="587"/>
      <c r="AK51" s="587"/>
      <c r="AL51" s="587"/>
      <c r="AM51" s="58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M248"/>
  <sheetViews>
    <sheetView zoomScale="50" zoomScaleNormal="50" workbookViewId="0">
      <selection activeCell="T12" sqref="T12"/>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2" t="s">
        <v>1067</v>
      </c>
      <c r="C2" s="663"/>
      <c r="D2" s="663"/>
      <c r="E2" s="663"/>
      <c r="F2" s="663"/>
      <c r="G2" s="663"/>
      <c r="H2" s="663"/>
      <c r="I2" s="663"/>
      <c r="J2" s="577" t="s">
        <v>5</v>
      </c>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3"/>
      <c r="C3" s="663"/>
      <c r="D3" s="663"/>
      <c r="E3" s="663"/>
      <c r="F3" s="663"/>
      <c r="G3" s="663"/>
      <c r="H3" s="663"/>
      <c r="I3" s="663"/>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3"/>
      <c r="C4" s="663"/>
      <c r="D4" s="663"/>
      <c r="E4" s="663"/>
      <c r="F4" s="663"/>
      <c r="G4" s="663"/>
      <c r="H4" s="663"/>
      <c r="I4" s="663"/>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78" t="s">
        <v>3</v>
      </c>
      <c r="C6" s="578"/>
      <c r="D6" s="579"/>
      <c r="E6" s="664" t="s">
        <v>1054</v>
      </c>
      <c r="F6" s="665"/>
      <c r="G6" s="665"/>
      <c r="H6" s="665"/>
      <c r="I6" s="666"/>
      <c r="J6" s="250" t="str">
        <f>IF(AND('Mapa final'!$Y$10="Muy Alta",'Mapa final'!$AA$10="Leve"),CONCATENATE("R1C",'Mapa final'!$O$10),"")</f>
        <v/>
      </c>
      <c r="K6" s="251" t="str">
        <f>IF(AND('Mapa final'!$Y$11="Muy Alta",'Mapa final'!$AA$11="Leve"),CONCATENATE("R1C",'Mapa final'!$O$11),"")</f>
        <v/>
      </c>
      <c r="L6" s="251" t="str">
        <f>IF(AND('Mapa final'!$Y$12="Muy Alta",'Mapa final'!$AA$12="Leve"),CONCATENATE("R1C",'Mapa final'!$O$12),"")</f>
        <v/>
      </c>
      <c r="M6" s="251" t="str">
        <f>IF(AND('Mapa final'!$Y$13="Muy Alta",'Mapa final'!$AA$13="Leve"),CONCATENATE("R1C",'Mapa final'!$O$13),"")</f>
        <v/>
      </c>
      <c r="N6" s="251" t="str">
        <f>IF(AND('Mapa final'!$Y$14="Muy Alta",'Mapa final'!$AA$14="Leve"),CONCATENATE("R1C",'Mapa final'!$O$14),"")</f>
        <v/>
      </c>
      <c r="O6" s="252" t="str">
        <f>IF(AND('Mapa final'!$Y$15="Muy Alta",'Mapa final'!$AA$15="Leve"),CONCATENATE("R1C",'Mapa final'!$O$15),"")</f>
        <v/>
      </c>
      <c r="P6" s="250" t="str">
        <f>IF(AND('Mapa final'!$Y$10="Muy Alta",'Mapa final'!$AA$10="Menor"),CONCATENATE("R1C",'Mapa final'!$O$10),"")</f>
        <v/>
      </c>
      <c r="Q6" s="251" t="str">
        <f>IF(AND('Mapa final'!$Y$11="Muy Alta",'Mapa final'!$AA$11="Menor"),CONCATENATE("R1C",'Mapa final'!$O$11),"")</f>
        <v/>
      </c>
      <c r="R6" s="251" t="str">
        <f>IF(AND('Mapa final'!$Y$12="Muy Alta",'Mapa final'!$AA$12="Menor"),CONCATENATE("R1C",'Mapa final'!$O$12),"")</f>
        <v/>
      </c>
      <c r="S6" s="251" t="str">
        <f>IF(AND('Mapa final'!$Y$13="Muy Alta",'Mapa final'!$AA$13="Menor"),CONCATENATE("R1C",'Mapa final'!$O$13),"")</f>
        <v/>
      </c>
      <c r="T6" s="251" t="str">
        <f>IF(AND('Mapa final'!$Y$14="Muy Alta",'Mapa final'!$AA$14="Menor"),CONCATENATE("R1C",'Mapa final'!$O$14),"")</f>
        <v/>
      </c>
      <c r="U6" s="252" t="str">
        <f>IF(AND('Mapa final'!$Y$15="Muy Alta",'Mapa final'!$AA$15="Menor"),CONCATENATE("R1C",'Mapa final'!$O$15),"")</f>
        <v/>
      </c>
      <c r="V6" s="250" t="str">
        <f>IF(AND('Mapa final'!$Y$10="Muy Alta",'Mapa final'!$AA$10="Moderado"),CONCATENATE("R1C",'Mapa final'!$O$10),"")</f>
        <v/>
      </c>
      <c r="W6" s="251" t="str">
        <f>IF(AND('Mapa final'!$Y$11="Muy Alta",'Mapa final'!$AA$11="Moderado"),CONCATENATE("R1C",'Mapa final'!$O$11),"")</f>
        <v/>
      </c>
      <c r="X6" s="251" t="str">
        <f>IF(AND('Mapa final'!$Y$12="Muy Alta",'Mapa final'!$AA$12="Moderado"),CONCATENATE("R1C",'Mapa final'!$O$12),"")</f>
        <v/>
      </c>
      <c r="Y6" s="251" t="str">
        <f>IF(AND('Mapa final'!$Y$13="Muy Alta",'Mapa final'!$AA$13="Moderado"),CONCATENATE("R1C",'Mapa final'!$O$13),"")</f>
        <v/>
      </c>
      <c r="Z6" s="251" t="str">
        <f>IF(AND('Mapa final'!$Y$14="Muy Alta",'Mapa final'!$AA$14="Moderado"),CONCATENATE("R1C",'Mapa final'!$O$14),"")</f>
        <v/>
      </c>
      <c r="AA6" s="252" t="str">
        <f>IF(AND('Mapa final'!$Y$15="Muy Alta",'Mapa final'!$AA$15="Moderado"),CONCATENATE("R1C",'Mapa final'!$O$15),"")</f>
        <v/>
      </c>
      <c r="AB6" s="250" t="str">
        <f>IF(AND('Mapa final'!$Y$10="Muy Alta",'Mapa final'!$AA$10="Mayor"),CONCATENATE("R1C",'Mapa final'!$O$10),"")</f>
        <v/>
      </c>
      <c r="AC6" s="251" t="str">
        <f>IF(AND('Mapa final'!$Y$11="Muy Alta",'Mapa final'!$AA$11="Mayor"),CONCATENATE("R1C",'Mapa final'!$O$11),"")</f>
        <v/>
      </c>
      <c r="AD6" s="251" t="str">
        <f>IF(AND('Mapa final'!$Y$12="Muy Alta",'Mapa final'!$AA$12="Mayor"),CONCATENATE("R1C",'Mapa final'!$O$12),"")</f>
        <v/>
      </c>
      <c r="AE6" s="251" t="str">
        <f>IF(AND('Mapa final'!$Y$13="Muy Alta",'Mapa final'!$AA$13="Mayor"),CONCATENATE("R1C",'Mapa final'!$O$13),"")</f>
        <v/>
      </c>
      <c r="AF6" s="251" t="str">
        <f>IF(AND('Mapa final'!$Y$14="Muy Alta",'Mapa final'!$AA$14="Mayor"),CONCATENATE("R1C",'Mapa final'!$O$14),"")</f>
        <v/>
      </c>
      <c r="AG6" s="252" t="str">
        <f>IF(AND('Mapa final'!$Y$15="Muy Alta",'Mapa final'!$AA$15="Mayor"),CONCATENATE("R1C",'Mapa final'!$O$15),"")</f>
        <v/>
      </c>
      <c r="AH6" s="253" t="str">
        <f>IF(AND('Mapa final'!$Y$10="Muy Alta",'Mapa final'!$AA$10="Catastrófico"),CONCATENATE("R1C",'Mapa final'!$O$10),"")</f>
        <v/>
      </c>
      <c r="AI6" s="254" t="str">
        <f>IF(AND('Mapa final'!$Y$11="Muy Alta",'Mapa final'!$AA$11="Catastrófico"),CONCATENATE("R1C",'Mapa final'!$O$11),"")</f>
        <v/>
      </c>
      <c r="AJ6" s="254" t="str">
        <f>IF(AND('Mapa final'!$Y$12="Muy Alta",'Mapa final'!$AA$12="Catastrófico"),CONCATENATE("R1C",'Mapa final'!$O$12),"")</f>
        <v/>
      </c>
      <c r="AK6" s="254" t="str">
        <f>IF(AND('Mapa final'!$Y$13="Muy Alta",'Mapa final'!$AA$13="Catastrófico"),CONCATENATE("R1C",'Mapa final'!$O$13),"")</f>
        <v/>
      </c>
      <c r="AL6" s="254" t="str">
        <f>IF(AND('Mapa final'!$Y$14="Muy Alta",'Mapa final'!$AA$14="Catastrófico"),CONCATENATE("R1C",'Mapa final'!$O$14),"")</f>
        <v/>
      </c>
      <c r="AM6" s="255" t="str">
        <f>IF(AND('Mapa final'!$Y$15="Muy Alta",'Mapa final'!$AA$15="Catastrófico"),CONCATENATE("R1C",'Mapa final'!$O$15),"")</f>
        <v/>
      </c>
      <c r="AN6" s="15"/>
      <c r="AO6" s="673" t="s">
        <v>1055</v>
      </c>
      <c r="AP6" s="674"/>
      <c r="AQ6" s="674"/>
      <c r="AR6" s="674"/>
      <c r="AS6" s="674"/>
      <c r="AT6" s="67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78"/>
      <c r="C7" s="578"/>
      <c r="D7" s="579"/>
      <c r="E7" s="667"/>
      <c r="F7" s="668"/>
      <c r="G7" s="668"/>
      <c r="H7" s="668"/>
      <c r="I7" s="669"/>
      <c r="J7" s="256" t="str">
        <f>IF(AND('Mapa final'!$Y$16="Muy Alta",'Mapa final'!$AA$16="Leve"),CONCATENATE("R2C",'Mapa final'!$O$16),"")</f>
        <v/>
      </c>
      <c r="K7" s="257" t="str">
        <f>IF(AND('Mapa final'!$Y$17="Muy Alta",'Mapa final'!$AA$17="Leve"),CONCATENATE("R2C",'Mapa final'!$O$17),"")</f>
        <v/>
      </c>
      <c r="L7" s="257" t="str">
        <f>IF(AND('Mapa final'!$Y$18="Muy Alta",'Mapa final'!$AA$18="Leve"),CONCATENATE("R2C",'Mapa final'!$O$18),"")</f>
        <v/>
      </c>
      <c r="M7" s="257" t="str">
        <f>IF(AND('Mapa final'!$Y$19="Muy Alta",'Mapa final'!$AA$19="Leve"),CONCATENATE("R2C",'Mapa final'!$O$19),"")</f>
        <v/>
      </c>
      <c r="N7" s="257" t="str">
        <f>IF(AND('Mapa final'!$Y$20="Muy Alta",'Mapa final'!$AA$20="Leve"),CONCATENATE("R2C",'Mapa final'!$O$20),"")</f>
        <v/>
      </c>
      <c r="O7" s="258" t="str">
        <f>IF(AND('Mapa final'!$Y$21="Muy Alta",'Mapa final'!$AA$21="Leve"),CONCATENATE("R2C",'Mapa final'!$O$21),"")</f>
        <v/>
      </c>
      <c r="P7" s="256" t="str">
        <f>IF(AND('Mapa final'!$Y$16="Muy Alta",'Mapa final'!$AA$16="Menor"),CONCATENATE("R2C",'Mapa final'!$O$16),"")</f>
        <v/>
      </c>
      <c r="Q7" s="257" t="str">
        <f>IF(AND('Mapa final'!$Y$17="Muy Alta",'Mapa final'!$AA$17="Menor"),CONCATENATE("R2C",'Mapa final'!$O$17),"")</f>
        <v/>
      </c>
      <c r="R7" s="257" t="str">
        <f>IF(AND('Mapa final'!$Y$18="Muy Alta",'Mapa final'!$AA$18="Menor"),CONCATENATE("R2C",'Mapa final'!$O$18),"")</f>
        <v/>
      </c>
      <c r="S7" s="257" t="str">
        <f>IF(AND('Mapa final'!$Y$19="Muy Alta",'Mapa final'!$AA$19="Menor"),CONCATENATE("R2C",'Mapa final'!$O$19),"")</f>
        <v/>
      </c>
      <c r="T7" s="257" t="str">
        <f>IF(AND('Mapa final'!$Y$20="Muy Alta",'Mapa final'!$AA$20="Menor"),CONCATENATE("R2C",'Mapa final'!$O$20),"")</f>
        <v/>
      </c>
      <c r="U7" s="258" t="str">
        <f>IF(AND('Mapa final'!$Y$21="Muy Alta",'Mapa final'!$AA$21="Menor"),CONCATENATE("R2C",'Mapa final'!$O$21),"")</f>
        <v/>
      </c>
      <c r="V7" s="256" t="str">
        <f>IF(AND('Mapa final'!$Y$16="Muy Alta",'Mapa final'!$AA$16="Moderado"),CONCATENATE("R2C",'Mapa final'!$O$16),"")</f>
        <v/>
      </c>
      <c r="W7" s="257" t="str">
        <f>IF(AND('Mapa final'!$Y$17="Muy Alta",'Mapa final'!$AA$17="Moderado"),CONCATENATE("R2C",'Mapa final'!$O$17),"")</f>
        <v/>
      </c>
      <c r="X7" s="257" t="str">
        <f>IF(AND('Mapa final'!$Y$18="Muy Alta",'Mapa final'!$AA$18="Moderado"),CONCATENATE("R2C",'Mapa final'!$O$18),"")</f>
        <v/>
      </c>
      <c r="Y7" s="257" t="str">
        <f>IF(AND('Mapa final'!$Y$19="Muy Alta",'Mapa final'!$AA$19="Moderado"),CONCATENATE("R2C",'Mapa final'!$O$19),"")</f>
        <v/>
      </c>
      <c r="Z7" s="257" t="str">
        <f>IF(AND('Mapa final'!$Y$20="Muy Alta",'Mapa final'!$AA$20="Moderado"),CONCATENATE("R2C",'Mapa final'!$O$20),"")</f>
        <v/>
      </c>
      <c r="AA7" s="258" t="str">
        <f>IF(AND('Mapa final'!$Y$21="Muy Alta",'Mapa final'!$AA$21="Moderado"),CONCATENATE("R2C",'Mapa final'!$O$21),"")</f>
        <v/>
      </c>
      <c r="AB7" s="256" t="str">
        <f>IF(AND('Mapa final'!$Y$16="Muy Alta",'Mapa final'!$AA$16="Mayor"),CONCATENATE("R2C",'Mapa final'!$O$16),"")</f>
        <v/>
      </c>
      <c r="AC7" s="257" t="str">
        <f>IF(AND('Mapa final'!$Y$17="Muy Alta",'Mapa final'!$AA$17="Mayor"),CONCATENATE("R2C",'Mapa final'!$O$17),"")</f>
        <v/>
      </c>
      <c r="AD7" s="257" t="str">
        <f>IF(AND('Mapa final'!$Y$18="Muy Alta",'Mapa final'!$AA$18="Mayor"),CONCATENATE("R2C",'Mapa final'!$O$18),"")</f>
        <v/>
      </c>
      <c r="AE7" s="257" t="str">
        <f>IF(AND('Mapa final'!$Y$19="Muy Alta",'Mapa final'!$AA$19="Mayor"),CONCATENATE("R2C",'Mapa final'!$O$19),"")</f>
        <v/>
      </c>
      <c r="AF7" s="257" t="str">
        <f>IF(AND('Mapa final'!$Y$20="Muy Alta",'Mapa final'!$AA$20="Mayor"),CONCATENATE("R2C",'Mapa final'!$O$20),"")</f>
        <v/>
      </c>
      <c r="AG7" s="258" t="str">
        <f>IF(AND('Mapa final'!$Y$21="Muy Alta",'Mapa final'!$AA$21="Mayor"),CONCATENATE("R2C",'Mapa final'!$O$21),"")</f>
        <v/>
      </c>
      <c r="AH7" s="259" t="str">
        <f>IF(AND('Mapa final'!$Y$16="Muy Alta",'Mapa final'!$AA$16="Catastrófico"),CONCATENATE("R2C",'Mapa final'!$O$16),"")</f>
        <v/>
      </c>
      <c r="AI7" s="260" t="str">
        <f>IF(AND('Mapa final'!$Y$17="Muy Alta",'Mapa final'!$AA$17="Catastrófico"),CONCATENATE("R2C",'Mapa final'!$O$17),"")</f>
        <v/>
      </c>
      <c r="AJ7" s="260" t="str">
        <f>IF(AND('Mapa final'!$Y$18="Muy Alta",'Mapa final'!$AA$18="Catastrófico"),CONCATENATE("R2C",'Mapa final'!$O$18),"")</f>
        <v/>
      </c>
      <c r="AK7" s="260" t="str">
        <f>IF(AND('Mapa final'!$Y$19="Muy Alta",'Mapa final'!$AA$19="Catastrófico"),CONCATENATE("R2C",'Mapa final'!$O$19),"")</f>
        <v/>
      </c>
      <c r="AL7" s="260" t="str">
        <f>IF(AND('Mapa final'!$Y$20="Muy Alta",'Mapa final'!$AA$20="Catastrófico"),CONCATENATE("R2C",'Mapa final'!$O$20),"")</f>
        <v/>
      </c>
      <c r="AM7" s="261" t="str">
        <f>IF(AND('Mapa final'!$Y$21="Muy Alta",'Mapa final'!$AA$21="Catastrófico"),CONCATENATE("R2C",'Mapa final'!$O$21),"")</f>
        <v/>
      </c>
      <c r="AN7" s="15"/>
      <c r="AO7" s="676"/>
      <c r="AP7" s="677"/>
      <c r="AQ7" s="677"/>
      <c r="AR7" s="677"/>
      <c r="AS7" s="677"/>
      <c r="AT7" s="67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78"/>
      <c r="C8" s="578"/>
      <c r="D8" s="579"/>
      <c r="E8" s="667"/>
      <c r="F8" s="668"/>
      <c r="G8" s="668"/>
      <c r="H8" s="668"/>
      <c r="I8" s="669"/>
      <c r="J8" s="256" t="str">
        <f>IF(AND('Mapa final'!$Y$22="Muy Alta",'Mapa final'!$AA$22="Leve"),CONCATENATE("R3C",'Mapa final'!$O$22),"")</f>
        <v/>
      </c>
      <c r="K8" s="257" t="str">
        <f>IF(AND('Mapa final'!$Y$23="Muy Alta",'Mapa final'!$AA$23="Leve"),CONCATENATE("R3C",'Mapa final'!$O$23),"")</f>
        <v/>
      </c>
      <c r="L8" s="257" t="str">
        <f>IF(AND('Mapa final'!$Y$24="Muy Alta",'Mapa final'!$AA$24="Leve"),CONCATENATE("R3C",'Mapa final'!$O$24),"")</f>
        <v/>
      </c>
      <c r="M8" s="257" t="str">
        <f>IF(AND('Mapa final'!$Y$25="Muy Alta",'Mapa final'!$AA$25="Leve"),CONCATENATE("R3C",'Mapa final'!$O$25),"")</f>
        <v/>
      </c>
      <c r="N8" s="257" t="str">
        <f>IF(AND('Mapa final'!$Y$26="Muy Alta",'Mapa final'!$AA$26="Leve"),CONCATENATE("R3C",'Mapa final'!$O$26),"")</f>
        <v/>
      </c>
      <c r="O8" s="258" t="str">
        <f>IF(AND('Mapa final'!$Y$27="Muy Alta",'Mapa final'!$AA$27="Leve"),CONCATENATE("R3C",'Mapa final'!$O$27),"")</f>
        <v/>
      </c>
      <c r="P8" s="256" t="str">
        <f>IF(AND('Mapa final'!$Y$22="Muy Alta",'Mapa final'!$AA$22="Menor"),CONCATENATE("R3C",'Mapa final'!$O$22),"")</f>
        <v/>
      </c>
      <c r="Q8" s="257" t="str">
        <f>IF(AND('Mapa final'!$Y$23="Muy Alta",'Mapa final'!$AA$23="Menor"),CONCATENATE("R3C",'Mapa final'!$O$23),"")</f>
        <v/>
      </c>
      <c r="R8" s="257" t="str">
        <f>IF(AND('Mapa final'!$Y$24="Muy Alta",'Mapa final'!$AA$24="Menor"),CONCATENATE("R3C",'Mapa final'!$O$24),"")</f>
        <v/>
      </c>
      <c r="S8" s="257" t="str">
        <f>IF(AND('Mapa final'!$Y$25="Muy Alta",'Mapa final'!$AA$25="Menor"),CONCATENATE("R3C",'Mapa final'!$O$25),"")</f>
        <v/>
      </c>
      <c r="T8" s="257" t="str">
        <f>IF(AND('Mapa final'!$Y$26="Muy Alta",'Mapa final'!$AA$26="Menor"),CONCATENATE("R3C",'Mapa final'!$O$26),"")</f>
        <v/>
      </c>
      <c r="U8" s="258" t="str">
        <f>IF(AND('Mapa final'!$Y$27="Muy Alta",'Mapa final'!$AA$27="Menor"),CONCATENATE("R3C",'Mapa final'!$O$27),"")</f>
        <v/>
      </c>
      <c r="V8" s="256" t="str">
        <f>IF(AND('Mapa final'!$Y$22="Muy Alta",'Mapa final'!$AA$22="Moderado"),CONCATENATE("R3C",'Mapa final'!$O$22),"")</f>
        <v/>
      </c>
      <c r="W8" s="257" t="str">
        <f>IF(AND('Mapa final'!$Y$23="Muy Alta",'Mapa final'!$AA$23="Moderado"),CONCATENATE("R3C",'Mapa final'!$O$23),"")</f>
        <v/>
      </c>
      <c r="X8" s="257" t="str">
        <f>IF(AND('Mapa final'!$Y$24="Muy Alta",'Mapa final'!$AA$24="Moderado"),CONCATENATE("R3C",'Mapa final'!$O$24),"")</f>
        <v/>
      </c>
      <c r="Y8" s="257" t="str">
        <f>IF(AND('Mapa final'!$Y$25="Muy Alta",'Mapa final'!$AA$25="Moderado"),CONCATENATE("R3C",'Mapa final'!$O$25),"")</f>
        <v/>
      </c>
      <c r="Z8" s="257" t="str">
        <f>IF(AND('Mapa final'!$Y$26="Muy Alta",'Mapa final'!$AA$26="Moderado"),CONCATENATE("R3C",'Mapa final'!$O$26),"")</f>
        <v/>
      </c>
      <c r="AA8" s="258" t="str">
        <f>IF(AND('Mapa final'!$Y$27="Muy Alta",'Mapa final'!$AA$27="Moderado"),CONCATENATE("R3C",'Mapa final'!$O$27),"")</f>
        <v/>
      </c>
      <c r="AB8" s="256" t="str">
        <f>IF(AND('Mapa final'!$Y$22="Muy Alta",'Mapa final'!$AA$22="Mayor"),CONCATENATE("R3C",'Mapa final'!$O$22),"")</f>
        <v/>
      </c>
      <c r="AC8" s="257" t="str">
        <f>IF(AND('Mapa final'!$Y$23="Muy Alta",'Mapa final'!$AA$23="Mayor"),CONCATENATE("R3C",'Mapa final'!$O$23),"")</f>
        <v/>
      </c>
      <c r="AD8" s="257" t="str">
        <f>IF(AND('Mapa final'!$Y$24="Muy Alta",'Mapa final'!$AA$24="Mayor"),CONCATENATE("R3C",'Mapa final'!$O$24),"")</f>
        <v/>
      </c>
      <c r="AE8" s="257" t="str">
        <f>IF(AND('Mapa final'!$Y$25="Muy Alta",'Mapa final'!$AA$25="Mayor"),CONCATENATE("R3C",'Mapa final'!$O$25),"")</f>
        <v/>
      </c>
      <c r="AF8" s="257" t="str">
        <f>IF(AND('Mapa final'!$Y$26="Muy Alta",'Mapa final'!$AA$26="Mayor"),CONCATENATE("R3C",'Mapa final'!$O$26),"")</f>
        <v/>
      </c>
      <c r="AG8" s="258" t="str">
        <f>IF(AND('Mapa final'!$Y$27="Muy Alta",'Mapa final'!$AA$27="Mayor"),CONCATENATE("R3C",'Mapa final'!$O$27),"")</f>
        <v/>
      </c>
      <c r="AH8" s="259" t="str">
        <f>IF(AND('Mapa final'!$Y$22="Muy Alta",'Mapa final'!$AA$22="Catastrófico"),CONCATENATE("R3C",'Mapa final'!$O$22),"")</f>
        <v/>
      </c>
      <c r="AI8" s="260" t="str">
        <f>IF(AND('Mapa final'!$Y$23="Muy Alta",'Mapa final'!$AA$23="Catastrófico"),CONCATENATE("R3C",'Mapa final'!$O$23),"")</f>
        <v/>
      </c>
      <c r="AJ8" s="260" t="str">
        <f>IF(AND('Mapa final'!$Y$24="Muy Alta",'Mapa final'!$AA$24="Catastrófico"),CONCATENATE("R3C",'Mapa final'!$O$24),"")</f>
        <v/>
      </c>
      <c r="AK8" s="260" t="str">
        <f>IF(AND('Mapa final'!$Y$25="Muy Alta",'Mapa final'!$AA$25="Catastrófico"),CONCATENATE("R3C",'Mapa final'!$O$25),"")</f>
        <v/>
      </c>
      <c r="AL8" s="260" t="str">
        <f>IF(AND('Mapa final'!$Y$26="Muy Alta",'Mapa final'!$AA$26="Catastrófico"),CONCATENATE("R3C",'Mapa final'!$O$26),"")</f>
        <v/>
      </c>
      <c r="AM8" s="261" t="str">
        <f>IF(AND('Mapa final'!$Y$27="Muy Alta",'Mapa final'!$AA$27="Catastrófico"),CONCATENATE("R3C",'Mapa final'!$O$27),"")</f>
        <v/>
      </c>
      <c r="AN8" s="15"/>
      <c r="AO8" s="676"/>
      <c r="AP8" s="677"/>
      <c r="AQ8" s="677"/>
      <c r="AR8" s="677"/>
      <c r="AS8" s="677"/>
      <c r="AT8" s="67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78"/>
      <c r="C9" s="578"/>
      <c r="D9" s="579"/>
      <c r="E9" s="667"/>
      <c r="F9" s="668"/>
      <c r="G9" s="668"/>
      <c r="H9" s="668"/>
      <c r="I9" s="669"/>
      <c r="J9" s="256" t="str">
        <f>IF(AND('Mapa final'!$Y$28="Muy Alta",'Mapa final'!$AA$28="Leve"),CONCATENATE("R4C",'Mapa final'!$O$28),"")</f>
        <v/>
      </c>
      <c r="K9" s="257" t="str">
        <f>IF(AND('Mapa final'!$Y$29="Muy Alta",'Mapa final'!$AA$29="Leve"),CONCATENATE("R4C",'Mapa final'!$O$29),"")</f>
        <v/>
      </c>
      <c r="L9" s="257" t="str">
        <f>IF(AND('Mapa final'!$Y$30="Muy Alta",'Mapa final'!$AA$30="Leve"),CONCATENATE("R4C",'Mapa final'!$O$30),"")</f>
        <v/>
      </c>
      <c r="M9" s="257" t="str">
        <f>IF(AND('Mapa final'!$Y$31="Muy Alta",'Mapa final'!$AA$31="Leve"),CONCATENATE("R4C",'Mapa final'!$O$31),"")</f>
        <v/>
      </c>
      <c r="N9" s="257" t="str">
        <f>IF(AND('Mapa final'!$Y$32="Muy Alta",'Mapa final'!$AA$32="Leve"),CONCATENATE("R4C",'Mapa final'!$O$32),"")</f>
        <v/>
      </c>
      <c r="O9" s="258" t="str">
        <f>IF(AND('Mapa final'!$Y$33="Muy Alta",'Mapa final'!$AA$33="Leve"),CONCATENATE("R4C",'Mapa final'!$O$33),"")</f>
        <v/>
      </c>
      <c r="P9" s="256" t="str">
        <f>IF(AND('Mapa final'!$Y$28="Muy Alta",'Mapa final'!$AA$28="Menor"),CONCATENATE("R4C",'Mapa final'!$O$28),"")</f>
        <v/>
      </c>
      <c r="Q9" s="257" t="str">
        <f>IF(AND('Mapa final'!$Y$29="Muy Alta",'Mapa final'!$AA$29="Menor"),CONCATENATE("R4C",'Mapa final'!$O$29),"")</f>
        <v/>
      </c>
      <c r="R9" s="257" t="str">
        <f>IF(AND('Mapa final'!$Y$30="Muy Alta",'Mapa final'!$AA$30="Menor"),CONCATENATE("R4C",'Mapa final'!$O$30),"")</f>
        <v/>
      </c>
      <c r="S9" s="257" t="str">
        <f>IF(AND('Mapa final'!$Y$31="Muy Alta",'Mapa final'!$AA$31="Menor"),CONCATENATE("R4C",'Mapa final'!$O$31),"")</f>
        <v/>
      </c>
      <c r="T9" s="257" t="str">
        <f>IF(AND('Mapa final'!$Y$32="Muy Alta",'Mapa final'!$AA$32="Menor"),CONCATENATE("R4C",'Mapa final'!$O$32),"")</f>
        <v/>
      </c>
      <c r="U9" s="258" t="str">
        <f>IF(AND('Mapa final'!$Y$33="Muy Alta",'Mapa final'!$AA$33="Menor"),CONCATENATE("R4C",'Mapa final'!$O$33),"")</f>
        <v/>
      </c>
      <c r="V9" s="256" t="str">
        <f>IF(AND('Mapa final'!$Y$28="Muy Alta",'Mapa final'!$AA$28="Moderado"),CONCATENATE("R4C",'Mapa final'!$O$28),"")</f>
        <v/>
      </c>
      <c r="W9" s="257" t="str">
        <f>IF(AND('Mapa final'!$Y$29="Muy Alta",'Mapa final'!$AA$29="Moderado"),CONCATENATE("R4C",'Mapa final'!$O$29),"")</f>
        <v/>
      </c>
      <c r="X9" s="257" t="str">
        <f>IF(AND('Mapa final'!$Y$30="Muy Alta",'Mapa final'!$AA$30="Moderado"),CONCATENATE("R4C",'Mapa final'!$O$30),"")</f>
        <v/>
      </c>
      <c r="Y9" s="257" t="str">
        <f>IF(AND('Mapa final'!$Y$31="Muy Alta",'Mapa final'!$AA$31="Moderado"),CONCATENATE("R4C",'Mapa final'!$O$31),"")</f>
        <v/>
      </c>
      <c r="Z9" s="257" t="str">
        <f>IF(AND('Mapa final'!$Y$32="Muy Alta",'Mapa final'!$AA$32="Moderado"),CONCATENATE("R4C",'Mapa final'!$O$32),"")</f>
        <v/>
      </c>
      <c r="AA9" s="258" t="str">
        <f>IF(AND('Mapa final'!$Y$33="Muy Alta",'Mapa final'!$AA$33="Moderado"),CONCATENATE("R4C",'Mapa final'!$O$33),"")</f>
        <v/>
      </c>
      <c r="AB9" s="256" t="str">
        <f>IF(AND('Mapa final'!$Y$28="Muy Alta",'Mapa final'!$AA$28="Mayor"),CONCATENATE("R4C",'Mapa final'!$O$28),"")</f>
        <v/>
      </c>
      <c r="AC9" s="257" t="str">
        <f>IF(AND('Mapa final'!$Y$29="Muy Alta",'Mapa final'!$AA$29="Mayor"),CONCATENATE("R4C",'Mapa final'!$O$29),"")</f>
        <v/>
      </c>
      <c r="AD9" s="257" t="str">
        <f>IF(AND('Mapa final'!$Y$30="Muy Alta",'Mapa final'!$AA$30="Mayor"),CONCATENATE("R4C",'Mapa final'!$O$30),"")</f>
        <v/>
      </c>
      <c r="AE9" s="257" t="str">
        <f>IF(AND('Mapa final'!$Y$31="Muy Alta",'Mapa final'!$AA$31="Mayor"),CONCATENATE("R4C",'Mapa final'!$O$31),"")</f>
        <v/>
      </c>
      <c r="AF9" s="257" t="str">
        <f>IF(AND('Mapa final'!$Y$32="Muy Alta",'Mapa final'!$AA$32="Mayor"),CONCATENATE("R4C",'Mapa final'!$O$32),"")</f>
        <v/>
      </c>
      <c r="AG9" s="258" t="str">
        <f>IF(AND('Mapa final'!$Y$33="Muy Alta",'Mapa final'!$AA$33="Mayor"),CONCATENATE("R4C",'Mapa final'!$O$33),"")</f>
        <v/>
      </c>
      <c r="AH9" s="259" t="str">
        <f>IF(AND('Mapa final'!$Y$28="Muy Alta",'Mapa final'!$AA$28="Catastrófico"),CONCATENATE("R4C",'Mapa final'!$O$28),"")</f>
        <v/>
      </c>
      <c r="AI9" s="260" t="str">
        <f>IF(AND('Mapa final'!$Y$29="Muy Alta",'Mapa final'!$AA$29="Catastrófico"),CONCATENATE("R4C",'Mapa final'!$O$29),"")</f>
        <v/>
      </c>
      <c r="AJ9" s="260" t="str">
        <f>IF(AND('Mapa final'!$Y$30="Muy Alta",'Mapa final'!$AA$30="Catastrófico"),CONCATENATE("R4C",'Mapa final'!$O$30),"")</f>
        <v/>
      </c>
      <c r="AK9" s="260" t="str">
        <f>IF(AND('Mapa final'!$Y$31="Muy Alta",'Mapa final'!$AA$31="Catastrófico"),CONCATENATE("R4C",'Mapa final'!$O$31),"")</f>
        <v/>
      </c>
      <c r="AL9" s="260" t="str">
        <f>IF(AND('Mapa final'!$Y$32="Muy Alta",'Mapa final'!$AA$32="Catastrófico"),CONCATENATE("R4C",'Mapa final'!$O$32),"")</f>
        <v/>
      </c>
      <c r="AM9" s="261" t="str">
        <f>IF(AND('Mapa final'!$Y$33="Muy Alta",'Mapa final'!$AA$33="Catastrófico"),CONCATENATE("R4C",'Mapa final'!$O$33),"")</f>
        <v/>
      </c>
      <c r="AN9" s="15"/>
      <c r="AO9" s="676"/>
      <c r="AP9" s="677"/>
      <c r="AQ9" s="677"/>
      <c r="AR9" s="677"/>
      <c r="AS9" s="677"/>
      <c r="AT9" s="67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78"/>
      <c r="C10" s="578"/>
      <c r="D10" s="579"/>
      <c r="E10" s="667"/>
      <c r="F10" s="668"/>
      <c r="G10" s="668"/>
      <c r="H10" s="668"/>
      <c r="I10" s="669"/>
      <c r="J10" s="256" t="str">
        <f>IF(AND('Mapa final'!$Y$34="Muy Alta",'Mapa final'!$AA$34="Leve"),CONCATENATE("R5C",'Mapa final'!$O$34),"")</f>
        <v/>
      </c>
      <c r="K10" s="257" t="str">
        <f>IF(AND('Mapa final'!$Y$35="Muy Alta",'Mapa final'!$AA$35="Leve"),CONCATENATE("R5C",'Mapa final'!$O$35),"")</f>
        <v/>
      </c>
      <c r="L10" s="257" t="str">
        <f>IF(AND('Mapa final'!$Y$36="Muy Alta",'Mapa final'!$AA$36="Leve"),CONCATENATE("R5C",'Mapa final'!$O$36),"")</f>
        <v/>
      </c>
      <c r="M10" s="257" t="str">
        <f>IF(AND('Mapa final'!$Y$37="Muy Alta",'Mapa final'!$AA$37="Leve"),CONCATENATE("R5C",'Mapa final'!$O$37),"")</f>
        <v/>
      </c>
      <c r="N10" s="257" t="str">
        <f>IF(AND('Mapa final'!$Y$38="Muy Alta",'Mapa final'!$AA$38="Leve"),CONCATENATE("R5C",'Mapa final'!$O$38),"")</f>
        <v/>
      </c>
      <c r="O10" s="258" t="str">
        <f>IF(AND('Mapa final'!$Y$39="Muy Alta",'Mapa final'!$AA$39="Leve"),CONCATENATE("R5C",'Mapa final'!$O$39),"")</f>
        <v/>
      </c>
      <c r="P10" s="256" t="str">
        <f>IF(AND('Mapa final'!$Y$34="Muy Alta",'Mapa final'!$AA$34="Menor"),CONCATENATE("R5C",'Mapa final'!$O$34),"")</f>
        <v/>
      </c>
      <c r="Q10" s="257" t="str">
        <f>IF(AND('Mapa final'!$Y$35="Muy Alta",'Mapa final'!$AA$35="Menor"),CONCATENATE("R5C",'Mapa final'!$O$35),"")</f>
        <v/>
      </c>
      <c r="R10" s="257" t="str">
        <f>IF(AND('Mapa final'!$Y$36="Muy Alta",'Mapa final'!$AA$36="Menor"),CONCATENATE("R5C",'Mapa final'!$O$36),"")</f>
        <v/>
      </c>
      <c r="S10" s="257" t="str">
        <f>IF(AND('Mapa final'!$Y$37="Muy Alta",'Mapa final'!$AA$37="Menor"),CONCATENATE("R5C",'Mapa final'!$O$37),"")</f>
        <v/>
      </c>
      <c r="T10" s="257" t="str">
        <f>IF(AND('Mapa final'!$Y$38="Muy Alta",'Mapa final'!$AA$38="Menor"),CONCATENATE("R5C",'Mapa final'!$O$38),"")</f>
        <v/>
      </c>
      <c r="U10" s="258" t="str">
        <f>IF(AND('Mapa final'!$Y$39="Muy Alta",'Mapa final'!$AA$39="Menor"),CONCATENATE("R5C",'Mapa final'!$O$39),"")</f>
        <v/>
      </c>
      <c r="V10" s="256" t="str">
        <f>IF(AND('Mapa final'!$Y$34="Muy Alta",'Mapa final'!$AA$34="Moderado"),CONCATENATE("R5C",'Mapa final'!$O$34),"")</f>
        <v/>
      </c>
      <c r="W10" s="257" t="str">
        <f>IF(AND('Mapa final'!$Y$35="Muy Alta",'Mapa final'!$AA$35="Moderado"),CONCATENATE("R5C",'Mapa final'!$O$35),"")</f>
        <v/>
      </c>
      <c r="X10" s="257" t="str">
        <f>IF(AND('Mapa final'!$Y$36="Muy Alta",'Mapa final'!$AA$36="Moderado"),CONCATENATE("R5C",'Mapa final'!$O$36),"")</f>
        <v/>
      </c>
      <c r="Y10" s="257" t="str">
        <f>IF(AND('Mapa final'!$Y$37="Muy Alta",'Mapa final'!$AA$37="Moderado"),CONCATENATE("R5C",'Mapa final'!$O$37),"")</f>
        <v/>
      </c>
      <c r="Z10" s="257" t="str">
        <f>IF(AND('Mapa final'!$Y$38="Muy Alta",'Mapa final'!$AA$38="Moderado"),CONCATENATE("R5C",'Mapa final'!$O$38),"")</f>
        <v/>
      </c>
      <c r="AA10" s="258" t="str">
        <f>IF(AND('Mapa final'!$Y$39="Muy Alta",'Mapa final'!$AA$39="Moderado"),CONCATENATE("R5C",'Mapa final'!$O$39),"")</f>
        <v/>
      </c>
      <c r="AB10" s="256" t="str">
        <f>IF(AND('Mapa final'!$Y$34="Muy Alta",'Mapa final'!$AA$34="Mayor"),CONCATENATE("R5C",'Mapa final'!$O$34),"")</f>
        <v/>
      </c>
      <c r="AC10" s="257" t="str">
        <f>IF(AND('Mapa final'!$Y$35="Muy Alta",'Mapa final'!$AA$35="Mayor"),CONCATENATE("R5C",'Mapa final'!$O$35),"")</f>
        <v/>
      </c>
      <c r="AD10" s="257" t="str">
        <f>IF(AND('Mapa final'!$Y$36="Muy Alta",'Mapa final'!$AA$36="Mayor"),CONCATENATE("R5C",'Mapa final'!$O$36),"")</f>
        <v/>
      </c>
      <c r="AE10" s="257" t="str">
        <f>IF(AND('Mapa final'!$Y$37="Muy Alta",'Mapa final'!$AA$37="Mayor"),CONCATENATE("R5C",'Mapa final'!$O$37),"")</f>
        <v/>
      </c>
      <c r="AF10" s="257" t="str">
        <f>IF(AND('Mapa final'!$Y$38="Muy Alta",'Mapa final'!$AA$38="Mayor"),CONCATENATE("R5C",'Mapa final'!$O$38),"")</f>
        <v/>
      </c>
      <c r="AG10" s="258" t="str">
        <f>IF(AND('Mapa final'!$Y$39="Muy Alta",'Mapa final'!$AA$39="Mayor"),CONCATENATE("R5C",'Mapa final'!$O$39),"")</f>
        <v/>
      </c>
      <c r="AH10" s="259" t="str">
        <f>IF(AND('Mapa final'!$Y$34="Muy Alta",'Mapa final'!$AA$34="Catastrófico"),CONCATENATE("R5C",'Mapa final'!$O$34),"")</f>
        <v/>
      </c>
      <c r="AI10" s="260" t="str">
        <f>IF(AND('Mapa final'!$Y$35="Muy Alta",'Mapa final'!$AA$35="Catastrófico"),CONCATENATE("R5C",'Mapa final'!$O$35),"")</f>
        <v/>
      </c>
      <c r="AJ10" s="260" t="str">
        <f>IF(AND('Mapa final'!$Y$36="Muy Alta",'Mapa final'!$AA$36="Catastrófico"),CONCATENATE("R5C",'Mapa final'!$O$36),"")</f>
        <v/>
      </c>
      <c r="AK10" s="260" t="str">
        <f>IF(AND('Mapa final'!$Y$37="Muy Alta",'Mapa final'!$AA$37="Catastrófico"),CONCATENATE("R5C",'Mapa final'!$O$37),"")</f>
        <v/>
      </c>
      <c r="AL10" s="260" t="str">
        <f>IF(AND('Mapa final'!$Y$38="Muy Alta",'Mapa final'!$AA$38="Catastrófico"),CONCATENATE("R5C",'Mapa final'!$O$38),"")</f>
        <v/>
      </c>
      <c r="AM10" s="261" t="str">
        <f>IF(AND('Mapa final'!$Y$39="Muy Alta",'Mapa final'!$AA$39="Catastrófico"),CONCATENATE("R5C",'Mapa final'!$O$39),"")</f>
        <v/>
      </c>
      <c r="AN10" s="15"/>
      <c r="AO10" s="676"/>
      <c r="AP10" s="677"/>
      <c r="AQ10" s="677"/>
      <c r="AR10" s="677"/>
      <c r="AS10" s="677"/>
      <c r="AT10" s="67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78"/>
      <c r="C11" s="578"/>
      <c r="D11" s="579"/>
      <c r="E11" s="667"/>
      <c r="F11" s="668"/>
      <c r="G11" s="668"/>
      <c r="H11" s="668"/>
      <c r="I11" s="669"/>
      <c r="J11" s="256" t="str">
        <f>IF(AND('Mapa final'!$Y$40="Muy Alta",'Mapa final'!$AA$40="Leve"),CONCATENATE("R6C",'Mapa final'!$O$40),"")</f>
        <v/>
      </c>
      <c r="K11" s="257" t="str">
        <f>IF(AND('Mapa final'!$Y$41="Muy Alta",'Mapa final'!$AA$41="Leve"),CONCATENATE("R6C",'Mapa final'!$O$41),"")</f>
        <v/>
      </c>
      <c r="L11" s="257" t="str">
        <f>IF(AND('Mapa final'!$Y$42="Muy Alta",'Mapa final'!$AA$42="Leve"),CONCATENATE("R6C",'Mapa final'!$O$42),"")</f>
        <v/>
      </c>
      <c r="M11" s="257" t="str">
        <f>IF(AND('Mapa final'!$Y$43="Muy Alta",'Mapa final'!$AA$43="Leve"),CONCATENATE("R6C",'Mapa final'!$O$43),"")</f>
        <v/>
      </c>
      <c r="N11" s="257" t="str">
        <f>IF(AND('Mapa final'!$Y$44="Muy Alta",'Mapa final'!$AA$44="Leve"),CONCATENATE("R6C",'Mapa final'!$O$44),"")</f>
        <v/>
      </c>
      <c r="O11" s="258" t="str">
        <f>IF(AND('Mapa final'!$Y$45="Muy Alta",'Mapa final'!$AA$45="Leve"),CONCATENATE("R6C",'Mapa final'!$O$45),"")</f>
        <v/>
      </c>
      <c r="P11" s="256" t="str">
        <f>IF(AND('Mapa final'!$Y$40="Muy Alta",'Mapa final'!$AA$40="Menor"),CONCATENATE("R6C",'Mapa final'!$O$40),"")</f>
        <v/>
      </c>
      <c r="Q11" s="257" t="str">
        <f>IF(AND('Mapa final'!$Y$41="Muy Alta",'Mapa final'!$AA$41="Menor"),CONCATENATE("R6C",'Mapa final'!$O$41),"")</f>
        <v/>
      </c>
      <c r="R11" s="257" t="str">
        <f>IF(AND('Mapa final'!$Y$42="Muy Alta",'Mapa final'!$AA$42="Menor"),CONCATENATE("R6C",'Mapa final'!$O$42),"")</f>
        <v/>
      </c>
      <c r="S11" s="257" t="str">
        <f>IF(AND('Mapa final'!$Y$43="Muy Alta",'Mapa final'!$AA$43="Menor"),CONCATENATE("R6C",'Mapa final'!$O$43),"")</f>
        <v/>
      </c>
      <c r="T11" s="257" t="str">
        <f>IF(AND('Mapa final'!$Y$44="Muy Alta",'Mapa final'!$AA$44="Menor"),CONCATENATE("R6C",'Mapa final'!$O$44),"")</f>
        <v/>
      </c>
      <c r="U11" s="258" t="str">
        <f>IF(AND('Mapa final'!$Y$45="Muy Alta",'Mapa final'!$AA$45="Menor"),CONCATENATE("R6C",'Mapa final'!$O$45),"")</f>
        <v/>
      </c>
      <c r="V11" s="256" t="str">
        <f>IF(AND('Mapa final'!$Y$40="Muy Alta",'Mapa final'!$AA$40="Moderado"),CONCATENATE("R6C",'Mapa final'!$O$40),"")</f>
        <v/>
      </c>
      <c r="W11" s="257" t="str">
        <f>IF(AND('Mapa final'!$Y$41="Muy Alta",'Mapa final'!$AA$41="Moderado"),CONCATENATE("R6C",'Mapa final'!$O$41),"")</f>
        <v/>
      </c>
      <c r="X11" s="257" t="str">
        <f>IF(AND('Mapa final'!$Y$42="Muy Alta",'Mapa final'!$AA$42="Moderado"),CONCATENATE("R6C",'Mapa final'!$O$42),"")</f>
        <v/>
      </c>
      <c r="Y11" s="257" t="str">
        <f>IF(AND('Mapa final'!$Y$43="Muy Alta",'Mapa final'!$AA$43="Moderado"),CONCATENATE("R6C",'Mapa final'!$O$43),"")</f>
        <v/>
      </c>
      <c r="Z11" s="257" t="str">
        <f>IF(AND('Mapa final'!$Y$44="Muy Alta",'Mapa final'!$AA$44="Moderado"),CONCATENATE("R6C",'Mapa final'!$O$44),"")</f>
        <v/>
      </c>
      <c r="AA11" s="258" t="str">
        <f>IF(AND('Mapa final'!$Y$45="Muy Alta",'Mapa final'!$AA$45="Moderado"),CONCATENATE("R6C",'Mapa final'!$O$45),"")</f>
        <v/>
      </c>
      <c r="AB11" s="256" t="str">
        <f>IF(AND('Mapa final'!$Y$40="Muy Alta",'Mapa final'!$AA$40="Mayor"),CONCATENATE("R6C",'Mapa final'!$O$40),"")</f>
        <v/>
      </c>
      <c r="AC11" s="257" t="str">
        <f>IF(AND('Mapa final'!$Y$41="Muy Alta",'Mapa final'!$AA$41="Mayor"),CONCATENATE("R6C",'Mapa final'!$O$41),"")</f>
        <v/>
      </c>
      <c r="AD11" s="257" t="str">
        <f>IF(AND('Mapa final'!$Y$42="Muy Alta",'Mapa final'!$AA$42="Mayor"),CONCATENATE("R6C",'Mapa final'!$O$42),"")</f>
        <v/>
      </c>
      <c r="AE11" s="257" t="str">
        <f>IF(AND('Mapa final'!$Y$43="Muy Alta",'Mapa final'!$AA$43="Mayor"),CONCATENATE("R6C",'Mapa final'!$O$43),"")</f>
        <v/>
      </c>
      <c r="AF11" s="257" t="str">
        <f>IF(AND('Mapa final'!$Y$44="Muy Alta",'Mapa final'!$AA$44="Mayor"),CONCATENATE("R6C",'Mapa final'!$O$44),"")</f>
        <v/>
      </c>
      <c r="AG11" s="258" t="str">
        <f>IF(AND('Mapa final'!$Y$45="Muy Alta",'Mapa final'!$AA$45="Mayor"),CONCATENATE("R6C",'Mapa final'!$O$45),"")</f>
        <v/>
      </c>
      <c r="AH11" s="259" t="str">
        <f>IF(AND('Mapa final'!$Y$40="Muy Alta",'Mapa final'!$AA$40="Catastrófico"),CONCATENATE("R6C",'Mapa final'!$O$40),"")</f>
        <v/>
      </c>
      <c r="AI11" s="260" t="str">
        <f>IF(AND('Mapa final'!$Y$41="Muy Alta",'Mapa final'!$AA$41="Catastrófico"),CONCATENATE("R6C",'Mapa final'!$O$41),"")</f>
        <v/>
      </c>
      <c r="AJ11" s="260" t="str">
        <f>IF(AND('Mapa final'!$Y$42="Muy Alta",'Mapa final'!$AA$42="Catastrófico"),CONCATENATE("R6C",'Mapa final'!$O$42),"")</f>
        <v/>
      </c>
      <c r="AK11" s="260" t="str">
        <f>IF(AND('Mapa final'!$Y$43="Muy Alta",'Mapa final'!$AA$43="Catastrófico"),CONCATENATE("R6C",'Mapa final'!$O$43),"")</f>
        <v/>
      </c>
      <c r="AL11" s="260" t="str">
        <f>IF(AND('Mapa final'!$Y$44="Muy Alta",'Mapa final'!$AA$44="Catastrófico"),CONCATENATE("R6C",'Mapa final'!$O$44),"")</f>
        <v/>
      </c>
      <c r="AM11" s="261" t="str">
        <f>IF(AND('Mapa final'!$Y$45="Muy Alta",'Mapa final'!$AA$45="Catastrófico"),CONCATENATE("R6C",'Mapa final'!$O$45),"")</f>
        <v/>
      </c>
      <c r="AN11" s="15"/>
      <c r="AO11" s="676"/>
      <c r="AP11" s="677"/>
      <c r="AQ11" s="677"/>
      <c r="AR11" s="677"/>
      <c r="AS11" s="677"/>
      <c r="AT11" s="67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78"/>
      <c r="C12" s="578"/>
      <c r="D12" s="579"/>
      <c r="E12" s="667"/>
      <c r="F12" s="668"/>
      <c r="G12" s="668"/>
      <c r="H12" s="668"/>
      <c r="I12" s="669"/>
      <c r="J12" s="256" t="str">
        <f>IF(AND('Mapa final'!$Y$46="Muy Alta",'Mapa final'!$AA$46="Leve"),CONCATENATE("R7C",'Mapa final'!$O$46),"")</f>
        <v/>
      </c>
      <c r="K12" s="257" t="str">
        <f>IF(AND('Mapa final'!$Y$47="Muy Alta",'Mapa final'!$AA$47="Leve"),CONCATENATE("R7C",'Mapa final'!$O$47),"")</f>
        <v/>
      </c>
      <c r="L12" s="257" t="str">
        <f>IF(AND('Mapa final'!$Y$48="Muy Alta",'Mapa final'!$AA$48="Leve"),CONCATENATE("R7C",'Mapa final'!$O$48),"")</f>
        <v/>
      </c>
      <c r="M12" s="257" t="str">
        <f>IF(AND('Mapa final'!$Y$49="Muy Alta",'Mapa final'!$AA$49="Leve"),CONCATENATE("R7C",'Mapa final'!$O$49),"")</f>
        <v/>
      </c>
      <c r="N12" s="257" t="str">
        <f>IF(AND('Mapa final'!$Y$50="Muy Alta",'Mapa final'!$AA$50="Leve"),CONCATENATE("R7C",'Mapa final'!$O$50),"")</f>
        <v/>
      </c>
      <c r="O12" s="258" t="str">
        <f>IF(AND('Mapa final'!$Y$51="Muy Alta",'Mapa final'!$AA$51="Leve"),CONCATENATE("R7C",'Mapa final'!$O$51),"")</f>
        <v/>
      </c>
      <c r="P12" s="256" t="str">
        <f>IF(AND('Mapa final'!$Y$46="Muy Alta",'Mapa final'!$AA$46="Menor"),CONCATENATE("R7C",'Mapa final'!$O$46),"")</f>
        <v/>
      </c>
      <c r="Q12" s="257" t="str">
        <f>IF(AND('Mapa final'!$Y$47="Muy Alta",'Mapa final'!$AA$47="Menor"),CONCATENATE("R7C",'Mapa final'!$O$47),"")</f>
        <v/>
      </c>
      <c r="R12" s="257" t="str">
        <f>IF(AND('Mapa final'!$Y$48="Muy Alta",'Mapa final'!$AA$48="Menor"),CONCATENATE("R7C",'Mapa final'!$O$48),"")</f>
        <v/>
      </c>
      <c r="S12" s="257" t="str">
        <f>IF(AND('Mapa final'!$Y$49="Muy Alta",'Mapa final'!$AA$49="Menor"),CONCATENATE("R7C",'Mapa final'!$O$49),"")</f>
        <v/>
      </c>
      <c r="T12" s="257" t="str">
        <f>IF(AND('Mapa final'!$Y$50="Muy Alta",'Mapa final'!$AA$50="Menor"),CONCATENATE("R7C",'Mapa final'!$O$50),"")</f>
        <v/>
      </c>
      <c r="U12" s="258" t="str">
        <f>IF(AND('Mapa final'!$Y$51="Muy Alta",'Mapa final'!$AA$51="Menor"),CONCATENATE("R7C",'Mapa final'!$O$51),"")</f>
        <v/>
      </c>
      <c r="V12" s="256" t="str">
        <f>IF(AND('Mapa final'!$Y$46="Muy Alta",'Mapa final'!$AA$46="Moderado"),CONCATENATE("R7C",'Mapa final'!$O$46),"")</f>
        <v/>
      </c>
      <c r="W12" s="257" t="str">
        <f>IF(AND('Mapa final'!$Y$47="Muy Alta",'Mapa final'!$AA$47="Moderado"),CONCATENATE("R7C",'Mapa final'!$O$47),"")</f>
        <v/>
      </c>
      <c r="X12" s="257" t="str">
        <f>IF(AND('Mapa final'!$Y$48="Muy Alta",'Mapa final'!$AA$48="Moderado"),CONCATENATE("R7C",'Mapa final'!$O$48),"")</f>
        <v/>
      </c>
      <c r="Y12" s="257" t="str">
        <f>IF(AND('Mapa final'!$Y$49="Muy Alta",'Mapa final'!$AA$49="Moderado"),CONCATENATE("R7C",'Mapa final'!$O$49),"")</f>
        <v/>
      </c>
      <c r="Z12" s="257" t="str">
        <f>IF(AND('Mapa final'!$Y$50="Muy Alta",'Mapa final'!$AA$50="Moderado"),CONCATENATE("R7C",'Mapa final'!$O$50),"")</f>
        <v/>
      </c>
      <c r="AA12" s="258" t="str">
        <f>IF(AND('Mapa final'!$Y$51="Muy Alta",'Mapa final'!$AA$51="Moderado"),CONCATENATE("R7C",'Mapa final'!$O$51),"")</f>
        <v/>
      </c>
      <c r="AB12" s="256" t="str">
        <f>IF(AND('Mapa final'!$Y$46="Muy Alta",'Mapa final'!$AA$46="Mayor"),CONCATENATE("R7C",'Mapa final'!$O$46),"")</f>
        <v/>
      </c>
      <c r="AC12" s="257" t="str">
        <f>IF(AND('Mapa final'!$Y$47="Muy Alta",'Mapa final'!$AA$47="Mayor"),CONCATENATE("R7C",'Mapa final'!$O$47),"")</f>
        <v/>
      </c>
      <c r="AD12" s="257" t="str">
        <f>IF(AND('Mapa final'!$Y$48="Muy Alta",'Mapa final'!$AA$48="Mayor"),CONCATENATE("R7C",'Mapa final'!$O$48),"")</f>
        <v/>
      </c>
      <c r="AE12" s="257" t="str">
        <f>IF(AND('Mapa final'!$Y$49="Muy Alta",'Mapa final'!$AA$49="Mayor"),CONCATENATE("R7C",'Mapa final'!$O$49),"")</f>
        <v/>
      </c>
      <c r="AF12" s="257" t="str">
        <f>IF(AND('Mapa final'!$Y$50="Muy Alta",'Mapa final'!$AA$50="Mayor"),CONCATENATE("R7C",'Mapa final'!$O$50),"")</f>
        <v/>
      </c>
      <c r="AG12" s="258" t="str">
        <f>IF(AND('Mapa final'!$Y$51="Muy Alta",'Mapa final'!$AA$51="Mayor"),CONCATENATE("R7C",'Mapa final'!$O$51),"")</f>
        <v/>
      </c>
      <c r="AH12" s="259" t="str">
        <f>IF(AND('Mapa final'!$Y$46="Muy Alta",'Mapa final'!$AA$46="Catastrófico"),CONCATENATE("R7C",'Mapa final'!$O$46),"")</f>
        <v/>
      </c>
      <c r="AI12" s="260" t="str">
        <f>IF(AND('Mapa final'!$Y$47="Muy Alta",'Mapa final'!$AA$47="Catastrófico"),CONCATENATE("R7C",'Mapa final'!$O$47),"")</f>
        <v/>
      </c>
      <c r="AJ12" s="260" t="str">
        <f>IF(AND('Mapa final'!$Y$48="Muy Alta",'Mapa final'!$AA$48="Catastrófico"),CONCATENATE("R7C",'Mapa final'!$O$48),"")</f>
        <v/>
      </c>
      <c r="AK12" s="260" t="str">
        <f>IF(AND('Mapa final'!$Y$49="Muy Alta",'Mapa final'!$AA$49="Catastrófico"),CONCATENATE("R7C",'Mapa final'!$O$49),"")</f>
        <v/>
      </c>
      <c r="AL12" s="260" t="str">
        <f>IF(AND('Mapa final'!$Y$50="Muy Alta",'Mapa final'!$AA$50="Catastrófico"),CONCATENATE("R7C",'Mapa final'!$O$50),"")</f>
        <v/>
      </c>
      <c r="AM12" s="261" t="str">
        <f>IF(AND('Mapa final'!$Y$51="Muy Alta",'Mapa final'!$AA$51="Catastrófico"),CONCATENATE("R7C",'Mapa final'!$O$51),"")</f>
        <v/>
      </c>
      <c r="AN12" s="15"/>
      <c r="AO12" s="676"/>
      <c r="AP12" s="677"/>
      <c r="AQ12" s="677"/>
      <c r="AR12" s="677"/>
      <c r="AS12" s="677"/>
      <c r="AT12" s="67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78"/>
      <c r="C13" s="578"/>
      <c r="D13" s="579"/>
      <c r="E13" s="667"/>
      <c r="F13" s="668"/>
      <c r="G13" s="668"/>
      <c r="H13" s="668"/>
      <c r="I13" s="669"/>
      <c r="J13" s="256" t="str">
        <f>IF(AND('Mapa final'!$Y$52="Muy Alta",'Mapa final'!$AA$52="Leve"),CONCATENATE("R8C",'Mapa final'!$O$52),"")</f>
        <v/>
      </c>
      <c r="K13" s="257" t="str">
        <f>IF(AND('Mapa final'!$Y$53="Muy Alta",'Mapa final'!$AA$53="Leve"),CONCATENATE("R8C",'Mapa final'!$O$53),"")</f>
        <v/>
      </c>
      <c r="L13" s="257" t="str">
        <f>IF(AND('Mapa final'!$Y$54="Muy Alta",'Mapa final'!$AA$54="Leve"),CONCATENATE("R8C",'Mapa final'!$O$54),"")</f>
        <v/>
      </c>
      <c r="M13" s="257" t="str">
        <f>IF(AND('Mapa final'!$Y$55="Muy Alta",'Mapa final'!$AA$55="Leve"),CONCATENATE("R8C",'Mapa final'!$O$55),"")</f>
        <v/>
      </c>
      <c r="N13" s="257" t="str">
        <f>IF(AND('Mapa final'!$Y$56="Muy Alta",'Mapa final'!$AA$56="Leve"),CONCATENATE("R8C",'Mapa final'!$O$56),"")</f>
        <v/>
      </c>
      <c r="O13" s="258" t="str">
        <f>IF(AND('Mapa final'!$Y$57="Muy Alta",'Mapa final'!$AA$57="Leve"),CONCATENATE("R8C",'Mapa final'!$O$57),"")</f>
        <v/>
      </c>
      <c r="P13" s="256" t="str">
        <f>IF(AND('Mapa final'!$Y$52="Muy Alta",'Mapa final'!$AA$52="Menor"),CONCATENATE("R8C",'Mapa final'!$O$52),"")</f>
        <v/>
      </c>
      <c r="Q13" s="257" t="str">
        <f>IF(AND('Mapa final'!$Y$53="Muy Alta",'Mapa final'!$AA$53="Menor"),CONCATENATE("R8C",'Mapa final'!$O$53),"")</f>
        <v/>
      </c>
      <c r="R13" s="257" t="str">
        <f>IF(AND('Mapa final'!$Y$54="Muy Alta",'Mapa final'!$AA$54="Menor"),CONCATENATE("R8C",'Mapa final'!$O$54),"")</f>
        <v/>
      </c>
      <c r="S13" s="257" t="str">
        <f>IF(AND('Mapa final'!$Y$55="Muy Alta",'Mapa final'!$AA$55="Menor"),CONCATENATE("R8C",'Mapa final'!$O$55),"")</f>
        <v/>
      </c>
      <c r="T13" s="257" t="str">
        <f>IF(AND('Mapa final'!$Y$56="Muy Alta",'Mapa final'!$AA$56="Menor"),CONCATENATE("R8C",'Mapa final'!$O$56),"")</f>
        <v/>
      </c>
      <c r="U13" s="258" t="str">
        <f>IF(AND('Mapa final'!$Y$57="Muy Alta",'Mapa final'!$AA$57="Menor"),CONCATENATE("R8C",'Mapa final'!$O$57),"")</f>
        <v/>
      </c>
      <c r="V13" s="256" t="str">
        <f>IF(AND('Mapa final'!$Y$52="Muy Alta",'Mapa final'!$AA$52="Moderado"),CONCATENATE("R8C",'Mapa final'!$O$52),"")</f>
        <v/>
      </c>
      <c r="W13" s="257" t="str">
        <f>IF(AND('Mapa final'!$Y$53="Muy Alta",'Mapa final'!$AA$53="Moderado"),CONCATENATE("R8C",'Mapa final'!$O$53),"")</f>
        <v/>
      </c>
      <c r="X13" s="257" t="str">
        <f>IF(AND('Mapa final'!$Y$54="Muy Alta",'Mapa final'!$AA$54="Moderado"),CONCATENATE("R8C",'Mapa final'!$O$54),"")</f>
        <v/>
      </c>
      <c r="Y13" s="257" t="str">
        <f>IF(AND('Mapa final'!$Y$55="Muy Alta",'Mapa final'!$AA$55="Moderado"),CONCATENATE("R8C",'Mapa final'!$O$55),"")</f>
        <v/>
      </c>
      <c r="Z13" s="257" t="str">
        <f>IF(AND('Mapa final'!$Y$56="Muy Alta",'Mapa final'!$AA$56="Moderado"),CONCATENATE("R8C",'Mapa final'!$O$56),"")</f>
        <v/>
      </c>
      <c r="AA13" s="258" t="str">
        <f>IF(AND('Mapa final'!$Y$57="Muy Alta",'Mapa final'!$AA$57="Moderado"),CONCATENATE("R8C",'Mapa final'!$O$57),"")</f>
        <v/>
      </c>
      <c r="AB13" s="256" t="str">
        <f>IF(AND('Mapa final'!$Y$52="Muy Alta",'Mapa final'!$AA$52="Mayor"),CONCATENATE("R8C",'Mapa final'!$O$52),"")</f>
        <v/>
      </c>
      <c r="AC13" s="257" t="str">
        <f>IF(AND('Mapa final'!$Y$53="Muy Alta",'Mapa final'!$AA$53="Mayor"),CONCATENATE("R8C",'Mapa final'!$O$53),"")</f>
        <v/>
      </c>
      <c r="AD13" s="257" t="str">
        <f>IF(AND('Mapa final'!$Y$54="Muy Alta",'Mapa final'!$AA$54="Mayor"),CONCATENATE("R8C",'Mapa final'!$O$54),"")</f>
        <v/>
      </c>
      <c r="AE13" s="257" t="str">
        <f>IF(AND('Mapa final'!$Y$55="Muy Alta",'Mapa final'!$AA$55="Mayor"),CONCATENATE("R8C",'Mapa final'!$O$55),"")</f>
        <v/>
      </c>
      <c r="AF13" s="257" t="str">
        <f>IF(AND('Mapa final'!$Y$56="Muy Alta",'Mapa final'!$AA$56="Mayor"),CONCATENATE("R8C",'Mapa final'!$O$56),"")</f>
        <v/>
      </c>
      <c r="AG13" s="258" t="str">
        <f>IF(AND('Mapa final'!$Y$57="Muy Alta",'Mapa final'!$AA$57="Mayor"),CONCATENATE("R8C",'Mapa final'!$O$57),"")</f>
        <v/>
      </c>
      <c r="AH13" s="259" t="str">
        <f>IF(AND('Mapa final'!$Y$52="Muy Alta",'Mapa final'!$AA$52="Catastrófico"),CONCATENATE("R8C",'Mapa final'!$O$52),"")</f>
        <v/>
      </c>
      <c r="AI13" s="260" t="str">
        <f>IF(AND('Mapa final'!$Y$53="Muy Alta",'Mapa final'!$AA$53="Catastrófico"),CONCATENATE("R8C",'Mapa final'!$O$53),"")</f>
        <v/>
      </c>
      <c r="AJ13" s="260" t="str">
        <f>IF(AND('Mapa final'!$Y$54="Muy Alta",'Mapa final'!$AA$54="Catastrófico"),CONCATENATE("R8C",'Mapa final'!$O$54),"")</f>
        <v/>
      </c>
      <c r="AK13" s="260" t="str">
        <f>IF(AND('Mapa final'!$Y$55="Muy Alta",'Mapa final'!$AA$55="Catastrófico"),CONCATENATE("R8C",'Mapa final'!$O$55),"")</f>
        <v/>
      </c>
      <c r="AL13" s="260" t="str">
        <f>IF(AND('Mapa final'!$Y$56="Muy Alta",'Mapa final'!$AA$56="Catastrófico"),CONCATENATE("R8C",'Mapa final'!$O$56),"")</f>
        <v/>
      </c>
      <c r="AM13" s="261" t="str">
        <f>IF(AND('Mapa final'!$Y$57="Muy Alta",'Mapa final'!$AA$57="Catastrófico"),CONCATENATE("R8C",'Mapa final'!$O$57),"")</f>
        <v/>
      </c>
      <c r="AN13" s="15"/>
      <c r="AO13" s="676"/>
      <c r="AP13" s="677"/>
      <c r="AQ13" s="677"/>
      <c r="AR13" s="677"/>
      <c r="AS13" s="677"/>
      <c r="AT13" s="67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78"/>
      <c r="C14" s="578"/>
      <c r="D14" s="579"/>
      <c r="E14" s="667"/>
      <c r="F14" s="668"/>
      <c r="G14" s="668"/>
      <c r="H14" s="668"/>
      <c r="I14" s="669"/>
      <c r="J14" s="256" t="str">
        <f>IF(AND('Mapa final'!$Y$58="Muy Alta",'Mapa final'!$AA$58="Leve"),CONCATENATE("R9C",'Mapa final'!$O$58),"")</f>
        <v/>
      </c>
      <c r="K14" s="257" t="str">
        <f>IF(AND('Mapa final'!$Y$59="Muy Alta",'Mapa final'!$AA$59="Leve"),CONCATENATE("R9C",'Mapa final'!$O$59),"")</f>
        <v/>
      </c>
      <c r="L14" s="257" t="str">
        <f>IF(AND('Mapa final'!$Y$60="Muy Alta",'Mapa final'!$AA$60="Leve"),CONCATENATE("R9C",'Mapa final'!$O$60),"")</f>
        <v/>
      </c>
      <c r="M14" s="257" t="str">
        <f>IF(AND('Mapa final'!$Y$61="Muy Alta",'Mapa final'!$AA$61="Leve"),CONCATENATE("R9C",'Mapa final'!$O$61),"")</f>
        <v/>
      </c>
      <c r="N14" s="257" t="str">
        <f>IF(AND('Mapa final'!$Y$62="Muy Alta",'Mapa final'!$AA$62="Leve"),CONCATENATE("R9C",'Mapa final'!$O$62),"")</f>
        <v/>
      </c>
      <c r="O14" s="258" t="str">
        <f>IF(AND('Mapa final'!$Y$63="Muy Alta",'Mapa final'!$AA$63="Leve"),CONCATENATE("R9C",'Mapa final'!$O$63),"")</f>
        <v/>
      </c>
      <c r="P14" s="256" t="str">
        <f>IF(AND('Mapa final'!$Y$58="Muy Alta",'Mapa final'!$AA$58="Menor"),CONCATENATE("R9C",'Mapa final'!$O$58),"")</f>
        <v/>
      </c>
      <c r="Q14" s="257" t="str">
        <f>IF(AND('Mapa final'!$Y$59="Muy Alta",'Mapa final'!$AA$59="Menor"),CONCATENATE("R9C",'Mapa final'!$O$59),"")</f>
        <v/>
      </c>
      <c r="R14" s="257" t="str">
        <f>IF(AND('Mapa final'!$Y$60="Muy Alta",'Mapa final'!$AA$60="Menor"),CONCATENATE("R9C",'Mapa final'!$O$60),"")</f>
        <v/>
      </c>
      <c r="S14" s="257" t="str">
        <f>IF(AND('Mapa final'!$Y$61="Muy Alta",'Mapa final'!$AA$61="Menor"),CONCATENATE("R9C",'Mapa final'!$O$61),"")</f>
        <v/>
      </c>
      <c r="T14" s="257" t="str">
        <f>IF(AND('Mapa final'!$Y$62="Muy Alta",'Mapa final'!$AA$62="Menor"),CONCATENATE("R9C",'Mapa final'!$O$62),"")</f>
        <v/>
      </c>
      <c r="U14" s="258" t="str">
        <f>IF(AND('Mapa final'!$Y$63="Muy Alta",'Mapa final'!$AA$63="Menor"),CONCATENATE("R9C",'Mapa final'!$O$63),"")</f>
        <v/>
      </c>
      <c r="V14" s="256" t="str">
        <f>IF(AND('Mapa final'!$Y$58="Muy Alta",'Mapa final'!$AA$58="Moderado"),CONCATENATE("R9C",'Mapa final'!$O$58),"")</f>
        <v/>
      </c>
      <c r="W14" s="257" t="str">
        <f>IF(AND('Mapa final'!$Y$59="Muy Alta",'Mapa final'!$AA$59="Moderado"),CONCATENATE("R9C",'Mapa final'!$O$59),"")</f>
        <v/>
      </c>
      <c r="X14" s="257" t="str">
        <f>IF(AND('Mapa final'!$Y$60="Muy Alta",'Mapa final'!$AA$60="Moderado"),CONCATENATE("R9C",'Mapa final'!$O$60),"")</f>
        <v/>
      </c>
      <c r="Y14" s="257" t="str">
        <f>IF(AND('Mapa final'!$Y$61="Muy Alta",'Mapa final'!$AA$61="Moderado"),CONCATENATE("R9C",'Mapa final'!$O$61),"")</f>
        <v/>
      </c>
      <c r="Z14" s="257" t="str">
        <f>IF(AND('Mapa final'!$Y$62="Muy Alta",'Mapa final'!$AA$62="Moderado"),CONCATENATE("R9C",'Mapa final'!$O$62),"")</f>
        <v/>
      </c>
      <c r="AA14" s="258" t="str">
        <f>IF(AND('Mapa final'!$Y$63="Muy Alta",'Mapa final'!$AA$63="Moderado"),CONCATENATE("R9C",'Mapa final'!$O$63),"")</f>
        <v/>
      </c>
      <c r="AB14" s="256" t="str">
        <f>IF(AND('Mapa final'!$Y$58="Muy Alta",'Mapa final'!$AA$58="Mayor"),CONCATENATE("R9C",'Mapa final'!$O$58),"")</f>
        <v/>
      </c>
      <c r="AC14" s="257" t="str">
        <f>IF(AND('Mapa final'!$Y$59="Muy Alta",'Mapa final'!$AA$59="Mayor"),CONCATENATE("R9C",'Mapa final'!$O$59),"")</f>
        <v/>
      </c>
      <c r="AD14" s="257" t="str">
        <f>IF(AND('Mapa final'!$Y$60="Muy Alta",'Mapa final'!$AA$60="Mayor"),CONCATENATE("R9C",'Mapa final'!$O$60),"")</f>
        <v/>
      </c>
      <c r="AE14" s="257" t="str">
        <f>IF(AND('Mapa final'!$Y$61="Muy Alta",'Mapa final'!$AA$61="Mayor"),CONCATENATE("R9C",'Mapa final'!$O$61),"")</f>
        <v/>
      </c>
      <c r="AF14" s="257" t="str">
        <f>IF(AND('Mapa final'!$Y$62="Muy Alta",'Mapa final'!$AA$62="Mayor"),CONCATENATE("R9C",'Mapa final'!$O$62),"")</f>
        <v/>
      </c>
      <c r="AG14" s="258" t="str">
        <f>IF(AND('Mapa final'!$Y$63="Muy Alta",'Mapa final'!$AA$63="Mayor"),CONCATENATE("R9C",'Mapa final'!$O$63),"")</f>
        <v/>
      </c>
      <c r="AH14" s="259" t="str">
        <f>IF(AND('Mapa final'!$Y$58="Muy Alta",'Mapa final'!$AA$58="Catastrófico"),CONCATENATE("R9C",'Mapa final'!$O$58),"")</f>
        <v/>
      </c>
      <c r="AI14" s="260" t="str">
        <f>IF(AND('Mapa final'!$Y$59="Muy Alta",'Mapa final'!$AA$59="Catastrófico"),CONCATENATE("R9C",'Mapa final'!$O$59),"")</f>
        <v/>
      </c>
      <c r="AJ14" s="260" t="str">
        <f>IF(AND('Mapa final'!$Y$60="Muy Alta",'Mapa final'!$AA$60="Catastrófico"),CONCATENATE("R9C",'Mapa final'!$O$60),"")</f>
        <v/>
      </c>
      <c r="AK14" s="260" t="str">
        <f>IF(AND('Mapa final'!$Y$61="Muy Alta",'Mapa final'!$AA$61="Catastrófico"),CONCATENATE("R9C",'Mapa final'!$O$61),"")</f>
        <v/>
      </c>
      <c r="AL14" s="260" t="str">
        <f>IF(AND('Mapa final'!$Y$62="Muy Alta",'Mapa final'!$AA$62="Catastrófico"),CONCATENATE("R9C",'Mapa final'!$O$62),"")</f>
        <v/>
      </c>
      <c r="AM14" s="261" t="str">
        <f>IF(AND('Mapa final'!$Y$63="Muy Alta",'Mapa final'!$AA$63="Catastrófico"),CONCATENATE("R9C",'Mapa final'!$O$63),"")</f>
        <v/>
      </c>
      <c r="AN14" s="15"/>
      <c r="AO14" s="676"/>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78"/>
      <c r="C15" s="578"/>
      <c r="D15" s="579"/>
      <c r="E15" s="670"/>
      <c r="F15" s="671"/>
      <c r="G15" s="671"/>
      <c r="H15" s="671"/>
      <c r="I15" s="672"/>
      <c r="J15" s="262" t="str">
        <f>IF(AND('Mapa final'!$Y$64="Muy Alta",'Mapa final'!$AA$64="Leve"),CONCATENATE("R10C",'Mapa final'!$O$64),"")</f>
        <v/>
      </c>
      <c r="K15" s="263" t="str">
        <f>IF(AND('Mapa final'!$Y$65="Muy Alta",'Mapa final'!$AA$65="Leve"),CONCATENATE("R10C",'Mapa final'!$O$65),"")</f>
        <v/>
      </c>
      <c r="L15" s="263" t="str">
        <f>IF(AND('Mapa final'!$Y$66="Muy Alta",'Mapa final'!$AA$66="Leve"),CONCATENATE("R10C",'Mapa final'!$O$66),"")</f>
        <v/>
      </c>
      <c r="M15" s="263" t="str">
        <f>IF(AND('Mapa final'!$Y$67="Muy Alta",'Mapa final'!$AA$67="Leve"),CONCATENATE("R10C",'Mapa final'!$O$67),"")</f>
        <v/>
      </c>
      <c r="N15" s="263" t="str">
        <f>IF(AND('Mapa final'!$Y$68="Muy Alta",'Mapa final'!$AA$68="Leve"),CONCATENATE("R10C",'Mapa final'!$O$68),"")</f>
        <v/>
      </c>
      <c r="O15" s="264" t="str">
        <f>IF(AND('Mapa final'!$Y$69="Muy Alta",'Mapa final'!$AA$69="Leve"),CONCATENATE("R10C",'Mapa final'!$O$69),"")</f>
        <v/>
      </c>
      <c r="P15" s="256" t="str">
        <f>IF(AND('Mapa final'!$Y$64="Muy Alta",'Mapa final'!$AA$64="Menor"),CONCATENATE("R10C",'Mapa final'!$O$64),"")</f>
        <v/>
      </c>
      <c r="Q15" s="257" t="str">
        <f>IF(AND('Mapa final'!$Y$65="Muy Alta",'Mapa final'!$AA$65="Menor"),CONCATENATE("R10C",'Mapa final'!$O$65),"")</f>
        <v/>
      </c>
      <c r="R15" s="257" t="str">
        <f>IF(AND('Mapa final'!$Y$66="Muy Alta",'Mapa final'!$AA$66="Menor"),CONCATENATE("R10C",'Mapa final'!$O$66),"")</f>
        <v/>
      </c>
      <c r="S15" s="257" t="str">
        <f>IF(AND('Mapa final'!$Y$67="Muy Alta",'Mapa final'!$AA$67="Menor"),CONCATENATE("R10C",'Mapa final'!$O$67),"")</f>
        <v/>
      </c>
      <c r="T15" s="257" t="str">
        <f>IF(AND('Mapa final'!$Y$68="Muy Alta",'Mapa final'!$AA$68="Menor"),CONCATENATE("R10C",'Mapa final'!$O$68),"")</f>
        <v/>
      </c>
      <c r="U15" s="258" t="str">
        <f>IF(AND('Mapa final'!$Y$69="Muy Alta",'Mapa final'!$AA$69="Menor"),CONCATENATE("R10C",'Mapa final'!$O$69),"")</f>
        <v/>
      </c>
      <c r="V15" s="262" t="str">
        <f>IF(AND('Mapa final'!$Y$64="Muy Alta",'Mapa final'!$AA$64="Moderado"),CONCATENATE("R10C",'Mapa final'!$O$64),"")</f>
        <v/>
      </c>
      <c r="W15" s="263" t="str">
        <f>IF(AND('Mapa final'!$Y$65="Muy Alta",'Mapa final'!$AA$65="Moderado"),CONCATENATE("R10C",'Mapa final'!$O$65),"")</f>
        <v/>
      </c>
      <c r="X15" s="263" t="str">
        <f>IF(AND('Mapa final'!$Y$66="Muy Alta",'Mapa final'!$AA$66="Moderado"),CONCATENATE("R10C",'Mapa final'!$O$66),"")</f>
        <v/>
      </c>
      <c r="Y15" s="263" t="str">
        <f>IF(AND('Mapa final'!$Y$67="Muy Alta",'Mapa final'!$AA$67="Moderado"),CONCATENATE("R10C",'Mapa final'!$O$67),"")</f>
        <v/>
      </c>
      <c r="Z15" s="263" t="str">
        <f>IF(AND('Mapa final'!$Y$68="Muy Alta",'Mapa final'!$AA$68="Moderado"),CONCATENATE("R10C",'Mapa final'!$O$68),"")</f>
        <v/>
      </c>
      <c r="AA15" s="264" t="str">
        <f>IF(AND('Mapa final'!$Y$69="Muy Alta",'Mapa final'!$AA$69="Moderado"),CONCATENATE("R10C",'Mapa final'!$O$69),"")</f>
        <v/>
      </c>
      <c r="AB15" s="256" t="str">
        <f>IF(AND('Mapa final'!$Y$64="Muy Alta",'Mapa final'!$AA$64="Mayor"),CONCATENATE("R10C",'Mapa final'!$O$64),"")</f>
        <v/>
      </c>
      <c r="AC15" s="257" t="str">
        <f>IF(AND('Mapa final'!$Y$65="Muy Alta",'Mapa final'!$AA$65="Mayor"),CONCATENATE("R10C",'Mapa final'!$O$65),"")</f>
        <v/>
      </c>
      <c r="AD15" s="257" t="str">
        <f>IF(AND('Mapa final'!$Y$66="Muy Alta",'Mapa final'!$AA$66="Mayor"),CONCATENATE("R10C",'Mapa final'!$O$66),"")</f>
        <v/>
      </c>
      <c r="AE15" s="257" t="str">
        <f>IF(AND('Mapa final'!$Y$67="Muy Alta",'Mapa final'!$AA$67="Mayor"),CONCATENATE("R10C",'Mapa final'!$O$67),"")</f>
        <v/>
      </c>
      <c r="AF15" s="257" t="str">
        <f>IF(AND('Mapa final'!$Y$68="Muy Alta",'Mapa final'!$AA$68="Mayor"),CONCATENATE("R10C",'Mapa final'!$O$68),"")</f>
        <v/>
      </c>
      <c r="AG15" s="258" t="str">
        <f>IF(AND('Mapa final'!$Y$69="Muy Alta",'Mapa final'!$AA$69="Mayor"),CONCATENATE("R10C",'Mapa final'!$O$69),"")</f>
        <v/>
      </c>
      <c r="AH15" s="265" t="str">
        <f>IF(AND('Mapa final'!$Y$64="Muy Alta",'Mapa final'!$AA$64="Catastrófico"),CONCATENATE("R10C",'Mapa final'!$O$64),"")</f>
        <v/>
      </c>
      <c r="AI15" s="266" t="str">
        <f>IF(AND('Mapa final'!$Y$65="Muy Alta",'Mapa final'!$AA$65="Catastrófico"),CONCATENATE("R10C",'Mapa final'!$O$65),"")</f>
        <v/>
      </c>
      <c r="AJ15" s="266" t="str">
        <f>IF(AND('Mapa final'!$Y$66="Muy Alta",'Mapa final'!$AA$66="Catastrófico"),CONCATENATE("R10C",'Mapa final'!$O$66),"")</f>
        <v/>
      </c>
      <c r="AK15" s="266" t="str">
        <f>IF(AND('Mapa final'!$Y$67="Muy Alta",'Mapa final'!$AA$67="Catastrófico"),CONCATENATE("R10C",'Mapa final'!$O$67),"")</f>
        <v/>
      </c>
      <c r="AL15" s="266" t="str">
        <f>IF(AND('Mapa final'!$Y$68="Muy Alta",'Mapa final'!$AA$68="Catastrófico"),CONCATENATE("R10C",'Mapa final'!$O$68),"")</f>
        <v/>
      </c>
      <c r="AM15" s="267" t="str">
        <f>IF(AND('Mapa final'!$Y$69="Muy Alta",'Mapa final'!$AA$69="Catastrófico"),CONCATENATE("R10C",'Mapa final'!$O$69),"")</f>
        <v/>
      </c>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78"/>
      <c r="C16" s="578"/>
      <c r="D16" s="579"/>
      <c r="E16" s="664" t="s">
        <v>1056</v>
      </c>
      <c r="F16" s="665"/>
      <c r="G16" s="665"/>
      <c r="H16" s="665"/>
      <c r="I16" s="665"/>
      <c r="J16" s="268" t="str">
        <f>IF(AND('Mapa final'!$Y$10="Alta",'Mapa final'!$AA$10="Leve"),CONCATENATE("R1C",'Mapa final'!$O$10),"")</f>
        <v/>
      </c>
      <c r="K16" s="269" t="str">
        <f>IF(AND('Mapa final'!$Y$11="Alta",'Mapa final'!$AA$11="Leve"),CONCATENATE("R1C",'Mapa final'!$O$11),"")</f>
        <v/>
      </c>
      <c r="L16" s="269" t="str">
        <f>IF(AND('Mapa final'!$Y$12="Alta",'Mapa final'!$AA$12="Leve"),CONCATENATE("R1C",'Mapa final'!$O$12),"")</f>
        <v/>
      </c>
      <c r="M16" s="269" t="str">
        <f>IF(AND('Mapa final'!$Y$13="Alta",'Mapa final'!$AA$13="Leve"),CONCATENATE("R1C",'Mapa final'!$O$13),"")</f>
        <v/>
      </c>
      <c r="N16" s="269" t="str">
        <f>IF(AND('Mapa final'!$Y$14="Alta",'Mapa final'!$AA$14="Leve"),CONCATENATE("R1C",'Mapa final'!$O$14),"")</f>
        <v/>
      </c>
      <c r="O16" s="270" t="str">
        <f>IF(AND('Mapa final'!$Y$15="Alta",'Mapa final'!$AA$15="Leve"),CONCATENATE("R1C",'Mapa final'!$O$15),"")</f>
        <v/>
      </c>
      <c r="P16" s="268" t="str">
        <f>IF(AND('Mapa final'!$Y$10="Alta",'Mapa final'!$AA$10="Menor"),CONCATENATE("R1C",'Mapa final'!$O$10),"")</f>
        <v/>
      </c>
      <c r="Q16" s="269" t="str">
        <f>IF(AND('Mapa final'!$Y$11="Alta",'Mapa final'!$AA$11="Menor"),CONCATENATE("R1C",'Mapa final'!$O$11),"")</f>
        <v/>
      </c>
      <c r="R16" s="269" t="str">
        <f>IF(AND('Mapa final'!$Y$12="Alta",'Mapa final'!$AA$12="Menor"),CONCATENATE("R1C",'Mapa final'!$O$12),"")</f>
        <v/>
      </c>
      <c r="S16" s="269" t="str">
        <f>IF(AND('Mapa final'!$Y$13="Alta",'Mapa final'!$AA$13="Menor"),CONCATENATE("R1C",'Mapa final'!$O$13),"")</f>
        <v/>
      </c>
      <c r="T16" s="269" t="str">
        <f>IF(AND('Mapa final'!$Y$14="Alta",'Mapa final'!$AA$14="Menor"),CONCATENATE("R1C",'Mapa final'!$O$14),"")</f>
        <v/>
      </c>
      <c r="U16" s="270" t="str">
        <f>IF(AND('Mapa final'!$Y$15="Alta",'Mapa final'!$AA$15="Menor"),CONCATENATE("R1C",'Mapa final'!$O$15),"")</f>
        <v/>
      </c>
      <c r="V16" s="250" t="str">
        <f>IF(AND('Mapa final'!$Y$10="Alta",'Mapa final'!$AA$10="Moderado"),CONCATENATE("R1C",'Mapa final'!$O$10),"")</f>
        <v/>
      </c>
      <c r="W16" s="251" t="str">
        <f>IF(AND('Mapa final'!$Y$11="Alta",'Mapa final'!$AA$11="Moderado"),CONCATENATE("R1C",'Mapa final'!$O$11),"")</f>
        <v/>
      </c>
      <c r="X16" s="251" t="str">
        <f>IF(AND('Mapa final'!$Y$12="Alta",'Mapa final'!$AA$12="Moderado"),CONCATENATE("R1C",'Mapa final'!$O$12),"")</f>
        <v/>
      </c>
      <c r="Y16" s="251" t="str">
        <f>IF(AND('Mapa final'!$Y$13="Alta",'Mapa final'!$AA$13="Moderado"),CONCATENATE("R1C",'Mapa final'!$O$13),"")</f>
        <v/>
      </c>
      <c r="Z16" s="251" t="str">
        <f>IF(AND('Mapa final'!$Y$14="Alta",'Mapa final'!$AA$14="Moderado"),CONCATENATE("R1C",'Mapa final'!$O$14),"")</f>
        <v/>
      </c>
      <c r="AA16" s="252" t="str">
        <f>IF(AND('Mapa final'!$Y$15="Alta",'Mapa final'!$AA$15="Moderado"),CONCATENATE("R1C",'Mapa final'!$O$15),"")</f>
        <v/>
      </c>
      <c r="AB16" s="250" t="str">
        <f>IF(AND('Mapa final'!$Y$10="Alta",'Mapa final'!$AA$10="Mayor"),CONCATENATE("R1C",'Mapa final'!$O$10),"")</f>
        <v/>
      </c>
      <c r="AC16" s="251" t="str">
        <f>IF(AND('Mapa final'!$Y$11="Alta",'Mapa final'!$AA$11="Mayor"),CONCATENATE("R1C",'Mapa final'!$O$11),"")</f>
        <v/>
      </c>
      <c r="AD16" s="251" t="str">
        <f>IF(AND('Mapa final'!$Y$12="Alta",'Mapa final'!$AA$12="Mayor"),CONCATENATE("R1C",'Mapa final'!$O$12),"")</f>
        <v/>
      </c>
      <c r="AE16" s="251" t="str">
        <f>IF(AND('Mapa final'!$Y$13="Alta",'Mapa final'!$AA$13="Mayor"),CONCATENATE("R1C",'Mapa final'!$O$13),"")</f>
        <v/>
      </c>
      <c r="AF16" s="251" t="str">
        <f>IF(AND('Mapa final'!$Y$14="Alta",'Mapa final'!$AA$14="Mayor"),CONCATENATE("R1C",'Mapa final'!$O$14),"")</f>
        <v/>
      </c>
      <c r="AG16" s="252" t="str">
        <f>IF(AND('Mapa final'!$Y$15="Alta",'Mapa final'!$AA$15="Mayor"),CONCATENATE("R1C",'Mapa final'!$O$15),"")</f>
        <v/>
      </c>
      <c r="AH16" s="253" t="str">
        <f>IF(AND('Mapa final'!$Y$10="Alta",'Mapa final'!$AA$10="Catastrófico"),CONCATENATE("R1C",'Mapa final'!$O$10),"")</f>
        <v/>
      </c>
      <c r="AI16" s="254" t="str">
        <f>IF(AND('Mapa final'!$Y$11="Alta",'Mapa final'!$AA$11="Catastrófico"),CONCATENATE("R1C",'Mapa final'!$O$11),"")</f>
        <v/>
      </c>
      <c r="AJ16" s="254" t="str">
        <f>IF(AND('Mapa final'!$Y$12="Alta",'Mapa final'!$AA$12="Catastrófico"),CONCATENATE("R1C",'Mapa final'!$O$12),"")</f>
        <v/>
      </c>
      <c r="AK16" s="254" t="str">
        <f>IF(AND('Mapa final'!$Y$13="Alta",'Mapa final'!$AA$13="Catastrófico"),CONCATENATE("R1C",'Mapa final'!$O$13),"")</f>
        <v/>
      </c>
      <c r="AL16" s="254" t="str">
        <f>IF(AND('Mapa final'!$Y$14="Alta",'Mapa final'!$AA$14="Catastrófico"),CONCATENATE("R1C",'Mapa final'!$O$14),"")</f>
        <v/>
      </c>
      <c r="AM16" s="255" t="str">
        <f>IF(AND('Mapa final'!$Y$15="Alta",'Mapa final'!$AA$15="Catastrófico"),CONCATENATE("R1C",'Mapa final'!$O$15),"")</f>
        <v/>
      </c>
      <c r="AN16" s="15"/>
      <c r="AO16" s="683" t="s">
        <v>1057</v>
      </c>
      <c r="AP16" s="684"/>
      <c r="AQ16" s="684"/>
      <c r="AR16" s="684"/>
      <c r="AS16" s="684"/>
      <c r="AT16" s="68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78"/>
      <c r="C17" s="578"/>
      <c r="D17" s="579"/>
      <c r="E17" s="682"/>
      <c r="F17" s="668"/>
      <c r="G17" s="668"/>
      <c r="H17" s="668"/>
      <c r="I17" s="668"/>
      <c r="J17" s="271" t="str">
        <f>IF(AND('Mapa final'!$Y$16="Alta",'Mapa final'!$AA$16="Leve"),CONCATENATE("R2C",'Mapa final'!$O$16),"")</f>
        <v/>
      </c>
      <c r="K17" s="272" t="str">
        <f>IF(AND('Mapa final'!$Y$17="Alta",'Mapa final'!$AA$17="Leve"),CONCATENATE("R2C",'Mapa final'!$O$17),"")</f>
        <v/>
      </c>
      <c r="L17" s="272" t="str">
        <f>IF(AND('Mapa final'!$Y$18="Alta",'Mapa final'!$AA$18="Leve"),CONCATENATE("R2C",'Mapa final'!$O$18),"")</f>
        <v/>
      </c>
      <c r="M17" s="272" t="str">
        <f>IF(AND('Mapa final'!$Y$19="Alta",'Mapa final'!$AA$19="Leve"),CONCATENATE("R2C",'Mapa final'!$O$19),"")</f>
        <v/>
      </c>
      <c r="N17" s="272" t="str">
        <f>IF(AND('Mapa final'!$Y$20="Alta",'Mapa final'!$AA$20="Leve"),CONCATENATE("R2C",'Mapa final'!$O$20),"")</f>
        <v/>
      </c>
      <c r="O17" s="273" t="str">
        <f>IF(AND('Mapa final'!$Y$21="Alta",'Mapa final'!$AA$21="Leve"),CONCATENATE("R2C",'Mapa final'!$O$21),"")</f>
        <v/>
      </c>
      <c r="P17" s="271" t="str">
        <f>IF(AND('Mapa final'!$Y$16="Alta",'Mapa final'!$AA$16="Menor"),CONCATENATE("R2C",'Mapa final'!$O$16),"")</f>
        <v/>
      </c>
      <c r="Q17" s="272" t="str">
        <f>IF(AND('Mapa final'!$Y$17="Alta",'Mapa final'!$AA$17="Menor"),CONCATENATE("R2C",'Mapa final'!$O$17),"")</f>
        <v/>
      </c>
      <c r="R17" s="272" t="str">
        <f>IF(AND('Mapa final'!$Y$18="Alta",'Mapa final'!$AA$18="Menor"),CONCATENATE("R2C",'Mapa final'!$O$18),"")</f>
        <v/>
      </c>
      <c r="S17" s="272" t="str">
        <f>IF(AND('Mapa final'!$Y$19="Alta",'Mapa final'!$AA$19="Menor"),CONCATENATE("R2C",'Mapa final'!$O$19),"")</f>
        <v/>
      </c>
      <c r="T17" s="272" t="str">
        <f>IF(AND('Mapa final'!$Y$20="Alta",'Mapa final'!$AA$20="Menor"),CONCATENATE("R2C",'Mapa final'!$O$20),"")</f>
        <v/>
      </c>
      <c r="U17" s="273" t="str">
        <f>IF(AND('Mapa final'!$Y$21="Alta",'Mapa final'!$AA$21="Menor"),CONCATENATE("R2C",'Mapa final'!$O$21),"")</f>
        <v/>
      </c>
      <c r="V17" s="256" t="str">
        <f>IF(AND('Mapa final'!$Y$16="Alta",'Mapa final'!$AA$16="Moderado"),CONCATENATE("R2C",'Mapa final'!$O$16),"")</f>
        <v/>
      </c>
      <c r="W17" s="257" t="str">
        <f>IF(AND('Mapa final'!$Y$17="Alta",'Mapa final'!$AA$17="Moderado"),CONCATENATE("R2C",'Mapa final'!$O$17),"")</f>
        <v/>
      </c>
      <c r="X17" s="257" t="str">
        <f>IF(AND('Mapa final'!$Y$18="Alta",'Mapa final'!$AA$18="Moderado"),CONCATENATE("R2C",'Mapa final'!$O$18),"")</f>
        <v/>
      </c>
      <c r="Y17" s="257" t="str">
        <f>IF(AND('Mapa final'!$Y$19="Alta",'Mapa final'!$AA$19="Moderado"),CONCATENATE("R2C",'Mapa final'!$O$19),"")</f>
        <v/>
      </c>
      <c r="Z17" s="257" t="str">
        <f>IF(AND('Mapa final'!$Y$20="Alta",'Mapa final'!$AA$20="Moderado"),CONCATENATE("R2C",'Mapa final'!$O$20),"")</f>
        <v/>
      </c>
      <c r="AA17" s="258" t="str">
        <f>IF(AND('Mapa final'!$Y$21="Alta",'Mapa final'!$AA$21="Moderado"),CONCATENATE("R2C",'Mapa final'!$O$21),"")</f>
        <v/>
      </c>
      <c r="AB17" s="256" t="str">
        <f>IF(AND('Mapa final'!$Y$16="Alta",'Mapa final'!$AA$16="Mayor"),CONCATENATE("R2C",'Mapa final'!$O$16),"")</f>
        <v/>
      </c>
      <c r="AC17" s="257" t="str">
        <f>IF(AND('Mapa final'!$Y$17="Alta",'Mapa final'!$AA$17="Mayor"),CONCATENATE("R2C",'Mapa final'!$O$17),"")</f>
        <v/>
      </c>
      <c r="AD17" s="257" t="str">
        <f>IF(AND('Mapa final'!$Y$18="Alta",'Mapa final'!$AA$18="Mayor"),CONCATENATE("R2C",'Mapa final'!$O$18),"")</f>
        <v/>
      </c>
      <c r="AE17" s="257" t="str">
        <f>IF(AND('Mapa final'!$Y$19="Alta",'Mapa final'!$AA$19="Mayor"),CONCATENATE("R2C",'Mapa final'!$O$19),"")</f>
        <v/>
      </c>
      <c r="AF17" s="257" t="str">
        <f>IF(AND('Mapa final'!$Y$20="Alta",'Mapa final'!$AA$20="Mayor"),CONCATENATE("R2C",'Mapa final'!$O$20),"")</f>
        <v/>
      </c>
      <c r="AG17" s="258" t="str">
        <f>IF(AND('Mapa final'!$Y$21="Alta",'Mapa final'!$AA$21="Mayor"),CONCATENATE("R2C",'Mapa final'!$O$21),"")</f>
        <v/>
      </c>
      <c r="AH17" s="259" t="str">
        <f>IF(AND('Mapa final'!$Y$16="Alta",'Mapa final'!$AA$16="Catastrófico"),CONCATENATE("R2C",'Mapa final'!$O$16),"")</f>
        <v/>
      </c>
      <c r="AI17" s="260" t="str">
        <f>IF(AND('Mapa final'!$Y$17="Alta",'Mapa final'!$AA$17="Catastrófico"),CONCATENATE("R2C",'Mapa final'!$O$17),"")</f>
        <v/>
      </c>
      <c r="AJ17" s="260" t="str">
        <f>IF(AND('Mapa final'!$Y$18="Alta",'Mapa final'!$AA$18="Catastrófico"),CONCATENATE("R2C",'Mapa final'!$O$18),"")</f>
        <v/>
      </c>
      <c r="AK17" s="260" t="str">
        <f>IF(AND('Mapa final'!$Y$19="Alta",'Mapa final'!$AA$19="Catastrófico"),CONCATENATE("R2C",'Mapa final'!$O$19),"")</f>
        <v/>
      </c>
      <c r="AL17" s="260" t="str">
        <f>IF(AND('Mapa final'!$Y$20="Alta",'Mapa final'!$AA$20="Catastrófico"),CONCATENATE("R2C",'Mapa final'!$O$20),"")</f>
        <v/>
      </c>
      <c r="AM17" s="261" t="str">
        <f>IF(AND('Mapa final'!$Y$21="Alta",'Mapa final'!$AA$21="Catastrófico"),CONCATENATE("R2C",'Mapa final'!$O$21),"")</f>
        <v/>
      </c>
      <c r="AN17" s="15"/>
      <c r="AO17" s="686"/>
      <c r="AP17" s="687"/>
      <c r="AQ17" s="687"/>
      <c r="AR17" s="687"/>
      <c r="AS17" s="687"/>
      <c r="AT17" s="68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78"/>
      <c r="C18" s="578"/>
      <c r="D18" s="579"/>
      <c r="E18" s="667"/>
      <c r="F18" s="668"/>
      <c r="G18" s="668"/>
      <c r="H18" s="668"/>
      <c r="I18" s="668"/>
      <c r="J18" s="271" t="str">
        <f>IF(AND('Mapa final'!$Y$22="Alta",'Mapa final'!$AA$22="Leve"),CONCATENATE("R3C",'Mapa final'!$O$22),"")</f>
        <v/>
      </c>
      <c r="K18" s="272" t="str">
        <f>IF(AND('Mapa final'!$Y$23="Alta",'Mapa final'!$AA$23="Leve"),CONCATENATE("R3C",'Mapa final'!$O$23),"")</f>
        <v/>
      </c>
      <c r="L18" s="272" t="str">
        <f>IF(AND('Mapa final'!$Y$24="Alta",'Mapa final'!$AA$24="Leve"),CONCATENATE("R3C",'Mapa final'!$O$24),"")</f>
        <v/>
      </c>
      <c r="M18" s="272" t="str">
        <f>IF(AND('Mapa final'!$Y$25="Alta",'Mapa final'!$AA$25="Leve"),CONCATENATE("R3C",'Mapa final'!$O$25),"")</f>
        <v/>
      </c>
      <c r="N18" s="272" t="str">
        <f>IF(AND('Mapa final'!$Y$26="Alta",'Mapa final'!$AA$26="Leve"),CONCATENATE("R3C",'Mapa final'!$O$26),"")</f>
        <v/>
      </c>
      <c r="O18" s="273" t="str">
        <f>IF(AND('Mapa final'!$Y$27="Alta",'Mapa final'!$AA$27="Leve"),CONCATENATE("R3C",'Mapa final'!$O$27),"")</f>
        <v/>
      </c>
      <c r="P18" s="271" t="str">
        <f>IF(AND('Mapa final'!$Y$22="Alta",'Mapa final'!$AA$22="Menor"),CONCATENATE("R3C",'Mapa final'!$O$22),"")</f>
        <v/>
      </c>
      <c r="Q18" s="272" t="str">
        <f>IF(AND('Mapa final'!$Y$23="Alta",'Mapa final'!$AA$23="Menor"),CONCATENATE("R3C",'Mapa final'!$O$23),"")</f>
        <v/>
      </c>
      <c r="R18" s="272" t="str">
        <f>IF(AND('Mapa final'!$Y$24="Alta",'Mapa final'!$AA$24="Menor"),CONCATENATE("R3C",'Mapa final'!$O$24),"")</f>
        <v/>
      </c>
      <c r="S18" s="272" t="str">
        <f>IF(AND('Mapa final'!$Y$25="Alta",'Mapa final'!$AA$25="Menor"),CONCATENATE("R3C",'Mapa final'!$O$25),"")</f>
        <v/>
      </c>
      <c r="T18" s="272" t="str">
        <f>IF(AND('Mapa final'!$Y$26="Alta",'Mapa final'!$AA$26="Menor"),CONCATENATE("R3C",'Mapa final'!$O$26),"")</f>
        <v/>
      </c>
      <c r="U18" s="273" t="str">
        <f>IF(AND('Mapa final'!$Y$27="Alta",'Mapa final'!$AA$27="Menor"),CONCATENATE("R3C",'Mapa final'!$O$27),"")</f>
        <v/>
      </c>
      <c r="V18" s="256" t="str">
        <f>IF(AND('Mapa final'!$Y$22="Alta",'Mapa final'!$AA$22="Moderado"),CONCATENATE("R3C",'Mapa final'!$O$22),"")</f>
        <v/>
      </c>
      <c r="W18" s="257" t="str">
        <f>IF(AND('Mapa final'!$Y$23="Alta",'Mapa final'!$AA$23="Moderado"),CONCATENATE("R3C",'Mapa final'!$O$23),"")</f>
        <v/>
      </c>
      <c r="X18" s="257" t="str">
        <f>IF(AND('Mapa final'!$Y$24="Alta",'Mapa final'!$AA$24="Moderado"),CONCATENATE("R3C",'Mapa final'!$O$24),"")</f>
        <v/>
      </c>
      <c r="Y18" s="257" t="str">
        <f>IF(AND('Mapa final'!$Y$25="Alta",'Mapa final'!$AA$25="Moderado"),CONCATENATE("R3C",'Mapa final'!$O$25),"")</f>
        <v/>
      </c>
      <c r="Z18" s="257" t="str">
        <f>IF(AND('Mapa final'!$Y$26="Alta",'Mapa final'!$AA$26="Moderado"),CONCATENATE("R3C",'Mapa final'!$O$26),"")</f>
        <v/>
      </c>
      <c r="AA18" s="258" t="str">
        <f>IF(AND('Mapa final'!$Y$27="Alta",'Mapa final'!$AA$27="Moderado"),CONCATENATE("R3C",'Mapa final'!$O$27),"")</f>
        <v/>
      </c>
      <c r="AB18" s="256" t="str">
        <f>IF(AND('Mapa final'!$Y$22="Alta",'Mapa final'!$AA$22="Mayor"),CONCATENATE("R3C",'Mapa final'!$O$22),"")</f>
        <v/>
      </c>
      <c r="AC18" s="257" t="str">
        <f>IF(AND('Mapa final'!$Y$23="Alta",'Mapa final'!$AA$23="Mayor"),CONCATENATE("R3C",'Mapa final'!$O$23),"")</f>
        <v/>
      </c>
      <c r="AD18" s="257" t="str">
        <f>IF(AND('Mapa final'!$Y$24="Alta",'Mapa final'!$AA$24="Mayor"),CONCATENATE("R3C",'Mapa final'!$O$24),"")</f>
        <v/>
      </c>
      <c r="AE18" s="257" t="str">
        <f>IF(AND('Mapa final'!$Y$25="Alta",'Mapa final'!$AA$25="Mayor"),CONCATENATE("R3C",'Mapa final'!$O$25),"")</f>
        <v/>
      </c>
      <c r="AF18" s="257" t="str">
        <f>IF(AND('Mapa final'!$Y$26="Alta",'Mapa final'!$AA$26="Mayor"),CONCATENATE("R3C",'Mapa final'!$O$26),"")</f>
        <v/>
      </c>
      <c r="AG18" s="258" t="str">
        <f>IF(AND('Mapa final'!$Y$27="Alta",'Mapa final'!$AA$27="Mayor"),CONCATENATE("R3C",'Mapa final'!$O$27),"")</f>
        <v/>
      </c>
      <c r="AH18" s="259" t="str">
        <f>IF(AND('Mapa final'!$Y$22="Alta",'Mapa final'!$AA$22="Catastrófico"),CONCATENATE("R3C",'Mapa final'!$O$22),"")</f>
        <v/>
      </c>
      <c r="AI18" s="260" t="str">
        <f>IF(AND('Mapa final'!$Y$23="Alta",'Mapa final'!$AA$23="Catastrófico"),CONCATENATE("R3C",'Mapa final'!$O$23),"")</f>
        <v/>
      </c>
      <c r="AJ18" s="260" t="str">
        <f>IF(AND('Mapa final'!$Y$24="Alta",'Mapa final'!$AA$24="Catastrófico"),CONCATENATE("R3C",'Mapa final'!$O$24),"")</f>
        <v/>
      </c>
      <c r="AK18" s="260" t="str">
        <f>IF(AND('Mapa final'!$Y$25="Alta",'Mapa final'!$AA$25="Catastrófico"),CONCATENATE("R3C",'Mapa final'!$O$25),"")</f>
        <v/>
      </c>
      <c r="AL18" s="260" t="str">
        <f>IF(AND('Mapa final'!$Y$26="Alta",'Mapa final'!$AA$26="Catastrófico"),CONCATENATE("R3C",'Mapa final'!$O$26),"")</f>
        <v/>
      </c>
      <c r="AM18" s="261" t="str">
        <f>IF(AND('Mapa final'!$Y$27="Alta",'Mapa final'!$AA$27="Catastrófico"),CONCATENATE("R3C",'Mapa final'!$O$27),"")</f>
        <v/>
      </c>
      <c r="AN18" s="15"/>
      <c r="AO18" s="686"/>
      <c r="AP18" s="687"/>
      <c r="AQ18" s="687"/>
      <c r="AR18" s="687"/>
      <c r="AS18" s="687"/>
      <c r="AT18" s="68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78"/>
      <c r="C19" s="578"/>
      <c r="D19" s="579"/>
      <c r="E19" s="667"/>
      <c r="F19" s="668"/>
      <c r="G19" s="668"/>
      <c r="H19" s="668"/>
      <c r="I19" s="668"/>
      <c r="J19" s="271" t="str">
        <f>IF(AND('Mapa final'!$Y$28="Alta",'Mapa final'!$AA$28="Leve"),CONCATENATE("R4C",'Mapa final'!$O$28),"")</f>
        <v/>
      </c>
      <c r="K19" s="272" t="str">
        <f>IF(AND('Mapa final'!$Y$29="Alta",'Mapa final'!$AA$29="Leve"),CONCATENATE("R4C",'Mapa final'!$O$29),"")</f>
        <v/>
      </c>
      <c r="L19" s="272" t="str">
        <f>IF(AND('Mapa final'!$Y$30="Alta",'Mapa final'!$AA$30="Leve"),CONCATENATE("R4C",'Mapa final'!$O$30),"")</f>
        <v/>
      </c>
      <c r="M19" s="272" t="str">
        <f>IF(AND('Mapa final'!$Y$31="Alta",'Mapa final'!$AA$31="Leve"),CONCATENATE("R4C",'Mapa final'!$O$31),"")</f>
        <v/>
      </c>
      <c r="N19" s="272" t="str">
        <f>IF(AND('Mapa final'!$Y$32="Alta",'Mapa final'!$AA$32="Leve"),CONCATENATE("R4C",'Mapa final'!$O$32),"")</f>
        <v/>
      </c>
      <c r="O19" s="273" t="str">
        <f>IF(AND('Mapa final'!$Y$33="Alta",'Mapa final'!$AA$33="Leve"),CONCATENATE("R4C",'Mapa final'!$O$33),"")</f>
        <v/>
      </c>
      <c r="P19" s="271" t="str">
        <f>IF(AND('Mapa final'!$Y$28="Alta",'Mapa final'!$AA$28="Menor"),CONCATENATE("R4C",'Mapa final'!$O$28),"")</f>
        <v/>
      </c>
      <c r="Q19" s="272" t="str">
        <f>IF(AND('Mapa final'!$Y$29="Alta",'Mapa final'!$AA$29="Menor"),CONCATENATE("R4C",'Mapa final'!$O$29),"")</f>
        <v/>
      </c>
      <c r="R19" s="272" t="str">
        <f>IF(AND('Mapa final'!$Y$30="Alta",'Mapa final'!$AA$30="Menor"),CONCATENATE("R4C",'Mapa final'!$O$30),"")</f>
        <v/>
      </c>
      <c r="S19" s="272" t="str">
        <f>IF(AND('Mapa final'!$Y$31="Alta",'Mapa final'!$AA$31="Menor"),CONCATENATE("R4C",'Mapa final'!$O$31),"")</f>
        <v/>
      </c>
      <c r="T19" s="272" t="str">
        <f>IF(AND('Mapa final'!$Y$32="Alta",'Mapa final'!$AA$32="Menor"),CONCATENATE("R4C",'Mapa final'!$O$32),"")</f>
        <v/>
      </c>
      <c r="U19" s="273" t="str">
        <f>IF(AND('Mapa final'!$Y$33="Alta",'Mapa final'!$AA$33="Menor"),CONCATENATE("R4C",'Mapa final'!$O$33),"")</f>
        <v/>
      </c>
      <c r="V19" s="256" t="str">
        <f>IF(AND('Mapa final'!$Y$28="Alta",'Mapa final'!$AA$28="Moderado"),CONCATENATE("R4C",'Mapa final'!$O$28),"")</f>
        <v/>
      </c>
      <c r="W19" s="257" t="str">
        <f>IF(AND('Mapa final'!$Y$29="Alta",'Mapa final'!$AA$29="Moderado"),CONCATENATE("R4C",'Mapa final'!$O$29),"")</f>
        <v/>
      </c>
      <c r="X19" s="257" t="str">
        <f>IF(AND('Mapa final'!$Y$30="Alta",'Mapa final'!$AA$30="Moderado"),CONCATENATE("R4C",'Mapa final'!$O$30),"")</f>
        <v/>
      </c>
      <c r="Y19" s="257" t="str">
        <f>IF(AND('Mapa final'!$Y$31="Alta",'Mapa final'!$AA$31="Moderado"),CONCATENATE("R4C",'Mapa final'!$O$31),"")</f>
        <v/>
      </c>
      <c r="Z19" s="257" t="str">
        <f>IF(AND('Mapa final'!$Y$32="Alta",'Mapa final'!$AA$32="Moderado"),CONCATENATE("R4C",'Mapa final'!$O$32),"")</f>
        <v/>
      </c>
      <c r="AA19" s="258" t="str">
        <f>IF(AND('Mapa final'!$Y$33="Alta",'Mapa final'!$AA$33="Moderado"),CONCATENATE("R4C",'Mapa final'!$O$33),"")</f>
        <v/>
      </c>
      <c r="AB19" s="256" t="str">
        <f>IF(AND('Mapa final'!$Y$28="Alta",'Mapa final'!$AA$28="Mayor"),CONCATENATE("R4C",'Mapa final'!$O$28),"")</f>
        <v/>
      </c>
      <c r="AC19" s="257" t="str">
        <f>IF(AND('Mapa final'!$Y$29="Alta",'Mapa final'!$AA$29="Mayor"),CONCATENATE("R4C",'Mapa final'!$O$29),"")</f>
        <v/>
      </c>
      <c r="AD19" s="257" t="str">
        <f>IF(AND('Mapa final'!$Y$30="Alta",'Mapa final'!$AA$30="Mayor"),CONCATENATE("R4C",'Mapa final'!$O$30),"")</f>
        <v/>
      </c>
      <c r="AE19" s="257" t="str">
        <f>IF(AND('Mapa final'!$Y$31="Alta",'Mapa final'!$AA$31="Mayor"),CONCATENATE("R4C",'Mapa final'!$O$31),"")</f>
        <v/>
      </c>
      <c r="AF19" s="257" t="str">
        <f>IF(AND('Mapa final'!$Y$32="Alta",'Mapa final'!$AA$32="Mayor"),CONCATENATE("R4C",'Mapa final'!$O$32),"")</f>
        <v/>
      </c>
      <c r="AG19" s="258" t="str">
        <f>IF(AND('Mapa final'!$Y$33="Alta",'Mapa final'!$AA$33="Mayor"),CONCATENATE("R4C",'Mapa final'!$O$33),"")</f>
        <v/>
      </c>
      <c r="AH19" s="259" t="str">
        <f>IF(AND('Mapa final'!$Y$28="Alta",'Mapa final'!$AA$28="Catastrófico"),CONCATENATE("R4C",'Mapa final'!$O$28),"")</f>
        <v/>
      </c>
      <c r="AI19" s="260" t="str">
        <f>IF(AND('Mapa final'!$Y$29="Alta",'Mapa final'!$AA$29="Catastrófico"),CONCATENATE("R4C",'Mapa final'!$O$29),"")</f>
        <v/>
      </c>
      <c r="AJ19" s="260" t="str">
        <f>IF(AND('Mapa final'!$Y$30="Alta",'Mapa final'!$AA$30="Catastrófico"),CONCATENATE("R4C",'Mapa final'!$O$30),"")</f>
        <v/>
      </c>
      <c r="AK19" s="260" t="str">
        <f>IF(AND('Mapa final'!$Y$31="Alta",'Mapa final'!$AA$31="Catastrófico"),CONCATENATE("R4C",'Mapa final'!$O$31),"")</f>
        <v/>
      </c>
      <c r="AL19" s="260" t="str">
        <f>IF(AND('Mapa final'!$Y$32="Alta",'Mapa final'!$AA$32="Catastrófico"),CONCATENATE("R4C",'Mapa final'!$O$32),"")</f>
        <v/>
      </c>
      <c r="AM19" s="261" t="str">
        <f>IF(AND('Mapa final'!$Y$33="Alta",'Mapa final'!$AA$33="Catastrófico"),CONCATENATE("R4C",'Mapa final'!$O$33),"")</f>
        <v/>
      </c>
      <c r="AN19" s="15"/>
      <c r="AO19" s="686"/>
      <c r="AP19" s="687"/>
      <c r="AQ19" s="687"/>
      <c r="AR19" s="687"/>
      <c r="AS19" s="687"/>
      <c r="AT19" s="68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78"/>
      <c r="C20" s="578"/>
      <c r="D20" s="579"/>
      <c r="E20" s="667"/>
      <c r="F20" s="668"/>
      <c r="G20" s="668"/>
      <c r="H20" s="668"/>
      <c r="I20" s="668"/>
      <c r="J20" s="271" t="str">
        <f>IF(AND('Mapa final'!$Y$34="Alta",'Mapa final'!$AA$34="Leve"),CONCATENATE("R5C",'Mapa final'!$O$34),"")</f>
        <v/>
      </c>
      <c r="K20" s="272" t="str">
        <f>IF(AND('Mapa final'!$Y$35="Alta",'Mapa final'!$AA$35="Leve"),CONCATENATE("R5C",'Mapa final'!$O$35),"")</f>
        <v/>
      </c>
      <c r="L20" s="272" t="str">
        <f>IF(AND('Mapa final'!$Y$36="Alta",'Mapa final'!$AA$36="Leve"),CONCATENATE("R5C",'Mapa final'!$O$36),"")</f>
        <v/>
      </c>
      <c r="M20" s="272" t="str">
        <f>IF(AND('Mapa final'!$Y$37="Alta",'Mapa final'!$AA$37="Leve"),CONCATENATE("R5C",'Mapa final'!$O$37),"")</f>
        <v/>
      </c>
      <c r="N20" s="272" t="str">
        <f>IF(AND('Mapa final'!$Y$38="Alta",'Mapa final'!$AA$38="Leve"),CONCATENATE("R5C",'Mapa final'!$O$38),"")</f>
        <v/>
      </c>
      <c r="O20" s="273" t="str">
        <f>IF(AND('Mapa final'!$Y$39="Alta",'Mapa final'!$AA$39="Leve"),CONCATENATE("R5C",'Mapa final'!$O$39),"")</f>
        <v/>
      </c>
      <c r="P20" s="271" t="str">
        <f>IF(AND('Mapa final'!$Y$34="Alta",'Mapa final'!$AA$34="Menor"),CONCATENATE("R5C",'Mapa final'!$O$34),"")</f>
        <v/>
      </c>
      <c r="Q20" s="272" t="str">
        <f>IF(AND('Mapa final'!$Y$35="Alta",'Mapa final'!$AA$35="Menor"),CONCATENATE("R5C",'Mapa final'!$O$35),"")</f>
        <v/>
      </c>
      <c r="R20" s="272" t="str">
        <f>IF(AND('Mapa final'!$Y$36="Alta",'Mapa final'!$AA$36="Menor"),CONCATENATE("R5C",'Mapa final'!$O$36),"")</f>
        <v/>
      </c>
      <c r="S20" s="272" t="str">
        <f>IF(AND('Mapa final'!$Y$37="Alta",'Mapa final'!$AA$37="Menor"),CONCATENATE("R5C",'Mapa final'!$O$37),"")</f>
        <v/>
      </c>
      <c r="T20" s="272" t="str">
        <f>IF(AND('Mapa final'!$Y$38="Alta",'Mapa final'!$AA$38="Menor"),CONCATENATE("R5C",'Mapa final'!$O$38),"")</f>
        <v/>
      </c>
      <c r="U20" s="273" t="str">
        <f>IF(AND('Mapa final'!$Y$39="Alta",'Mapa final'!$AA$39="Menor"),CONCATENATE("R5C",'Mapa final'!$O$39),"")</f>
        <v/>
      </c>
      <c r="V20" s="256" t="str">
        <f>IF(AND('Mapa final'!$Y$34="Alta",'Mapa final'!$AA$34="Moderado"),CONCATENATE("R5C",'Mapa final'!$O$34),"")</f>
        <v/>
      </c>
      <c r="W20" s="257" t="str">
        <f>IF(AND('Mapa final'!$Y$35="Alta",'Mapa final'!$AA$35="Moderado"),CONCATENATE("R5C",'Mapa final'!$O$35),"")</f>
        <v/>
      </c>
      <c r="X20" s="257" t="str">
        <f>IF(AND('Mapa final'!$Y$36="Alta",'Mapa final'!$AA$36="Moderado"),CONCATENATE("R5C",'Mapa final'!$O$36),"")</f>
        <v/>
      </c>
      <c r="Y20" s="257" t="str">
        <f>IF(AND('Mapa final'!$Y$37="Alta",'Mapa final'!$AA$37="Moderado"),CONCATENATE("R5C",'Mapa final'!$O$37),"")</f>
        <v/>
      </c>
      <c r="Z20" s="257" t="str">
        <f>IF(AND('Mapa final'!$Y$38="Alta",'Mapa final'!$AA$38="Moderado"),CONCATENATE("R5C",'Mapa final'!$O$38),"")</f>
        <v/>
      </c>
      <c r="AA20" s="258" t="str">
        <f>IF(AND('Mapa final'!$Y$39="Alta",'Mapa final'!$AA$39="Moderado"),CONCATENATE("R5C",'Mapa final'!$O$39),"")</f>
        <v/>
      </c>
      <c r="AB20" s="256" t="str">
        <f>IF(AND('Mapa final'!$Y$34="Alta",'Mapa final'!$AA$34="Mayor"),CONCATENATE("R5C",'Mapa final'!$O$34),"")</f>
        <v/>
      </c>
      <c r="AC20" s="257" t="str">
        <f>IF(AND('Mapa final'!$Y$35="Alta",'Mapa final'!$AA$35="Mayor"),CONCATENATE("R5C",'Mapa final'!$O$35),"")</f>
        <v/>
      </c>
      <c r="AD20" s="257" t="str">
        <f>IF(AND('Mapa final'!$Y$36="Alta",'Mapa final'!$AA$36="Mayor"),CONCATENATE("R5C",'Mapa final'!$O$36),"")</f>
        <v/>
      </c>
      <c r="AE20" s="257" t="str">
        <f>IF(AND('Mapa final'!$Y$37="Alta",'Mapa final'!$AA$37="Mayor"),CONCATENATE("R5C",'Mapa final'!$O$37),"")</f>
        <v/>
      </c>
      <c r="AF20" s="257" t="str">
        <f>IF(AND('Mapa final'!$Y$38="Alta",'Mapa final'!$AA$38="Mayor"),CONCATENATE("R5C",'Mapa final'!$O$38),"")</f>
        <v/>
      </c>
      <c r="AG20" s="258" t="str">
        <f>IF(AND('Mapa final'!$Y$39="Alta",'Mapa final'!$AA$39="Mayor"),CONCATENATE("R5C",'Mapa final'!$O$39),"")</f>
        <v/>
      </c>
      <c r="AH20" s="259" t="str">
        <f>IF(AND('Mapa final'!$Y$34="Alta",'Mapa final'!$AA$34="Catastrófico"),CONCATENATE("R5C",'Mapa final'!$O$34),"")</f>
        <v/>
      </c>
      <c r="AI20" s="260" t="str">
        <f>IF(AND('Mapa final'!$Y$35="Alta",'Mapa final'!$AA$35="Catastrófico"),CONCATENATE("R5C",'Mapa final'!$O$35),"")</f>
        <v/>
      </c>
      <c r="AJ20" s="260" t="str">
        <f>IF(AND('Mapa final'!$Y$36="Alta",'Mapa final'!$AA$36="Catastrófico"),CONCATENATE("R5C",'Mapa final'!$O$36),"")</f>
        <v/>
      </c>
      <c r="AK20" s="260" t="str">
        <f>IF(AND('Mapa final'!$Y$37="Alta",'Mapa final'!$AA$37="Catastrófico"),CONCATENATE("R5C",'Mapa final'!$O$37),"")</f>
        <v/>
      </c>
      <c r="AL20" s="260" t="str">
        <f>IF(AND('Mapa final'!$Y$38="Alta",'Mapa final'!$AA$38="Catastrófico"),CONCATENATE("R5C",'Mapa final'!$O$38),"")</f>
        <v/>
      </c>
      <c r="AM20" s="261" t="str">
        <f>IF(AND('Mapa final'!$Y$39="Alta",'Mapa final'!$AA$39="Catastrófico"),CONCATENATE("R5C",'Mapa final'!$O$39),"")</f>
        <v/>
      </c>
      <c r="AN20" s="15"/>
      <c r="AO20" s="686"/>
      <c r="AP20" s="687"/>
      <c r="AQ20" s="687"/>
      <c r="AR20" s="687"/>
      <c r="AS20" s="687"/>
      <c r="AT20" s="68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78"/>
      <c r="C21" s="578"/>
      <c r="D21" s="579"/>
      <c r="E21" s="667"/>
      <c r="F21" s="668"/>
      <c r="G21" s="668"/>
      <c r="H21" s="668"/>
      <c r="I21" s="668"/>
      <c r="J21" s="271" t="str">
        <f>IF(AND('Mapa final'!$Y$40="Alta",'Mapa final'!$AA$40="Leve"),CONCATENATE("R6C",'Mapa final'!$O$40),"")</f>
        <v/>
      </c>
      <c r="K21" s="272" t="str">
        <f>IF(AND('Mapa final'!$Y$41="Alta",'Mapa final'!$AA$41="Leve"),CONCATENATE("R6C",'Mapa final'!$O$41),"")</f>
        <v/>
      </c>
      <c r="L21" s="272" t="str">
        <f>IF(AND('Mapa final'!$Y$42="Alta",'Mapa final'!$AA$42="Leve"),CONCATENATE("R6C",'Mapa final'!$O$42),"")</f>
        <v/>
      </c>
      <c r="M21" s="272" t="str">
        <f>IF(AND('Mapa final'!$Y$43="Alta",'Mapa final'!$AA$43="Leve"),CONCATENATE("R6C",'Mapa final'!$O$43),"")</f>
        <v/>
      </c>
      <c r="N21" s="272" t="str">
        <f>IF(AND('Mapa final'!$Y$44="Alta",'Mapa final'!$AA$44="Leve"),CONCATENATE("R6C",'Mapa final'!$O$44),"")</f>
        <v/>
      </c>
      <c r="O21" s="273" t="str">
        <f>IF(AND('Mapa final'!$Y$45="Alta",'Mapa final'!$AA$45="Leve"),CONCATENATE("R6C",'Mapa final'!$O$45),"")</f>
        <v/>
      </c>
      <c r="P21" s="271" t="str">
        <f>IF(AND('Mapa final'!$Y$40="Alta",'Mapa final'!$AA$40="Menor"),CONCATENATE("R6C",'Mapa final'!$O$40),"")</f>
        <v/>
      </c>
      <c r="Q21" s="272" t="str">
        <f>IF(AND('Mapa final'!$Y$41="Alta",'Mapa final'!$AA$41="Menor"),CONCATENATE("R6C",'Mapa final'!$O$41),"")</f>
        <v/>
      </c>
      <c r="R21" s="272" t="str">
        <f>IF(AND('Mapa final'!$Y$42="Alta",'Mapa final'!$AA$42="Menor"),CONCATENATE("R6C",'Mapa final'!$O$42),"")</f>
        <v/>
      </c>
      <c r="S21" s="272" t="str">
        <f>IF(AND('Mapa final'!$Y$43="Alta",'Mapa final'!$AA$43="Menor"),CONCATENATE("R6C",'Mapa final'!$O$43),"")</f>
        <v/>
      </c>
      <c r="T21" s="272" t="str">
        <f>IF(AND('Mapa final'!$Y$44="Alta",'Mapa final'!$AA$44="Menor"),CONCATENATE("R6C",'Mapa final'!$O$44),"")</f>
        <v/>
      </c>
      <c r="U21" s="273" t="str">
        <f>IF(AND('Mapa final'!$Y$45="Alta",'Mapa final'!$AA$45="Menor"),CONCATENATE("R6C",'Mapa final'!$O$45),"")</f>
        <v/>
      </c>
      <c r="V21" s="256" t="str">
        <f>IF(AND('Mapa final'!$Y$40="Alta",'Mapa final'!$AA$40="Moderado"),CONCATENATE("R6C",'Mapa final'!$O$40),"")</f>
        <v/>
      </c>
      <c r="W21" s="257" t="str">
        <f>IF(AND('Mapa final'!$Y$41="Alta",'Mapa final'!$AA$41="Moderado"),CONCATENATE("R6C",'Mapa final'!$O$41),"")</f>
        <v/>
      </c>
      <c r="X21" s="257" t="str">
        <f>IF(AND('Mapa final'!$Y$42="Alta",'Mapa final'!$AA$42="Moderado"),CONCATENATE("R6C",'Mapa final'!$O$42),"")</f>
        <v/>
      </c>
      <c r="Y21" s="257" t="str">
        <f>IF(AND('Mapa final'!$Y$43="Alta",'Mapa final'!$AA$43="Moderado"),CONCATENATE("R6C",'Mapa final'!$O$43),"")</f>
        <v/>
      </c>
      <c r="Z21" s="257" t="str">
        <f>IF(AND('Mapa final'!$Y$44="Alta",'Mapa final'!$AA$44="Moderado"),CONCATENATE("R6C",'Mapa final'!$O$44),"")</f>
        <v/>
      </c>
      <c r="AA21" s="258" t="str">
        <f>IF(AND('Mapa final'!$Y$45="Alta",'Mapa final'!$AA$45="Moderado"),CONCATENATE("R6C",'Mapa final'!$O$45),"")</f>
        <v/>
      </c>
      <c r="AB21" s="256" t="str">
        <f>IF(AND('Mapa final'!$Y$40="Alta",'Mapa final'!$AA$40="Mayor"),CONCATENATE("R6C",'Mapa final'!$O$40),"")</f>
        <v/>
      </c>
      <c r="AC21" s="257" t="str">
        <f>IF(AND('Mapa final'!$Y$41="Alta",'Mapa final'!$AA$41="Mayor"),CONCATENATE("R6C",'Mapa final'!$O$41),"")</f>
        <v/>
      </c>
      <c r="AD21" s="257" t="str">
        <f>IF(AND('Mapa final'!$Y$42="Alta",'Mapa final'!$AA$42="Mayor"),CONCATENATE("R6C",'Mapa final'!$O$42),"")</f>
        <v/>
      </c>
      <c r="AE21" s="257" t="str">
        <f>IF(AND('Mapa final'!$Y$43="Alta",'Mapa final'!$AA$43="Mayor"),CONCATENATE("R6C",'Mapa final'!$O$43),"")</f>
        <v/>
      </c>
      <c r="AF21" s="257" t="str">
        <f>IF(AND('Mapa final'!$Y$44="Alta",'Mapa final'!$AA$44="Mayor"),CONCATENATE("R6C",'Mapa final'!$O$44),"")</f>
        <v/>
      </c>
      <c r="AG21" s="258" t="str">
        <f>IF(AND('Mapa final'!$Y$45="Alta",'Mapa final'!$AA$45="Mayor"),CONCATENATE("R6C",'Mapa final'!$O$45),"")</f>
        <v/>
      </c>
      <c r="AH21" s="259" t="str">
        <f>IF(AND('Mapa final'!$Y$40="Alta",'Mapa final'!$AA$40="Catastrófico"),CONCATENATE("R6C",'Mapa final'!$O$40),"")</f>
        <v/>
      </c>
      <c r="AI21" s="260" t="str">
        <f>IF(AND('Mapa final'!$Y$41="Alta",'Mapa final'!$AA$41="Catastrófico"),CONCATENATE("R6C",'Mapa final'!$O$41),"")</f>
        <v/>
      </c>
      <c r="AJ21" s="260" t="str">
        <f>IF(AND('Mapa final'!$Y$42="Alta",'Mapa final'!$AA$42="Catastrófico"),CONCATENATE("R6C",'Mapa final'!$O$42),"")</f>
        <v/>
      </c>
      <c r="AK21" s="260" t="str">
        <f>IF(AND('Mapa final'!$Y$43="Alta",'Mapa final'!$AA$43="Catastrófico"),CONCATENATE("R6C",'Mapa final'!$O$43),"")</f>
        <v/>
      </c>
      <c r="AL21" s="260" t="str">
        <f>IF(AND('Mapa final'!$Y$44="Alta",'Mapa final'!$AA$44="Catastrófico"),CONCATENATE("R6C",'Mapa final'!$O$44),"")</f>
        <v/>
      </c>
      <c r="AM21" s="261" t="str">
        <f>IF(AND('Mapa final'!$Y$45="Alta",'Mapa final'!$AA$45="Catastrófico"),CONCATENATE("R6C",'Mapa final'!$O$45),"")</f>
        <v/>
      </c>
      <c r="AN21" s="15"/>
      <c r="AO21" s="686"/>
      <c r="AP21" s="687"/>
      <c r="AQ21" s="687"/>
      <c r="AR21" s="687"/>
      <c r="AS21" s="687"/>
      <c r="AT21" s="68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78"/>
      <c r="C22" s="578"/>
      <c r="D22" s="579"/>
      <c r="E22" s="667"/>
      <c r="F22" s="668"/>
      <c r="G22" s="668"/>
      <c r="H22" s="668"/>
      <c r="I22" s="668"/>
      <c r="J22" s="271" t="str">
        <f>IF(AND('Mapa final'!$Y$46="Alta",'Mapa final'!$AA$46="Leve"),CONCATENATE("R7C",'Mapa final'!$O$46),"")</f>
        <v/>
      </c>
      <c r="K22" s="272" t="str">
        <f>IF(AND('Mapa final'!$Y$47="Alta",'Mapa final'!$AA$47="Leve"),CONCATENATE("R7C",'Mapa final'!$O$47),"")</f>
        <v/>
      </c>
      <c r="L22" s="272" t="str">
        <f>IF(AND('Mapa final'!$Y$48="Alta",'Mapa final'!$AA$48="Leve"),CONCATENATE("R7C",'Mapa final'!$O$48),"")</f>
        <v/>
      </c>
      <c r="M22" s="272" t="str">
        <f>IF(AND('Mapa final'!$Y$49="Alta",'Mapa final'!$AA$49="Leve"),CONCATENATE("R7C",'Mapa final'!$O$49),"")</f>
        <v/>
      </c>
      <c r="N22" s="272" t="str">
        <f>IF(AND('Mapa final'!$Y$50="Alta",'Mapa final'!$AA$50="Leve"),CONCATENATE("R7C",'Mapa final'!$O$50),"")</f>
        <v/>
      </c>
      <c r="O22" s="273" t="str">
        <f>IF(AND('Mapa final'!$Y$51="Alta",'Mapa final'!$AA$51="Leve"),CONCATENATE("R7C",'Mapa final'!$O$51),"")</f>
        <v/>
      </c>
      <c r="P22" s="271" t="str">
        <f>IF(AND('Mapa final'!$Y$46="Alta",'Mapa final'!$AA$46="Menor"),CONCATENATE("R7C",'Mapa final'!$O$46),"")</f>
        <v/>
      </c>
      <c r="Q22" s="272" t="str">
        <f>IF(AND('Mapa final'!$Y$47="Alta",'Mapa final'!$AA$47="Menor"),CONCATENATE("R7C",'Mapa final'!$O$47),"")</f>
        <v/>
      </c>
      <c r="R22" s="272" t="str">
        <f>IF(AND('Mapa final'!$Y$48="Alta",'Mapa final'!$AA$48="Menor"),CONCATENATE("R7C",'Mapa final'!$O$48),"")</f>
        <v/>
      </c>
      <c r="S22" s="272" t="str">
        <f>IF(AND('Mapa final'!$Y$49="Alta",'Mapa final'!$AA$49="Menor"),CONCATENATE("R7C",'Mapa final'!$O$49),"")</f>
        <v/>
      </c>
      <c r="T22" s="272" t="str">
        <f>IF(AND('Mapa final'!$Y$50="Alta",'Mapa final'!$AA$50="Menor"),CONCATENATE("R7C",'Mapa final'!$O$50),"")</f>
        <v/>
      </c>
      <c r="U22" s="273" t="str">
        <f>IF(AND('Mapa final'!$Y$51="Alta",'Mapa final'!$AA$51="Menor"),CONCATENATE("R7C",'Mapa final'!$O$51),"")</f>
        <v/>
      </c>
      <c r="V22" s="256" t="str">
        <f>IF(AND('Mapa final'!$Y$46="Alta",'Mapa final'!$AA$46="Moderado"),CONCATENATE("R7C",'Mapa final'!$O$46),"")</f>
        <v/>
      </c>
      <c r="W22" s="257" t="str">
        <f>IF(AND('Mapa final'!$Y$47="Alta",'Mapa final'!$AA$47="Moderado"),CONCATENATE("R7C",'Mapa final'!$O$47),"")</f>
        <v/>
      </c>
      <c r="X22" s="257" t="str">
        <f>IF(AND('Mapa final'!$Y$48="Alta",'Mapa final'!$AA$48="Moderado"),CONCATENATE("R7C",'Mapa final'!$O$48),"")</f>
        <v/>
      </c>
      <c r="Y22" s="257" t="str">
        <f>IF(AND('Mapa final'!$Y$49="Alta",'Mapa final'!$AA$49="Moderado"),CONCATENATE("R7C",'Mapa final'!$O$49),"")</f>
        <v/>
      </c>
      <c r="Z22" s="257" t="str">
        <f>IF(AND('Mapa final'!$Y$50="Alta",'Mapa final'!$AA$50="Moderado"),CONCATENATE("R7C",'Mapa final'!$O$50),"")</f>
        <v/>
      </c>
      <c r="AA22" s="258" t="str">
        <f>IF(AND('Mapa final'!$Y$51="Alta",'Mapa final'!$AA$51="Moderado"),CONCATENATE("R7C",'Mapa final'!$O$51),"")</f>
        <v/>
      </c>
      <c r="AB22" s="256" t="str">
        <f>IF(AND('Mapa final'!$Y$46="Alta",'Mapa final'!$AA$46="Mayor"),CONCATENATE("R7C",'Mapa final'!$O$46),"")</f>
        <v/>
      </c>
      <c r="AC22" s="257" t="str">
        <f>IF(AND('Mapa final'!$Y$47="Alta",'Mapa final'!$AA$47="Mayor"),CONCATENATE("R7C",'Mapa final'!$O$47),"")</f>
        <v/>
      </c>
      <c r="AD22" s="257" t="str">
        <f>IF(AND('Mapa final'!$Y$48="Alta",'Mapa final'!$AA$48="Mayor"),CONCATENATE("R7C",'Mapa final'!$O$48),"")</f>
        <v/>
      </c>
      <c r="AE22" s="257" t="str">
        <f>IF(AND('Mapa final'!$Y$49="Alta",'Mapa final'!$AA$49="Mayor"),CONCATENATE("R7C",'Mapa final'!$O$49),"")</f>
        <v/>
      </c>
      <c r="AF22" s="257" t="str">
        <f>IF(AND('Mapa final'!$Y$50="Alta",'Mapa final'!$AA$50="Mayor"),CONCATENATE("R7C",'Mapa final'!$O$50),"")</f>
        <v/>
      </c>
      <c r="AG22" s="258" t="str">
        <f>IF(AND('Mapa final'!$Y$51="Alta",'Mapa final'!$AA$51="Mayor"),CONCATENATE("R7C",'Mapa final'!$O$51),"")</f>
        <v/>
      </c>
      <c r="AH22" s="259" t="str">
        <f>IF(AND('Mapa final'!$Y$46="Alta",'Mapa final'!$AA$46="Catastrófico"),CONCATENATE("R7C",'Mapa final'!$O$46),"")</f>
        <v/>
      </c>
      <c r="AI22" s="260" t="str">
        <f>IF(AND('Mapa final'!$Y$47="Alta",'Mapa final'!$AA$47="Catastrófico"),CONCATENATE("R7C",'Mapa final'!$O$47),"")</f>
        <v/>
      </c>
      <c r="AJ22" s="260" t="str">
        <f>IF(AND('Mapa final'!$Y$48="Alta",'Mapa final'!$AA$48="Catastrófico"),CONCATENATE("R7C",'Mapa final'!$O$48),"")</f>
        <v/>
      </c>
      <c r="AK22" s="260" t="str">
        <f>IF(AND('Mapa final'!$Y$49="Alta",'Mapa final'!$AA$49="Catastrófico"),CONCATENATE("R7C",'Mapa final'!$O$49),"")</f>
        <v/>
      </c>
      <c r="AL22" s="260" t="str">
        <f>IF(AND('Mapa final'!$Y$50="Alta",'Mapa final'!$AA$50="Catastrófico"),CONCATENATE("R7C",'Mapa final'!$O$50),"")</f>
        <v/>
      </c>
      <c r="AM22" s="261" t="str">
        <f>IF(AND('Mapa final'!$Y$51="Alta",'Mapa final'!$AA$51="Catastrófico"),CONCATENATE("R7C",'Mapa final'!$O$51),"")</f>
        <v/>
      </c>
      <c r="AN22" s="15"/>
      <c r="AO22" s="686"/>
      <c r="AP22" s="687"/>
      <c r="AQ22" s="687"/>
      <c r="AR22" s="687"/>
      <c r="AS22" s="687"/>
      <c r="AT22" s="68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78"/>
      <c r="C23" s="578"/>
      <c r="D23" s="579"/>
      <c r="E23" s="667"/>
      <c r="F23" s="668"/>
      <c r="G23" s="668"/>
      <c r="H23" s="668"/>
      <c r="I23" s="668"/>
      <c r="J23" s="271" t="str">
        <f>IF(AND('Mapa final'!$Y$52="Alta",'Mapa final'!$AA$52="Leve"),CONCATENATE("R8C",'Mapa final'!$O$52),"")</f>
        <v/>
      </c>
      <c r="K23" s="272" t="str">
        <f>IF(AND('Mapa final'!$Y$53="Alta",'Mapa final'!$AA$53="Leve"),CONCATENATE("R8C",'Mapa final'!$O$53),"")</f>
        <v/>
      </c>
      <c r="L23" s="272" t="str">
        <f>IF(AND('Mapa final'!$Y$54="Alta",'Mapa final'!$AA$54="Leve"),CONCATENATE("R8C",'Mapa final'!$O$54),"")</f>
        <v/>
      </c>
      <c r="M23" s="272" t="str">
        <f>IF(AND('Mapa final'!$Y$55="Alta",'Mapa final'!$AA$55="Leve"),CONCATENATE("R8C",'Mapa final'!$O$55),"")</f>
        <v/>
      </c>
      <c r="N23" s="272" t="str">
        <f>IF(AND('Mapa final'!$Y$56="Alta",'Mapa final'!$AA$56="Leve"),CONCATENATE("R8C",'Mapa final'!$O$56),"")</f>
        <v/>
      </c>
      <c r="O23" s="273" t="str">
        <f>IF(AND('Mapa final'!$Y$57="Alta",'Mapa final'!$AA$57="Leve"),CONCATENATE("R8C",'Mapa final'!$O$57),"")</f>
        <v/>
      </c>
      <c r="P23" s="271" t="str">
        <f>IF(AND('Mapa final'!$Y$52="Alta",'Mapa final'!$AA$52="Menor"),CONCATENATE("R8C",'Mapa final'!$O$52),"")</f>
        <v/>
      </c>
      <c r="Q23" s="272" t="str">
        <f>IF(AND('Mapa final'!$Y$53="Alta",'Mapa final'!$AA$53="Menor"),CONCATENATE("R8C",'Mapa final'!$O$53),"")</f>
        <v/>
      </c>
      <c r="R23" s="272" t="str">
        <f>IF(AND('Mapa final'!$Y$54="Alta",'Mapa final'!$AA$54="Menor"),CONCATENATE("R8C",'Mapa final'!$O$54),"")</f>
        <v/>
      </c>
      <c r="S23" s="272" t="str">
        <f>IF(AND('Mapa final'!$Y$55="Alta",'Mapa final'!$AA$55="Menor"),CONCATENATE("R8C",'Mapa final'!$O$55),"")</f>
        <v/>
      </c>
      <c r="T23" s="272" t="str">
        <f>IF(AND('Mapa final'!$Y$56="Alta",'Mapa final'!$AA$56="Menor"),CONCATENATE("R8C",'Mapa final'!$O$56),"")</f>
        <v/>
      </c>
      <c r="U23" s="273" t="str">
        <f>IF(AND('Mapa final'!$Y$57="Alta",'Mapa final'!$AA$57="Menor"),CONCATENATE("R8C",'Mapa final'!$O$57),"")</f>
        <v/>
      </c>
      <c r="V23" s="256" t="str">
        <f>IF(AND('Mapa final'!$Y$52="Alta",'Mapa final'!$AA$52="Moderado"),CONCATENATE("R8C",'Mapa final'!$O$52),"")</f>
        <v/>
      </c>
      <c r="W23" s="257" t="str">
        <f>IF(AND('Mapa final'!$Y$53="Alta",'Mapa final'!$AA$53="Moderado"),CONCATENATE("R8C",'Mapa final'!$O$53),"")</f>
        <v/>
      </c>
      <c r="X23" s="257" t="str">
        <f>IF(AND('Mapa final'!$Y$54="Alta",'Mapa final'!$AA$54="Moderado"),CONCATENATE("R8C",'Mapa final'!$O$54),"")</f>
        <v/>
      </c>
      <c r="Y23" s="257" t="str">
        <f>IF(AND('Mapa final'!$Y$55="Alta",'Mapa final'!$AA$55="Moderado"),CONCATENATE("R8C",'Mapa final'!$O$55),"")</f>
        <v/>
      </c>
      <c r="Z23" s="257" t="str">
        <f>IF(AND('Mapa final'!$Y$56="Alta",'Mapa final'!$AA$56="Moderado"),CONCATENATE("R8C",'Mapa final'!$O$56),"")</f>
        <v/>
      </c>
      <c r="AA23" s="258" t="str">
        <f>IF(AND('Mapa final'!$Y$57="Alta",'Mapa final'!$AA$57="Moderado"),CONCATENATE("R8C",'Mapa final'!$O$57),"")</f>
        <v/>
      </c>
      <c r="AB23" s="256" t="str">
        <f>IF(AND('Mapa final'!$Y$52="Alta",'Mapa final'!$AA$52="Mayor"),CONCATENATE("R8C",'Mapa final'!$O$52),"")</f>
        <v/>
      </c>
      <c r="AC23" s="257" t="str">
        <f>IF(AND('Mapa final'!$Y$53="Alta",'Mapa final'!$AA$53="Mayor"),CONCATENATE("R8C",'Mapa final'!$O$53),"")</f>
        <v/>
      </c>
      <c r="AD23" s="257" t="str">
        <f>IF(AND('Mapa final'!$Y$54="Alta",'Mapa final'!$AA$54="Mayor"),CONCATENATE("R8C",'Mapa final'!$O$54),"")</f>
        <v/>
      </c>
      <c r="AE23" s="257" t="str">
        <f>IF(AND('Mapa final'!$Y$55="Alta",'Mapa final'!$AA$55="Mayor"),CONCATENATE("R8C",'Mapa final'!$O$55),"")</f>
        <v/>
      </c>
      <c r="AF23" s="257" t="str">
        <f>IF(AND('Mapa final'!$Y$56="Alta",'Mapa final'!$AA$56="Mayor"),CONCATENATE("R8C",'Mapa final'!$O$56),"")</f>
        <v/>
      </c>
      <c r="AG23" s="258" t="str">
        <f>IF(AND('Mapa final'!$Y$57="Alta",'Mapa final'!$AA$57="Mayor"),CONCATENATE("R8C",'Mapa final'!$O$57),"")</f>
        <v/>
      </c>
      <c r="AH23" s="259" t="str">
        <f>IF(AND('Mapa final'!$Y$52="Alta",'Mapa final'!$AA$52="Catastrófico"),CONCATENATE("R8C",'Mapa final'!$O$52),"")</f>
        <v/>
      </c>
      <c r="AI23" s="260" t="str">
        <f>IF(AND('Mapa final'!$Y$53="Alta",'Mapa final'!$AA$53="Catastrófico"),CONCATENATE("R8C",'Mapa final'!$O$53),"")</f>
        <v/>
      </c>
      <c r="AJ23" s="260" t="str">
        <f>IF(AND('Mapa final'!$Y$54="Alta",'Mapa final'!$AA$54="Catastrófico"),CONCATENATE("R8C",'Mapa final'!$O$54),"")</f>
        <v/>
      </c>
      <c r="AK23" s="260" t="str">
        <f>IF(AND('Mapa final'!$Y$55="Alta",'Mapa final'!$AA$55="Catastrófico"),CONCATENATE("R8C",'Mapa final'!$O$55),"")</f>
        <v/>
      </c>
      <c r="AL23" s="260" t="str">
        <f>IF(AND('Mapa final'!$Y$56="Alta",'Mapa final'!$AA$56="Catastrófico"),CONCATENATE("R8C",'Mapa final'!$O$56),"")</f>
        <v/>
      </c>
      <c r="AM23" s="261" t="str">
        <f>IF(AND('Mapa final'!$Y$57="Alta",'Mapa final'!$AA$57="Catastrófico"),CONCATENATE("R8C",'Mapa final'!$O$57),"")</f>
        <v/>
      </c>
      <c r="AN23" s="15"/>
      <c r="AO23" s="686"/>
      <c r="AP23" s="687"/>
      <c r="AQ23" s="687"/>
      <c r="AR23" s="687"/>
      <c r="AS23" s="687"/>
      <c r="AT23" s="68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78"/>
      <c r="C24" s="578"/>
      <c r="D24" s="579"/>
      <c r="E24" s="667"/>
      <c r="F24" s="668"/>
      <c r="G24" s="668"/>
      <c r="H24" s="668"/>
      <c r="I24" s="668"/>
      <c r="J24" s="271" t="str">
        <f>IF(AND('Mapa final'!$Y$58="Alta",'Mapa final'!$AA$58="Leve"),CONCATENATE("R9C",'Mapa final'!$O$58),"")</f>
        <v/>
      </c>
      <c r="K24" s="272" t="str">
        <f>IF(AND('Mapa final'!$Y$59="Alta",'Mapa final'!$AA$59="Leve"),CONCATENATE("R9C",'Mapa final'!$O$59),"")</f>
        <v/>
      </c>
      <c r="L24" s="272" t="str">
        <f>IF(AND('Mapa final'!$Y$60="Alta",'Mapa final'!$AA$60="Leve"),CONCATENATE("R9C",'Mapa final'!$O$60),"")</f>
        <v/>
      </c>
      <c r="M24" s="272" t="str">
        <f>IF(AND('Mapa final'!$Y$61="Alta",'Mapa final'!$AA$61="Leve"),CONCATENATE("R9C",'Mapa final'!$O$61),"")</f>
        <v/>
      </c>
      <c r="N24" s="272" t="str">
        <f>IF(AND('Mapa final'!$Y$62="Alta",'Mapa final'!$AA$62="Leve"),CONCATENATE("R9C",'Mapa final'!$O$62),"")</f>
        <v/>
      </c>
      <c r="O24" s="273" t="str">
        <f>IF(AND('Mapa final'!$Y$63="Alta",'Mapa final'!$AA$63="Leve"),CONCATENATE("R9C",'Mapa final'!$O$63),"")</f>
        <v/>
      </c>
      <c r="P24" s="271" t="str">
        <f>IF(AND('Mapa final'!$Y$58="Alta",'Mapa final'!$AA$58="Menor"),CONCATENATE("R9C",'Mapa final'!$O$58),"")</f>
        <v/>
      </c>
      <c r="Q24" s="272" t="str">
        <f>IF(AND('Mapa final'!$Y$59="Alta",'Mapa final'!$AA$59="Menor"),CONCATENATE("R9C",'Mapa final'!$O$59),"")</f>
        <v/>
      </c>
      <c r="R24" s="272" t="str">
        <f>IF(AND('Mapa final'!$Y$60="Alta",'Mapa final'!$AA$60="Menor"),CONCATENATE("R9C",'Mapa final'!$O$60),"")</f>
        <v/>
      </c>
      <c r="S24" s="272" t="str">
        <f>IF(AND('Mapa final'!$Y$61="Alta",'Mapa final'!$AA$61="Menor"),CONCATENATE("R9C",'Mapa final'!$O$61),"")</f>
        <v/>
      </c>
      <c r="T24" s="272" t="str">
        <f>IF(AND('Mapa final'!$Y$62="Alta",'Mapa final'!$AA$62="Menor"),CONCATENATE("R9C",'Mapa final'!$O$62),"")</f>
        <v/>
      </c>
      <c r="U24" s="273" t="str">
        <f>IF(AND('Mapa final'!$Y$63="Alta",'Mapa final'!$AA$63="Menor"),CONCATENATE("R9C",'Mapa final'!$O$63),"")</f>
        <v/>
      </c>
      <c r="V24" s="256" t="str">
        <f>IF(AND('Mapa final'!$Y$58="Alta",'Mapa final'!$AA$58="Moderado"),CONCATENATE("R9C",'Mapa final'!$O$58),"")</f>
        <v/>
      </c>
      <c r="W24" s="257" t="str">
        <f>IF(AND('Mapa final'!$Y$59="Alta",'Mapa final'!$AA$59="Moderado"),CONCATENATE("R9C",'Mapa final'!$O$59),"")</f>
        <v/>
      </c>
      <c r="X24" s="257" t="str">
        <f>IF(AND('Mapa final'!$Y$60="Alta",'Mapa final'!$AA$60="Moderado"),CONCATENATE("R9C",'Mapa final'!$O$60),"")</f>
        <v/>
      </c>
      <c r="Y24" s="257" t="str">
        <f>IF(AND('Mapa final'!$Y$61="Alta",'Mapa final'!$AA$61="Moderado"),CONCATENATE("R9C",'Mapa final'!$O$61),"")</f>
        <v/>
      </c>
      <c r="Z24" s="257" t="str">
        <f>IF(AND('Mapa final'!$Y$62="Alta",'Mapa final'!$AA$62="Moderado"),CONCATENATE("R9C",'Mapa final'!$O$62),"")</f>
        <v/>
      </c>
      <c r="AA24" s="258" t="str">
        <f>IF(AND('Mapa final'!$Y$63="Alta",'Mapa final'!$AA$63="Moderado"),CONCATENATE("R9C",'Mapa final'!$O$63),"")</f>
        <v/>
      </c>
      <c r="AB24" s="256" t="str">
        <f>IF(AND('Mapa final'!$Y$58="Alta",'Mapa final'!$AA$58="Mayor"),CONCATENATE("R9C",'Mapa final'!$O$58),"")</f>
        <v/>
      </c>
      <c r="AC24" s="257" t="str">
        <f>IF(AND('Mapa final'!$Y$59="Alta",'Mapa final'!$AA$59="Mayor"),CONCATENATE("R9C",'Mapa final'!$O$59),"")</f>
        <v/>
      </c>
      <c r="AD24" s="257" t="str">
        <f>IF(AND('Mapa final'!$Y$60="Alta",'Mapa final'!$AA$60="Mayor"),CONCATENATE("R9C",'Mapa final'!$O$60),"")</f>
        <v/>
      </c>
      <c r="AE24" s="257" t="str">
        <f>IF(AND('Mapa final'!$Y$61="Alta",'Mapa final'!$AA$61="Mayor"),CONCATENATE("R9C",'Mapa final'!$O$61),"")</f>
        <v/>
      </c>
      <c r="AF24" s="257" t="str">
        <f>IF(AND('Mapa final'!$Y$62="Alta",'Mapa final'!$AA$62="Mayor"),CONCATENATE("R9C",'Mapa final'!$O$62),"")</f>
        <v/>
      </c>
      <c r="AG24" s="258" t="str">
        <f>IF(AND('Mapa final'!$Y$63="Alta",'Mapa final'!$AA$63="Mayor"),CONCATENATE("R9C",'Mapa final'!$O$63),"")</f>
        <v/>
      </c>
      <c r="AH24" s="259" t="str">
        <f>IF(AND('Mapa final'!$Y$58="Alta",'Mapa final'!$AA$58="Catastrófico"),CONCATENATE("R9C",'Mapa final'!$O$58),"")</f>
        <v/>
      </c>
      <c r="AI24" s="260" t="str">
        <f>IF(AND('Mapa final'!$Y$59="Alta",'Mapa final'!$AA$59="Catastrófico"),CONCATENATE("R9C",'Mapa final'!$O$59),"")</f>
        <v/>
      </c>
      <c r="AJ24" s="260" t="str">
        <f>IF(AND('Mapa final'!$Y$60="Alta",'Mapa final'!$AA$60="Catastrófico"),CONCATENATE("R9C",'Mapa final'!$O$60),"")</f>
        <v/>
      </c>
      <c r="AK24" s="260" t="str">
        <f>IF(AND('Mapa final'!$Y$61="Alta",'Mapa final'!$AA$61="Catastrófico"),CONCATENATE("R9C",'Mapa final'!$O$61),"")</f>
        <v/>
      </c>
      <c r="AL24" s="260" t="str">
        <f>IF(AND('Mapa final'!$Y$62="Alta",'Mapa final'!$AA$62="Catastrófico"),CONCATENATE("R9C",'Mapa final'!$O$62),"")</f>
        <v/>
      </c>
      <c r="AM24" s="261" t="str">
        <f>IF(AND('Mapa final'!$Y$63="Alta",'Mapa final'!$AA$63="Catastrófico"),CONCATENATE("R9C",'Mapa final'!$O$63),"")</f>
        <v/>
      </c>
      <c r="AN24" s="15"/>
      <c r="AO24" s="686"/>
      <c r="AP24" s="687"/>
      <c r="AQ24" s="687"/>
      <c r="AR24" s="687"/>
      <c r="AS24" s="687"/>
      <c r="AT24" s="68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78"/>
      <c r="C25" s="578"/>
      <c r="D25" s="579"/>
      <c r="E25" s="670"/>
      <c r="F25" s="671"/>
      <c r="G25" s="671"/>
      <c r="H25" s="671"/>
      <c r="I25" s="671"/>
      <c r="J25" s="274" t="str">
        <f>IF(AND('Mapa final'!$Y$64="Alta",'Mapa final'!$AA$64="Leve"),CONCATENATE("R10C",'Mapa final'!$O$64),"")</f>
        <v/>
      </c>
      <c r="K25" s="275" t="str">
        <f>IF(AND('Mapa final'!$Y$65="Alta",'Mapa final'!$AA$65="Leve"),CONCATENATE("R10C",'Mapa final'!$O$65),"")</f>
        <v/>
      </c>
      <c r="L25" s="275" t="str">
        <f>IF(AND('Mapa final'!$Y$66="Alta",'Mapa final'!$AA$66="Leve"),CONCATENATE("R10C",'Mapa final'!$O$66),"")</f>
        <v/>
      </c>
      <c r="M25" s="275" t="str">
        <f>IF(AND('Mapa final'!$Y$67="Alta",'Mapa final'!$AA$67="Leve"),CONCATENATE("R10C",'Mapa final'!$O$67),"")</f>
        <v/>
      </c>
      <c r="N25" s="275" t="str">
        <f>IF(AND('Mapa final'!$Y$68="Alta",'Mapa final'!$AA$68="Leve"),CONCATENATE("R10C",'Mapa final'!$O$68),"")</f>
        <v/>
      </c>
      <c r="O25" s="276" t="str">
        <f>IF(AND('Mapa final'!$Y$69="Alta",'Mapa final'!$AA$69="Leve"),CONCATENATE("R10C",'Mapa final'!$O$69),"")</f>
        <v/>
      </c>
      <c r="P25" s="274" t="str">
        <f>IF(AND('Mapa final'!$Y$64="Alta",'Mapa final'!$AA$64="Menor"),CONCATENATE("R10C",'Mapa final'!$O$64),"")</f>
        <v/>
      </c>
      <c r="Q25" s="275" t="str">
        <f>IF(AND('Mapa final'!$Y$65="Alta",'Mapa final'!$AA$65="Menor"),CONCATENATE("R10C",'Mapa final'!$O$65),"")</f>
        <v/>
      </c>
      <c r="R25" s="275" t="str">
        <f>IF(AND('Mapa final'!$Y$66="Alta",'Mapa final'!$AA$66="Menor"),CONCATENATE("R10C",'Mapa final'!$O$66),"")</f>
        <v/>
      </c>
      <c r="S25" s="275" t="str">
        <f>IF(AND('Mapa final'!$Y$67="Alta",'Mapa final'!$AA$67="Menor"),CONCATENATE("R10C",'Mapa final'!$O$67),"")</f>
        <v/>
      </c>
      <c r="T25" s="275" t="str">
        <f>IF(AND('Mapa final'!$Y$68="Alta",'Mapa final'!$AA$68="Menor"),CONCATENATE("R10C",'Mapa final'!$O$68),"")</f>
        <v/>
      </c>
      <c r="U25" s="276" t="str">
        <f>IF(AND('Mapa final'!$Y$69="Alta",'Mapa final'!$AA$69="Menor"),CONCATENATE("R10C",'Mapa final'!$O$69),"")</f>
        <v/>
      </c>
      <c r="V25" s="262" t="str">
        <f>IF(AND('Mapa final'!$Y$64="Alta",'Mapa final'!$AA$64="Moderado"),CONCATENATE("R10C",'Mapa final'!$O$64),"")</f>
        <v/>
      </c>
      <c r="W25" s="263" t="str">
        <f>IF(AND('Mapa final'!$Y$65="Alta",'Mapa final'!$AA$65="Moderado"),CONCATENATE("R10C",'Mapa final'!$O$65),"")</f>
        <v/>
      </c>
      <c r="X25" s="263" t="str">
        <f>IF(AND('Mapa final'!$Y$66="Alta",'Mapa final'!$AA$66="Moderado"),CONCATENATE("R10C",'Mapa final'!$O$66),"")</f>
        <v/>
      </c>
      <c r="Y25" s="263" t="str">
        <f>IF(AND('Mapa final'!$Y$67="Alta",'Mapa final'!$AA$67="Moderado"),CONCATENATE("R10C",'Mapa final'!$O$67),"")</f>
        <v/>
      </c>
      <c r="Z25" s="263" t="str">
        <f>IF(AND('Mapa final'!$Y$68="Alta",'Mapa final'!$AA$68="Moderado"),CONCATENATE("R10C",'Mapa final'!$O$68),"")</f>
        <v/>
      </c>
      <c r="AA25" s="264" t="str">
        <f>IF(AND('Mapa final'!$Y$69="Alta",'Mapa final'!$AA$69="Moderado"),CONCATENATE("R10C",'Mapa final'!$O$69),"")</f>
        <v/>
      </c>
      <c r="AB25" s="262" t="str">
        <f>IF(AND('Mapa final'!$Y$64="Alta",'Mapa final'!$AA$64="Mayor"),CONCATENATE("R10C",'Mapa final'!$O$64),"")</f>
        <v/>
      </c>
      <c r="AC25" s="263" t="str">
        <f>IF(AND('Mapa final'!$Y$65="Alta",'Mapa final'!$AA$65="Mayor"),CONCATENATE("R10C",'Mapa final'!$O$65),"")</f>
        <v/>
      </c>
      <c r="AD25" s="263" t="str">
        <f>IF(AND('Mapa final'!$Y$66="Alta",'Mapa final'!$AA$66="Mayor"),CONCATENATE("R10C",'Mapa final'!$O$66),"")</f>
        <v/>
      </c>
      <c r="AE25" s="263" t="str">
        <f>IF(AND('Mapa final'!$Y$67="Alta",'Mapa final'!$AA$67="Mayor"),CONCATENATE("R10C",'Mapa final'!$O$67),"")</f>
        <v/>
      </c>
      <c r="AF25" s="263" t="str">
        <f>IF(AND('Mapa final'!$Y$68="Alta",'Mapa final'!$AA$68="Mayor"),CONCATENATE("R10C",'Mapa final'!$O$68),"")</f>
        <v/>
      </c>
      <c r="AG25" s="264" t="str">
        <f>IF(AND('Mapa final'!$Y$69="Alta",'Mapa final'!$AA$69="Mayor"),CONCATENATE("R10C",'Mapa final'!$O$69),"")</f>
        <v/>
      </c>
      <c r="AH25" s="265" t="str">
        <f>IF(AND('Mapa final'!$Y$64="Alta",'Mapa final'!$AA$64="Catastrófico"),CONCATENATE("R10C",'Mapa final'!$O$64),"")</f>
        <v/>
      </c>
      <c r="AI25" s="266" t="str">
        <f>IF(AND('Mapa final'!$Y$65="Alta",'Mapa final'!$AA$65="Catastrófico"),CONCATENATE("R10C",'Mapa final'!$O$65),"")</f>
        <v/>
      </c>
      <c r="AJ25" s="266" t="str">
        <f>IF(AND('Mapa final'!$Y$66="Alta",'Mapa final'!$AA$66="Catastrófico"),CONCATENATE("R10C",'Mapa final'!$O$66),"")</f>
        <v/>
      </c>
      <c r="AK25" s="266" t="str">
        <f>IF(AND('Mapa final'!$Y$67="Alta",'Mapa final'!$AA$67="Catastrófico"),CONCATENATE("R10C",'Mapa final'!$O$67),"")</f>
        <v/>
      </c>
      <c r="AL25" s="266" t="str">
        <f>IF(AND('Mapa final'!$Y$68="Alta",'Mapa final'!$AA$68="Catastrófico"),CONCATENATE("R10C",'Mapa final'!$O$68),"")</f>
        <v/>
      </c>
      <c r="AM25" s="267" t="str">
        <f>IF(AND('Mapa final'!$Y$69="Alta",'Mapa final'!$AA$69="Catastrófico"),CONCATENATE("R10C",'Mapa final'!$O$69),"")</f>
        <v/>
      </c>
      <c r="AN25" s="15"/>
      <c r="AO25" s="689"/>
      <c r="AP25" s="690"/>
      <c r="AQ25" s="690"/>
      <c r="AR25" s="690"/>
      <c r="AS25" s="690"/>
      <c r="AT25" s="69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78"/>
      <c r="C26" s="578"/>
      <c r="D26" s="579"/>
      <c r="E26" s="664" t="s">
        <v>1058</v>
      </c>
      <c r="F26" s="665"/>
      <c r="G26" s="665"/>
      <c r="H26" s="665"/>
      <c r="I26" s="666"/>
      <c r="J26" s="268" t="str">
        <f>IF(AND('Mapa final'!$Y$10="Media",'Mapa final'!$AA$10="Leve"),CONCATENATE("R1C",'Mapa final'!$O$10),"")</f>
        <v/>
      </c>
      <c r="K26" s="269" t="str">
        <f>IF(AND('Mapa final'!$Y$11="Media",'Mapa final'!$AA$11="Leve"),CONCATENATE("R1C",'Mapa final'!$O$11),"")</f>
        <v/>
      </c>
      <c r="L26" s="269" t="str">
        <f>IF(AND('Mapa final'!$Y$12="Media",'Mapa final'!$AA$12="Leve"),CONCATENATE("R1C",'Mapa final'!$O$12),"")</f>
        <v/>
      </c>
      <c r="M26" s="269" t="str">
        <f>IF(AND('Mapa final'!$Y$13="Media",'Mapa final'!$AA$13="Leve"),CONCATENATE("R1C",'Mapa final'!$O$13),"")</f>
        <v/>
      </c>
      <c r="N26" s="269" t="str">
        <f>IF(AND('Mapa final'!$Y$14="Media",'Mapa final'!$AA$14="Leve"),CONCATENATE("R1C",'Mapa final'!$O$14),"")</f>
        <v/>
      </c>
      <c r="O26" s="270" t="str">
        <f>IF(AND('Mapa final'!$Y$15="Media",'Mapa final'!$AA$15="Leve"),CONCATENATE("R1C",'Mapa final'!$O$15),"")</f>
        <v/>
      </c>
      <c r="P26" s="268" t="str">
        <f>IF(AND('Mapa final'!$Y$10="Media",'Mapa final'!$AA$10="Menor"),CONCATENATE("R1C",'Mapa final'!$O$10),"")</f>
        <v/>
      </c>
      <c r="Q26" s="269" t="str">
        <f>IF(AND('Mapa final'!$Y$11="Media",'Mapa final'!$AA$11="Menor"),CONCATENATE("R1C",'Mapa final'!$O$11),"")</f>
        <v/>
      </c>
      <c r="R26" s="269" t="str">
        <f>IF(AND('Mapa final'!$Y$12="Media",'Mapa final'!$AA$12="Menor"),CONCATENATE("R1C",'Mapa final'!$O$12),"")</f>
        <v/>
      </c>
      <c r="S26" s="269" t="str">
        <f>IF(AND('Mapa final'!$Y$13="Media",'Mapa final'!$AA$13="Menor"),CONCATENATE("R1C",'Mapa final'!$O$13),"")</f>
        <v/>
      </c>
      <c r="T26" s="269" t="str">
        <f>IF(AND('Mapa final'!$Y$14="Media",'Mapa final'!$AA$14="Menor"),CONCATENATE("R1C",'Mapa final'!$O$14),"")</f>
        <v/>
      </c>
      <c r="U26" s="270" t="str">
        <f>IF(AND('Mapa final'!$Y$15="Media",'Mapa final'!$AA$15="Menor"),CONCATENATE("R1C",'Mapa final'!$O$15),"")</f>
        <v/>
      </c>
      <c r="V26" s="268" t="str">
        <f>IF(AND('Mapa final'!$Y$10="Media",'Mapa final'!$AA$10="Moderado"),CONCATENATE("R1C",'Mapa final'!$O$10),"")</f>
        <v/>
      </c>
      <c r="W26" s="269" t="str">
        <f>IF(AND('Mapa final'!$Y$11="Media",'Mapa final'!$AA$11="Moderado"),CONCATENATE("R1C",'Mapa final'!$O$11),"")</f>
        <v/>
      </c>
      <c r="X26" s="269" t="str">
        <f>IF(AND('Mapa final'!$Y$12="Media",'Mapa final'!$AA$12="Moderado"),CONCATENATE("R1C",'Mapa final'!$O$12),"")</f>
        <v/>
      </c>
      <c r="Y26" s="269" t="str">
        <f>IF(AND('Mapa final'!$Y$13="Media",'Mapa final'!$AA$13="Moderado"),CONCATENATE("R1C",'Mapa final'!$O$13),"")</f>
        <v/>
      </c>
      <c r="Z26" s="269" t="str">
        <f>IF(AND('Mapa final'!$Y$14="Media",'Mapa final'!$AA$14="Moderado"),CONCATENATE("R1C",'Mapa final'!$O$14),"")</f>
        <v/>
      </c>
      <c r="AA26" s="270" t="str">
        <f>IF(AND('Mapa final'!$Y$15="Media",'Mapa final'!$AA$15="Moderado"),CONCATENATE("R1C",'Mapa final'!$O$15),"")</f>
        <v/>
      </c>
      <c r="AB26" s="250" t="str">
        <f>IF(AND('Mapa final'!$Y$10="Media",'Mapa final'!$AA$10="Mayor"),CONCATENATE("R1C",'Mapa final'!$O$10),"")</f>
        <v/>
      </c>
      <c r="AC26" s="251" t="str">
        <f>IF(AND('Mapa final'!$Y$11="Media",'Mapa final'!$AA$11="Mayor"),CONCATENATE("R1C",'Mapa final'!$O$11),"")</f>
        <v/>
      </c>
      <c r="AD26" s="251" t="str">
        <f>IF(AND('Mapa final'!$Y$12="Media",'Mapa final'!$AA$12="Mayor"),CONCATENATE("R1C",'Mapa final'!$O$12),"")</f>
        <v/>
      </c>
      <c r="AE26" s="251" t="str">
        <f>IF(AND('Mapa final'!$Y$13="Media",'Mapa final'!$AA$13="Mayor"),CONCATENATE("R1C",'Mapa final'!$O$13),"")</f>
        <v/>
      </c>
      <c r="AF26" s="251" t="str">
        <f>IF(AND('Mapa final'!$Y$14="Media",'Mapa final'!$AA$14="Mayor"),CONCATENATE("R1C",'Mapa final'!$O$14),"")</f>
        <v/>
      </c>
      <c r="AG26" s="252" t="str">
        <f>IF(AND('Mapa final'!$Y$15="Media",'Mapa final'!$AA$15="Mayor"),CONCATENATE("R1C",'Mapa final'!$O$15),"")</f>
        <v/>
      </c>
      <c r="AH26" s="253" t="str">
        <f>IF(AND('Mapa final'!$Y$10="Media",'Mapa final'!$AA$10="Catastrófico"),CONCATENATE("R1C",'Mapa final'!$O$10),"")</f>
        <v/>
      </c>
      <c r="AI26" s="254" t="str">
        <f>IF(AND('Mapa final'!$Y$11="Media",'Mapa final'!$AA$11="Catastrófico"),CONCATENATE("R1C",'Mapa final'!$O$11),"")</f>
        <v/>
      </c>
      <c r="AJ26" s="254" t="str">
        <f>IF(AND('Mapa final'!$Y$12="Media",'Mapa final'!$AA$12="Catastrófico"),CONCATENATE("R1C",'Mapa final'!$O$12),"")</f>
        <v/>
      </c>
      <c r="AK26" s="254" t="str">
        <f>IF(AND('Mapa final'!$Y$13="Media",'Mapa final'!$AA$13="Catastrófico"),CONCATENATE("R1C",'Mapa final'!$O$13),"")</f>
        <v/>
      </c>
      <c r="AL26" s="254" t="str">
        <f>IF(AND('Mapa final'!$Y$14="Media",'Mapa final'!$AA$14="Catastrófico"),CONCATENATE("R1C",'Mapa final'!$O$14),"")</f>
        <v/>
      </c>
      <c r="AM26" s="255" t="str">
        <f>IF(AND('Mapa final'!$Y$15="Media",'Mapa final'!$AA$15="Catastrófico"),CONCATENATE("R1C",'Mapa final'!$O$15),"")</f>
        <v/>
      </c>
      <c r="AN26" s="15"/>
      <c r="AO26" s="692" t="s">
        <v>9</v>
      </c>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78"/>
      <c r="C27" s="578"/>
      <c r="D27" s="579"/>
      <c r="E27" s="682"/>
      <c r="F27" s="668"/>
      <c r="G27" s="668"/>
      <c r="H27" s="668"/>
      <c r="I27" s="669"/>
      <c r="J27" s="271" t="str">
        <f>IF(AND('Mapa final'!$Y$16="Media",'Mapa final'!$AA$16="Leve"),CONCATENATE("R2C",'Mapa final'!$O$16),"")</f>
        <v/>
      </c>
      <c r="K27" s="272" t="str">
        <f>IF(AND('Mapa final'!$Y$17="Media",'Mapa final'!$AA$17="Leve"),CONCATENATE("R2C",'Mapa final'!$O$17),"")</f>
        <v/>
      </c>
      <c r="L27" s="272" t="str">
        <f>IF(AND('Mapa final'!$Y$18="Media",'Mapa final'!$AA$18="Leve"),CONCATENATE("R2C",'Mapa final'!$O$18),"")</f>
        <v/>
      </c>
      <c r="M27" s="272" t="str">
        <f>IF(AND('Mapa final'!$Y$19="Media",'Mapa final'!$AA$19="Leve"),CONCATENATE("R2C",'Mapa final'!$O$19),"")</f>
        <v/>
      </c>
      <c r="N27" s="272" t="str">
        <f>IF(AND('Mapa final'!$Y$20="Media",'Mapa final'!$AA$20="Leve"),CONCATENATE("R2C",'Mapa final'!$O$20),"")</f>
        <v/>
      </c>
      <c r="O27" s="273" t="str">
        <f>IF(AND('Mapa final'!$Y$21="Media",'Mapa final'!$AA$21="Leve"),CONCATENATE("R2C",'Mapa final'!$O$21),"")</f>
        <v/>
      </c>
      <c r="P27" s="271" t="str">
        <f>IF(AND('Mapa final'!$Y$16="Media",'Mapa final'!$AA$16="Menor"),CONCATENATE("R2C",'Mapa final'!$O$16),"")</f>
        <v/>
      </c>
      <c r="Q27" s="272" t="str">
        <f>IF(AND('Mapa final'!$Y$17="Media",'Mapa final'!$AA$17="Menor"),CONCATENATE("R2C",'Mapa final'!$O$17),"")</f>
        <v/>
      </c>
      <c r="R27" s="272" t="str">
        <f>IF(AND('Mapa final'!$Y$18="Media",'Mapa final'!$AA$18="Menor"),CONCATENATE("R2C",'Mapa final'!$O$18),"")</f>
        <v/>
      </c>
      <c r="S27" s="272" t="str">
        <f>IF(AND('Mapa final'!$Y$19="Media",'Mapa final'!$AA$19="Menor"),CONCATENATE("R2C",'Mapa final'!$O$19),"")</f>
        <v/>
      </c>
      <c r="T27" s="272" t="str">
        <f>IF(AND('Mapa final'!$Y$20="Media",'Mapa final'!$AA$20="Menor"),CONCATENATE("R2C",'Mapa final'!$O$20),"")</f>
        <v/>
      </c>
      <c r="U27" s="273" t="str">
        <f>IF(AND('Mapa final'!$Y$21="Media",'Mapa final'!$AA$21="Menor"),CONCATENATE("R2C",'Mapa final'!$O$21),"")</f>
        <v/>
      </c>
      <c r="V27" s="271" t="str">
        <f>IF(AND('Mapa final'!$Y$16="Media",'Mapa final'!$AA$16="Moderado"),CONCATENATE("R2C",'Mapa final'!$O$16),"")</f>
        <v/>
      </c>
      <c r="W27" s="272" t="str">
        <f>IF(AND('Mapa final'!$Y$17="Media",'Mapa final'!$AA$17="Moderado"),CONCATENATE("R2C",'Mapa final'!$O$17),"")</f>
        <v/>
      </c>
      <c r="X27" s="272" t="str">
        <f>IF(AND('Mapa final'!$Y$18="Media",'Mapa final'!$AA$18="Moderado"),CONCATENATE("R2C",'Mapa final'!$O$18),"")</f>
        <v/>
      </c>
      <c r="Y27" s="272" t="str">
        <f>IF(AND('Mapa final'!$Y$19="Media",'Mapa final'!$AA$19="Moderado"),CONCATENATE("R2C",'Mapa final'!$O$19),"")</f>
        <v/>
      </c>
      <c r="Z27" s="272" t="str">
        <f>IF(AND('Mapa final'!$Y$20="Media",'Mapa final'!$AA$20="Moderado"),CONCATENATE("R2C",'Mapa final'!$O$20),"")</f>
        <v/>
      </c>
      <c r="AA27" s="273" t="str">
        <f>IF(AND('Mapa final'!$Y$21="Media",'Mapa final'!$AA$21="Moderado"),CONCATENATE("R2C",'Mapa final'!$O$21),"")</f>
        <v/>
      </c>
      <c r="AB27" s="256" t="str">
        <f>IF(AND('Mapa final'!$Y$16="Media",'Mapa final'!$AA$16="Mayor"),CONCATENATE("R2C",'Mapa final'!$O$16),"")</f>
        <v/>
      </c>
      <c r="AC27" s="257" t="str">
        <f>IF(AND('Mapa final'!$Y$17="Media",'Mapa final'!$AA$17="Mayor"),CONCATENATE("R2C",'Mapa final'!$O$17),"")</f>
        <v/>
      </c>
      <c r="AD27" s="257" t="str">
        <f>IF(AND('Mapa final'!$Y$18="Media",'Mapa final'!$AA$18="Mayor"),CONCATENATE("R2C",'Mapa final'!$O$18),"")</f>
        <v/>
      </c>
      <c r="AE27" s="257" t="str">
        <f>IF(AND('Mapa final'!$Y$19="Media",'Mapa final'!$AA$19="Mayor"),CONCATENATE("R2C",'Mapa final'!$O$19),"")</f>
        <v/>
      </c>
      <c r="AF27" s="257" t="str">
        <f>IF(AND('Mapa final'!$Y$20="Media",'Mapa final'!$AA$20="Mayor"),CONCATENATE("R2C",'Mapa final'!$O$20),"")</f>
        <v/>
      </c>
      <c r="AG27" s="258" t="str">
        <f>IF(AND('Mapa final'!$Y$21="Media",'Mapa final'!$AA$21="Mayor"),CONCATENATE("R2C",'Mapa final'!$O$21),"")</f>
        <v/>
      </c>
      <c r="AH27" s="259" t="str">
        <f>IF(AND('Mapa final'!$Y$16="Media",'Mapa final'!$AA$16="Catastrófico"),CONCATENATE("R2C",'Mapa final'!$O$16),"")</f>
        <v/>
      </c>
      <c r="AI27" s="260" t="str">
        <f>IF(AND('Mapa final'!$Y$17="Media",'Mapa final'!$AA$17="Catastrófico"),CONCATENATE("R2C",'Mapa final'!$O$17),"")</f>
        <v/>
      </c>
      <c r="AJ27" s="260" t="str">
        <f>IF(AND('Mapa final'!$Y$18="Media",'Mapa final'!$AA$18="Catastrófico"),CONCATENATE("R2C",'Mapa final'!$O$18),"")</f>
        <v/>
      </c>
      <c r="AK27" s="260" t="str">
        <f>IF(AND('Mapa final'!$Y$19="Media",'Mapa final'!$AA$19="Catastrófico"),CONCATENATE("R2C",'Mapa final'!$O$19),"")</f>
        <v/>
      </c>
      <c r="AL27" s="260" t="str">
        <f>IF(AND('Mapa final'!$Y$20="Media",'Mapa final'!$AA$20="Catastrófico"),CONCATENATE("R2C",'Mapa final'!$O$20),"")</f>
        <v/>
      </c>
      <c r="AM27" s="261" t="str">
        <f>IF(AND('Mapa final'!$Y$21="Media",'Mapa final'!$AA$21="Catastrófico"),CONCATENATE("R2C",'Mapa final'!$O$21),"")</f>
        <v/>
      </c>
      <c r="AN27" s="15"/>
      <c r="AO27" s="695"/>
      <c r="AP27" s="696"/>
      <c r="AQ27" s="696"/>
      <c r="AR27" s="696"/>
      <c r="AS27" s="696"/>
      <c r="AT27" s="69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78"/>
      <c r="C28" s="578"/>
      <c r="D28" s="579"/>
      <c r="E28" s="667"/>
      <c r="F28" s="668"/>
      <c r="G28" s="668"/>
      <c r="H28" s="668"/>
      <c r="I28" s="669"/>
      <c r="J28" s="271" t="str">
        <f>IF(AND('Mapa final'!$Y$22="Media",'Mapa final'!$AA$22="Leve"),CONCATENATE("R3C",'Mapa final'!$O$22),"")</f>
        <v/>
      </c>
      <c r="K28" s="272" t="str">
        <f>IF(AND('Mapa final'!$Y$23="Media",'Mapa final'!$AA$23="Leve"),CONCATENATE("R3C",'Mapa final'!$O$23),"")</f>
        <v/>
      </c>
      <c r="L28" s="272" t="str">
        <f>IF(AND('Mapa final'!$Y$24="Media",'Mapa final'!$AA$24="Leve"),CONCATENATE("R3C",'Mapa final'!$O$24),"")</f>
        <v/>
      </c>
      <c r="M28" s="272" t="str">
        <f>IF(AND('Mapa final'!$Y$25="Media",'Mapa final'!$AA$25="Leve"),CONCATENATE("R3C",'Mapa final'!$O$25),"")</f>
        <v/>
      </c>
      <c r="N28" s="272" t="str">
        <f>IF(AND('Mapa final'!$Y$26="Media",'Mapa final'!$AA$26="Leve"),CONCATENATE("R3C",'Mapa final'!$O$26),"")</f>
        <v/>
      </c>
      <c r="O28" s="273" t="str">
        <f>IF(AND('Mapa final'!$Y$27="Media",'Mapa final'!$AA$27="Leve"),CONCATENATE("R3C",'Mapa final'!$O$27),"")</f>
        <v/>
      </c>
      <c r="P28" s="271" t="str">
        <f>IF(AND('Mapa final'!$Y$22="Media",'Mapa final'!$AA$22="Menor"),CONCATENATE("R3C",'Mapa final'!$O$22),"")</f>
        <v/>
      </c>
      <c r="Q28" s="272" t="str">
        <f>IF(AND('Mapa final'!$Y$23="Media",'Mapa final'!$AA$23="Menor"),CONCATENATE("R3C",'Mapa final'!$O$23),"")</f>
        <v/>
      </c>
      <c r="R28" s="272" t="str">
        <f>IF(AND('Mapa final'!$Y$24="Media",'Mapa final'!$AA$24="Menor"),CONCATENATE("R3C",'Mapa final'!$O$24),"")</f>
        <v/>
      </c>
      <c r="S28" s="272" t="str">
        <f>IF(AND('Mapa final'!$Y$25="Media",'Mapa final'!$AA$25="Menor"),CONCATENATE("R3C",'Mapa final'!$O$25),"")</f>
        <v/>
      </c>
      <c r="T28" s="272" t="str">
        <f>IF(AND('Mapa final'!$Y$26="Media",'Mapa final'!$AA$26="Menor"),CONCATENATE("R3C",'Mapa final'!$O$26),"")</f>
        <v/>
      </c>
      <c r="U28" s="273" t="str">
        <f>IF(AND('Mapa final'!$Y$27="Media",'Mapa final'!$AA$27="Menor"),CONCATENATE("R3C",'Mapa final'!$O$27),"")</f>
        <v/>
      </c>
      <c r="V28" s="271" t="str">
        <f>IF(AND('Mapa final'!$Y$22="Media",'Mapa final'!$AA$22="Moderado"),CONCATENATE("R3C",'Mapa final'!$O$22),"")</f>
        <v/>
      </c>
      <c r="W28" s="272" t="str">
        <f>IF(AND('Mapa final'!$Y$23="Media",'Mapa final'!$AA$23="Moderado"),CONCATENATE("R3C",'Mapa final'!$O$23),"")</f>
        <v/>
      </c>
      <c r="X28" s="272" t="str">
        <f>IF(AND('Mapa final'!$Y$24="Media",'Mapa final'!$AA$24="Moderado"),CONCATENATE("R3C",'Mapa final'!$O$24),"")</f>
        <v/>
      </c>
      <c r="Y28" s="272" t="str">
        <f>IF(AND('Mapa final'!$Y$25="Media",'Mapa final'!$AA$25="Moderado"),CONCATENATE("R3C",'Mapa final'!$O$25),"")</f>
        <v/>
      </c>
      <c r="Z28" s="272" t="str">
        <f>IF(AND('Mapa final'!$Y$26="Media",'Mapa final'!$AA$26="Moderado"),CONCATENATE("R3C",'Mapa final'!$O$26),"")</f>
        <v/>
      </c>
      <c r="AA28" s="273" t="str">
        <f>IF(AND('Mapa final'!$Y$27="Media",'Mapa final'!$AA$27="Moderado"),CONCATENATE("R3C",'Mapa final'!$O$27),"")</f>
        <v/>
      </c>
      <c r="AB28" s="256" t="str">
        <f>IF(AND('Mapa final'!$Y$22="Media",'Mapa final'!$AA$22="Mayor"),CONCATENATE("R3C",'Mapa final'!$O$22),"")</f>
        <v/>
      </c>
      <c r="AC28" s="257" t="str">
        <f>IF(AND('Mapa final'!$Y$23="Media",'Mapa final'!$AA$23="Mayor"),CONCATENATE("R3C",'Mapa final'!$O$23),"")</f>
        <v/>
      </c>
      <c r="AD28" s="257" t="str">
        <f>IF(AND('Mapa final'!$Y$24="Media",'Mapa final'!$AA$24="Mayor"),CONCATENATE("R3C",'Mapa final'!$O$24),"")</f>
        <v/>
      </c>
      <c r="AE28" s="257" t="str">
        <f>IF(AND('Mapa final'!$Y$25="Media",'Mapa final'!$AA$25="Mayor"),CONCATENATE("R3C",'Mapa final'!$O$25),"")</f>
        <v/>
      </c>
      <c r="AF28" s="257" t="str">
        <f>IF(AND('Mapa final'!$Y$26="Media",'Mapa final'!$AA$26="Mayor"),CONCATENATE("R3C",'Mapa final'!$O$26),"")</f>
        <v/>
      </c>
      <c r="AG28" s="258" t="str">
        <f>IF(AND('Mapa final'!$Y$27="Media",'Mapa final'!$AA$27="Mayor"),CONCATENATE("R3C",'Mapa final'!$O$27),"")</f>
        <v/>
      </c>
      <c r="AH28" s="259" t="str">
        <f>IF(AND('Mapa final'!$Y$22="Media",'Mapa final'!$AA$22="Catastrófico"),CONCATENATE("R3C",'Mapa final'!$O$22),"")</f>
        <v/>
      </c>
      <c r="AI28" s="260" t="str">
        <f>IF(AND('Mapa final'!$Y$23="Media",'Mapa final'!$AA$23="Catastrófico"),CONCATENATE("R3C",'Mapa final'!$O$23),"")</f>
        <v/>
      </c>
      <c r="AJ28" s="260" t="str">
        <f>IF(AND('Mapa final'!$Y$24="Media",'Mapa final'!$AA$24="Catastrófico"),CONCATENATE("R3C",'Mapa final'!$O$24),"")</f>
        <v/>
      </c>
      <c r="AK28" s="260" t="str">
        <f>IF(AND('Mapa final'!$Y$25="Media",'Mapa final'!$AA$25="Catastrófico"),CONCATENATE("R3C",'Mapa final'!$O$25),"")</f>
        <v/>
      </c>
      <c r="AL28" s="260" t="str">
        <f>IF(AND('Mapa final'!$Y$26="Media",'Mapa final'!$AA$26="Catastrófico"),CONCATENATE("R3C",'Mapa final'!$O$26),"")</f>
        <v/>
      </c>
      <c r="AM28" s="261" t="str">
        <f>IF(AND('Mapa final'!$Y$27="Media",'Mapa final'!$AA$27="Catastrófico"),CONCATENATE("R3C",'Mapa final'!$O$27),"")</f>
        <v/>
      </c>
      <c r="AN28" s="15"/>
      <c r="AO28" s="695"/>
      <c r="AP28" s="696"/>
      <c r="AQ28" s="696"/>
      <c r="AR28" s="696"/>
      <c r="AS28" s="696"/>
      <c r="AT28" s="69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78"/>
      <c r="C29" s="578"/>
      <c r="D29" s="579"/>
      <c r="E29" s="667"/>
      <c r="F29" s="668"/>
      <c r="G29" s="668"/>
      <c r="H29" s="668"/>
      <c r="I29" s="669"/>
      <c r="J29" s="271" t="str">
        <f>IF(AND('Mapa final'!$Y$28="Media",'Mapa final'!$AA$28="Leve"),CONCATENATE("R4C",'Mapa final'!$O$28),"")</f>
        <v/>
      </c>
      <c r="K29" s="272" t="str">
        <f>IF(AND('Mapa final'!$Y$29="Media",'Mapa final'!$AA$29="Leve"),CONCATENATE("R4C",'Mapa final'!$O$29),"")</f>
        <v/>
      </c>
      <c r="L29" s="272" t="str">
        <f>IF(AND('Mapa final'!$Y$30="Media",'Mapa final'!$AA$30="Leve"),CONCATENATE("R4C",'Mapa final'!$O$30),"")</f>
        <v/>
      </c>
      <c r="M29" s="272" t="str">
        <f>IF(AND('Mapa final'!$Y$31="Media",'Mapa final'!$AA$31="Leve"),CONCATENATE("R4C",'Mapa final'!$O$31),"")</f>
        <v/>
      </c>
      <c r="N29" s="272" t="str">
        <f>IF(AND('Mapa final'!$Y$32="Media",'Mapa final'!$AA$32="Leve"),CONCATENATE("R4C",'Mapa final'!$O$32),"")</f>
        <v/>
      </c>
      <c r="O29" s="273" t="str">
        <f>IF(AND('Mapa final'!$Y$33="Media",'Mapa final'!$AA$33="Leve"),CONCATENATE("R4C",'Mapa final'!$O$33),"")</f>
        <v/>
      </c>
      <c r="P29" s="271" t="str">
        <f>IF(AND('Mapa final'!$Y$28="Media",'Mapa final'!$AA$28="Menor"),CONCATENATE("R4C",'Mapa final'!$O$28),"")</f>
        <v/>
      </c>
      <c r="Q29" s="272" t="str">
        <f>IF(AND('Mapa final'!$Y$29="Media",'Mapa final'!$AA$29="Menor"),CONCATENATE("R4C",'Mapa final'!$O$29),"")</f>
        <v/>
      </c>
      <c r="R29" s="272" t="str">
        <f>IF(AND('Mapa final'!$Y$30="Media",'Mapa final'!$AA$30="Menor"),CONCATENATE("R4C",'Mapa final'!$O$30),"")</f>
        <v/>
      </c>
      <c r="S29" s="272" t="str">
        <f>IF(AND('Mapa final'!$Y$31="Media",'Mapa final'!$AA$31="Menor"),CONCATENATE("R4C",'Mapa final'!$O$31),"")</f>
        <v/>
      </c>
      <c r="T29" s="272" t="str">
        <f>IF(AND('Mapa final'!$Y$32="Media",'Mapa final'!$AA$32="Menor"),CONCATENATE("R4C",'Mapa final'!$O$32),"")</f>
        <v/>
      </c>
      <c r="U29" s="273" t="str">
        <f>IF(AND('Mapa final'!$Y$33="Media",'Mapa final'!$AA$33="Menor"),CONCATENATE("R4C",'Mapa final'!$O$33),"")</f>
        <v/>
      </c>
      <c r="V29" s="271" t="str">
        <f>IF(AND('Mapa final'!$Y$28="Media",'Mapa final'!$AA$28="Moderado"),CONCATENATE("R4C",'Mapa final'!$O$28),"")</f>
        <v/>
      </c>
      <c r="W29" s="272" t="str">
        <f>IF(AND('Mapa final'!$Y$29="Media",'Mapa final'!$AA$29="Moderado"),CONCATENATE("R4C",'Mapa final'!$O$29),"")</f>
        <v/>
      </c>
      <c r="X29" s="272" t="str">
        <f>IF(AND('Mapa final'!$Y$30="Media",'Mapa final'!$AA$30="Moderado"),CONCATENATE("R4C",'Mapa final'!$O$30),"")</f>
        <v/>
      </c>
      <c r="Y29" s="272" t="str">
        <f>IF(AND('Mapa final'!$Y$31="Media",'Mapa final'!$AA$31="Moderado"),CONCATENATE("R4C",'Mapa final'!$O$31),"")</f>
        <v/>
      </c>
      <c r="Z29" s="272" t="str">
        <f>IF(AND('Mapa final'!$Y$32="Media",'Mapa final'!$AA$32="Moderado"),CONCATENATE("R4C",'Mapa final'!$O$32),"")</f>
        <v/>
      </c>
      <c r="AA29" s="273" t="str">
        <f>IF(AND('Mapa final'!$Y$33="Media",'Mapa final'!$AA$33="Moderado"),CONCATENATE("R4C",'Mapa final'!$O$33),"")</f>
        <v/>
      </c>
      <c r="AB29" s="256" t="str">
        <f>IF(AND('Mapa final'!$Y$28="Media",'Mapa final'!$AA$28="Mayor"),CONCATENATE("R4C",'Mapa final'!$O$28),"")</f>
        <v/>
      </c>
      <c r="AC29" s="257" t="str">
        <f>IF(AND('Mapa final'!$Y$29="Media",'Mapa final'!$AA$29="Mayor"),CONCATENATE("R4C",'Mapa final'!$O$29),"")</f>
        <v/>
      </c>
      <c r="AD29" s="257" t="str">
        <f>IF(AND('Mapa final'!$Y$30="Media",'Mapa final'!$AA$30="Mayor"),CONCATENATE("R4C",'Mapa final'!$O$30),"")</f>
        <v/>
      </c>
      <c r="AE29" s="257" t="str">
        <f>IF(AND('Mapa final'!$Y$31="Media",'Mapa final'!$AA$31="Mayor"),CONCATENATE("R4C",'Mapa final'!$O$31),"")</f>
        <v/>
      </c>
      <c r="AF29" s="257" t="str">
        <f>IF(AND('Mapa final'!$Y$32="Media",'Mapa final'!$AA$32="Mayor"),CONCATENATE("R4C",'Mapa final'!$O$32),"")</f>
        <v/>
      </c>
      <c r="AG29" s="258" t="str">
        <f>IF(AND('Mapa final'!$Y$33="Media",'Mapa final'!$AA$33="Mayor"),CONCATENATE("R4C",'Mapa final'!$O$33),"")</f>
        <v/>
      </c>
      <c r="AH29" s="259" t="str">
        <f>IF(AND('Mapa final'!$Y$28="Media",'Mapa final'!$AA$28="Catastrófico"),CONCATENATE("R4C",'Mapa final'!$O$28),"")</f>
        <v/>
      </c>
      <c r="AI29" s="260" t="str">
        <f>IF(AND('Mapa final'!$Y$29="Media",'Mapa final'!$AA$29="Catastrófico"),CONCATENATE("R4C",'Mapa final'!$O$29),"")</f>
        <v/>
      </c>
      <c r="AJ29" s="260" t="str">
        <f>IF(AND('Mapa final'!$Y$30="Media",'Mapa final'!$AA$30="Catastrófico"),CONCATENATE("R4C",'Mapa final'!$O$30),"")</f>
        <v/>
      </c>
      <c r="AK29" s="260" t="str">
        <f>IF(AND('Mapa final'!$Y$31="Media",'Mapa final'!$AA$31="Catastrófico"),CONCATENATE("R4C",'Mapa final'!$O$31),"")</f>
        <v/>
      </c>
      <c r="AL29" s="260" t="str">
        <f>IF(AND('Mapa final'!$Y$32="Media",'Mapa final'!$AA$32="Catastrófico"),CONCATENATE("R4C",'Mapa final'!$O$32),"")</f>
        <v/>
      </c>
      <c r="AM29" s="261" t="str">
        <f>IF(AND('Mapa final'!$Y$33="Media",'Mapa final'!$AA$33="Catastrófico"),CONCATENATE("R4C",'Mapa final'!$O$33),"")</f>
        <v/>
      </c>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78"/>
      <c r="C30" s="578"/>
      <c r="D30" s="579"/>
      <c r="E30" s="667"/>
      <c r="F30" s="668"/>
      <c r="G30" s="668"/>
      <c r="H30" s="668"/>
      <c r="I30" s="669"/>
      <c r="J30" s="271" t="str">
        <f>IF(AND('Mapa final'!$Y$34="Media",'Mapa final'!$AA$34="Leve"),CONCATENATE("R5C",'Mapa final'!$O$34),"")</f>
        <v/>
      </c>
      <c r="K30" s="272" t="str">
        <f>IF(AND('Mapa final'!$Y$35="Media",'Mapa final'!$AA$35="Leve"),CONCATENATE("R5C",'Mapa final'!$O$35),"")</f>
        <v/>
      </c>
      <c r="L30" s="272" t="str">
        <f>IF(AND('Mapa final'!$Y$36="Media",'Mapa final'!$AA$36="Leve"),CONCATENATE("R5C",'Mapa final'!$O$36),"")</f>
        <v/>
      </c>
      <c r="M30" s="272" t="str">
        <f>IF(AND('Mapa final'!$Y$37="Media",'Mapa final'!$AA$37="Leve"),CONCATENATE("R5C",'Mapa final'!$O$37),"")</f>
        <v/>
      </c>
      <c r="N30" s="272" t="str">
        <f>IF(AND('Mapa final'!$Y$38="Media",'Mapa final'!$AA$38="Leve"),CONCATENATE("R5C",'Mapa final'!$O$38),"")</f>
        <v/>
      </c>
      <c r="O30" s="273" t="str">
        <f>IF(AND('Mapa final'!$Y$39="Media",'Mapa final'!$AA$39="Leve"),CONCATENATE("R5C",'Mapa final'!$O$39),"")</f>
        <v/>
      </c>
      <c r="P30" s="271" t="str">
        <f>IF(AND('Mapa final'!$Y$34="Media",'Mapa final'!$AA$34="Menor"),CONCATENATE("R5C",'Mapa final'!$O$34),"")</f>
        <v/>
      </c>
      <c r="Q30" s="272" t="str">
        <f>IF(AND('Mapa final'!$Y$35="Media",'Mapa final'!$AA$35="Menor"),CONCATENATE("R5C",'Mapa final'!$O$35),"")</f>
        <v/>
      </c>
      <c r="R30" s="272" t="str">
        <f>IF(AND('Mapa final'!$Y$36="Media",'Mapa final'!$AA$36="Menor"),CONCATENATE("R5C",'Mapa final'!$O$36),"")</f>
        <v/>
      </c>
      <c r="S30" s="272" t="str">
        <f>IF(AND('Mapa final'!$Y$37="Media",'Mapa final'!$AA$37="Menor"),CONCATENATE("R5C",'Mapa final'!$O$37),"")</f>
        <v/>
      </c>
      <c r="T30" s="272" t="str">
        <f>IF(AND('Mapa final'!$Y$38="Media",'Mapa final'!$AA$38="Menor"),CONCATENATE("R5C",'Mapa final'!$O$38),"")</f>
        <v/>
      </c>
      <c r="U30" s="273" t="str">
        <f>IF(AND('Mapa final'!$Y$39="Media",'Mapa final'!$AA$39="Menor"),CONCATENATE("R5C",'Mapa final'!$O$39),"")</f>
        <v/>
      </c>
      <c r="V30" s="271" t="str">
        <f>IF(AND('Mapa final'!$Y$34="Media",'Mapa final'!$AA$34="Moderado"),CONCATENATE("R5C",'Mapa final'!$O$34),"")</f>
        <v/>
      </c>
      <c r="W30" s="272" t="str">
        <f>IF(AND('Mapa final'!$Y$35="Media",'Mapa final'!$AA$35="Moderado"),CONCATENATE("R5C",'Mapa final'!$O$35),"")</f>
        <v/>
      </c>
      <c r="X30" s="272" t="str">
        <f>IF(AND('Mapa final'!$Y$36="Media",'Mapa final'!$AA$36="Moderado"),CONCATENATE("R5C",'Mapa final'!$O$36),"")</f>
        <v/>
      </c>
      <c r="Y30" s="272" t="str">
        <f>IF(AND('Mapa final'!$Y$37="Media",'Mapa final'!$AA$37="Moderado"),CONCATENATE("R5C",'Mapa final'!$O$37),"")</f>
        <v/>
      </c>
      <c r="Z30" s="272" t="str">
        <f>IF(AND('Mapa final'!$Y$38="Media",'Mapa final'!$AA$38="Moderado"),CONCATENATE("R5C",'Mapa final'!$O$38),"")</f>
        <v/>
      </c>
      <c r="AA30" s="273" t="str">
        <f>IF(AND('Mapa final'!$Y$39="Media",'Mapa final'!$AA$39="Moderado"),CONCATENATE("R5C",'Mapa final'!$O$39),"")</f>
        <v/>
      </c>
      <c r="AB30" s="256" t="str">
        <f>IF(AND('Mapa final'!$Y$34="Media",'Mapa final'!$AA$34="Mayor"),CONCATENATE("R5C",'Mapa final'!$O$34),"")</f>
        <v/>
      </c>
      <c r="AC30" s="257" t="str">
        <f>IF(AND('Mapa final'!$Y$35="Media",'Mapa final'!$AA$35="Mayor"),CONCATENATE("R5C",'Mapa final'!$O$35),"")</f>
        <v/>
      </c>
      <c r="AD30" s="257" t="str">
        <f>IF(AND('Mapa final'!$Y$36="Media",'Mapa final'!$AA$36="Mayor"),CONCATENATE("R5C",'Mapa final'!$O$36),"")</f>
        <v/>
      </c>
      <c r="AE30" s="257" t="str">
        <f>IF(AND('Mapa final'!$Y$37="Media",'Mapa final'!$AA$37="Mayor"),CONCATENATE("R5C",'Mapa final'!$O$37),"")</f>
        <v/>
      </c>
      <c r="AF30" s="257" t="str">
        <f>IF(AND('Mapa final'!$Y$38="Media",'Mapa final'!$AA$38="Mayor"),CONCATENATE("R5C",'Mapa final'!$O$38),"")</f>
        <v/>
      </c>
      <c r="AG30" s="258" t="str">
        <f>IF(AND('Mapa final'!$Y$39="Media",'Mapa final'!$AA$39="Mayor"),CONCATENATE("R5C",'Mapa final'!$O$39),"")</f>
        <v/>
      </c>
      <c r="AH30" s="259" t="str">
        <f>IF(AND('Mapa final'!$Y$34="Media",'Mapa final'!$AA$34="Catastrófico"),CONCATENATE("R5C",'Mapa final'!$O$34),"")</f>
        <v/>
      </c>
      <c r="AI30" s="260" t="str">
        <f>IF(AND('Mapa final'!$Y$35="Media",'Mapa final'!$AA$35="Catastrófico"),CONCATENATE("R5C",'Mapa final'!$O$35),"")</f>
        <v/>
      </c>
      <c r="AJ30" s="260" t="str">
        <f>IF(AND('Mapa final'!$Y$36="Media",'Mapa final'!$AA$36="Catastrófico"),CONCATENATE("R5C",'Mapa final'!$O$36),"")</f>
        <v/>
      </c>
      <c r="AK30" s="260" t="str">
        <f>IF(AND('Mapa final'!$Y$37="Media",'Mapa final'!$AA$37="Catastrófico"),CONCATENATE("R5C",'Mapa final'!$O$37),"")</f>
        <v/>
      </c>
      <c r="AL30" s="260" t="str">
        <f>IF(AND('Mapa final'!$Y$38="Media",'Mapa final'!$AA$38="Catastrófico"),CONCATENATE("R5C",'Mapa final'!$O$38),"")</f>
        <v/>
      </c>
      <c r="AM30" s="261" t="str">
        <f>IF(AND('Mapa final'!$Y$39="Media",'Mapa final'!$AA$39="Catastrófico"),CONCATENATE("R5C",'Mapa final'!$O$39),"")</f>
        <v/>
      </c>
      <c r="AN30" s="15"/>
      <c r="AO30" s="695"/>
      <c r="AP30" s="696"/>
      <c r="AQ30" s="696"/>
      <c r="AR30" s="696"/>
      <c r="AS30" s="696"/>
      <c r="AT30" s="69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78"/>
      <c r="C31" s="578"/>
      <c r="D31" s="579"/>
      <c r="E31" s="667"/>
      <c r="F31" s="668"/>
      <c r="G31" s="668"/>
      <c r="H31" s="668"/>
      <c r="I31" s="669"/>
      <c r="J31" s="271" t="str">
        <f>IF(AND('Mapa final'!$Y$40="Media",'Mapa final'!$AA$40="Leve"),CONCATENATE("R6C",'Mapa final'!$O$40),"")</f>
        <v/>
      </c>
      <c r="K31" s="272" t="str">
        <f>IF(AND('Mapa final'!$Y$41="Media",'Mapa final'!$AA$41="Leve"),CONCATENATE("R6C",'Mapa final'!$O$41),"")</f>
        <v/>
      </c>
      <c r="L31" s="272" t="str">
        <f>IF(AND('Mapa final'!$Y$42="Media",'Mapa final'!$AA$42="Leve"),CONCATENATE("R6C",'Mapa final'!$O$42),"")</f>
        <v/>
      </c>
      <c r="M31" s="272" t="str">
        <f>IF(AND('Mapa final'!$Y$43="Media",'Mapa final'!$AA$43="Leve"),CONCATENATE("R6C",'Mapa final'!$O$43),"")</f>
        <v/>
      </c>
      <c r="N31" s="272" t="str">
        <f>IF(AND('Mapa final'!$Y$44="Media",'Mapa final'!$AA$44="Leve"),CONCATENATE("R6C",'Mapa final'!$O$44),"")</f>
        <v/>
      </c>
      <c r="O31" s="273" t="str">
        <f>IF(AND('Mapa final'!$Y$45="Media",'Mapa final'!$AA$45="Leve"),CONCATENATE("R6C",'Mapa final'!$O$45),"")</f>
        <v/>
      </c>
      <c r="P31" s="271" t="str">
        <f>IF(AND('Mapa final'!$Y$40="Media",'Mapa final'!$AA$40="Menor"),CONCATENATE("R6C",'Mapa final'!$O$40),"")</f>
        <v/>
      </c>
      <c r="Q31" s="272" t="str">
        <f>IF(AND('Mapa final'!$Y$41="Media",'Mapa final'!$AA$41="Menor"),CONCATENATE("R6C",'Mapa final'!$O$41),"")</f>
        <v/>
      </c>
      <c r="R31" s="272" t="str">
        <f>IF(AND('Mapa final'!$Y$42="Media",'Mapa final'!$AA$42="Menor"),CONCATENATE("R6C",'Mapa final'!$O$42),"")</f>
        <v/>
      </c>
      <c r="S31" s="272" t="str">
        <f>IF(AND('Mapa final'!$Y$43="Media",'Mapa final'!$AA$43="Menor"),CONCATENATE("R6C",'Mapa final'!$O$43),"")</f>
        <v/>
      </c>
      <c r="T31" s="272" t="str">
        <f>IF(AND('Mapa final'!$Y$44="Media",'Mapa final'!$AA$44="Menor"),CONCATENATE("R6C",'Mapa final'!$O$44),"")</f>
        <v/>
      </c>
      <c r="U31" s="273" t="str">
        <f>IF(AND('Mapa final'!$Y$45="Media",'Mapa final'!$AA$45="Menor"),CONCATENATE("R6C",'Mapa final'!$O$45),"")</f>
        <v/>
      </c>
      <c r="V31" s="271" t="str">
        <f>IF(AND('Mapa final'!$Y$40="Media",'Mapa final'!$AA$40="Moderado"),CONCATENATE("R6C",'Mapa final'!$O$40),"")</f>
        <v/>
      </c>
      <c r="W31" s="272" t="str">
        <f>IF(AND('Mapa final'!$Y$41="Media",'Mapa final'!$AA$41="Moderado"),CONCATENATE("R6C",'Mapa final'!$O$41),"")</f>
        <v/>
      </c>
      <c r="X31" s="272" t="str">
        <f>IF(AND('Mapa final'!$Y$42="Media",'Mapa final'!$AA$42="Moderado"),CONCATENATE("R6C",'Mapa final'!$O$42),"")</f>
        <v/>
      </c>
      <c r="Y31" s="272" t="str">
        <f>IF(AND('Mapa final'!$Y$43="Media",'Mapa final'!$AA$43="Moderado"),CONCATENATE("R6C",'Mapa final'!$O$43),"")</f>
        <v/>
      </c>
      <c r="Z31" s="272" t="str">
        <f>IF(AND('Mapa final'!$Y$44="Media",'Mapa final'!$AA$44="Moderado"),CONCATENATE("R6C",'Mapa final'!$O$44),"")</f>
        <v/>
      </c>
      <c r="AA31" s="273" t="str">
        <f>IF(AND('Mapa final'!$Y$45="Media",'Mapa final'!$AA$45="Moderado"),CONCATENATE("R6C",'Mapa final'!$O$45),"")</f>
        <v/>
      </c>
      <c r="AB31" s="256" t="str">
        <f>IF(AND('Mapa final'!$Y$40="Media",'Mapa final'!$AA$40="Mayor"),CONCATENATE("R6C",'Mapa final'!$O$40),"")</f>
        <v/>
      </c>
      <c r="AC31" s="257" t="str">
        <f>IF(AND('Mapa final'!$Y$41="Media",'Mapa final'!$AA$41="Mayor"),CONCATENATE("R6C",'Mapa final'!$O$41),"")</f>
        <v/>
      </c>
      <c r="AD31" s="257" t="str">
        <f>IF(AND('Mapa final'!$Y$42="Media",'Mapa final'!$AA$42="Mayor"),CONCATENATE("R6C",'Mapa final'!$O$42),"")</f>
        <v/>
      </c>
      <c r="AE31" s="257" t="str">
        <f>IF(AND('Mapa final'!$Y$43="Media",'Mapa final'!$AA$43="Mayor"),CONCATENATE("R6C",'Mapa final'!$O$43),"")</f>
        <v/>
      </c>
      <c r="AF31" s="257" t="str">
        <f>IF(AND('Mapa final'!$Y$44="Media",'Mapa final'!$AA$44="Mayor"),CONCATENATE("R6C",'Mapa final'!$O$44),"")</f>
        <v/>
      </c>
      <c r="AG31" s="258" t="str">
        <f>IF(AND('Mapa final'!$Y$45="Media",'Mapa final'!$AA$45="Mayor"),CONCATENATE("R6C",'Mapa final'!$O$45),"")</f>
        <v/>
      </c>
      <c r="AH31" s="259" t="str">
        <f>IF(AND('Mapa final'!$Y$40="Media",'Mapa final'!$AA$40="Catastrófico"),CONCATENATE("R6C",'Mapa final'!$O$40),"")</f>
        <v/>
      </c>
      <c r="AI31" s="260" t="str">
        <f>IF(AND('Mapa final'!$Y$41="Media",'Mapa final'!$AA$41="Catastrófico"),CONCATENATE("R6C",'Mapa final'!$O$41),"")</f>
        <v/>
      </c>
      <c r="AJ31" s="260" t="str">
        <f>IF(AND('Mapa final'!$Y$42="Media",'Mapa final'!$AA$42="Catastrófico"),CONCATENATE("R6C",'Mapa final'!$O$42),"")</f>
        <v/>
      </c>
      <c r="AK31" s="260" t="str">
        <f>IF(AND('Mapa final'!$Y$43="Media",'Mapa final'!$AA$43="Catastrófico"),CONCATENATE("R6C",'Mapa final'!$O$43),"")</f>
        <v/>
      </c>
      <c r="AL31" s="260" t="str">
        <f>IF(AND('Mapa final'!$Y$44="Media",'Mapa final'!$AA$44="Catastrófico"),CONCATENATE("R6C",'Mapa final'!$O$44),"")</f>
        <v/>
      </c>
      <c r="AM31" s="261" t="str">
        <f>IF(AND('Mapa final'!$Y$45="Media",'Mapa final'!$AA$45="Catastrófico"),CONCATENATE("R6C",'Mapa final'!$O$45),"")</f>
        <v/>
      </c>
      <c r="AN31" s="15"/>
      <c r="AO31" s="695"/>
      <c r="AP31" s="696"/>
      <c r="AQ31" s="696"/>
      <c r="AR31" s="696"/>
      <c r="AS31" s="696"/>
      <c r="AT31" s="69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78"/>
      <c r="C32" s="578"/>
      <c r="D32" s="579"/>
      <c r="E32" s="667"/>
      <c r="F32" s="668"/>
      <c r="G32" s="668"/>
      <c r="H32" s="668"/>
      <c r="I32" s="669"/>
      <c r="J32" s="271" t="str">
        <f>IF(AND('Mapa final'!$Y$46="Media",'Mapa final'!$AA$46="Leve"),CONCATENATE("R7C",'Mapa final'!$O$46),"")</f>
        <v/>
      </c>
      <c r="K32" s="272" t="str">
        <f>IF(AND('Mapa final'!$Y$47="Media",'Mapa final'!$AA$47="Leve"),CONCATENATE("R7C",'Mapa final'!$O$47),"")</f>
        <v/>
      </c>
      <c r="L32" s="272" t="str">
        <f>IF(AND('Mapa final'!$Y$48="Media",'Mapa final'!$AA$48="Leve"),CONCATENATE("R7C",'Mapa final'!$O$48),"")</f>
        <v/>
      </c>
      <c r="M32" s="272" t="str">
        <f>IF(AND('Mapa final'!$Y$49="Media",'Mapa final'!$AA$49="Leve"),CONCATENATE("R7C",'Mapa final'!$O$49),"")</f>
        <v/>
      </c>
      <c r="N32" s="272" t="str">
        <f>IF(AND('Mapa final'!$Y$50="Media",'Mapa final'!$AA$50="Leve"),CONCATENATE("R7C",'Mapa final'!$O$50),"")</f>
        <v/>
      </c>
      <c r="O32" s="273" t="str">
        <f>IF(AND('Mapa final'!$Y$51="Media",'Mapa final'!$AA$51="Leve"),CONCATENATE("R7C",'Mapa final'!$O$51),"")</f>
        <v/>
      </c>
      <c r="P32" s="271" t="str">
        <f>IF(AND('Mapa final'!$Y$46="Media",'Mapa final'!$AA$46="Menor"),CONCATENATE("R7C",'Mapa final'!$O$46),"")</f>
        <v/>
      </c>
      <c r="Q32" s="272" t="str">
        <f>IF(AND('Mapa final'!$Y$47="Media",'Mapa final'!$AA$47="Menor"),CONCATENATE("R7C",'Mapa final'!$O$47),"")</f>
        <v/>
      </c>
      <c r="R32" s="272" t="str">
        <f>IF(AND('Mapa final'!$Y$48="Media",'Mapa final'!$AA$48="Menor"),CONCATENATE("R7C",'Mapa final'!$O$48),"")</f>
        <v/>
      </c>
      <c r="S32" s="272" t="str">
        <f>IF(AND('Mapa final'!$Y$49="Media",'Mapa final'!$AA$49="Menor"),CONCATENATE("R7C",'Mapa final'!$O$49),"")</f>
        <v/>
      </c>
      <c r="T32" s="272" t="str">
        <f>IF(AND('Mapa final'!$Y$50="Media",'Mapa final'!$AA$50="Menor"),CONCATENATE("R7C",'Mapa final'!$O$50),"")</f>
        <v/>
      </c>
      <c r="U32" s="273" t="str">
        <f>IF(AND('Mapa final'!$Y$51="Media",'Mapa final'!$AA$51="Menor"),CONCATENATE("R7C",'Mapa final'!$O$51),"")</f>
        <v/>
      </c>
      <c r="V32" s="271" t="str">
        <f>IF(AND('Mapa final'!$Y$46="Media",'Mapa final'!$AA$46="Moderado"),CONCATENATE("R7C",'Mapa final'!$O$46),"")</f>
        <v/>
      </c>
      <c r="W32" s="272" t="str">
        <f>IF(AND('Mapa final'!$Y$47="Media",'Mapa final'!$AA$47="Moderado"),CONCATENATE("R7C",'Mapa final'!$O$47),"")</f>
        <v/>
      </c>
      <c r="X32" s="272" t="str">
        <f>IF(AND('Mapa final'!$Y$48="Media",'Mapa final'!$AA$48="Moderado"),CONCATENATE("R7C",'Mapa final'!$O$48),"")</f>
        <v/>
      </c>
      <c r="Y32" s="272" t="str">
        <f>IF(AND('Mapa final'!$Y$49="Media",'Mapa final'!$AA$49="Moderado"),CONCATENATE("R7C",'Mapa final'!$O$49),"")</f>
        <v/>
      </c>
      <c r="Z32" s="272" t="str">
        <f>IF(AND('Mapa final'!$Y$50="Media",'Mapa final'!$AA$50="Moderado"),CONCATENATE("R7C",'Mapa final'!$O$50),"")</f>
        <v/>
      </c>
      <c r="AA32" s="273" t="str">
        <f>IF(AND('Mapa final'!$Y$51="Media",'Mapa final'!$AA$51="Moderado"),CONCATENATE("R7C",'Mapa final'!$O$51),"")</f>
        <v/>
      </c>
      <c r="AB32" s="256" t="str">
        <f>IF(AND('Mapa final'!$Y$46="Media",'Mapa final'!$AA$46="Mayor"),CONCATENATE("R7C",'Mapa final'!$O$46),"")</f>
        <v/>
      </c>
      <c r="AC32" s="257" t="str">
        <f>IF(AND('Mapa final'!$Y$47="Media",'Mapa final'!$AA$47="Mayor"),CONCATENATE("R7C",'Mapa final'!$O$47),"")</f>
        <v/>
      </c>
      <c r="AD32" s="257" t="str">
        <f>IF(AND('Mapa final'!$Y$48="Media",'Mapa final'!$AA$48="Mayor"),CONCATENATE("R7C",'Mapa final'!$O$48),"")</f>
        <v/>
      </c>
      <c r="AE32" s="257" t="str">
        <f>IF(AND('Mapa final'!$Y$49="Media",'Mapa final'!$AA$49="Mayor"),CONCATENATE("R7C",'Mapa final'!$O$49),"")</f>
        <v/>
      </c>
      <c r="AF32" s="257" t="str">
        <f>IF(AND('Mapa final'!$Y$50="Media",'Mapa final'!$AA$50="Mayor"),CONCATENATE("R7C",'Mapa final'!$O$50),"")</f>
        <v/>
      </c>
      <c r="AG32" s="258" t="str">
        <f>IF(AND('Mapa final'!$Y$51="Media",'Mapa final'!$AA$51="Mayor"),CONCATENATE("R7C",'Mapa final'!$O$51),"")</f>
        <v/>
      </c>
      <c r="AH32" s="259" t="str">
        <f>IF(AND('Mapa final'!$Y$46="Media",'Mapa final'!$AA$46="Catastrófico"),CONCATENATE("R7C",'Mapa final'!$O$46),"")</f>
        <v/>
      </c>
      <c r="AI32" s="260" t="str">
        <f>IF(AND('Mapa final'!$Y$47="Media",'Mapa final'!$AA$47="Catastrófico"),CONCATENATE("R7C",'Mapa final'!$O$47),"")</f>
        <v/>
      </c>
      <c r="AJ32" s="260" t="str">
        <f>IF(AND('Mapa final'!$Y$48="Media",'Mapa final'!$AA$48="Catastrófico"),CONCATENATE("R7C",'Mapa final'!$O$48),"")</f>
        <v/>
      </c>
      <c r="AK32" s="260" t="str">
        <f>IF(AND('Mapa final'!$Y$49="Media",'Mapa final'!$AA$49="Catastrófico"),CONCATENATE("R7C",'Mapa final'!$O$49),"")</f>
        <v/>
      </c>
      <c r="AL32" s="260" t="str">
        <f>IF(AND('Mapa final'!$Y$50="Media",'Mapa final'!$AA$50="Catastrófico"),CONCATENATE("R7C",'Mapa final'!$O$50),"")</f>
        <v/>
      </c>
      <c r="AM32" s="261" t="str">
        <f>IF(AND('Mapa final'!$Y$51="Media",'Mapa final'!$AA$51="Catastrófico"),CONCATENATE("R7C",'Mapa final'!$O$51),"")</f>
        <v/>
      </c>
      <c r="AN32" s="15"/>
      <c r="AO32" s="695"/>
      <c r="AP32" s="696"/>
      <c r="AQ32" s="696"/>
      <c r="AR32" s="696"/>
      <c r="AS32" s="696"/>
      <c r="AT32" s="69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78"/>
      <c r="C33" s="578"/>
      <c r="D33" s="579"/>
      <c r="E33" s="667"/>
      <c r="F33" s="668"/>
      <c r="G33" s="668"/>
      <c r="H33" s="668"/>
      <c r="I33" s="669"/>
      <c r="J33" s="271" t="str">
        <f>IF(AND('Mapa final'!$Y$52="Media",'Mapa final'!$AA$52="Leve"),CONCATENATE("R8C",'Mapa final'!$O$52),"")</f>
        <v/>
      </c>
      <c r="K33" s="272" t="str">
        <f>IF(AND('Mapa final'!$Y$53="Media",'Mapa final'!$AA$53="Leve"),CONCATENATE("R8C",'Mapa final'!$O$53),"")</f>
        <v/>
      </c>
      <c r="L33" s="272" t="str">
        <f>IF(AND('Mapa final'!$Y$54="Media",'Mapa final'!$AA$54="Leve"),CONCATENATE("R8C",'Mapa final'!$O$54),"")</f>
        <v/>
      </c>
      <c r="M33" s="272" t="str">
        <f>IF(AND('Mapa final'!$Y$55="Media",'Mapa final'!$AA$55="Leve"),CONCATENATE("R8C",'Mapa final'!$O$55),"")</f>
        <v/>
      </c>
      <c r="N33" s="272" t="str">
        <f>IF(AND('Mapa final'!$Y$56="Media",'Mapa final'!$AA$56="Leve"),CONCATENATE("R8C",'Mapa final'!$O$56),"")</f>
        <v/>
      </c>
      <c r="O33" s="273" t="str">
        <f>IF(AND('Mapa final'!$Y$57="Media",'Mapa final'!$AA$57="Leve"),CONCATENATE("R8C",'Mapa final'!$O$57),"")</f>
        <v/>
      </c>
      <c r="P33" s="271" t="str">
        <f>IF(AND('Mapa final'!$Y$52="Media",'Mapa final'!$AA$52="Menor"),CONCATENATE("R8C",'Mapa final'!$O$52),"")</f>
        <v/>
      </c>
      <c r="Q33" s="272" t="str">
        <f>IF(AND('Mapa final'!$Y$53="Media",'Mapa final'!$AA$53="Menor"),CONCATENATE("R8C",'Mapa final'!$O$53),"")</f>
        <v/>
      </c>
      <c r="R33" s="272" t="str">
        <f>IF(AND('Mapa final'!$Y$54="Media",'Mapa final'!$AA$54="Menor"),CONCATENATE("R8C",'Mapa final'!$O$54),"")</f>
        <v/>
      </c>
      <c r="S33" s="272" t="str">
        <f>IF(AND('Mapa final'!$Y$55="Media",'Mapa final'!$AA$55="Menor"),CONCATENATE("R8C",'Mapa final'!$O$55),"")</f>
        <v/>
      </c>
      <c r="T33" s="272" t="str">
        <f>IF(AND('Mapa final'!$Y$56="Media",'Mapa final'!$AA$56="Menor"),CONCATENATE("R8C",'Mapa final'!$O$56),"")</f>
        <v/>
      </c>
      <c r="U33" s="273" t="str">
        <f>IF(AND('Mapa final'!$Y$57="Media",'Mapa final'!$AA$57="Menor"),CONCATENATE("R8C",'Mapa final'!$O$57),"")</f>
        <v/>
      </c>
      <c r="V33" s="271" t="str">
        <f>IF(AND('Mapa final'!$Y$52="Media",'Mapa final'!$AA$52="Moderado"),CONCATENATE("R8C",'Mapa final'!$O$52),"")</f>
        <v/>
      </c>
      <c r="W33" s="272" t="str">
        <f>IF(AND('Mapa final'!$Y$53="Media",'Mapa final'!$AA$53="Moderado"),CONCATENATE("R8C",'Mapa final'!$O$53),"")</f>
        <v/>
      </c>
      <c r="X33" s="272" t="str">
        <f>IF(AND('Mapa final'!$Y$54="Media",'Mapa final'!$AA$54="Moderado"),CONCATENATE("R8C",'Mapa final'!$O$54),"")</f>
        <v/>
      </c>
      <c r="Y33" s="272" t="str">
        <f>IF(AND('Mapa final'!$Y$55="Media",'Mapa final'!$AA$55="Moderado"),CONCATENATE("R8C",'Mapa final'!$O$55),"")</f>
        <v/>
      </c>
      <c r="Z33" s="272" t="str">
        <f>IF(AND('Mapa final'!$Y$56="Media",'Mapa final'!$AA$56="Moderado"),CONCATENATE("R8C",'Mapa final'!$O$56),"")</f>
        <v/>
      </c>
      <c r="AA33" s="273" t="str">
        <f>IF(AND('Mapa final'!$Y$57="Media",'Mapa final'!$AA$57="Moderado"),CONCATENATE("R8C",'Mapa final'!$O$57),"")</f>
        <v/>
      </c>
      <c r="AB33" s="256" t="str">
        <f>IF(AND('Mapa final'!$Y$52="Media",'Mapa final'!$AA$52="Mayor"),CONCATENATE("R8C",'Mapa final'!$O$52),"")</f>
        <v/>
      </c>
      <c r="AC33" s="257" t="str">
        <f>IF(AND('Mapa final'!$Y$53="Media",'Mapa final'!$AA$53="Mayor"),CONCATENATE("R8C",'Mapa final'!$O$53),"")</f>
        <v/>
      </c>
      <c r="AD33" s="257" t="str">
        <f>IF(AND('Mapa final'!$Y$54="Media",'Mapa final'!$AA$54="Mayor"),CONCATENATE("R8C",'Mapa final'!$O$54),"")</f>
        <v/>
      </c>
      <c r="AE33" s="257" t="str">
        <f>IF(AND('Mapa final'!$Y$55="Media",'Mapa final'!$AA$55="Mayor"),CONCATENATE("R8C",'Mapa final'!$O$55),"")</f>
        <v/>
      </c>
      <c r="AF33" s="257" t="str">
        <f>IF(AND('Mapa final'!$Y$56="Media",'Mapa final'!$AA$56="Mayor"),CONCATENATE("R8C",'Mapa final'!$O$56),"")</f>
        <v/>
      </c>
      <c r="AG33" s="258" t="str">
        <f>IF(AND('Mapa final'!$Y$57="Media",'Mapa final'!$AA$57="Mayor"),CONCATENATE("R8C",'Mapa final'!$O$57),"")</f>
        <v/>
      </c>
      <c r="AH33" s="259" t="str">
        <f>IF(AND('Mapa final'!$Y$52="Media",'Mapa final'!$AA$52="Catastrófico"),CONCATENATE("R8C",'Mapa final'!$O$52),"")</f>
        <v/>
      </c>
      <c r="AI33" s="260" t="str">
        <f>IF(AND('Mapa final'!$Y$53="Media",'Mapa final'!$AA$53="Catastrófico"),CONCATENATE("R8C",'Mapa final'!$O$53),"")</f>
        <v/>
      </c>
      <c r="AJ33" s="260" t="str">
        <f>IF(AND('Mapa final'!$Y$54="Media",'Mapa final'!$AA$54="Catastrófico"),CONCATENATE("R8C",'Mapa final'!$O$54),"")</f>
        <v/>
      </c>
      <c r="AK33" s="260" t="str">
        <f>IF(AND('Mapa final'!$Y$55="Media",'Mapa final'!$AA$55="Catastrófico"),CONCATENATE("R8C",'Mapa final'!$O$55),"")</f>
        <v/>
      </c>
      <c r="AL33" s="260" t="str">
        <f>IF(AND('Mapa final'!$Y$56="Media",'Mapa final'!$AA$56="Catastrófico"),CONCATENATE("R8C",'Mapa final'!$O$56),"")</f>
        <v/>
      </c>
      <c r="AM33" s="261" t="str">
        <f>IF(AND('Mapa final'!$Y$57="Media",'Mapa final'!$AA$57="Catastrófico"),CONCATENATE("R8C",'Mapa final'!$O$57),"")</f>
        <v/>
      </c>
      <c r="AN33" s="15"/>
      <c r="AO33" s="695"/>
      <c r="AP33" s="696"/>
      <c r="AQ33" s="696"/>
      <c r="AR33" s="696"/>
      <c r="AS33" s="696"/>
      <c r="AT33" s="69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78"/>
      <c r="C34" s="578"/>
      <c r="D34" s="579"/>
      <c r="E34" s="667"/>
      <c r="F34" s="668"/>
      <c r="G34" s="668"/>
      <c r="H34" s="668"/>
      <c r="I34" s="669"/>
      <c r="J34" s="271" t="str">
        <f>IF(AND('Mapa final'!$Y$58="Media",'Mapa final'!$AA$58="Leve"),CONCATENATE("R9C",'Mapa final'!$O$58),"")</f>
        <v/>
      </c>
      <c r="K34" s="272" t="str">
        <f>IF(AND('Mapa final'!$Y$59="Media",'Mapa final'!$AA$59="Leve"),CONCATENATE("R9C",'Mapa final'!$O$59),"")</f>
        <v/>
      </c>
      <c r="L34" s="272" t="str">
        <f>IF(AND('Mapa final'!$Y$60="Media",'Mapa final'!$AA$60="Leve"),CONCATENATE("R9C",'Mapa final'!$O$60),"")</f>
        <v/>
      </c>
      <c r="M34" s="272" t="str">
        <f>IF(AND('Mapa final'!$Y$61="Media",'Mapa final'!$AA$61="Leve"),CONCATENATE("R9C",'Mapa final'!$O$61),"")</f>
        <v/>
      </c>
      <c r="N34" s="272" t="str">
        <f>IF(AND('Mapa final'!$Y$62="Media",'Mapa final'!$AA$62="Leve"),CONCATENATE("R9C",'Mapa final'!$O$62),"")</f>
        <v/>
      </c>
      <c r="O34" s="273" t="str">
        <f>IF(AND('Mapa final'!$Y$63="Media",'Mapa final'!$AA$63="Leve"),CONCATENATE("R9C",'Mapa final'!$O$63),"")</f>
        <v/>
      </c>
      <c r="P34" s="271" t="str">
        <f>IF(AND('Mapa final'!$Y$58="Media",'Mapa final'!$AA$58="Menor"),CONCATENATE("R9C",'Mapa final'!$O$58),"")</f>
        <v/>
      </c>
      <c r="Q34" s="272" t="str">
        <f>IF(AND('Mapa final'!$Y$59="Media",'Mapa final'!$AA$59="Menor"),CONCATENATE("R9C",'Mapa final'!$O$59),"")</f>
        <v/>
      </c>
      <c r="R34" s="272" t="str">
        <f>IF(AND('Mapa final'!$Y$60="Media",'Mapa final'!$AA$60="Menor"),CONCATENATE("R9C",'Mapa final'!$O$60),"")</f>
        <v/>
      </c>
      <c r="S34" s="272" t="str">
        <f>IF(AND('Mapa final'!$Y$61="Media",'Mapa final'!$AA$61="Menor"),CONCATENATE("R9C",'Mapa final'!$O$61),"")</f>
        <v/>
      </c>
      <c r="T34" s="272" t="str">
        <f>IF(AND('Mapa final'!$Y$62="Media",'Mapa final'!$AA$62="Menor"),CONCATENATE("R9C",'Mapa final'!$O$62),"")</f>
        <v/>
      </c>
      <c r="U34" s="273" t="str">
        <f>IF(AND('Mapa final'!$Y$63="Media",'Mapa final'!$AA$63="Menor"),CONCATENATE("R9C",'Mapa final'!$O$63),"")</f>
        <v/>
      </c>
      <c r="V34" s="271" t="str">
        <f>IF(AND('Mapa final'!$Y$58="Media",'Mapa final'!$AA$58="Moderado"),CONCATENATE("R9C",'Mapa final'!$O$58),"")</f>
        <v/>
      </c>
      <c r="W34" s="272" t="str">
        <f>IF(AND('Mapa final'!$Y$59="Media",'Mapa final'!$AA$59="Moderado"),CONCATENATE("R9C",'Mapa final'!$O$59),"")</f>
        <v/>
      </c>
      <c r="X34" s="272" t="str">
        <f>IF(AND('Mapa final'!$Y$60="Media",'Mapa final'!$AA$60="Moderado"),CONCATENATE("R9C",'Mapa final'!$O$60),"")</f>
        <v/>
      </c>
      <c r="Y34" s="272" t="str">
        <f>IF(AND('Mapa final'!$Y$61="Media",'Mapa final'!$AA$61="Moderado"),CONCATENATE("R9C",'Mapa final'!$O$61),"")</f>
        <v/>
      </c>
      <c r="Z34" s="272" t="str">
        <f>IF(AND('Mapa final'!$Y$62="Media",'Mapa final'!$AA$62="Moderado"),CONCATENATE("R9C",'Mapa final'!$O$62),"")</f>
        <v/>
      </c>
      <c r="AA34" s="273" t="str">
        <f>IF(AND('Mapa final'!$Y$63="Media",'Mapa final'!$AA$63="Moderado"),CONCATENATE("R9C",'Mapa final'!$O$63),"")</f>
        <v/>
      </c>
      <c r="AB34" s="256" t="str">
        <f>IF(AND('Mapa final'!$Y$58="Media",'Mapa final'!$AA$58="Mayor"),CONCATENATE("R9C",'Mapa final'!$O$58),"")</f>
        <v/>
      </c>
      <c r="AC34" s="257" t="str">
        <f>IF(AND('Mapa final'!$Y$59="Media",'Mapa final'!$AA$59="Mayor"),CONCATENATE("R9C",'Mapa final'!$O$59),"")</f>
        <v/>
      </c>
      <c r="AD34" s="257" t="str">
        <f>IF(AND('Mapa final'!$Y$60="Media",'Mapa final'!$AA$60="Mayor"),CONCATENATE("R9C",'Mapa final'!$O$60),"")</f>
        <v/>
      </c>
      <c r="AE34" s="257" t="str">
        <f>IF(AND('Mapa final'!$Y$61="Media",'Mapa final'!$AA$61="Mayor"),CONCATENATE("R9C",'Mapa final'!$O$61),"")</f>
        <v/>
      </c>
      <c r="AF34" s="257" t="str">
        <f>IF(AND('Mapa final'!$Y$62="Media",'Mapa final'!$AA$62="Mayor"),CONCATENATE("R9C",'Mapa final'!$O$62),"")</f>
        <v/>
      </c>
      <c r="AG34" s="258" t="str">
        <f>IF(AND('Mapa final'!$Y$63="Media",'Mapa final'!$AA$63="Mayor"),CONCATENATE("R9C",'Mapa final'!$O$63),"")</f>
        <v/>
      </c>
      <c r="AH34" s="259" t="str">
        <f>IF(AND('Mapa final'!$Y$58="Media",'Mapa final'!$AA$58="Catastrófico"),CONCATENATE("R9C",'Mapa final'!$O$58),"")</f>
        <v/>
      </c>
      <c r="AI34" s="260" t="str">
        <f>IF(AND('Mapa final'!$Y$59="Media",'Mapa final'!$AA$59="Catastrófico"),CONCATENATE("R9C",'Mapa final'!$O$59),"")</f>
        <v/>
      </c>
      <c r="AJ34" s="260" t="str">
        <f>IF(AND('Mapa final'!$Y$60="Media",'Mapa final'!$AA$60="Catastrófico"),CONCATENATE("R9C",'Mapa final'!$O$60),"")</f>
        <v/>
      </c>
      <c r="AK34" s="260" t="str">
        <f>IF(AND('Mapa final'!$Y$61="Media",'Mapa final'!$AA$61="Catastrófico"),CONCATENATE("R9C",'Mapa final'!$O$61),"")</f>
        <v/>
      </c>
      <c r="AL34" s="260" t="str">
        <f>IF(AND('Mapa final'!$Y$62="Media",'Mapa final'!$AA$62="Catastrófico"),CONCATENATE("R9C",'Mapa final'!$O$62),"")</f>
        <v/>
      </c>
      <c r="AM34" s="261" t="str">
        <f>IF(AND('Mapa final'!$Y$63="Media",'Mapa final'!$AA$63="Catastrófico"),CONCATENATE("R9C",'Mapa final'!$O$63),"")</f>
        <v/>
      </c>
      <c r="AN34" s="15"/>
      <c r="AO34" s="695"/>
      <c r="AP34" s="696"/>
      <c r="AQ34" s="696"/>
      <c r="AR34" s="696"/>
      <c r="AS34" s="696"/>
      <c r="AT34" s="69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78"/>
      <c r="C35" s="578"/>
      <c r="D35" s="579"/>
      <c r="E35" s="670"/>
      <c r="F35" s="671"/>
      <c r="G35" s="671"/>
      <c r="H35" s="671"/>
      <c r="I35" s="672"/>
      <c r="J35" s="271" t="str">
        <f>IF(AND('Mapa final'!$Y$64="Media",'Mapa final'!$AA$64="Leve"),CONCATENATE("R10C",'Mapa final'!$O$64),"")</f>
        <v/>
      </c>
      <c r="K35" s="272" t="str">
        <f>IF(AND('Mapa final'!$Y$65="Media",'Mapa final'!$AA$65="Leve"),CONCATENATE("R10C",'Mapa final'!$O$65),"")</f>
        <v/>
      </c>
      <c r="L35" s="272" t="str">
        <f>IF(AND('Mapa final'!$Y$66="Media",'Mapa final'!$AA$66="Leve"),CONCATENATE("R10C",'Mapa final'!$O$66),"")</f>
        <v/>
      </c>
      <c r="M35" s="272" t="str">
        <f>IF(AND('Mapa final'!$Y$67="Media",'Mapa final'!$AA$67="Leve"),CONCATENATE("R10C",'Mapa final'!$O$67),"")</f>
        <v/>
      </c>
      <c r="N35" s="272" t="str">
        <f>IF(AND('Mapa final'!$Y$68="Media",'Mapa final'!$AA$68="Leve"),CONCATENATE("R10C",'Mapa final'!$O$68),"")</f>
        <v/>
      </c>
      <c r="O35" s="273" t="str">
        <f>IF(AND('Mapa final'!$Y$69="Media",'Mapa final'!$AA$69="Leve"),CONCATENATE("R10C",'Mapa final'!$O$69),"")</f>
        <v/>
      </c>
      <c r="P35" s="271" t="str">
        <f>IF(AND('Mapa final'!$Y$64="Media",'Mapa final'!$AA$64="Menor"),CONCATENATE("R10C",'Mapa final'!$O$64),"")</f>
        <v/>
      </c>
      <c r="Q35" s="272" t="str">
        <f>IF(AND('Mapa final'!$Y$65="Media",'Mapa final'!$AA$65="Menor"),CONCATENATE("R10C",'Mapa final'!$O$65),"")</f>
        <v/>
      </c>
      <c r="R35" s="272" t="str">
        <f>IF(AND('Mapa final'!$Y$66="Media",'Mapa final'!$AA$66="Menor"),CONCATENATE("R10C",'Mapa final'!$O$66),"")</f>
        <v/>
      </c>
      <c r="S35" s="272" t="str">
        <f>IF(AND('Mapa final'!$Y$67="Media",'Mapa final'!$AA$67="Menor"),CONCATENATE("R10C",'Mapa final'!$O$67),"")</f>
        <v/>
      </c>
      <c r="T35" s="272" t="str">
        <f>IF(AND('Mapa final'!$Y$68="Media",'Mapa final'!$AA$68="Menor"),CONCATENATE("R10C",'Mapa final'!$O$68),"")</f>
        <v/>
      </c>
      <c r="U35" s="273" t="str">
        <f>IF(AND('Mapa final'!$Y$69="Media",'Mapa final'!$AA$69="Menor"),CONCATENATE("R10C",'Mapa final'!$O$69),"")</f>
        <v/>
      </c>
      <c r="V35" s="271" t="str">
        <f>IF(AND('Mapa final'!$Y$64="Media",'Mapa final'!$AA$64="Moderado"),CONCATENATE("R10C",'Mapa final'!$O$64),"")</f>
        <v/>
      </c>
      <c r="W35" s="272" t="str">
        <f>IF(AND('Mapa final'!$Y$65="Media",'Mapa final'!$AA$65="Moderado"),CONCATENATE("R10C",'Mapa final'!$O$65),"")</f>
        <v/>
      </c>
      <c r="X35" s="272" t="str">
        <f>IF(AND('Mapa final'!$Y$66="Media",'Mapa final'!$AA$66="Moderado"),CONCATENATE("R10C",'Mapa final'!$O$66),"")</f>
        <v/>
      </c>
      <c r="Y35" s="272" t="str">
        <f>IF(AND('Mapa final'!$Y$67="Media",'Mapa final'!$AA$67="Moderado"),CONCATENATE("R10C",'Mapa final'!$O$67),"")</f>
        <v/>
      </c>
      <c r="Z35" s="272" t="str">
        <f>IF(AND('Mapa final'!$Y$68="Media",'Mapa final'!$AA$68="Moderado"),CONCATENATE("R10C",'Mapa final'!$O$68),"")</f>
        <v/>
      </c>
      <c r="AA35" s="273" t="str">
        <f>IF(AND('Mapa final'!$Y$69="Media",'Mapa final'!$AA$69="Moderado"),CONCATENATE("R10C",'Mapa final'!$O$69),"")</f>
        <v/>
      </c>
      <c r="AB35" s="262" t="str">
        <f>IF(AND('Mapa final'!$Y$64="Media",'Mapa final'!$AA$64="Mayor"),CONCATENATE("R10C",'Mapa final'!$O$64),"")</f>
        <v/>
      </c>
      <c r="AC35" s="263" t="str">
        <f>IF(AND('Mapa final'!$Y$65="Media",'Mapa final'!$AA$65="Mayor"),CONCATENATE("R10C",'Mapa final'!$O$65),"")</f>
        <v/>
      </c>
      <c r="AD35" s="263" t="str">
        <f>IF(AND('Mapa final'!$Y$66="Media",'Mapa final'!$AA$66="Mayor"),CONCATENATE("R10C",'Mapa final'!$O$66),"")</f>
        <v/>
      </c>
      <c r="AE35" s="263" t="str">
        <f>IF(AND('Mapa final'!$Y$67="Media",'Mapa final'!$AA$67="Mayor"),CONCATENATE("R10C",'Mapa final'!$O$67),"")</f>
        <v/>
      </c>
      <c r="AF35" s="263" t="str">
        <f>IF(AND('Mapa final'!$Y$68="Media",'Mapa final'!$AA$68="Mayor"),CONCATENATE("R10C",'Mapa final'!$O$68),"")</f>
        <v/>
      </c>
      <c r="AG35" s="264" t="str">
        <f>IF(AND('Mapa final'!$Y$69="Media",'Mapa final'!$AA$69="Mayor"),CONCATENATE("R10C",'Mapa final'!$O$69),"")</f>
        <v/>
      </c>
      <c r="AH35" s="265" t="str">
        <f>IF(AND('Mapa final'!$Y$64="Media",'Mapa final'!$AA$64="Catastrófico"),CONCATENATE("R10C",'Mapa final'!$O$64),"")</f>
        <v/>
      </c>
      <c r="AI35" s="266" t="str">
        <f>IF(AND('Mapa final'!$Y$65="Media",'Mapa final'!$AA$65="Catastrófico"),CONCATENATE("R10C",'Mapa final'!$O$65),"")</f>
        <v/>
      </c>
      <c r="AJ35" s="266" t="str">
        <f>IF(AND('Mapa final'!$Y$66="Media",'Mapa final'!$AA$66="Catastrófico"),CONCATENATE("R10C",'Mapa final'!$O$66),"")</f>
        <v/>
      </c>
      <c r="AK35" s="266" t="str">
        <f>IF(AND('Mapa final'!$Y$67="Media",'Mapa final'!$AA$67="Catastrófico"),CONCATENATE("R10C",'Mapa final'!$O$67),"")</f>
        <v/>
      </c>
      <c r="AL35" s="266" t="str">
        <f>IF(AND('Mapa final'!$Y$68="Media",'Mapa final'!$AA$68="Catastrófico"),CONCATENATE("R10C",'Mapa final'!$O$68),"")</f>
        <v/>
      </c>
      <c r="AM35" s="267" t="str">
        <f>IF(AND('Mapa final'!$Y$69="Media",'Mapa final'!$AA$69="Catastrófico"),CONCATENATE("R10C",'Mapa final'!$O$69),"")</f>
        <v/>
      </c>
      <c r="AN35" s="15"/>
      <c r="AO35" s="698"/>
      <c r="AP35" s="699"/>
      <c r="AQ35" s="699"/>
      <c r="AR35" s="699"/>
      <c r="AS35" s="699"/>
      <c r="AT35" s="70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78"/>
      <c r="C36" s="578"/>
      <c r="D36" s="579"/>
      <c r="E36" s="664" t="s">
        <v>1059</v>
      </c>
      <c r="F36" s="665"/>
      <c r="G36" s="665"/>
      <c r="H36" s="665"/>
      <c r="I36" s="665"/>
      <c r="J36" s="277" t="str">
        <f>IF(AND('Mapa final'!$Y$10="Baja",'Mapa final'!$AA$10="Leve"),CONCATENATE("R1C",'Mapa final'!$O$10),"")</f>
        <v>R1C1</v>
      </c>
      <c r="K36" s="278" t="str">
        <f>IF(AND('Mapa final'!$Y$11="Baja",'Mapa final'!$AA$11="Leve"),CONCATENATE("R1C",'Mapa final'!$O$11),"")</f>
        <v>R1C2</v>
      </c>
      <c r="L36" s="278" t="str">
        <f>IF(AND('Mapa final'!$Y$12="Baja",'Mapa final'!$AA$12="Leve"),CONCATENATE("R1C",'Mapa final'!$O$12),"")</f>
        <v/>
      </c>
      <c r="M36" s="278" t="str">
        <f>IF(AND('Mapa final'!$Y$13="Baja",'Mapa final'!$AA$13="Leve"),CONCATENATE("R1C",'Mapa final'!$O$13),"")</f>
        <v/>
      </c>
      <c r="N36" s="278" t="str">
        <f>IF(AND('Mapa final'!$Y$14="Baja",'Mapa final'!$AA$14="Leve"),CONCATENATE("R1C",'Mapa final'!$O$14),"")</f>
        <v/>
      </c>
      <c r="O36" s="279" t="str">
        <f>IF(AND('Mapa final'!$Y$15="Baja",'Mapa final'!$AA$15="Leve"),CONCATENATE("R1C",'Mapa final'!$O$15),"")</f>
        <v/>
      </c>
      <c r="P36" s="268" t="str">
        <f>IF(AND('Mapa final'!$Y$10="Baja",'Mapa final'!$AA$10="Menor"),CONCATENATE("R1C",'Mapa final'!$O$10),"")</f>
        <v/>
      </c>
      <c r="Q36" s="269" t="str">
        <f>IF(AND('Mapa final'!$Y$11="Baja",'Mapa final'!$AA$11="Menor"),CONCATENATE("R1C",'Mapa final'!$O$11),"")</f>
        <v/>
      </c>
      <c r="R36" s="269" t="str">
        <f>IF(AND('Mapa final'!$Y$12="Baja",'Mapa final'!$AA$12="Menor"),CONCATENATE("R1C",'Mapa final'!$O$12),"")</f>
        <v/>
      </c>
      <c r="S36" s="269" t="str">
        <f>IF(AND('Mapa final'!$Y$13="Baja",'Mapa final'!$AA$13="Menor"),CONCATENATE("R1C",'Mapa final'!$O$13),"")</f>
        <v/>
      </c>
      <c r="T36" s="269" t="str">
        <f>IF(AND('Mapa final'!$Y$14="Baja",'Mapa final'!$AA$14="Menor"),CONCATENATE("R1C",'Mapa final'!$O$14),"")</f>
        <v/>
      </c>
      <c r="U36" s="270" t="str">
        <f>IF(AND('Mapa final'!$Y$15="Baja",'Mapa final'!$AA$15="Menor"),CONCATENATE("R1C",'Mapa final'!$O$15),"")</f>
        <v/>
      </c>
      <c r="V36" s="268" t="str">
        <f>IF(AND('Mapa final'!$Y$10="Baja",'Mapa final'!$AA$10="Moderado"),CONCATENATE("R1C",'Mapa final'!$O$10),"")</f>
        <v/>
      </c>
      <c r="W36" s="269" t="str">
        <f>IF(AND('Mapa final'!$Y$11="Baja",'Mapa final'!$AA$11="Moderado"),CONCATENATE("R1C",'Mapa final'!$O$11),"")</f>
        <v/>
      </c>
      <c r="X36" s="269" t="str">
        <f>IF(AND('Mapa final'!$Y$12="Baja",'Mapa final'!$AA$12="Moderado"),CONCATENATE("R1C",'Mapa final'!$O$12),"")</f>
        <v/>
      </c>
      <c r="Y36" s="269" t="str">
        <f>IF(AND('Mapa final'!$Y$13="Baja",'Mapa final'!$AA$13="Moderado"),CONCATENATE("R1C",'Mapa final'!$O$13),"")</f>
        <v/>
      </c>
      <c r="Z36" s="269" t="str">
        <f>IF(AND('Mapa final'!$Y$14="Baja",'Mapa final'!$AA$14="Moderado"),CONCATENATE("R1C",'Mapa final'!$O$14),"")</f>
        <v/>
      </c>
      <c r="AA36" s="270" t="str">
        <f>IF(AND('Mapa final'!$Y$15="Baja",'Mapa final'!$AA$15="Moderado"),CONCATENATE("R1C",'Mapa final'!$O$15),"")</f>
        <v/>
      </c>
      <c r="AB36" s="250" t="str">
        <f>IF(AND('Mapa final'!$Y$10="Baja",'Mapa final'!$AA$10="Mayor"),CONCATENATE("R1C",'Mapa final'!$O$10),"")</f>
        <v/>
      </c>
      <c r="AC36" s="251" t="str">
        <f>IF(AND('Mapa final'!$Y$11="Baja",'Mapa final'!$AA$11="Mayor"),CONCATENATE("R1C",'Mapa final'!$O$11),"")</f>
        <v/>
      </c>
      <c r="AD36" s="251" t="str">
        <f>IF(AND('Mapa final'!$Y$12="Baja",'Mapa final'!$AA$12="Mayor"),CONCATENATE("R1C",'Mapa final'!$O$12),"")</f>
        <v/>
      </c>
      <c r="AE36" s="251" t="str">
        <f>IF(AND('Mapa final'!$Y$13="Baja",'Mapa final'!$AA$13="Mayor"),CONCATENATE("R1C",'Mapa final'!$O$13),"")</f>
        <v/>
      </c>
      <c r="AF36" s="251" t="str">
        <f>IF(AND('Mapa final'!$Y$14="Baja",'Mapa final'!$AA$14="Mayor"),CONCATENATE("R1C",'Mapa final'!$O$14),"")</f>
        <v/>
      </c>
      <c r="AG36" s="252" t="str">
        <f>IF(AND('Mapa final'!$Y$15="Baja",'Mapa final'!$AA$15="Mayor"),CONCATENATE("R1C",'Mapa final'!$O$15),"")</f>
        <v/>
      </c>
      <c r="AH36" s="253" t="str">
        <f>IF(AND('Mapa final'!$Y$10="Baja",'Mapa final'!$AA$10="Catastrófico"),CONCATENATE("R1C",'Mapa final'!$O$10),"")</f>
        <v/>
      </c>
      <c r="AI36" s="254" t="str">
        <f>IF(AND('Mapa final'!$Y$11="Baja",'Mapa final'!$AA$11="Catastrófico"),CONCATENATE("R1C",'Mapa final'!$O$11),"")</f>
        <v/>
      </c>
      <c r="AJ36" s="254" t="str">
        <f>IF(AND('Mapa final'!$Y$12="Baja",'Mapa final'!$AA$12="Catastrófico"),CONCATENATE("R1C",'Mapa final'!$O$12),"")</f>
        <v/>
      </c>
      <c r="AK36" s="254" t="str">
        <f>IF(AND('Mapa final'!$Y$13="Baja",'Mapa final'!$AA$13="Catastrófico"),CONCATENATE("R1C",'Mapa final'!$O$13),"")</f>
        <v/>
      </c>
      <c r="AL36" s="254" t="str">
        <f>IF(AND('Mapa final'!$Y$14="Baja",'Mapa final'!$AA$14="Catastrófico"),CONCATENATE("R1C",'Mapa final'!$O$14),"")</f>
        <v/>
      </c>
      <c r="AM36" s="255" t="str">
        <f>IF(AND('Mapa final'!$Y$15="Baja",'Mapa final'!$AA$15="Catastrófico"),CONCATENATE("R1C",'Mapa final'!$O$15),"")</f>
        <v/>
      </c>
      <c r="AN36" s="15"/>
      <c r="AO36" s="701" t="s">
        <v>1060</v>
      </c>
      <c r="AP36" s="702"/>
      <c r="AQ36" s="702"/>
      <c r="AR36" s="702"/>
      <c r="AS36" s="702"/>
      <c r="AT36" s="70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78"/>
      <c r="C37" s="578"/>
      <c r="D37" s="579"/>
      <c r="E37" s="682"/>
      <c r="F37" s="668"/>
      <c r="G37" s="668"/>
      <c r="H37" s="668"/>
      <c r="I37" s="668"/>
      <c r="J37" s="280" t="str">
        <f>IF(AND('Mapa final'!$Y$16="Baja",'Mapa final'!$AA$16="Leve"),CONCATENATE("R2C",'Mapa final'!$O$16),"")</f>
        <v>R2C1</v>
      </c>
      <c r="K37" s="281" t="str">
        <f>IF(AND('Mapa final'!$Y$17="Baja",'Mapa final'!$AA$17="Leve"),CONCATENATE("R2C",'Mapa final'!$O$17),"")</f>
        <v/>
      </c>
      <c r="L37" s="281" t="str">
        <f>IF(AND('Mapa final'!$Y$18="Baja",'Mapa final'!$AA$18="Leve"),CONCATENATE("R2C",'Mapa final'!$O$18),"")</f>
        <v/>
      </c>
      <c r="M37" s="281" t="str">
        <f>IF(AND('Mapa final'!$Y$19="Baja",'Mapa final'!$AA$19="Leve"),CONCATENATE("R2C",'Mapa final'!$O$19),"")</f>
        <v/>
      </c>
      <c r="N37" s="281" t="str">
        <f>IF(AND('Mapa final'!$Y$20="Baja",'Mapa final'!$AA$20="Leve"),CONCATENATE("R2C",'Mapa final'!$O$20),"")</f>
        <v/>
      </c>
      <c r="O37" s="282" t="str">
        <f>IF(AND('Mapa final'!$Y$21="Baja",'Mapa final'!$AA$21="Leve"),CONCATENATE("R2C",'Mapa final'!$O$21),"")</f>
        <v/>
      </c>
      <c r="P37" s="271" t="str">
        <f>IF(AND('Mapa final'!$Y$16="Baja",'Mapa final'!$AA$16="Menor"),CONCATENATE("R2C",'Mapa final'!$O$16),"")</f>
        <v/>
      </c>
      <c r="Q37" s="272" t="str">
        <f>IF(AND('Mapa final'!$Y$17="Baja",'Mapa final'!$AA$17="Menor"),CONCATENATE("R2C",'Mapa final'!$O$17),"")</f>
        <v/>
      </c>
      <c r="R37" s="272" t="str">
        <f>IF(AND('Mapa final'!$Y$18="Baja",'Mapa final'!$AA$18="Menor"),CONCATENATE("R2C",'Mapa final'!$O$18),"")</f>
        <v/>
      </c>
      <c r="S37" s="272" t="str">
        <f>IF(AND('Mapa final'!$Y$19="Baja",'Mapa final'!$AA$19="Menor"),CONCATENATE("R2C",'Mapa final'!$O$19),"")</f>
        <v/>
      </c>
      <c r="T37" s="272" t="str">
        <f>IF(AND('Mapa final'!$Y$20="Baja",'Mapa final'!$AA$20="Menor"),CONCATENATE("R2C",'Mapa final'!$O$20),"")</f>
        <v/>
      </c>
      <c r="U37" s="273" t="str">
        <f>IF(AND('Mapa final'!$Y$21="Baja",'Mapa final'!$AA$21="Menor"),CONCATENATE("R2C",'Mapa final'!$O$21),"")</f>
        <v/>
      </c>
      <c r="V37" s="271" t="str">
        <f>IF(AND('Mapa final'!$Y$16="Baja",'Mapa final'!$AA$16="Moderado"),CONCATENATE("R2C",'Mapa final'!$O$16),"")</f>
        <v/>
      </c>
      <c r="W37" s="272" t="str">
        <f>IF(AND('Mapa final'!$Y$17="Baja",'Mapa final'!$AA$17="Moderado"),CONCATENATE("R2C",'Mapa final'!$O$17),"")</f>
        <v/>
      </c>
      <c r="X37" s="272" t="str">
        <f>IF(AND('Mapa final'!$Y$18="Baja",'Mapa final'!$AA$18="Moderado"),CONCATENATE("R2C",'Mapa final'!$O$18),"")</f>
        <v/>
      </c>
      <c r="Y37" s="272" t="str">
        <f>IF(AND('Mapa final'!$Y$19="Baja",'Mapa final'!$AA$19="Moderado"),CONCATENATE("R2C",'Mapa final'!$O$19),"")</f>
        <v/>
      </c>
      <c r="Z37" s="272" t="str">
        <f>IF(AND('Mapa final'!$Y$20="Baja",'Mapa final'!$AA$20="Moderado"),CONCATENATE("R2C",'Mapa final'!$O$20),"")</f>
        <v/>
      </c>
      <c r="AA37" s="273" t="str">
        <f>IF(AND('Mapa final'!$Y$21="Baja",'Mapa final'!$AA$21="Moderado"),CONCATENATE("R2C",'Mapa final'!$O$21),"")</f>
        <v/>
      </c>
      <c r="AB37" s="256" t="str">
        <f>IF(AND('Mapa final'!$Y$16="Baja",'Mapa final'!$AA$16="Mayor"),CONCATENATE("R2C",'Mapa final'!$O$16),"")</f>
        <v/>
      </c>
      <c r="AC37" s="257" t="str">
        <f>IF(AND('Mapa final'!$Y$17="Baja",'Mapa final'!$AA$17="Mayor"),CONCATENATE("R2C",'Mapa final'!$O$17),"")</f>
        <v/>
      </c>
      <c r="AD37" s="257" t="str">
        <f>IF(AND('Mapa final'!$Y$18="Baja",'Mapa final'!$AA$18="Mayor"),CONCATENATE("R2C",'Mapa final'!$O$18),"")</f>
        <v/>
      </c>
      <c r="AE37" s="257" t="str">
        <f>IF(AND('Mapa final'!$Y$19="Baja",'Mapa final'!$AA$19="Mayor"),CONCATENATE("R2C",'Mapa final'!$O$19),"")</f>
        <v/>
      </c>
      <c r="AF37" s="257" t="str">
        <f>IF(AND('Mapa final'!$Y$20="Baja",'Mapa final'!$AA$20="Mayor"),CONCATENATE("R2C",'Mapa final'!$O$20),"")</f>
        <v/>
      </c>
      <c r="AG37" s="258" t="str">
        <f>IF(AND('Mapa final'!$Y$21="Baja",'Mapa final'!$AA$21="Mayor"),CONCATENATE("R2C",'Mapa final'!$O$21),"")</f>
        <v/>
      </c>
      <c r="AH37" s="259" t="str">
        <f>IF(AND('Mapa final'!$Y$16="Baja",'Mapa final'!$AA$16="Catastrófico"),CONCATENATE("R2C",'Mapa final'!$O$16),"")</f>
        <v/>
      </c>
      <c r="AI37" s="260" t="str">
        <f>IF(AND('Mapa final'!$Y$17="Baja",'Mapa final'!$AA$17="Catastrófico"),CONCATENATE("R2C",'Mapa final'!$O$17),"")</f>
        <v/>
      </c>
      <c r="AJ37" s="260" t="str">
        <f>IF(AND('Mapa final'!$Y$18="Baja",'Mapa final'!$AA$18="Catastrófico"),CONCATENATE("R2C",'Mapa final'!$O$18),"")</f>
        <v/>
      </c>
      <c r="AK37" s="260" t="str">
        <f>IF(AND('Mapa final'!$Y$19="Baja",'Mapa final'!$AA$19="Catastrófico"),CONCATENATE("R2C",'Mapa final'!$O$19),"")</f>
        <v/>
      </c>
      <c r="AL37" s="260" t="str">
        <f>IF(AND('Mapa final'!$Y$20="Baja",'Mapa final'!$AA$20="Catastrófico"),CONCATENATE("R2C",'Mapa final'!$O$20),"")</f>
        <v/>
      </c>
      <c r="AM37" s="261" t="str">
        <f>IF(AND('Mapa final'!$Y$21="Baja",'Mapa final'!$AA$21="Catastrófico"),CONCATENATE("R2C",'Mapa final'!$O$21),"")</f>
        <v/>
      </c>
      <c r="AN37" s="15"/>
      <c r="AO37" s="704"/>
      <c r="AP37" s="705"/>
      <c r="AQ37" s="705"/>
      <c r="AR37" s="705"/>
      <c r="AS37" s="705"/>
      <c r="AT37" s="70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78"/>
      <c r="C38" s="578"/>
      <c r="D38" s="579"/>
      <c r="E38" s="667"/>
      <c r="F38" s="668"/>
      <c r="G38" s="668"/>
      <c r="H38" s="668"/>
      <c r="I38" s="668"/>
      <c r="J38" s="280" t="str">
        <f>IF(AND('Mapa final'!$Y$22="Baja",'Mapa final'!$AA$22="Leve"),CONCATENATE("R3C",'Mapa final'!$O$22),"")</f>
        <v/>
      </c>
      <c r="K38" s="281" t="str">
        <f>IF(AND('Mapa final'!$Y$23="Baja",'Mapa final'!$AA$23="Leve"),CONCATENATE("R3C",'Mapa final'!$O$23),"")</f>
        <v/>
      </c>
      <c r="L38" s="281" t="str">
        <f>IF(AND('Mapa final'!$Y$24="Baja",'Mapa final'!$AA$24="Leve"),CONCATENATE("R3C",'Mapa final'!$O$24),"")</f>
        <v/>
      </c>
      <c r="M38" s="281" t="str">
        <f>IF(AND('Mapa final'!$Y$25="Baja",'Mapa final'!$AA$25="Leve"),CONCATENATE("R3C",'Mapa final'!$O$25),"")</f>
        <v/>
      </c>
      <c r="N38" s="281" t="str">
        <f>IF(AND('Mapa final'!$Y$26="Baja",'Mapa final'!$AA$26="Leve"),CONCATENATE("R3C",'Mapa final'!$O$26),"")</f>
        <v/>
      </c>
      <c r="O38" s="282" t="str">
        <f>IF(AND('Mapa final'!$Y$27="Baja",'Mapa final'!$AA$27="Leve"),CONCATENATE("R3C",'Mapa final'!$O$27),"")</f>
        <v/>
      </c>
      <c r="P38" s="271" t="str">
        <f>IF(AND('Mapa final'!$Y$22="Baja",'Mapa final'!$AA$22="Menor"),CONCATENATE("R3C",'Mapa final'!$O$22),"")</f>
        <v/>
      </c>
      <c r="Q38" s="272" t="str">
        <f>IF(AND('Mapa final'!$Y$23="Baja",'Mapa final'!$AA$23="Menor"),CONCATENATE("R3C",'Mapa final'!$O$23),"")</f>
        <v/>
      </c>
      <c r="R38" s="272" t="str">
        <f>IF(AND('Mapa final'!$Y$24="Baja",'Mapa final'!$AA$24="Menor"),CONCATENATE("R3C",'Mapa final'!$O$24),"")</f>
        <v/>
      </c>
      <c r="S38" s="272" t="str">
        <f>IF(AND('Mapa final'!$Y$25="Baja",'Mapa final'!$AA$25="Menor"),CONCATENATE("R3C",'Mapa final'!$O$25),"")</f>
        <v/>
      </c>
      <c r="T38" s="272" t="str">
        <f>IF(AND('Mapa final'!$Y$26="Baja",'Mapa final'!$AA$26="Menor"),CONCATENATE("R3C",'Mapa final'!$O$26),"")</f>
        <v/>
      </c>
      <c r="U38" s="273" t="str">
        <f>IF(AND('Mapa final'!$Y$27="Baja",'Mapa final'!$AA$27="Menor"),CONCATENATE("R3C",'Mapa final'!$O$27),"")</f>
        <v/>
      </c>
      <c r="V38" s="271" t="str">
        <f>IF(AND('Mapa final'!$Y$22="Baja",'Mapa final'!$AA$22="Moderado"),CONCATENATE("R3C",'Mapa final'!$O$22),"")</f>
        <v/>
      </c>
      <c r="W38" s="272" t="str">
        <f>IF(AND('Mapa final'!$Y$23="Baja",'Mapa final'!$AA$23="Moderado"),CONCATENATE("R3C",'Mapa final'!$O$23),"")</f>
        <v/>
      </c>
      <c r="X38" s="272" t="str">
        <f>IF(AND('Mapa final'!$Y$24="Baja",'Mapa final'!$AA$24="Moderado"),CONCATENATE("R3C",'Mapa final'!$O$24),"")</f>
        <v/>
      </c>
      <c r="Y38" s="272" t="str">
        <f>IF(AND('Mapa final'!$Y$25="Baja",'Mapa final'!$AA$25="Moderado"),CONCATENATE("R3C",'Mapa final'!$O$25),"")</f>
        <v/>
      </c>
      <c r="Z38" s="272" t="str">
        <f>IF(AND('Mapa final'!$Y$26="Baja",'Mapa final'!$AA$26="Moderado"),CONCATENATE("R3C",'Mapa final'!$O$26),"")</f>
        <v/>
      </c>
      <c r="AA38" s="273" t="str">
        <f>IF(AND('Mapa final'!$Y$27="Baja",'Mapa final'!$AA$27="Moderado"),CONCATENATE("R3C",'Mapa final'!$O$27),"")</f>
        <v/>
      </c>
      <c r="AB38" s="256" t="str">
        <f>IF(AND('Mapa final'!$Y$22="Baja",'Mapa final'!$AA$22="Mayor"),CONCATENATE("R3C",'Mapa final'!$O$22),"")</f>
        <v/>
      </c>
      <c r="AC38" s="257" t="str">
        <f>IF(AND('Mapa final'!$Y$23="Baja",'Mapa final'!$AA$23="Mayor"),CONCATENATE("R3C",'Mapa final'!$O$23),"")</f>
        <v/>
      </c>
      <c r="AD38" s="257" t="str">
        <f>IF(AND('Mapa final'!$Y$24="Baja",'Mapa final'!$AA$24="Mayor"),CONCATENATE("R3C",'Mapa final'!$O$24),"")</f>
        <v/>
      </c>
      <c r="AE38" s="257" t="str">
        <f>IF(AND('Mapa final'!$Y$25="Baja",'Mapa final'!$AA$25="Mayor"),CONCATENATE("R3C",'Mapa final'!$O$25),"")</f>
        <v/>
      </c>
      <c r="AF38" s="257" t="str">
        <f>IF(AND('Mapa final'!$Y$26="Baja",'Mapa final'!$AA$26="Mayor"),CONCATENATE("R3C",'Mapa final'!$O$26),"")</f>
        <v/>
      </c>
      <c r="AG38" s="258" t="str">
        <f>IF(AND('Mapa final'!$Y$27="Baja",'Mapa final'!$AA$27="Mayor"),CONCATENATE("R3C",'Mapa final'!$O$27),"")</f>
        <v/>
      </c>
      <c r="AH38" s="259" t="str">
        <f>IF(AND('Mapa final'!$Y$22="Baja",'Mapa final'!$AA$22="Catastrófico"),CONCATENATE("R3C",'Mapa final'!$O$22),"")</f>
        <v/>
      </c>
      <c r="AI38" s="260" t="str">
        <f>IF(AND('Mapa final'!$Y$23="Baja",'Mapa final'!$AA$23="Catastrófico"),CONCATENATE("R3C",'Mapa final'!$O$23),"")</f>
        <v/>
      </c>
      <c r="AJ38" s="260" t="str">
        <f>IF(AND('Mapa final'!$Y$24="Baja",'Mapa final'!$AA$24="Catastrófico"),CONCATENATE("R3C",'Mapa final'!$O$24),"")</f>
        <v/>
      </c>
      <c r="AK38" s="260" t="str">
        <f>IF(AND('Mapa final'!$Y$25="Baja",'Mapa final'!$AA$25="Catastrófico"),CONCATENATE("R3C",'Mapa final'!$O$25),"")</f>
        <v/>
      </c>
      <c r="AL38" s="260" t="str">
        <f>IF(AND('Mapa final'!$Y$26="Baja",'Mapa final'!$AA$26="Catastrófico"),CONCATENATE("R3C",'Mapa final'!$O$26),"")</f>
        <v/>
      </c>
      <c r="AM38" s="261" t="str">
        <f>IF(AND('Mapa final'!$Y$27="Baja",'Mapa final'!$AA$27="Catastrófico"),CONCATENATE("R3C",'Mapa final'!$O$27),"")</f>
        <v/>
      </c>
      <c r="AN38" s="15"/>
      <c r="AO38" s="704"/>
      <c r="AP38" s="705"/>
      <c r="AQ38" s="705"/>
      <c r="AR38" s="705"/>
      <c r="AS38" s="705"/>
      <c r="AT38" s="70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78"/>
      <c r="C39" s="578"/>
      <c r="D39" s="579"/>
      <c r="E39" s="667"/>
      <c r="F39" s="668"/>
      <c r="G39" s="668"/>
      <c r="H39" s="668"/>
      <c r="I39" s="668"/>
      <c r="J39" s="280" t="str">
        <f>IF(AND('Mapa final'!$Y$28="Baja",'Mapa final'!$AA$28="Leve"),CONCATENATE("R4C",'Mapa final'!$O$28),"")</f>
        <v>R4C1</v>
      </c>
      <c r="K39" s="281" t="str">
        <f>IF(AND('Mapa final'!$Y$29="Baja",'Mapa final'!$AA$29="Leve"),CONCATENATE("R4C",'Mapa final'!$O$29),"")</f>
        <v/>
      </c>
      <c r="L39" s="281" t="str">
        <f>IF(AND('Mapa final'!$Y$30="Baja",'Mapa final'!$AA$30="Leve"),CONCATENATE("R4C",'Mapa final'!$O$30),"")</f>
        <v/>
      </c>
      <c r="M39" s="281" t="str">
        <f>IF(AND('Mapa final'!$Y$31="Baja",'Mapa final'!$AA$31="Leve"),CONCATENATE("R4C",'Mapa final'!$O$31),"")</f>
        <v/>
      </c>
      <c r="N39" s="281" t="str">
        <f>IF(AND('Mapa final'!$Y$32="Baja",'Mapa final'!$AA$32="Leve"),CONCATENATE("R4C",'Mapa final'!$O$32),"")</f>
        <v/>
      </c>
      <c r="O39" s="282" t="str">
        <f>IF(AND('Mapa final'!$Y$33="Baja",'Mapa final'!$AA$33="Leve"),CONCATENATE("R4C",'Mapa final'!$O$33),"")</f>
        <v/>
      </c>
      <c r="P39" s="271" t="str">
        <f>IF(AND('Mapa final'!$Y$28="Baja",'Mapa final'!$AA$28="Menor"),CONCATENATE("R4C",'Mapa final'!$O$28),"")</f>
        <v/>
      </c>
      <c r="Q39" s="272" t="str">
        <f>IF(AND('Mapa final'!$Y$29="Baja",'Mapa final'!$AA$29="Menor"),CONCATENATE("R4C",'Mapa final'!$O$29),"")</f>
        <v/>
      </c>
      <c r="R39" s="272" t="str">
        <f>IF(AND('Mapa final'!$Y$30="Baja",'Mapa final'!$AA$30="Menor"),CONCATENATE("R4C",'Mapa final'!$O$30),"")</f>
        <v/>
      </c>
      <c r="S39" s="272" t="str">
        <f>IF(AND('Mapa final'!$Y$31="Baja",'Mapa final'!$AA$31="Menor"),CONCATENATE("R4C",'Mapa final'!$O$31),"")</f>
        <v/>
      </c>
      <c r="T39" s="272" t="str">
        <f>IF(AND('Mapa final'!$Y$32="Baja",'Mapa final'!$AA$32="Menor"),CONCATENATE("R4C",'Mapa final'!$O$32),"")</f>
        <v/>
      </c>
      <c r="U39" s="273" t="str">
        <f>IF(AND('Mapa final'!$Y$33="Baja",'Mapa final'!$AA$33="Menor"),CONCATENATE("R4C",'Mapa final'!$O$33),"")</f>
        <v/>
      </c>
      <c r="V39" s="271" t="str">
        <f>IF(AND('Mapa final'!$Y$28="Baja",'Mapa final'!$AA$28="Moderado"),CONCATENATE("R4C",'Mapa final'!$O$28),"")</f>
        <v/>
      </c>
      <c r="W39" s="272" t="str">
        <f>IF(AND('Mapa final'!$Y$29="Baja",'Mapa final'!$AA$29="Moderado"),CONCATENATE("R4C",'Mapa final'!$O$29),"")</f>
        <v/>
      </c>
      <c r="X39" s="272" t="str">
        <f>IF(AND('Mapa final'!$Y$30="Baja",'Mapa final'!$AA$30="Moderado"),CONCATENATE("R4C",'Mapa final'!$O$30),"")</f>
        <v/>
      </c>
      <c r="Y39" s="272" t="str">
        <f>IF(AND('Mapa final'!$Y$31="Baja",'Mapa final'!$AA$31="Moderado"),CONCATENATE("R4C",'Mapa final'!$O$31),"")</f>
        <v/>
      </c>
      <c r="Z39" s="272" t="str">
        <f>IF(AND('Mapa final'!$Y$32="Baja",'Mapa final'!$AA$32="Moderado"),CONCATENATE("R4C",'Mapa final'!$O$32),"")</f>
        <v/>
      </c>
      <c r="AA39" s="273" t="str">
        <f>IF(AND('Mapa final'!$Y$33="Baja",'Mapa final'!$AA$33="Moderado"),CONCATENATE("R4C",'Mapa final'!$O$33),"")</f>
        <v/>
      </c>
      <c r="AB39" s="256" t="str">
        <f>IF(AND('Mapa final'!$Y$28="Baja",'Mapa final'!$AA$28="Mayor"),CONCATENATE("R4C",'Mapa final'!$O$28),"")</f>
        <v/>
      </c>
      <c r="AC39" s="257" t="str">
        <f>IF(AND('Mapa final'!$Y$29="Baja",'Mapa final'!$AA$29="Mayor"),CONCATENATE("R4C",'Mapa final'!$O$29),"")</f>
        <v/>
      </c>
      <c r="AD39" s="257" t="str">
        <f>IF(AND('Mapa final'!$Y$30="Baja",'Mapa final'!$AA$30="Mayor"),CONCATENATE("R4C",'Mapa final'!$O$30),"")</f>
        <v/>
      </c>
      <c r="AE39" s="257" t="str">
        <f>IF(AND('Mapa final'!$Y$31="Baja",'Mapa final'!$AA$31="Mayor"),CONCATENATE("R4C",'Mapa final'!$O$31),"")</f>
        <v/>
      </c>
      <c r="AF39" s="257" t="str">
        <f>IF(AND('Mapa final'!$Y$32="Baja",'Mapa final'!$AA$32="Mayor"),CONCATENATE("R4C",'Mapa final'!$O$32),"")</f>
        <v/>
      </c>
      <c r="AG39" s="258" t="str">
        <f>IF(AND('Mapa final'!$Y$33="Baja",'Mapa final'!$AA$33="Mayor"),CONCATENATE("R4C",'Mapa final'!$O$33),"")</f>
        <v/>
      </c>
      <c r="AH39" s="259" t="str">
        <f>IF(AND('Mapa final'!$Y$28="Baja",'Mapa final'!$AA$28="Catastrófico"),CONCATENATE("R4C",'Mapa final'!$O$28),"")</f>
        <v/>
      </c>
      <c r="AI39" s="260" t="str">
        <f>IF(AND('Mapa final'!$Y$29="Baja",'Mapa final'!$AA$29="Catastrófico"),CONCATENATE("R4C",'Mapa final'!$O$29),"")</f>
        <v/>
      </c>
      <c r="AJ39" s="260" t="str">
        <f>IF(AND('Mapa final'!$Y$30="Baja",'Mapa final'!$AA$30="Catastrófico"),CONCATENATE("R4C",'Mapa final'!$O$30),"")</f>
        <v/>
      </c>
      <c r="AK39" s="260" t="str">
        <f>IF(AND('Mapa final'!$Y$31="Baja",'Mapa final'!$AA$31="Catastrófico"),CONCATENATE("R4C",'Mapa final'!$O$31),"")</f>
        <v/>
      </c>
      <c r="AL39" s="260" t="str">
        <f>IF(AND('Mapa final'!$Y$32="Baja",'Mapa final'!$AA$32="Catastrófico"),CONCATENATE("R4C",'Mapa final'!$O$32),"")</f>
        <v/>
      </c>
      <c r="AM39" s="261" t="str">
        <f>IF(AND('Mapa final'!$Y$33="Baja",'Mapa final'!$AA$33="Catastrófico"),CONCATENATE("R4C",'Mapa final'!$O$33),"")</f>
        <v/>
      </c>
      <c r="AN39" s="15"/>
      <c r="AO39" s="704"/>
      <c r="AP39" s="705"/>
      <c r="AQ39" s="705"/>
      <c r="AR39" s="705"/>
      <c r="AS39" s="705"/>
      <c r="AT39" s="70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78"/>
      <c r="C40" s="578"/>
      <c r="D40" s="579"/>
      <c r="E40" s="667"/>
      <c r="F40" s="668"/>
      <c r="G40" s="668"/>
      <c r="H40" s="668"/>
      <c r="I40" s="668"/>
      <c r="J40" s="280" t="str">
        <f>IF(AND('Mapa final'!$Y$34="Baja",'Mapa final'!$AA$34="Leve"),CONCATENATE("R5C",'Mapa final'!$O$34),"")</f>
        <v/>
      </c>
      <c r="K40" s="281" t="str">
        <f>IF(AND('Mapa final'!$Y$35="Baja",'Mapa final'!$AA$35="Leve"),CONCATENATE("R5C",'Mapa final'!$O$35),"")</f>
        <v/>
      </c>
      <c r="L40" s="281" t="str">
        <f>IF(AND('Mapa final'!$Y$36="Baja",'Mapa final'!$AA$36="Leve"),CONCATENATE("R5C",'Mapa final'!$O$36),"")</f>
        <v/>
      </c>
      <c r="M40" s="281" t="str">
        <f>IF(AND('Mapa final'!$Y$37="Baja",'Mapa final'!$AA$37="Leve"),CONCATENATE("R5C",'Mapa final'!$O$37),"")</f>
        <v/>
      </c>
      <c r="N40" s="281" t="str">
        <f>IF(AND('Mapa final'!$Y$38="Baja",'Mapa final'!$AA$38="Leve"),CONCATENATE("R5C",'Mapa final'!$O$38),"")</f>
        <v/>
      </c>
      <c r="O40" s="282" t="str">
        <f>IF(AND('Mapa final'!$Y$39="Baja",'Mapa final'!$AA$39="Leve"),CONCATENATE("R5C",'Mapa final'!$O$39),"")</f>
        <v/>
      </c>
      <c r="P40" s="271" t="str">
        <f>IF(AND('Mapa final'!$Y$34="Baja",'Mapa final'!$AA$34="Menor"),CONCATENATE("R5C",'Mapa final'!$O$34),"")</f>
        <v/>
      </c>
      <c r="Q40" s="272" t="str">
        <f>IF(AND('Mapa final'!$Y$35="Baja",'Mapa final'!$AA$35="Menor"),CONCATENATE("R5C",'Mapa final'!$O$35),"")</f>
        <v/>
      </c>
      <c r="R40" s="272" t="str">
        <f>IF(AND('Mapa final'!$Y$36="Baja",'Mapa final'!$AA$36="Menor"),CONCATENATE("R5C",'Mapa final'!$O$36),"")</f>
        <v/>
      </c>
      <c r="S40" s="272" t="str">
        <f>IF(AND('Mapa final'!$Y$37="Baja",'Mapa final'!$AA$37="Menor"),CONCATENATE("R5C",'Mapa final'!$O$37),"")</f>
        <v/>
      </c>
      <c r="T40" s="272" t="str">
        <f>IF(AND('Mapa final'!$Y$38="Baja",'Mapa final'!$AA$38="Menor"),CONCATENATE("R5C",'Mapa final'!$O$38),"")</f>
        <v/>
      </c>
      <c r="U40" s="273" t="str">
        <f>IF(AND('Mapa final'!$Y$39="Baja",'Mapa final'!$AA$39="Menor"),CONCATENATE("R5C",'Mapa final'!$O$39),"")</f>
        <v/>
      </c>
      <c r="V40" s="271" t="str">
        <f>IF(AND('Mapa final'!$Y$34="Baja",'Mapa final'!$AA$34="Moderado"),CONCATENATE("R5C",'Mapa final'!$O$34),"")</f>
        <v/>
      </c>
      <c r="W40" s="272" t="str">
        <f>IF(AND('Mapa final'!$Y$35="Baja",'Mapa final'!$AA$35="Moderado"),CONCATENATE("R5C",'Mapa final'!$O$35),"")</f>
        <v/>
      </c>
      <c r="X40" s="272" t="str">
        <f>IF(AND('Mapa final'!$Y$36="Baja",'Mapa final'!$AA$36="Moderado"),CONCATENATE("R5C",'Mapa final'!$O$36),"")</f>
        <v/>
      </c>
      <c r="Y40" s="272" t="str">
        <f>IF(AND('Mapa final'!$Y$37="Baja",'Mapa final'!$AA$37="Moderado"),CONCATENATE("R5C",'Mapa final'!$O$37),"")</f>
        <v/>
      </c>
      <c r="Z40" s="272" t="str">
        <f>IF(AND('Mapa final'!$Y$38="Baja",'Mapa final'!$AA$38="Moderado"),CONCATENATE("R5C",'Mapa final'!$O$38),"")</f>
        <v/>
      </c>
      <c r="AA40" s="273" t="str">
        <f>IF(AND('Mapa final'!$Y$39="Baja",'Mapa final'!$AA$39="Moderado"),CONCATENATE("R5C",'Mapa final'!$O$39),"")</f>
        <v/>
      </c>
      <c r="AB40" s="256" t="str">
        <f>IF(AND('Mapa final'!$Y$34="Baja",'Mapa final'!$AA$34="Mayor"),CONCATENATE("R5C",'Mapa final'!$O$34),"")</f>
        <v/>
      </c>
      <c r="AC40" s="257" t="str">
        <f>IF(AND('Mapa final'!$Y$35="Baja",'Mapa final'!$AA$35="Mayor"),CONCATENATE("R5C",'Mapa final'!$O$35),"")</f>
        <v/>
      </c>
      <c r="AD40" s="257" t="str">
        <f>IF(AND('Mapa final'!$Y$36="Baja",'Mapa final'!$AA$36="Mayor"),CONCATENATE("R5C",'Mapa final'!$O$36),"")</f>
        <v/>
      </c>
      <c r="AE40" s="257" t="str">
        <f>IF(AND('Mapa final'!$Y$37="Baja",'Mapa final'!$AA$37="Mayor"),CONCATENATE("R5C",'Mapa final'!$O$37),"")</f>
        <v/>
      </c>
      <c r="AF40" s="257" t="str">
        <f>IF(AND('Mapa final'!$Y$38="Baja",'Mapa final'!$AA$38="Mayor"),CONCATENATE("R5C",'Mapa final'!$O$38),"")</f>
        <v/>
      </c>
      <c r="AG40" s="258" t="str">
        <f>IF(AND('Mapa final'!$Y$39="Baja",'Mapa final'!$AA$39="Mayor"),CONCATENATE("R5C",'Mapa final'!$O$39),"")</f>
        <v/>
      </c>
      <c r="AH40" s="259" t="str">
        <f>IF(AND('Mapa final'!$Y$34="Baja",'Mapa final'!$AA$34="Catastrófico"),CONCATENATE("R5C",'Mapa final'!$O$34),"")</f>
        <v/>
      </c>
      <c r="AI40" s="260" t="str">
        <f>IF(AND('Mapa final'!$Y$35="Baja",'Mapa final'!$AA$35="Catastrófico"),CONCATENATE("R5C",'Mapa final'!$O$35),"")</f>
        <v/>
      </c>
      <c r="AJ40" s="260" t="str">
        <f>IF(AND('Mapa final'!$Y$36="Baja",'Mapa final'!$AA$36="Catastrófico"),CONCATENATE("R5C",'Mapa final'!$O$36),"")</f>
        <v/>
      </c>
      <c r="AK40" s="260" t="str">
        <f>IF(AND('Mapa final'!$Y$37="Baja",'Mapa final'!$AA$37="Catastrófico"),CONCATENATE("R5C",'Mapa final'!$O$37),"")</f>
        <v/>
      </c>
      <c r="AL40" s="260" t="str">
        <f>IF(AND('Mapa final'!$Y$38="Baja",'Mapa final'!$AA$38="Catastrófico"),CONCATENATE("R5C",'Mapa final'!$O$38),"")</f>
        <v/>
      </c>
      <c r="AM40" s="261" t="str">
        <f>IF(AND('Mapa final'!$Y$39="Baja",'Mapa final'!$AA$39="Catastrófico"),CONCATENATE("R5C",'Mapa final'!$O$39),"")</f>
        <v/>
      </c>
      <c r="AN40" s="15"/>
      <c r="AO40" s="704"/>
      <c r="AP40" s="705"/>
      <c r="AQ40" s="705"/>
      <c r="AR40" s="705"/>
      <c r="AS40" s="705"/>
      <c r="AT40" s="70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78"/>
      <c r="C41" s="578"/>
      <c r="D41" s="579"/>
      <c r="E41" s="667"/>
      <c r="F41" s="668"/>
      <c r="G41" s="668"/>
      <c r="H41" s="668"/>
      <c r="I41" s="668"/>
      <c r="J41" s="280" t="str">
        <f>IF(AND('Mapa final'!$Y$40="Baja",'Mapa final'!$AA$40="Leve"),CONCATENATE("R6C",'Mapa final'!$O$40),"")</f>
        <v/>
      </c>
      <c r="K41" s="281" t="str">
        <f>IF(AND('Mapa final'!$Y$41="Baja",'Mapa final'!$AA$41="Leve"),CONCATENATE("R6C",'Mapa final'!$O$41),"")</f>
        <v/>
      </c>
      <c r="L41" s="281" t="str">
        <f>IF(AND('Mapa final'!$Y$42="Baja",'Mapa final'!$AA$42="Leve"),CONCATENATE("R6C",'Mapa final'!$O$42),"")</f>
        <v/>
      </c>
      <c r="M41" s="281" t="str">
        <f>IF(AND('Mapa final'!$Y$43="Baja",'Mapa final'!$AA$43="Leve"),CONCATENATE("R6C",'Mapa final'!$O$43),"")</f>
        <v/>
      </c>
      <c r="N41" s="281" t="str">
        <f>IF(AND('Mapa final'!$Y$44="Baja",'Mapa final'!$AA$44="Leve"),CONCATENATE("R6C",'Mapa final'!$O$44),"")</f>
        <v/>
      </c>
      <c r="O41" s="282" t="str">
        <f>IF(AND('Mapa final'!$Y$45="Baja",'Mapa final'!$AA$45="Leve"),CONCATENATE("R6C",'Mapa final'!$O$45),"")</f>
        <v/>
      </c>
      <c r="P41" s="271" t="str">
        <f>IF(AND('Mapa final'!$Y$40="Baja",'Mapa final'!$AA$40="Menor"),CONCATENATE("R6C",'Mapa final'!$O$40),"")</f>
        <v/>
      </c>
      <c r="Q41" s="272" t="str">
        <f>IF(AND('Mapa final'!$Y$41="Baja",'Mapa final'!$AA$41="Menor"),CONCATENATE("R6C",'Mapa final'!$O$41),"")</f>
        <v/>
      </c>
      <c r="R41" s="272" t="str">
        <f>IF(AND('Mapa final'!$Y$42="Baja",'Mapa final'!$AA$42="Menor"),CONCATENATE("R6C",'Mapa final'!$O$42),"")</f>
        <v/>
      </c>
      <c r="S41" s="272" t="str">
        <f>IF(AND('Mapa final'!$Y$43="Baja",'Mapa final'!$AA$43="Menor"),CONCATENATE("R6C",'Mapa final'!$O$43),"")</f>
        <v/>
      </c>
      <c r="T41" s="272" t="str">
        <f>IF(AND('Mapa final'!$Y$44="Baja",'Mapa final'!$AA$44="Menor"),CONCATENATE("R6C",'Mapa final'!$O$44),"")</f>
        <v/>
      </c>
      <c r="U41" s="273" t="str">
        <f>IF(AND('Mapa final'!$Y$45="Baja",'Mapa final'!$AA$45="Menor"),CONCATENATE("R6C",'Mapa final'!$O$45),"")</f>
        <v/>
      </c>
      <c r="V41" s="271" t="str">
        <f>IF(AND('Mapa final'!$Y$40="Baja",'Mapa final'!$AA$40="Moderado"),CONCATENATE("R6C",'Mapa final'!$O$40),"")</f>
        <v/>
      </c>
      <c r="W41" s="272" t="str">
        <f>IF(AND('Mapa final'!$Y$41="Baja",'Mapa final'!$AA$41="Moderado"),CONCATENATE("R6C",'Mapa final'!$O$41),"")</f>
        <v/>
      </c>
      <c r="X41" s="272" t="str">
        <f>IF(AND('Mapa final'!$Y$42="Baja",'Mapa final'!$AA$42="Moderado"),CONCATENATE("R6C",'Mapa final'!$O$42),"")</f>
        <v/>
      </c>
      <c r="Y41" s="272" t="str">
        <f>IF(AND('Mapa final'!$Y$43="Baja",'Mapa final'!$AA$43="Moderado"),CONCATENATE("R6C",'Mapa final'!$O$43),"")</f>
        <v/>
      </c>
      <c r="Z41" s="272" t="str">
        <f>IF(AND('Mapa final'!$Y$44="Baja",'Mapa final'!$AA$44="Moderado"),CONCATENATE("R6C",'Mapa final'!$O$44),"")</f>
        <v/>
      </c>
      <c r="AA41" s="273" t="str">
        <f>IF(AND('Mapa final'!$Y$45="Baja",'Mapa final'!$AA$45="Moderado"),CONCATENATE("R6C",'Mapa final'!$O$45),"")</f>
        <v/>
      </c>
      <c r="AB41" s="256" t="str">
        <f>IF(AND('Mapa final'!$Y$40="Baja",'Mapa final'!$AA$40="Mayor"),CONCATENATE("R6C",'Mapa final'!$O$40),"")</f>
        <v/>
      </c>
      <c r="AC41" s="257" t="str">
        <f>IF(AND('Mapa final'!$Y$41="Baja",'Mapa final'!$AA$41="Mayor"),CONCATENATE("R6C",'Mapa final'!$O$41),"")</f>
        <v/>
      </c>
      <c r="AD41" s="257" t="str">
        <f>IF(AND('Mapa final'!$Y$42="Baja",'Mapa final'!$AA$42="Mayor"),CONCATENATE("R6C",'Mapa final'!$O$42),"")</f>
        <v/>
      </c>
      <c r="AE41" s="257" t="str">
        <f>IF(AND('Mapa final'!$Y$43="Baja",'Mapa final'!$AA$43="Mayor"),CONCATENATE("R6C",'Mapa final'!$O$43),"")</f>
        <v/>
      </c>
      <c r="AF41" s="257" t="str">
        <f>IF(AND('Mapa final'!$Y$44="Baja",'Mapa final'!$AA$44="Mayor"),CONCATENATE("R6C",'Mapa final'!$O$44),"")</f>
        <v/>
      </c>
      <c r="AG41" s="258" t="str">
        <f>IF(AND('Mapa final'!$Y$45="Baja",'Mapa final'!$AA$45="Mayor"),CONCATENATE("R6C",'Mapa final'!$O$45),"")</f>
        <v/>
      </c>
      <c r="AH41" s="259" t="str">
        <f>IF(AND('Mapa final'!$Y$40="Baja",'Mapa final'!$AA$40="Catastrófico"),CONCATENATE("R6C",'Mapa final'!$O$40),"")</f>
        <v/>
      </c>
      <c r="AI41" s="260" t="str">
        <f>IF(AND('Mapa final'!$Y$41="Baja",'Mapa final'!$AA$41="Catastrófico"),CONCATENATE("R6C",'Mapa final'!$O$41),"")</f>
        <v/>
      </c>
      <c r="AJ41" s="260" t="str">
        <f>IF(AND('Mapa final'!$Y$42="Baja",'Mapa final'!$AA$42="Catastrófico"),CONCATENATE("R6C",'Mapa final'!$O$42),"")</f>
        <v/>
      </c>
      <c r="AK41" s="260" t="str">
        <f>IF(AND('Mapa final'!$Y$43="Baja",'Mapa final'!$AA$43="Catastrófico"),CONCATENATE("R6C",'Mapa final'!$O$43),"")</f>
        <v/>
      </c>
      <c r="AL41" s="260" t="str">
        <f>IF(AND('Mapa final'!$Y$44="Baja",'Mapa final'!$AA$44="Catastrófico"),CONCATENATE("R6C",'Mapa final'!$O$44),"")</f>
        <v/>
      </c>
      <c r="AM41" s="261" t="str">
        <f>IF(AND('Mapa final'!$Y$45="Baja",'Mapa final'!$AA$45="Catastrófico"),CONCATENATE("R6C",'Mapa final'!$O$45),"")</f>
        <v/>
      </c>
      <c r="AN41" s="15"/>
      <c r="AO41" s="704"/>
      <c r="AP41" s="705"/>
      <c r="AQ41" s="705"/>
      <c r="AR41" s="705"/>
      <c r="AS41" s="705"/>
      <c r="AT41" s="70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78"/>
      <c r="C42" s="578"/>
      <c r="D42" s="579"/>
      <c r="E42" s="667"/>
      <c r="F42" s="668"/>
      <c r="G42" s="668"/>
      <c r="H42" s="668"/>
      <c r="I42" s="668"/>
      <c r="J42" s="280" t="str">
        <f>IF(AND('Mapa final'!$Y$46="Baja",'Mapa final'!$AA$46="Leve"),CONCATENATE("R7C",'Mapa final'!$O$46),"")</f>
        <v/>
      </c>
      <c r="K42" s="281" t="str">
        <f>IF(AND('Mapa final'!$Y$47="Baja",'Mapa final'!$AA$47="Leve"),CONCATENATE("R7C",'Mapa final'!$O$47),"")</f>
        <v/>
      </c>
      <c r="L42" s="281" t="str">
        <f>IF(AND('Mapa final'!$Y$48="Baja",'Mapa final'!$AA$48="Leve"),CONCATENATE("R7C",'Mapa final'!$O$48),"")</f>
        <v/>
      </c>
      <c r="M42" s="281" t="str">
        <f>IF(AND('Mapa final'!$Y$49="Baja",'Mapa final'!$AA$49="Leve"),CONCATENATE("R7C",'Mapa final'!$O$49),"")</f>
        <v/>
      </c>
      <c r="N42" s="281" t="str">
        <f>IF(AND('Mapa final'!$Y$50="Baja",'Mapa final'!$AA$50="Leve"),CONCATENATE("R7C",'Mapa final'!$O$50),"")</f>
        <v/>
      </c>
      <c r="O42" s="282" t="str">
        <f>IF(AND('Mapa final'!$Y$51="Baja",'Mapa final'!$AA$51="Leve"),CONCATENATE("R7C",'Mapa final'!$O$51),"")</f>
        <v/>
      </c>
      <c r="P42" s="271" t="str">
        <f>IF(AND('Mapa final'!$Y$46="Baja",'Mapa final'!$AA$46="Menor"),CONCATENATE("R7C",'Mapa final'!$O$46),"")</f>
        <v/>
      </c>
      <c r="Q42" s="272" t="str">
        <f>IF(AND('Mapa final'!$Y$47="Baja",'Mapa final'!$AA$47="Menor"),CONCATENATE("R7C",'Mapa final'!$O$47),"")</f>
        <v/>
      </c>
      <c r="R42" s="272" t="str">
        <f>IF(AND('Mapa final'!$Y$48="Baja",'Mapa final'!$AA$48="Menor"),CONCATENATE("R7C",'Mapa final'!$O$48),"")</f>
        <v/>
      </c>
      <c r="S42" s="272" t="str">
        <f>IF(AND('Mapa final'!$Y$49="Baja",'Mapa final'!$AA$49="Menor"),CONCATENATE("R7C",'Mapa final'!$O$49),"")</f>
        <v/>
      </c>
      <c r="T42" s="272" t="str">
        <f>IF(AND('Mapa final'!$Y$50="Baja",'Mapa final'!$AA$50="Menor"),CONCATENATE("R7C",'Mapa final'!$O$50),"")</f>
        <v/>
      </c>
      <c r="U42" s="273" t="str">
        <f>IF(AND('Mapa final'!$Y$51="Baja",'Mapa final'!$AA$51="Menor"),CONCATENATE("R7C",'Mapa final'!$O$51),"")</f>
        <v/>
      </c>
      <c r="V42" s="271" t="str">
        <f>IF(AND('Mapa final'!$Y$46="Baja",'Mapa final'!$AA$46="Moderado"),CONCATENATE("R7C",'Mapa final'!$O$46),"")</f>
        <v/>
      </c>
      <c r="W42" s="272" t="str">
        <f>IF(AND('Mapa final'!$Y$47="Baja",'Mapa final'!$AA$47="Moderado"),CONCATENATE("R7C",'Mapa final'!$O$47),"")</f>
        <v/>
      </c>
      <c r="X42" s="272" t="str">
        <f>IF(AND('Mapa final'!$Y$48="Baja",'Mapa final'!$AA$48="Moderado"),CONCATENATE("R7C",'Mapa final'!$O$48),"")</f>
        <v/>
      </c>
      <c r="Y42" s="272" t="str">
        <f>IF(AND('Mapa final'!$Y$49="Baja",'Mapa final'!$AA$49="Moderado"),CONCATENATE("R7C",'Mapa final'!$O$49),"")</f>
        <v/>
      </c>
      <c r="Z42" s="272" t="str">
        <f>IF(AND('Mapa final'!$Y$50="Baja",'Mapa final'!$AA$50="Moderado"),CONCATENATE("R7C",'Mapa final'!$O$50),"")</f>
        <v/>
      </c>
      <c r="AA42" s="273" t="str">
        <f>IF(AND('Mapa final'!$Y$51="Baja",'Mapa final'!$AA$51="Moderado"),CONCATENATE("R7C",'Mapa final'!$O$51),"")</f>
        <v/>
      </c>
      <c r="AB42" s="256" t="str">
        <f>IF(AND('Mapa final'!$Y$46="Baja",'Mapa final'!$AA$46="Mayor"),CONCATENATE("R7C",'Mapa final'!$O$46),"")</f>
        <v/>
      </c>
      <c r="AC42" s="257" t="str">
        <f>IF(AND('Mapa final'!$Y$47="Baja",'Mapa final'!$AA$47="Mayor"),CONCATENATE("R7C",'Mapa final'!$O$47),"")</f>
        <v/>
      </c>
      <c r="AD42" s="257" t="str">
        <f>IF(AND('Mapa final'!$Y$48="Baja",'Mapa final'!$AA$48="Mayor"),CONCATENATE("R7C",'Mapa final'!$O$48),"")</f>
        <v/>
      </c>
      <c r="AE42" s="257" t="str">
        <f>IF(AND('Mapa final'!$Y$49="Baja",'Mapa final'!$AA$49="Mayor"),CONCATENATE("R7C",'Mapa final'!$O$49),"")</f>
        <v/>
      </c>
      <c r="AF42" s="257" t="str">
        <f>IF(AND('Mapa final'!$Y$50="Baja",'Mapa final'!$AA$50="Mayor"),CONCATENATE("R7C",'Mapa final'!$O$50),"")</f>
        <v/>
      </c>
      <c r="AG42" s="258" t="str">
        <f>IF(AND('Mapa final'!$Y$51="Baja",'Mapa final'!$AA$51="Mayor"),CONCATENATE("R7C",'Mapa final'!$O$51),"")</f>
        <v/>
      </c>
      <c r="AH42" s="259" t="str">
        <f>IF(AND('Mapa final'!$Y$46="Baja",'Mapa final'!$AA$46="Catastrófico"),CONCATENATE("R7C",'Mapa final'!$O$46),"")</f>
        <v/>
      </c>
      <c r="AI42" s="260" t="str">
        <f>IF(AND('Mapa final'!$Y$47="Baja",'Mapa final'!$AA$47="Catastrófico"),CONCATENATE("R7C",'Mapa final'!$O$47),"")</f>
        <v/>
      </c>
      <c r="AJ42" s="260" t="str">
        <f>IF(AND('Mapa final'!$Y$48="Baja",'Mapa final'!$AA$48="Catastrófico"),CONCATENATE("R7C",'Mapa final'!$O$48),"")</f>
        <v/>
      </c>
      <c r="AK42" s="260" t="str">
        <f>IF(AND('Mapa final'!$Y$49="Baja",'Mapa final'!$AA$49="Catastrófico"),CONCATENATE("R7C",'Mapa final'!$O$49),"")</f>
        <v/>
      </c>
      <c r="AL42" s="260" t="str">
        <f>IF(AND('Mapa final'!$Y$50="Baja",'Mapa final'!$AA$50="Catastrófico"),CONCATENATE("R7C",'Mapa final'!$O$50),"")</f>
        <v/>
      </c>
      <c r="AM42" s="261" t="str">
        <f>IF(AND('Mapa final'!$Y$51="Baja",'Mapa final'!$AA$51="Catastrófico"),CONCATENATE("R7C",'Mapa final'!$O$51),"")</f>
        <v/>
      </c>
      <c r="AN42" s="15"/>
      <c r="AO42" s="704"/>
      <c r="AP42" s="705"/>
      <c r="AQ42" s="705"/>
      <c r="AR42" s="705"/>
      <c r="AS42" s="705"/>
      <c r="AT42" s="70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78"/>
      <c r="C43" s="578"/>
      <c r="D43" s="579"/>
      <c r="E43" s="667"/>
      <c r="F43" s="668"/>
      <c r="G43" s="668"/>
      <c r="H43" s="668"/>
      <c r="I43" s="668"/>
      <c r="J43" s="280" t="str">
        <f>IF(AND('Mapa final'!$Y$52="Baja",'Mapa final'!$AA$52="Leve"),CONCATENATE("R8C",'Mapa final'!$O$52),"")</f>
        <v/>
      </c>
      <c r="K43" s="281" t="str">
        <f>IF(AND('Mapa final'!$Y$53="Baja",'Mapa final'!$AA$53="Leve"),CONCATENATE("R8C",'Mapa final'!$O$53),"")</f>
        <v/>
      </c>
      <c r="L43" s="281" t="str">
        <f>IF(AND('Mapa final'!$Y$54="Baja",'Mapa final'!$AA$54="Leve"),CONCATENATE("R8C",'Mapa final'!$O$54),"")</f>
        <v/>
      </c>
      <c r="M43" s="281" t="str">
        <f>IF(AND('Mapa final'!$Y$55="Baja",'Mapa final'!$AA$55="Leve"),CONCATENATE("R8C",'Mapa final'!$O$55),"")</f>
        <v/>
      </c>
      <c r="N43" s="281" t="str">
        <f>IF(AND('Mapa final'!$Y$56="Baja",'Mapa final'!$AA$56="Leve"),CONCATENATE("R8C",'Mapa final'!$O$56),"")</f>
        <v/>
      </c>
      <c r="O43" s="282" t="str">
        <f>IF(AND('Mapa final'!$Y$57="Baja",'Mapa final'!$AA$57="Leve"),CONCATENATE("R8C",'Mapa final'!$O$57),"")</f>
        <v/>
      </c>
      <c r="P43" s="271" t="str">
        <f>IF(AND('Mapa final'!$Y$52="Baja",'Mapa final'!$AA$52="Menor"),CONCATENATE("R8C",'Mapa final'!$O$52),"")</f>
        <v/>
      </c>
      <c r="Q43" s="272" t="str">
        <f>IF(AND('Mapa final'!$Y$53="Baja",'Mapa final'!$AA$53="Menor"),CONCATENATE("R8C",'Mapa final'!$O$53),"")</f>
        <v/>
      </c>
      <c r="R43" s="272" t="str">
        <f>IF(AND('Mapa final'!$Y$54="Baja",'Mapa final'!$AA$54="Menor"),CONCATENATE("R8C",'Mapa final'!$O$54),"")</f>
        <v/>
      </c>
      <c r="S43" s="272" t="str">
        <f>IF(AND('Mapa final'!$Y$55="Baja",'Mapa final'!$AA$55="Menor"),CONCATENATE("R8C",'Mapa final'!$O$55),"")</f>
        <v/>
      </c>
      <c r="T43" s="272" t="str">
        <f>IF(AND('Mapa final'!$Y$56="Baja",'Mapa final'!$AA$56="Menor"),CONCATENATE("R8C",'Mapa final'!$O$56),"")</f>
        <v/>
      </c>
      <c r="U43" s="273" t="str">
        <f>IF(AND('Mapa final'!$Y$57="Baja",'Mapa final'!$AA$57="Menor"),CONCATENATE("R8C",'Mapa final'!$O$57),"")</f>
        <v/>
      </c>
      <c r="V43" s="271" t="str">
        <f>IF(AND('Mapa final'!$Y$52="Baja",'Mapa final'!$AA$52="Moderado"),CONCATENATE("R8C",'Mapa final'!$O$52),"")</f>
        <v/>
      </c>
      <c r="W43" s="272" t="str">
        <f>IF(AND('Mapa final'!$Y$53="Baja",'Mapa final'!$AA$53="Moderado"),CONCATENATE("R8C",'Mapa final'!$O$53),"")</f>
        <v/>
      </c>
      <c r="X43" s="272" t="str">
        <f>IF(AND('Mapa final'!$Y$54="Baja",'Mapa final'!$AA$54="Moderado"),CONCATENATE("R8C",'Mapa final'!$O$54),"")</f>
        <v/>
      </c>
      <c r="Y43" s="272" t="str">
        <f>IF(AND('Mapa final'!$Y$55="Baja",'Mapa final'!$AA$55="Moderado"),CONCATENATE("R8C",'Mapa final'!$O$55),"")</f>
        <v/>
      </c>
      <c r="Z43" s="272" t="str">
        <f>IF(AND('Mapa final'!$Y$56="Baja",'Mapa final'!$AA$56="Moderado"),CONCATENATE("R8C",'Mapa final'!$O$56),"")</f>
        <v/>
      </c>
      <c r="AA43" s="273" t="str">
        <f>IF(AND('Mapa final'!$Y$57="Baja",'Mapa final'!$AA$57="Moderado"),CONCATENATE("R8C",'Mapa final'!$O$57),"")</f>
        <v/>
      </c>
      <c r="AB43" s="256" t="str">
        <f>IF(AND('Mapa final'!$Y$52="Baja",'Mapa final'!$AA$52="Mayor"),CONCATENATE("R8C",'Mapa final'!$O$52),"")</f>
        <v/>
      </c>
      <c r="AC43" s="257" t="str">
        <f>IF(AND('Mapa final'!$Y$53="Baja",'Mapa final'!$AA$53="Mayor"),CONCATENATE("R8C",'Mapa final'!$O$53),"")</f>
        <v/>
      </c>
      <c r="AD43" s="257" t="str">
        <f>IF(AND('Mapa final'!$Y$54="Baja",'Mapa final'!$AA$54="Mayor"),CONCATENATE("R8C",'Mapa final'!$O$54),"")</f>
        <v/>
      </c>
      <c r="AE43" s="257" t="str">
        <f>IF(AND('Mapa final'!$Y$55="Baja",'Mapa final'!$AA$55="Mayor"),CONCATENATE("R8C",'Mapa final'!$O$55),"")</f>
        <v/>
      </c>
      <c r="AF43" s="257" t="str">
        <f>IF(AND('Mapa final'!$Y$56="Baja",'Mapa final'!$AA$56="Mayor"),CONCATENATE("R8C",'Mapa final'!$O$56),"")</f>
        <v/>
      </c>
      <c r="AG43" s="258" t="str">
        <f>IF(AND('Mapa final'!$Y$57="Baja",'Mapa final'!$AA$57="Mayor"),CONCATENATE("R8C",'Mapa final'!$O$57),"")</f>
        <v/>
      </c>
      <c r="AH43" s="259" t="str">
        <f>IF(AND('Mapa final'!$Y$52="Baja",'Mapa final'!$AA$52="Catastrófico"),CONCATENATE("R8C",'Mapa final'!$O$52),"")</f>
        <v/>
      </c>
      <c r="AI43" s="260" t="str">
        <f>IF(AND('Mapa final'!$Y$53="Baja",'Mapa final'!$AA$53="Catastrófico"),CONCATENATE("R8C",'Mapa final'!$O$53),"")</f>
        <v/>
      </c>
      <c r="AJ43" s="260" t="str">
        <f>IF(AND('Mapa final'!$Y$54="Baja",'Mapa final'!$AA$54="Catastrófico"),CONCATENATE("R8C",'Mapa final'!$O$54),"")</f>
        <v/>
      </c>
      <c r="AK43" s="260" t="str">
        <f>IF(AND('Mapa final'!$Y$55="Baja",'Mapa final'!$AA$55="Catastrófico"),CONCATENATE("R8C",'Mapa final'!$O$55),"")</f>
        <v/>
      </c>
      <c r="AL43" s="260" t="str">
        <f>IF(AND('Mapa final'!$Y$56="Baja",'Mapa final'!$AA$56="Catastrófico"),CONCATENATE("R8C",'Mapa final'!$O$56),"")</f>
        <v/>
      </c>
      <c r="AM43" s="261" t="str">
        <f>IF(AND('Mapa final'!$Y$57="Baja",'Mapa final'!$AA$57="Catastrófico"),CONCATENATE("R8C",'Mapa final'!$O$57),"")</f>
        <v/>
      </c>
      <c r="AN43" s="15"/>
      <c r="AO43" s="704"/>
      <c r="AP43" s="705"/>
      <c r="AQ43" s="705"/>
      <c r="AR43" s="705"/>
      <c r="AS43" s="705"/>
      <c r="AT43" s="70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78"/>
      <c r="C44" s="578"/>
      <c r="D44" s="579"/>
      <c r="E44" s="667"/>
      <c r="F44" s="668"/>
      <c r="G44" s="668"/>
      <c r="H44" s="668"/>
      <c r="I44" s="668"/>
      <c r="J44" s="280" t="str">
        <f>IF(AND('Mapa final'!$Y$58="Baja",'Mapa final'!$AA$58="Leve"),CONCATENATE("R9C",'Mapa final'!$O$58),"")</f>
        <v/>
      </c>
      <c r="K44" s="281" t="str">
        <f>IF(AND('Mapa final'!$Y$59="Baja",'Mapa final'!$AA$59="Leve"),CONCATENATE("R9C",'Mapa final'!$O$59),"")</f>
        <v/>
      </c>
      <c r="L44" s="281" t="str">
        <f>IF(AND('Mapa final'!$Y$60="Baja",'Mapa final'!$AA$60="Leve"),CONCATENATE("R9C",'Mapa final'!$O$60),"")</f>
        <v/>
      </c>
      <c r="M44" s="281" t="str">
        <f>IF(AND('Mapa final'!$Y$61="Baja",'Mapa final'!$AA$61="Leve"),CONCATENATE("R9C",'Mapa final'!$O$61),"")</f>
        <v/>
      </c>
      <c r="N44" s="281" t="str">
        <f>IF(AND('Mapa final'!$Y$62="Baja",'Mapa final'!$AA$62="Leve"),CONCATENATE("R9C",'Mapa final'!$O$62),"")</f>
        <v/>
      </c>
      <c r="O44" s="282" t="str">
        <f>IF(AND('Mapa final'!$Y$63="Baja",'Mapa final'!$AA$63="Leve"),CONCATENATE("R9C",'Mapa final'!$O$63),"")</f>
        <v/>
      </c>
      <c r="P44" s="271" t="str">
        <f>IF(AND('Mapa final'!$Y$58="Baja",'Mapa final'!$AA$58="Menor"),CONCATENATE("R9C",'Mapa final'!$O$58),"")</f>
        <v/>
      </c>
      <c r="Q44" s="272" t="str">
        <f>IF(AND('Mapa final'!$Y$59="Baja",'Mapa final'!$AA$59="Menor"),CONCATENATE("R9C",'Mapa final'!$O$59),"")</f>
        <v/>
      </c>
      <c r="R44" s="272" t="str">
        <f>IF(AND('Mapa final'!$Y$60="Baja",'Mapa final'!$AA$60="Menor"),CONCATENATE("R9C",'Mapa final'!$O$60),"")</f>
        <v/>
      </c>
      <c r="S44" s="272" t="str">
        <f>IF(AND('Mapa final'!$Y$61="Baja",'Mapa final'!$AA$61="Menor"),CONCATENATE("R9C",'Mapa final'!$O$61),"")</f>
        <v/>
      </c>
      <c r="T44" s="272" t="str">
        <f>IF(AND('Mapa final'!$Y$62="Baja",'Mapa final'!$AA$62="Menor"),CONCATENATE("R9C",'Mapa final'!$O$62),"")</f>
        <v/>
      </c>
      <c r="U44" s="273" t="str">
        <f>IF(AND('Mapa final'!$Y$63="Baja",'Mapa final'!$AA$63="Menor"),CONCATENATE("R9C",'Mapa final'!$O$63),"")</f>
        <v/>
      </c>
      <c r="V44" s="271" t="str">
        <f>IF(AND('Mapa final'!$Y$58="Baja",'Mapa final'!$AA$58="Moderado"),CONCATENATE("R9C",'Mapa final'!$O$58),"")</f>
        <v/>
      </c>
      <c r="W44" s="272" t="str">
        <f>IF(AND('Mapa final'!$Y$59="Baja",'Mapa final'!$AA$59="Moderado"),CONCATENATE("R9C",'Mapa final'!$O$59),"")</f>
        <v/>
      </c>
      <c r="X44" s="272" t="str">
        <f>IF(AND('Mapa final'!$Y$60="Baja",'Mapa final'!$AA$60="Moderado"),CONCATENATE("R9C",'Mapa final'!$O$60),"")</f>
        <v/>
      </c>
      <c r="Y44" s="272" t="str">
        <f>IF(AND('Mapa final'!$Y$61="Baja",'Mapa final'!$AA$61="Moderado"),CONCATENATE("R9C",'Mapa final'!$O$61),"")</f>
        <v/>
      </c>
      <c r="Z44" s="272" t="str">
        <f>IF(AND('Mapa final'!$Y$62="Baja",'Mapa final'!$AA$62="Moderado"),CONCATENATE("R9C",'Mapa final'!$O$62),"")</f>
        <v/>
      </c>
      <c r="AA44" s="273" t="str">
        <f>IF(AND('Mapa final'!$Y$63="Baja",'Mapa final'!$AA$63="Moderado"),CONCATENATE("R9C",'Mapa final'!$O$63),"")</f>
        <v/>
      </c>
      <c r="AB44" s="256" t="str">
        <f>IF(AND('Mapa final'!$Y$58="Baja",'Mapa final'!$AA$58="Mayor"),CONCATENATE("R9C",'Mapa final'!$O$58),"")</f>
        <v/>
      </c>
      <c r="AC44" s="257" t="str">
        <f>IF(AND('Mapa final'!$Y$59="Baja",'Mapa final'!$AA$59="Mayor"),CONCATENATE("R9C",'Mapa final'!$O$59),"")</f>
        <v/>
      </c>
      <c r="AD44" s="257" t="str">
        <f>IF(AND('Mapa final'!$Y$60="Baja",'Mapa final'!$AA$60="Mayor"),CONCATENATE("R9C",'Mapa final'!$O$60),"")</f>
        <v/>
      </c>
      <c r="AE44" s="257" t="str">
        <f>IF(AND('Mapa final'!$Y$61="Baja",'Mapa final'!$AA$61="Mayor"),CONCATENATE("R9C",'Mapa final'!$O$61),"")</f>
        <v/>
      </c>
      <c r="AF44" s="257" t="str">
        <f>IF(AND('Mapa final'!$Y$62="Baja",'Mapa final'!$AA$62="Mayor"),CONCATENATE("R9C",'Mapa final'!$O$62),"")</f>
        <v/>
      </c>
      <c r="AG44" s="258" t="str">
        <f>IF(AND('Mapa final'!$Y$63="Baja",'Mapa final'!$AA$63="Mayor"),CONCATENATE("R9C",'Mapa final'!$O$63),"")</f>
        <v/>
      </c>
      <c r="AH44" s="259" t="str">
        <f>IF(AND('Mapa final'!$Y$58="Baja",'Mapa final'!$AA$58="Catastrófico"),CONCATENATE("R9C",'Mapa final'!$O$58),"")</f>
        <v/>
      </c>
      <c r="AI44" s="260" t="str">
        <f>IF(AND('Mapa final'!$Y$59="Baja",'Mapa final'!$AA$59="Catastrófico"),CONCATENATE("R9C",'Mapa final'!$O$59),"")</f>
        <v/>
      </c>
      <c r="AJ44" s="260" t="str">
        <f>IF(AND('Mapa final'!$Y$60="Baja",'Mapa final'!$AA$60="Catastrófico"),CONCATENATE("R9C",'Mapa final'!$O$60),"")</f>
        <v/>
      </c>
      <c r="AK44" s="260" t="str">
        <f>IF(AND('Mapa final'!$Y$61="Baja",'Mapa final'!$AA$61="Catastrófico"),CONCATENATE("R9C",'Mapa final'!$O$61),"")</f>
        <v/>
      </c>
      <c r="AL44" s="260" t="str">
        <f>IF(AND('Mapa final'!$Y$62="Baja",'Mapa final'!$AA$62="Catastrófico"),CONCATENATE("R9C",'Mapa final'!$O$62),"")</f>
        <v/>
      </c>
      <c r="AM44" s="261" t="str">
        <f>IF(AND('Mapa final'!$Y$63="Baja",'Mapa final'!$AA$63="Catastrófico"),CONCATENATE("R9C",'Mapa final'!$O$63),"")</f>
        <v/>
      </c>
      <c r="AN44" s="15"/>
      <c r="AO44" s="704"/>
      <c r="AP44" s="705"/>
      <c r="AQ44" s="705"/>
      <c r="AR44" s="705"/>
      <c r="AS44" s="705"/>
      <c r="AT44" s="70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78"/>
      <c r="C45" s="578"/>
      <c r="D45" s="579"/>
      <c r="E45" s="670"/>
      <c r="F45" s="671"/>
      <c r="G45" s="671"/>
      <c r="H45" s="671"/>
      <c r="I45" s="671"/>
      <c r="J45" s="283" t="str">
        <f>IF(AND('Mapa final'!$Y$64="Baja",'Mapa final'!$AA$64="Leve"),CONCATENATE("R10C",'Mapa final'!$O$64),"")</f>
        <v/>
      </c>
      <c r="K45" s="284" t="str">
        <f>IF(AND('Mapa final'!$Y$65="Baja",'Mapa final'!$AA$65="Leve"),CONCATENATE("R10C",'Mapa final'!$O$65),"")</f>
        <v/>
      </c>
      <c r="L45" s="284" t="str">
        <f>IF(AND('Mapa final'!$Y$66="Baja",'Mapa final'!$AA$66="Leve"),CONCATENATE("R10C",'Mapa final'!$O$66),"")</f>
        <v/>
      </c>
      <c r="M45" s="284" t="str">
        <f>IF(AND('Mapa final'!$Y$67="Baja",'Mapa final'!$AA$67="Leve"),CONCATENATE("R10C",'Mapa final'!$O$67),"")</f>
        <v/>
      </c>
      <c r="N45" s="284" t="str">
        <f>IF(AND('Mapa final'!$Y$68="Baja",'Mapa final'!$AA$68="Leve"),CONCATENATE("R10C",'Mapa final'!$O$68),"")</f>
        <v/>
      </c>
      <c r="O45" s="285" t="str">
        <f>IF(AND('Mapa final'!$Y$69="Baja",'Mapa final'!$AA$69="Leve"),CONCATENATE("R10C",'Mapa final'!$O$69),"")</f>
        <v/>
      </c>
      <c r="P45" s="271" t="str">
        <f>IF(AND('Mapa final'!$Y$64="Baja",'Mapa final'!$AA$64="Menor"),CONCATENATE("R10C",'Mapa final'!$O$64),"")</f>
        <v/>
      </c>
      <c r="Q45" s="272" t="str">
        <f>IF(AND('Mapa final'!$Y$65="Baja",'Mapa final'!$AA$65="Menor"),CONCATENATE("R10C",'Mapa final'!$O$65),"")</f>
        <v/>
      </c>
      <c r="R45" s="272" t="str">
        <f>IF(AND('Mapa final'!$Y$66="Baja",'Mapa final'!$AA$66="Menor"),CONCATENATE("R10C",'Mapa final'!$O$66),"")</f>
        <v/>
      </c>
      <c r="S45" s="272" t="str">
        <f>IF(AND('Mapa final'!$Y$67="Baja",'Mapa final'!$AA$67="Menor"),CONCATENATE("R10C",'Mapa final'!$O$67),"")</f>
        <v/>
      </c>
      <c r="T45" s="272" t="str">
        <f>IF(AND('Mapa final'!$Y$68="Baja",'Mapa final'!$AA$68="Menor"),CONCATENATE("R10C",'Mapa final'!$O$68),"")</f>
        <v/>
      </c>
      <c r="U45" s="273" t="str">
        <f>IF(AND('Mapa final'!$Y$69="Baja",'Mapa final'!$AA$69="Menor"),CONCATENATE("R10C",'Mapa final'!$O$69),"")</f>
        <v/>
      </c>
      <c r="V45" s="274" t="str">
        <f>IF(AND('Mapa final'!$Y$64="Baja",'Mapa final'!$AA$64="Moderado"),CONCATENATE("R10C",'Mapa final'!$O$64),"")</f>
        <v/>
      </c>
      <c r="W45" s="275" t="str">
        <f>IF(AND('Mapa final'!$Y$65="Baja",'Mapa final'!$AA$65="Moderado"),CONCATENATE("R10C",'Mapa final'!$O$65),"")</f>
        <v/>
      </c>
      <c r="X45" s="275" t="str">
        <f>IF(AND('Mapa final'!$Y$66="Baja",'Mapa final'!$AA$66="Moderado"),CONCATENATE("R10C",'Mapa final'!$O$66),"")</f>
        <v/>
      </c>
      <c r="Y45" s="275" t="str">
        <f>IF(AND('Mapa final'!$Y$67="Baja",'Mapa final'!$AA$67="Moderado"),CONCATENATE("R10C",'Mapa final'!$O$67),"")</f>
        <v/>
      </c>
      <c r="Z45" s="275" t="str">
        <f>IF(AND('Mapa final'!$Y$68="Baja",'Mapa final'!$AA$68="Moderado"),CONCATENATE("R10C",'Mapa final'!$O$68),"")</f>
        <v/>
      </c>
      <c r="AA45" s="276" t="str">
        <f>IF(AND('Mapa final'!$Y$69="Baja",'Mapa final'!$AA$69="Moderado"),CONCATENATE("R10C",'Mapa final'!$O$69),"")</f>
        <v/>
      </c>
      <c r="AB45" s="262" t="str">
        <f>IF(AND('Mapa final'!$Y$64="Baja",'Mapa final'!$AA$64="Mayor"),CONCATENATE("R10C",'Mapa final'!$O$64),"")</f>
        <v/>
      </c>
      <c r="AC45" s="263" t="str">
        <f>IF(AND('Mapa final'!$Y$65="Baja",'Mapa final'!$AA$65="Mayor"),CONCATENATE("R10C",'Mapa final'!$O$65),"")</f>
        <v/>
      </c>
      <c r="AD45" s="263" t="str">
        <f>IF(AND('Mapa final'!$Y$66="Baja",'Mapa final'!$AA$66="Mayor"),CONCATENATE("R10C",'Mapa final'!$O$66),"")</f>
        <v/>
      </c>
      <c r="AE45" s="263" t="str">
        <f>IF(AND('Mapa final'!$Y$67="Baja",'Mapa final'!$AA$67="Mayor"),CONCATENATE("R10C",'Mapa final'!$O$67),"")</f>
        <v/>
      </c>
      <c r="AF45" s="263" t="str">
        <f>IF(AND('Mapa final'!$Y$68="Baja",'Mapa final'!$AA$68="Mayor"),CONCATENATE("R10C",'Mapa final'!$O$68),"")</f>
        <v/>
      </c>
      <c r="AG45" s="264" t="str">
        <f>IF(AND('Mapa final'!$Y$69="Baja",'Mapa final'!$AA$69="Mayor"),CONCATENATE("R10C",'Mapa final'!$O$69),"")</f>
        <v/>
      </c>
      <c r="AH45" s="265" t="str">
        <f>IF(AND('Mapa final'!$Y$64="Baja",'Mapa final'!$AA$64="Catastrófico"),CONCATENATE("R10C",'Mapa final'!$O$64),"")</f>
        <v/>
      </c>
      <c r="AI45" s="266" t="str">
        <f>IF(AND('Mapa final'!$Y$65="Baja",'Mapa final'!$AA$65="Catastrófico"),CONCATENATE("R10C",'Mapa final'!$O$65),"")</f>
        <v/>
      </c>
      <c r="AJ45" s="266" t="str">
        <f>IF(AND('Mapa final'!$Y$66="Baja",'Mapa final'!$AA$66="Catastrófico"),CONCATENATE("R10C",'Mapa final'!$O$66),"")</f>
        <v/>
      </c>
      <c r="AK45" s="266" t="str">
        <f>IF(AND('Mapa final'!$Y$67="Baja",'Mapa final'!$AA$67="Catastrófico"),CONCATENATE("R10C",'Mapa final'!$O$67),"")</f>
        <v/>
      </c>
      <c r="AL45" s="266" t="str">
        <f>IF(AND('Mapa final'!$Y$68="Baja",'Mapa final'!$AA$68="Catastrófico"),CONCATENATE("R10C",'Mapa final'!$O$68),"")</f>
        <v/>
      </c>
      <c r="AM45" s="267" t="str">
        <f>IF(AND('Mapa final'!$Y$69="Baja",'Mapa final'!$AA$69="Catastrófico"),CONCATENATE("R10C",'Mapa final'!$O$69),"")</f>
        <v/>
      </c>
      <c r="AN45" s="15"/>
      <c r="AO45" s="707"/>
      <c r="AP45" s="708"/>
      <c r="AQ45" s="708"/>
      <c r="AR45" s="708"/>
      <c r="AS45" s="708"/>
      <c r="AT45" s="709"/>
    </row>
    <row r="46" spans="1:80" ht="46.5" customHeight="1" x14ac:dyDescent="0.35">
      <c r="A46" s="15"/>
      <c r="B46" s="578"/>
      <c r="C46" s="578"/>
      <c r="D46" s="579"/>
      <c r="E46" s="664" t="s">
        <v>1061</v>
      </c>
      <c r="F46" s="665"/>
      <c r="G46" s="665"/>
      <c r="H46" s="665"/>
      <c r="I46" s="666"/>
      <c r="J46" s="277" t="str">
        <f>IF(AND('Mapa final'!$Y$10="Muy Baja",'Mapa final'!$AA$10="Leve"),CONCATENATE("R1C",'Mapa final'!$O$10),"")</f>
        <v/>
      </c>
      <c r="K46" s="278" t="str">
        <f>IF(AND('Mapa final'!$Y$11="Muy Baja",'Mapa final'!$AA$11="Leve"),CONCATENATE("R1C",'Mapa final'!$O$11),"")</f>
        <v/>
      </c>
      <c r="L46" s="278" t="str">
        <f>IF(AND('Mapa final'!$Y$12="Muy Baja",'Mapa final'!$AA$12="Leve"),CONCATENATE("R1C",'Mapa final'!$O$12),"")</f>
        <v>R1C3</v>
      </c>
      <c r="M46" s="278" t="str">
        <f>IF(AND('Mapa final'!$Y$13="Muy Baja",'Mapa final'!$AA$13="Leve"),CONCATENATE("R1C",'Mapa final'!$O$13),"")</f>
        <v/>
      </c>
      <c r="N46" s="278" t="str">
        <f>IF(AND('Mapa final'!$Y$14="Muy Baja",'Mapa final'!$AA$14="Leve"),CONCATENATE("R1C",'Mapa final'!$O$14),"")</f>
        <v/>
      </c>
      <c r="O46" s="279" t="str">
        <f>IF(AND('Mapa final'!$Y$15="Muy Baja",'Mapa final'!$AA$15="Leve"),CONCATENATE("R1C",'Mapa final'!$O$15),"")</f>
        <v/>
      </c>
      <c r="P46" s="277" t="str">
        <f>IF(AND('Mapa final'!$Y$10="Muy Baja",'Mapa final'!$AA$10="Menor"),CONCATENATE("R1C",'Mapa final'!$O$10),"")</f>
        <v/>
      </c>
      <c r="Q46" s="278" t="str">
        <f>IF(AND('Mapa final'!$Y$11="Muy Baja",'Mapa final'!$AA$11="Menor"),CONCATENATE("R1C",'Mapa final'!$O$11),"")</f>
        <v/>
      </c>
      <c r="R46" s="278" t="str">
        <f>IF(AND('Mapa final'!$Y$12="Muy Baja",'Mapa final'!$AA$12="Menor"),CONCATENATE("R1C",'Mapa final'!$O$12),"")</f>
        <v/>
      </c>
      <c r="S46" s="278" t="str">
        <f>IF(AND('Mapa final'!$Y$13="Muy Baja",'Mapa final'!$AA$13="Menor"),CONCATENATE("R1C",'Mapa final'!$O$13),"")</f>
        <v/>
      </c>
      <c r="T46" s="278" t="str">
        <f>IF(AND('Mapa final'!$Y$14="Muy Baja",'Mapa final'!$AA$14="Menor"),CONCATENATE("R1C",'Mapa final'!$O$14),"")</f>
        <v/>
      </c>
      <c r="U46" s="279" t="str">
        <f>IF(AND('Mapa final'!$Y$15="Muy Baja",'Mapa final'!$AA$15="Menor"),CONCATENATE("R1C",'Mapa final'!$O$15),"")</f>
        <v/>
      </c>
      <c r="V46" s="268" t="str">
        <f>IF(AND('Mapa final'!$Y$10="Muy Baja",'Mapa final'!$AA$10="Moderado"),CONCATENATE("R1C",'Mapa final'!$O$10),"")</f>
        <v/>
      </c>
      <c r="W46" s="286" t="str">
        <f>IF(AND('Mapa final'!$Y$11="Muy Baja",'Mapa final'!$AA$11="Moderado"),CONCATENATE("R1C",'Mapa final'!$O$11),"")</f>
        <v/>
      </c>
      <c r="X46" s="269" t="str">
        <f>IF(AND('Mapa final'!$Y$12="Muy Baja",'Mapa final'!$AA$12="Moderado"),CONCATENATE("R1C",'Mapa final'!$O$12),"")</f>
        <v/>
      </c>
      <c r="Y46" s="269" t="str">
        <f>IF(AND('Mapa final'!$Y$13="Muy Baja",'Mapa final'!$AA$13="Moderado"),CONCATENATE("R1C",'Mapa final'!$O$13),"")</f>
        <v/>
      </c>
      <c r="Z46" s="269" t="str">
        <f>IF(AND('Mapa final'!$Y$14="Muy Baja",'Mapa final'!$AA$14="Moderado"),CONCATENATE("R1C",'Mapa final'!$O$14),"")</f>
        <v/>
      </c>
      <c r="AA46" s="270" t="str">
        <f>IF(AND('Mapa final'!$Y$15="Muy Baja",'Mapa final'!$AA$15="Moderado"),CONCATENATE("R1C",'Mapa final'!$O$15),"")</f>
        <v/>
      </c>
      <c r="AB46" s="250" t="str">
        <f>IF(AND('Mapa final'!$Y$10="Muy Baja",'Mapa final'!$AA$10="Mayor"),CONCATENATE("R1C",'Mapa final'!$O$10),"")</f>
        <v/>
      </c>
      <c r="AC46" s="251" t="str">
        <f>IF(AND('Mapa final'!$Y$11="Muy Baja",'Mapa final'!$AA$11="Mayor"),CONCATENATE("R1C",'Mapa final'!$O$11),"")</f>
        <v/>
      </c>
      <c r="AD46" s="251" t="str">
        <f>IF(AND('Mapa final'!$Y$12="Muy Baja",'Mapa final'!$AA$12="Mayor"),CONCATENATE("R1C",'Mapa final'!$O$12),"")</f>
        <v/>
      </c>
      <c r="AE46" s="251" t="str">
        <f>IF(AND('Mapa final'!$Y$13="Muy Baja",'Mapa final'!$AA$13="Mayor"),CONCATENATE("R1C",'Mapa final'!$O$13),"")</f>
        <v/>
      </c>
      <c r="AF46" s="251" t="str">
        <f>IF(AND('Mapa final'!$Y$14="Muy Baja",'Mapa final'!$AA$14="Mayor"),CONCATENATE("R1C",'Mapa final'!$O$14),"")</f>
        <v/>
      </c>
      <c r="AG46" s="252" t="str">
        <f>IF(AND('Mapa final'!$Y$15="Muy Baja",'Mapa final'!$AA$15="Mayor"),CONCATENATE("R1C",'Mapa final'!$O$15),"")</f>
        <v/>
      </c>
      <c r="AH46" s="253" t="str">
        <f>IF(AND('Mapa final'!$Y$10="Muy Baja",'Mapa final'!$AA$10="Catastrófico"),CONCATENATE("R1C",'Mapa final'!$O$10),"")</f>
        <v/>
      </c>
      <c r="AI46" s="254" t="str">
        <f>IF(AND('Mapa final'!$Y$11="Muy Baja",'Mapa final'!$AA$11="Catastrófico"),CONCATENATE("R1C",'Mapa final'!$O$11),"")</f>
        <v/>
      </c>
      <c r="AJ46" s="254" t="str">
        <f>IF(AND('Mapa final'!$Y$12="Muy Baja",'Mapa final'!$AA$12="Catastrófico"),CONCATENATE("R1C",'Mapa final'!$O$12),"")</f>
        <v/>
      </c>
      <c r="AK46" s="254" t="str">
        <f>IF(AND('Mapa final'!$Y$13="Muy Baja",'Mapa final'!$AA$13="Catastrófico"),CONCATENATE("R1C",'Mapa final'!$O$13),"")</f>
        <v/>
      </c>
      <c r="AL46" s="254" t="str">
        <f>IF(AND('Mapa final'!$Y$14="Muy Baja",'Mapa final'!$AA$14="Catastrófico"),CONCATENATE("R1C",'Mapa final'!$O$14),"")</f>
        <v/>
      </c>
      <c r="AM46" s="25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78"/>
      <c r="C47" s="578"/>
      <c r="D47" s="579"/>
      <c r="E47" s="682"/>
      <c r="F47" s="668"/>
      <c r="G47" s="668"/>
      <c r="H47" s="668"/>
      <c r="I47" s="669"/>
      <c r="J47" s="280" t="str">
        <f>IF(AND('Mapa final'!$Y$16="Muy Baja",'Mapa final'!$AA$16="Leve"),CONCATENATE("R2C",'Mapa final'!$O$16),"")</f>
        <v/>
      </c>
      <c r="K47" s="281" t="str">
        <f>IF(AND('Mapa final'!$Y$17="Muy Baja",'Mapa final'!$AA$17="Leve"),CONCATENATE("R2C",'Mapa final'!$O$17),"")</f>
        <v>R2C2</v>
      </c>
      <c r="L47" s="281" t="str">
        <f>IF(AND('Mapa final'!$Y$18="Muy Baja",'Mapa final'!$AA$18="Leve"),CONCATENATE("R2C",'Mapa final'!$O$18),"")</f>
        <v>R2C3</v>
      </c>
      <c r="M47" s="281" t="str">
        <f>IF(AND('Mapa final'!$Y$19="Muy Baja",'Mapa final'!$AA$19="Leve"),CONCATENATE("R2C",'Mapa final'!$O$19),"")</f>
        <v/>
      </c>
      <c r="N47" s="281" t="str">
        <f>IF(AND('Mapa final'!$Y$20="Muy Baja",'Mapa final'!$AA$20="Leve"),CONCATENATE("R2C",'Mapa final'!$O$20),"")</f>
        <v/>
      </c>
      <c r="O47" s="282" t="str">
        <f>IF(AND('Mapa final'!$Y$21="Muy Baja",'Mapa final'!$AA$21="Leve"),CONCATENATE("R2C",'Mapa final'!$O$21),"")</f>
        <v/>
      </c>
      <c r="P47" s="280" t="str">
        <f>IF(AND('Mapa final'!$Y$16="Muy Baja",'Mapa final'!$AA$16="Menor"),CONCATENATE("R2C",'Mapa final'!$O$16),"")</f>
        <v/>
      </c>
      <c r="Q47" s="281" t="str">
        <f>IF(AND('Mapa final'!$Y$17="Muy Baja",'Mapa final'!$AA$17="Menor"),CONCATENATE("R2C",'Mapa final'!$O$17),"")</f>
        <v/>
      </c>
      <c r="R47" s="281" t="str">
        <f>IF(AND('Mapa final'!$Y$18="Muy Baja",'Mapa final'!$AA$18="Menor"),CONCATENATE("R2C",'Mapa final'!$O$18),"")</f>
        <v/>
      </c>
      <c r="S47" s="281" t="str">
        <f>IF(AND('Mapa final'!$Y$19="Muy Baja",'Mapa final'!$AA$19="Menor"),CONCATENATE("R2C",'Mapa final'!$O$19),"")</f>
        <v/>
      </c>
      <c r="T47" s="281" t="str">
        <f>IF(AND('Mapa final'!$Y$20="Muy Baja",'Mapa final'!$AA$20="Menor"),CONCATENATE("R2C",'Mapa final'!$O$20),"")</f>
        <v/>
      </c>
      <c r="U47" s="282" t="str">
        <f>IF(AND('Mapa final'!$Y$21="Muy Baja",'Mapa final'!$AA$21="Menor"),CONCATENATE("R2C",'Mapa final'!$O$21),"")</f>
        <v/>
      </c>
      <c r="V47" s="271" t="str">
        <f>IF(AND('Mapa final'!$Y$16="Muy Baja",'Mapa final'!$AA$16="Moderado"),CONCATENATE("R2C",'Mapa final'!$O$16),"")</f>
        <v/>
      </c>
      <c r="W47" s="272" t="str">
        <f>IF(AND('Mapa final'!$Y$17="Muy Baja",'Mapa final'!$AA$17="Moderado"),CONCATENATE("R2C",'Mapa final'!$O$17),"")</f>
        <v/>
      </c>
      <c r="X47" s="272" t="str">
        <f>IF(AND('Mapa final'!$Y$18="Muy Baja",'Mapa final'!$AA$18="Moderado"),CONCATENATE("R2C",'Mapa final'!$O$18),"")</f>
        <v/>
      </c>
      <c r="Y47" s="272" t="str">
        <f>IF(AND('Mapa final'!$Y$19="Muy Baja",'Mapa final'!$AA$19="Moderado"),CONCATENATE("R2C",'Mapa final'!$O$19),"")</f>
        <v/>
      </c>
      <c r="Z47" s="272" t="str">
        <f>IF(AND('Mapa final'!$Y$20="Muy Baja",'Mapa final'!$AA$20="Moderado"),CONCATENATE("R2C",'Mapa final'!$O$20),"")</f>
        <v/>
      </c>
      <c r="AA47" s="273" t="str">
        <f>IF(AND('Mapa final'!$Y$21="Muy Baja",'Mapa final'!$AA$21="Moderado"),CONCATENATE("R2C",'Mapa final'!$O$21),"")</f>
        <v/>
      </c>
      <c r="AB47" s="256" t="str">
        <f>IF(AND('Mapa final'!$Y$16="Muy Baja",'Mapa final'!$AA$16="Mayor"),CONCATENATE("R2C",'Mapa final'!$O$16),"")</f>
        <v/>
      </c>
      <c r="AC47" s="257" t="str">
        <f>IF(AND('Mapa final'!$Y$17="Muy Baja",'Mapa final'!$AA$17="Mayor"),CONCATENATE("R2C",'Mapa final'!$O$17),"")</f>
        <v/>
      </c>
      <c r="AD47" s="257" t="str">
        <f>IF(AND('Mapa final'!$Y$18="Muy Baja",'Mapa final'!$AA$18="Mayor"),CONCATENATE("R2C",'Mapa final'!$O$18),"")</f>
        <v/>
      </c>
      <c r="AE47" s="257" t="str">
        <f>IF(AND('Mapa final'!$Y$19="Muy Baja",'Mapa final'!$AA$19="Mayor"),CONCATENATE("R2C",'Mapa final'!$O$19),"")</f>
        <v/>
      </c>
      <c r="AF47" s="257" t="str">
        <f>IF(AND('Mapa final'!$Y$20="Muy Baja",'Mapa final'!$AA$20="Mayor"),CONCATENATE("R2C",'Mapa final'!$O$20),"")</f>
        <v/>
      </c>
      <c r="AG47" s="258" t="str">
        <f>IF(AND('Mapa final'!$Y$21="Muy Baja",'Mapa final'!$AA$21="Mayor"),CONCATENATE("R2C",'Mapa final'!$O$21),"")</f>
        <v/>
      </c>
      <c r="AH47" s="259" t="str">
        <f>IF(AND('Mapa final'!$Y$16="Muy Baja",'Mapa final'!$AA$16="Catastrófico"),CONCATENATE("R2C",'Mapa final'!$O$16),"")</f>
        <v/>
      </c>
      <c r="AI47" s="260" t="str">
        <f>IF(AND('Mapa final'!$Y$17="Muy Baja",'Mapa final'!$AA$17="Catastrófico"),CONCATENATE("R2C",'Mapa final'!$O$17),"")</f>
        <v/>
      </c>
      <c r="AJ47" s="260" t="str">
        <f>IF(AND('Mapa final'!$Y$18="Muy Baja",'Mapa final'!$AA$18="Catastrófico"),CONCATENATE("R2C",'Mapa final'!$O$18),"")</f>
        <v/>
      </c>
      <c r="AK47" s="260" t="str">
        <f>IF(AND('Mapa final'!$Y$19="Muy Baja",'Mapa final'!$AA$19="Catastrófico"),CONCATENATE("R2C",'Mapa final'!$O$19),"")</f>
        <v/>
      </c>
      <c r="AL47" s="260" t="str">
        <f>IF(AND('Mapa final'!$Y$20="Muy Baja",'Mapa final'!$AA$20="Catastrófico"),CONCATENATE("R2C",'Mapa final'!$O$20),"")</f>
        <v/>
      </c>
      <c r="AM47" s="26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78"/>
      <c r="C48" s="578"/>
      <c r="D48" s="579"/>
      <c r="E48" s="682"/>
      <c r="F48" s="668"/>
      <c r="G48" s="668"/>
      <c r="H48" s="668"/>
      <c r="I48" s="669"/>
      <c r="J48" s="280" t="str">
        <f>IF(AND('Mapa final'!$Y$22="Muy Baja",'Mapa final'!$AA$22="Leve"),CONCATENATE("R3C",'Mapa final'!$O$22),"")</f>
        <v>R3C1</v>
      </c>
      <c r="K48" s="281" t="str">
        <f>IF(AND('Mapa final'!$Y$23="Muy Baja",'Mapa final'!$AA$23="Leve"),CONCATENATE("R3C",'Mapa final'!$O$23),"")</f>
        <v>R3C2</v>
      </c>
      <c r="L48" s="281" t="str">
        <f>IF(AND('Mapa final'!$Y$24="Muy Baja",'Mapa final'!$AA$24="Leve"),CONCATENATE("R3C",'Mapa final'!$O$24),"")</f>
        <v/>
      </c>
      <c r="M48" s="281" t="str">
        <f>IF(AND('Mapa final'!$Y$25="Muy Baja",'Mapa final'!$AA$25="Leve"),CONCATENATE("R3C",'Mapa final'!$O$25),"")</f>
        <v/>
      </c>
      <c r="N48" s="281" t="str">
        <f>IF(AND('Mapa final'!$Y$26="Muy Baja",'Mapa final'!$AA$26="Leve"),CONCATENATE("R3C",'Mapa final'!$O$26),"")</f>
        <v/>
      </c>
      <c r="O48" s="282" t="str">
        <f>IF(AND('Mapa final'!$Y$27="Muy Baja",'Mapa final'!$AA$27="Leve"),CONCATENATE("R3C",'Mapa final'!$O$27),"")</f>
        <v/>
      </c>
      <c r="P48" s="280" t="str">
        <f>IF(AND('Mapa final'!$Y$22="Muy Baja",'Mapa final'!$AA$22="Menor"),CONCATENATE("R3C",'Mapa final'!$O$22),"")</f>
        <v/>
      </c>
      <c r="Q48" s="281" t="str">
        <f>IF(AND('Mapa final'!$Y$23="Muy Baja",'Mapa final'!$AA$23="Menor"),CONCATENATE("R3C",'Mapa final'!$O$23),"")</f>
        <v/>
      </c>
      <c r="R48" s="281" t="str">
        <f>IF(AND('Mapa final'!$Y$24="Muy Baja",'Mapa final'!$AA$24="Menor"),CONCATENATE("R3C",'Mapa final'!$O$24),"")</f>
        <v/>
      </c>
      <c r="S48" s="281" t="str">
        <f>IF(AND('Mapa final'!$Y$25="Muy Baja",'Mapa final'!$AA$25="Menor"),CONCATENATE("R3C",'Mapa final'!$O$25),"")</f>
        <v/>
      </c>
      <c r="T48" s="281" t="str">
        <f>IF(AND('Mapa final'!$Y$26="Muy Baja",'Mapa final'!$AA$26="Menor"),CONCATENATE("R3C",'Mapa final'!$O$26),"")</f>
        <v/>
      </c>
      <c r="U48" s="282" t="str">
        <f>IF(AND('Mapa final'!$Y$27="Muy Baja",'Mapa final'!$AA$27="Menor"),CONCATENATE("R3C",'Mapa final'!$O$27),"")</f>
        <v/>
      </c>
      <c r="V48" s="271" t="str">
        <f>IF(AND('Mapa final'!$Y$22="Muy Baja",'Mapa final'!$AA$22="Moderado"),CONCATENATE("R3C",'Mapa final'!$O$22),"")</f>
        <v/>
      </c>
      <c r="W48" s="272" t="str">
        <f>IF(AND('Mapa final'!$Y$23="Muy Baja",'Mapa final'!$AA$23="Moderado"),CONCATENATE("R3C",'Mapa final'!$O$23),"")</f>
        <v/>
      </c>
      <c r="X48" s="272" t="str">
        <f>IF(AND('Mapa final'!$Y$24="Muy Baja",'Mapa final'!$AA$24="Moderado"),CONCATENATE("R3C",'Mapa final'!$O$24),"")</f>
        <v/>
      </c>
      <c r="Y48" s="272" t="str">
        <f>IF(AND('Mapa final'!$Y$25="Muy Baja",'Mapa final'!$AA$25="Moderado"),CONCATENATE("R3C",'Mapa final'!$O$25),"")</f>
        <v/>
      </c>
      <c r="Z48" s="272" t="str">
        <f>IF(AND('Mapa final'!$Y$26="Muy Baja",'Mapa final'!$AA$26="Moderado"),CONCATENATE("R3C",'Mapa final'!$O$26),"")</f>
        <v/>
      </c>
      <c r="AA48" s="273" t="str">
        <f>IF(AND('Mapa final'!$Y$27="Muy Baja",'Mapa final'!$AA$27="Moderado"),CONCATENATE("R3C",'Mapa final'!$O$27),"")</f>
        <v/>
      </c>
      <c r="AB48" s="256" t="str">
        <f>IF(AND('Mapa final'!$Y$22="Muy Baja",'Mapa final'!$AA$22="Mayor"),CONCATENATE("R3C",'Mapa final'!$O$22),"")</f>
        <v/>
      </c>
      <c r="AC48" s="257" t="str">
        <f>IF(AND('Mapa final'!$Y$23="Muy Baja",'Mapa final'!$AA$23="Mayor"),CONCATENATE("R3C",'Mapa final'!$O$23),"")</f>
        <v/>
      </c>
      <c r="AD48" s="257" t="str">
        <f>IF(AND('Mapa final'!$Y$24="Muy Baja",'Mapa final'!$AA$24="Mayor"),CONCATENATE("R3C",'Mapa final'!$O$24),"")</f>
        <v/>
      </c>
      <c r="AE48" s="257" t="str">
        <f>IF(AND('Mapa final'!$Y$25="Muy Baja",'Mapa final'!$AA$25="Mayor"),CONCATENATE("R3C",'Mapa final'!$O$25),"")</f>
        <v/>
      </c>
      <c r="AF48" s="257" t="str">
        <f>IF(AND('Mapa final'!$Y$26="Muy Baja",'Mapa final'!$AA$26="Mayor"),CONCATENATE("R3C",'Mapa final'!$O$26),"")</f>
        <v/>
      </c>
      <c r="AG48" s="258" t="str">
        <f>IF(AND('Mapa final'!$Y$27="Muy Baja",'Mapa final'!$AA$27="Mayor"),CONCATENATE("R3C",'Mapa final'!$O$27),"")</f>
        <v/>
      </c>
      <c r="AH48" s="259" t="str">
        <f>IF(AND('Mapa final'!$Y$22="Muy Baja",'Mapa final'!$AA$22="Catastrófico"),CONCATENATE("R3C",'Mapa final'!$O$22),"")</f>
        <v/>
      </c>
      <c r="AI48" s="260" t="str">
        <f>IF(AND('Mapa final'!$Y$23="Muy Baja",'Mapa final'!$AA$23="Catastrófico"),CONCATENATE("R3C",'Mapa final'!$O$23),"")</f>
        <v/>
      </c>
      <c r="AJ48" s="260" t="str">
        <f>IF(AND('Mapa final'!$Y$24="Muy Baja",'Mapa final'!$AA$24="Catastrófico"),CONCATENATE("R3C",'Mapa final'!$O$24),"")</f>
        <v/>
      </c>
      <c r="AK48" s="260" t="str">
        <f>IF(AND('Mapa final'!$Y$25="Muy Baja",'Mapa final'!$AA$25="Catastrófico"),CONCATENATE("R3C",'Mapa final'!$O$25),"")</f>
        <v/>
      </c>
      <c r="AL48" s="260" t="str">
        <f>IF(AND('Mapa final'!$Y$26="Muy Baja",'Mapa final'!$AA$26="Catastrófico"),CONCATENATE("R3C",'Mapa final'!$O$26),"")</f>
        <v/>
      </c>
      <c r="AM48" s="26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78"/>
      <c r="C49" s="578"/>
      <c r="D49" s="579"/>
      <c r="E49" s="667"/>
      <c r="F49" s="668"/>
      <c r="G49" s="668"/>
      <c r="H49" s="668"/>
      <c r="I49" s="669"/>
      <c r="J49" s="280" t="str">
        <f>IF(AND('Mapa final'!$Y$28="Muy Baja",'Mapa final'!$AA$28="Leve"),CONCATENATE("R4C",'Mapa final'!$O$28),"")</f>
        <v/>
      </c>
      <c r="K49" s="281" t="str">
        <f>IF(AND('Mapa final'!$Y$29="Muy Baja",'Mapa final'!$AA$29="Leve"),CONCATENATE("R4C",'Mapa final'!$O$29),"")</f>
        <v>R4C2</v>
      </c>
      <c r="L49" s="281" t="str">
        <f>IF(AND('Mapa final'!$Y$30="Muy Baja",'Mapa final'!$AA$30="Leve"),CONCATENATE("R4C",'Mapa final'!$O$30),"")</f>
        <v/>
      </c>
      <c r="M49" s="281" t="str">
        <f>IF(AND('Mapa final'!$Y$31="Muy Baja",'Mapa final'!$AA$31="Leve"),CONCATENATE("R4C",'Mapa final'!$O$31),"")</f>
        <v/>
      </c>
      <c r="N49" s="281" t="str">
        <f>IF(AND('Mapa final'!$Y$32="Muy Baja",'Mapa final'!$AA$32="Leve"),CONCATENATE("R4C",'Mapa final'!$O$32),"")</f>
        <v/>
      </c>
      <c r="O49" s="282" t="str">
        <f>IF(AND('Mapa final'!$Y$33="Muy Baja",'Mapa final'!$AA$33="Leve"),CONCATENATE("R4C",'Mapa final'!$O$33),"")</f>
        <v/>
      </c>
      <c r="P49" s="280" t="str">
        <f>IF(AND('Mapa final'!$Y$28="Muy Baja",'Mapa final'!$AA$28="Menor"),CONCATENATE("R4C",'Mapa final'!$O$28),"")</f>
        <v/>
      </c>
      <c r="Q49" s="281" t="str">
        <f>IF(AND('Mapa final'!$Y$29="Muy Baja",'Mapa final'!$AA$29="Menor"),CONCATENATE("R4C",'Mapa final'!$O$29),"")</f>
        <v/>
      </c>
      <c r="R49" s="281" t="str">
        <f>IF(AND('Mapa final'!$Y$30="Muy Baja",'Mapa final'!$AA$30="Menor"),CONCATENATE("R4C",'Mapa final'!$O$30),"")</f>
        <v/>
      </c>
      <c r="S49" s="281" t="str">
        <f>IF(AND('Mapa final'!$Y$31="Muy Baja",'Mapa final'!$AA$31="Menor"),CONCATENATE("R4C",'Mapa final'!$O$31),"")</f>
        <v/>
      </c>
      <c r="T49" s="281" t="str">
        <f>IF(AND('Mapa final'!$Y$32="Muy Baja",'Mapa final'!$AA$32="Menor"),CONCATENATE("R4C",'Mapa final'!$O$32),"")</f>
        <v/>
      </c>
      <c r="U49" s="282" t="str">
        <f>IF(AND('Mapa final'!$Y$33="Muy Baja",'Mapa final'!$AA$33="Menor"),CONCATENATE("R4C",'Mapa final'!$O$33),"")</f>
        <v/>
      </c>
      <c r="V49" s="271" t="str">
        <f>IF(AND('Mapa final'!$Y$28="Muy Baja",'Mapa final'!$AA$28="Moderado"),CONCATENATE("R4C",'Mapa final'!$O$28),"")</f>
        <v/>
      </c>
      <c r="W49" s="272" t="str">
        <f>IF(AND('Mapa final'!$Y$29="Muy Baja",'Mapa final'!$AA$29="Moderado"),CONCATENATE("R4C",'Mapa final'!$O$29),"")</f>
        <v/>
      </c>
      <c r="X49" s="272" t="str">
        <f>IF(AND('Mapa final'!$Y$30="Muy Baja",'Mapa final'!$AA$30="Moderado"),CONCATENATE("R4C",'Mapa final'!$O$30),"")</f>
        <v/>
      </c>
      <c r="Y49" s="272" t="str">
        <f>IF(AND('Mapa final'!$Y$31="Muy Baja",'Mapa final'!$AA$31="Moderado"),CONCATENATE("R4C",'Mapa final'!$O$31),"")</f>
        <v/>
      </c>
      <c r="Z49" s="272" t="str">
        <f>IF(AND('Mapa final'!$Y$32="Muy Baja",'Mapa final'!$AA$32="Moderado"),CONCATENATE("R4C",'Mapa final'!$O$32),"")</f>
        <v/>
      </c>
      <c r="AA49" s="273" t="str">
        <f>IF(AND('Mapa final'!$Y$33="Muy Baja",'Mapa final'!$AA$33="Moderado"),CONCATENATE("R4C",'Mapa final'!$O$33),"")</f>
        <v/>
      </c>
      <c r="AB49" s="256" t="str">
        <f>IF(AND('Mapa final'!$Y$28="Muy Baja",'Mapa final'!$AA$28="Mayor"),CONCATENATE("R4C",'Mapa final'!$O$28),"")</f>
        <v/>
      </c>
      <c r="AC49" s="257" t="str">
        <f>IF(AND('Mapa final'!$Y$29="Muy Baja",'Mapa final'!$AA$29="Mayor"),CONCATENATE("R4C",'Mapa final'!$O$29),"")</f>
        <v/>
      </c>
      <c r="AD49" s="257" t="str">
        <f>IF(AND('Mapa final'!$Y$30="Muy Baja",'Mapa final'!$AA$30="Mayor"),CONCATENATE("R4C",'Mapa final'!$O$30),"")</f>
        <v/>
      </c>
      <c r="AE49" s="257" t="str">
        <f>IF(AND('Mapa final'!$Y$31="Muy Baja",'Mapa final'!$AA$31="Mayor"),CONCATENATE("R4C",'Mapa final'!$O$31),"")</f>
        <v/>
      </c>
      <c r="AF49" s="257" t="str">
        <f>IF(AND('Mapa final'!$Y$32="Muy Baja",'Mapa final'!$AA$32="Mayor"),CONCATENATE("R4C",'Mapa final'!$O$32),"")</f>
        <v/>
      </c>
      <c r="AG49" s="258" t="str">
        <f>IF(AND('Mapa final'!$Y$33="Muy Baja",'Mapa final'!$AA$33="Mayor"),CONCATENATE("R4C",'Mapa final'!$O$33),"")</f>
        <v/>
      </c>
      <c r="AH49" s="259" t="str">
        <f>IF(AND('Mapa final'!$Y$28="Muy Baja",'Mapa final'!$AA$28="Catastrófico"),CONCATENATE("R4C",'Mapa final'!$O$28),"")</f>
        <v/>
      </c>
      <c r="AI49" s="260" t="str">
        <f>IF(AND('Mapa final'!$Y$29="Muy Baja",'Mapa final'!$AA$29="Catastrófico"),CONCATENATE("R4C",'Mapa final'!$O$29),"")</f>
        <v/>
      </c>
      <c r="AJ49" s="260" t="str">
        <f>IF(AND('Mapa final'!$Y$30="Muy Baja",'Mapa final'!$AA$30="Catastrófico"),CONCATENATE("R4C",'Mapa final'!$O$30),"")</f>
        <v/>
      </c>
      <c r="AK49" s="260" t="str">
        <f>IF(AND('Mapa final'!$Y$31="Muy Baja",'Mapa final'!$AA$31="Catastrófico"),CONCATENATE("R4C",'Mapa final'!$O$31),"")</f>
        <v/>
      </c>
      <c r="AL49" s="260" t="str">
        <f>IF(AND('Mapa final'!$Y$32="Muy Baja",'Mapa final'!$AA$32="Catastrófico"),CONCATENATE("R4C",'Mapa final'!$O$32),"")</f>
        <v/>
      </c>
      <c r="AM49" s="26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78"/>
      <c r="C50" s="578"/>
      <c r="D50" s="579"/>
      <c r="E50" s="667"/>
      <c r="F50" s="668"/>
      <c r="G50" s="668"/>
      <c r="H50" s="668"/>
      <c r="I50" s="669"/>
      <c r="J50" s="280" t="str">
        <f>IF(AND('Mapa final'!$Y$34="Muy Baja",'Mapa final'!$AA$34="Leve"),CONCATENATE("R5C",'Mapa final'!$O$34),"")</f>
        <v/>
      </c>
      <c r="K50" s="281" t="str">
        <f>IF(AND('Mapa final'!$Y$35="Muy Baja",'Mapa final'!$AA$35="Leve"),CONCATENATE("R5C",'Mapa final'!$O$35),"")</f>
        <v/>
      </c>
      <c r="L50" s="281" t="str">
        <f>IF(AND('Mapa final'!$Y$36="Muy Baja",'Mapa final'!$AA$36="Leve"),CONCATENATE("R5C",'Mapa final'!$O$36),"")</f>
        <v/>
      </c>
      <c r="M50" s="281" t="str">
        <f>IF(AND('Mapa final'!$Y$37="Muy Baja",'Mapa final'!$AA$37="Leve"),CONCATENATE("R5C",'Mapa final'!$O$37),"")</f>
        <v/>
      </c>
      <c r="N50" s="281" t="str">
        <f>IF(AND('Mapa final'!$Y$38="Muy Baja",'Mapa final'!$AA$38="Leve"),CONCATENATE("R5C",'Mapa final'!$O$38),"")</f>
        <v/>
      </c>
      <c r="O50" s="282" t="str">
        <f>IF(AND('Mapa final'!$Y$39="Muy Baja",'Mapa final'!$AA$39="Leve"),CONCATENATE("R5C",'Mapa final'!$O$39),"")</f>
        <v/>
      </c>
      <c r="P50" s="280" t="str">
        <f>IF(AND('Mapa final'!$Y$34="Muy Baja",'Mapa final'!$AA$34="Menor"),CONCATENATE("R5C",'Mapa final'!$O$34),"")</f>
        <v/>
      </c>
      <c r="Q50" s="281" t="str">
        <f>IF(AND('Mapa final'!$Y$35="Muy Baja",'Mapa final'!$AA$35="Menor"),CONCATENATE("R5C",'Mapa final'!$O$35),"")</f>
        <v/>
      </c>
      <c r="R50" s="281" t="str">
        <f>IF(AND('Mapa final'!$Y$36="Muy Baja",'Mapa final'!$AA$36="Menor"),CONCATENATE("R5C",'Mapa final'!$O$36),"")</f>
        <v/>
      </c>
      <c r="S50" s="281" t="str">
        <f>IF(AND('Mapa final'!$Y$37="Muy Baja",'Mapa final'!$AA$37="Menor"),CONCATENATE("R5C",'Mapa final'!$O$37),"")</f>
        <v/>
      </c>
      <c r="T50" s="281" t="str">
        <f>IF(AND('Mapa final'!$Y$38="Muy Baja",'Mapa final'!$AA$38="Menor"),CONCATENATE("R5C",'Mapa final'!$O$38),"")</f>
        <v/>
      </c>
      <c r="U50" s="282" t="str">
        <f>IF(AND('Mapa final'!$Y$39="Muy Baja",'Mapa final'!$AA$39="Menor"),CONCATENATE("R5C",'Mapa final'!$O$39),"")</f>
        <v/>
      </c>
      <c r="V50" s="271" t="str">
        <f>IF(AND('Mapa final'!$Y$34="Muy Baja",'Mapa final'!$AA$34="Moderado"),CONCATENATE("R5C",'Mapa final'!$O$34),"")</f>
        <v/>
      </c>
      <c r="W50" s="272" t="str">
        <f>IF(AND('Mapa final'!$Y$35="Muy Baja",'Mapa final'!$AA$35="Moderado"),CONCATENATE("R5C",'Mapa final'!$O$35),"")</f>
        <v/>
      </c>
      <c r="X50" s="272" t="str">
        <f>IF(AND('Mapa final'!$Y$36="Muy Baja",'Mapa final'!$AA$36="Moderado"),CONCATENATE("R5C",'Mapa final'!$O$36),"")</f>
        <v/>
      </c>
      <c r="Y50" s="272" t="str">
        <f>IF(AND('Mapa final'!$Y$37="Muy Baja",'Mapa final'!$AA$37="Moderado"),CONCATENATE("R5C",'Mapa final'!$O$37),"")</f>
        <v/>
      </c>
      <c r="Z50" s="272" t="str">
        <f>IF(AND('Mapa final'!$Y$38="Muy Baja",'Mapa final'!$AA$38="Moderado"),CONCATENATE("R5C",'Mapa final'!$O$38),"")</f>
        <v/>
      </c>
      <c r="AA50" s="273" t="str">
        <f>IF(AND('Mapa final'!$Y$39="Muy Baja",'Mapa final'!$AA$39="Moderado"),CONCATENATE("R5C",'Mapa final'!$O$39),"")</f>
        <v/>
      </c>
      <c r="AB50" s="256" t="str">
        <f>IF(AND('Mapa final'!$Y$34="Muy Baja",'Mapa final'!$AA$34="Mayor"),CONCATENATE("R5C",'Mapa final'!$O$34),"")</f>
        <v/>
      </c>
      <c r="AC50" s="257" t="str">
        <f>IF(AND('Mapa final'!$Y$35="Muy Baja",'Mapa final'!$AA$35="Mayor"),CONCATENATE("R5C",'Mapa final'!$O$35),"")</f>
        <v/>
      </c>
      <c r="AD50" s="257" t="str">
        <f>IF(AND('Mapa final'!$Y$36="Muy Baja",'Mapa final'!$AA$36="Mayor"),CONCATENATE("R5C",'Mapa final'!$O$36),"")</f>
        <v/>
      </c>
      <c r="AE50" s="257" t="str">
        <f>IF(AND('Mapa final'!$Y$37="Muy Baja",'Mapa final'!$AA$37="Mayor"),CONCATENATE("R5C",'Mapa final'!$O$37),"")</f>
        <v/>
      </c>
      <c r="AF50" s="257" t="str">
        <f>IF(AND('Mapa final'!$Y$38="Muy Baja",'Mapa final'!$AA$38="Mayor"),CONCATENATE("R5C",'Mapa final'!$O$38),"")</f>
        <v/>
      </c>
      <c r="AG50" s="258" t="str">
        <f>IF(AND('Mapa final'!$Y$39="Muy Baja",'Mapa final'!$AA$39="Mayor"),CONCATENATE("R5C",'Mapa final'!$O$39),"")</f>
        <v/>
      </c>
      <c r="AH50" s="259" t="str">
        <f>IF(AND('Mapa final'!$Y$34="Muy Baja",'Mapa final'!$AA$34="Catastrófico"),CONCATENATE("R5C",'Mapa final'!$O$34),"")</f>
        <v/>
      </c>
      <c r="AI50" s="260" t="str">
        <f>IF(AND('Mapa final'!$Y$35="Muy Baja",'Mapa final'!$AA$35="Catastrófico"),CONCATENATE("R5C",'Mapa final'!$O$35),"")</f>
        <v/>
      </c>
      <c r="AJ50" s="260" t="str">
        <f>IF(AND('Mapa final'!$Y$36="Muy Baja",'Mapa final'!$AA$36="Catastrófico"),CONCATENATE("R5C",'Mapa final'!$O$36),"")</f>
        <v/>
      </c>
      <c r="AK50" s="260" t="str">
        <f>IF(AND('Mapa final'!$Y$37="Muy Baja",'Mapa final'!$AA$37="Catastrófico"),CONCATENATE("R5C",'Mapa final'!$O$37),"")</f>
        <v/>
      </c>
      <c r="AL50" s="260" t="str">
        <f>IF(AND('Mapa final'!$Y$38="Muy Baja",'Mapa final'!$AA$38="Catastrófico"),CONCATENATE("R5C",'Mapa final'!$O$38),"")</f>
        <v/>
      </c>
      <c r="AM50" s="26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78"/>
      <c r="C51" s="578"/>
      <c r="D51" s="579"/>
      <c r="E51" s="667"/>
      <c r="F51" s="668"/>
      <c r="G51" s="668"/>
      <c r="H51" s="668"/>
      <c r="I51" s="669"/>
      <c r="J51" s="280" t="str">
        <f>IF(AND('Mapa final'!$Y$40="Muy Baja",'Mapa final'!$AA$40="Leve"),CONCATENATE("R6C",'Mapa final'!$O$40),"")</f>
        <v/>
      </c>
      <c r="K51" s="281" t="str">
        <f>IF(AND('Mapa final'!$Y$41="Muy Baja",'Mapa final'!$AA$41="Leve"),CONCATENATE("R6C",'Mapa final'!$O$41),"")</f>
        <v/>
      </c>
      <c r="L51" s="281" t="str">
        <f>IF(AND('Mapa final'!$Y$42="Muy Baja",'Mapa final'!$AA$42="Leve"),CONCATENATE("R6C",'Mapa final'!$O$42),"")</f>
        <v/>
      </c>
      <c r="M51" s="281" t="str">
        <f>IF(AND('Mapa final'!$Y$43="Muy Baja",'Mapa final'!$AA$43="Leve"),CONCATENATE("R6C",'Mapa final'!$O$43),"")</f>
        <v/>
      </c>
      <c r="N51" s="281" t="str">
        <f>IF(AND('Mapa final'!$Y$44="Muy Baja",'Mapa final'!$AA$44="Leve"),CONCATENATE("R6C",'Mapa final'!$O$44),"")</f>
        <v/>
      </c>
      <c r="O51" s="282" t="str">
        <f>IF(AND('Mapa final'!$Y$45="Muy Baja",'Mapa final'!$AA$45="Leve"),CONCATENATE("R6C",'Mapa final'!$O$45),"")</f>
        <v/>
      </c>
      <c r="P51" s="280" t="str">
        <f>IF(AND('Mapa final'!$Y$40="Muy Baja",'Mapa final'!$AA$40="Menor"),CONCATENATE("R6C",'Mapa final'!$O$40),"")</f>
        <v/>
      </c>
      <c r="Q51" s="281" t="str">
        <f>IF(AND('Mapa final'!$Y$41="Muy Baja",'Mapa final'!$AA$41="Menor"),CONCATENATE("R6C",'Mapa final'!$O$41),"")</f>
        <v/>
      </c>
      <c r="R51" s="281" t="str">
        <f>IF(AND('Mapa final'!$Y$42="Muy Baja",'Mapa final'!$AA$42="Menor"),CONCATENATE("R6C",'Mapa final'!$O$42),"")</f>
        <v/>
      </c>
      <c r="S51" s="281" t="str">
        <f>IF(AND('Mapa final'!$Y$43="Muy Baja",'Mapa final'!$AA$43="Menor"),CONCATENATE("R6C",'Mapa final'!$O$43),"")</f>
        <v/>
      </c>
      <c r="T51" s="281" t="str">
        <f>IF(AND('Mapa final'!$Y$44="Muy Baja",'Mapa final'!$AA$44="Menor"),CONCATENATE("R6C",'Mapa final'!$O$44),"")</f>
        <v/>
      </c>
      <c r="U51" s="282" t="str">
        <f>IF(AND('Mapa final'!$Y$45="Muy Baja",'Mapa final'!$AA$45="Menor"),CONCATENATE("R6C",'Mapa final'!$O$45),"")</f>
        <v/>
      </c>
      <c r="V51" s="271" t="str">
        <f>IF(AND('Mapa final'!$Y$40="Muy Baja",'Mapa final'!$AA$40="Moderado"),CONCATENATE("R6C",'Mapa final'!$O$40),"")</f>
        <v/>
      </c>
      <c r="W51" s="272" t="str">
        <f>IF(AND('Mapa final'!$Y$41="Muy Baja",'Mapa final'!$AA$41="Moderado"),CONCATENATE("R6C",'Mapa final'!$O$41),"")</f>
        <v/>
      </c>
      <c r="X51" s="272" t="str">
        <f>IF(AND('Mapa final'!$Y$42="Muy Baja",'Mapa final'!$AA$42="Moderado"),CONCATENATE("R6C",'Mapa final'!$O$42),"")</f>
        <v/>
      </c>
      <c r="Y51" s="272" t="str">
        <f>IF(AND('Mapa final'!$Y$43="Muy Baja",'Mapa final'!$AA$43="Moderado"),CONCATENATE("R6C",'Mapa final'!$O$43),"")</f>
        <v/>
      </c>
      <c r="Z51" s="272" t="str">
        <f>IF(AND('Mapa final'!$Y$44="Muy Baja",'Mapa final'!$AA$44="Moderado"),CONCATENATE("R6C",'Mapa final'!$O$44),"")</f>
        <v/>
      </c>
      <c r="AA51" s="273" t="str">
        <f>IF(AND('Mapa final'!$Y$45="Muy Baja",'Mapa final'!$AA$45="Moderado"),CONCATENATE("R6C",'Mapa final'!$O$45),"")</f>
        <v/>
      </c>
      <c r="AB51" s="256" t="str">
        <f>IF(AND('Mapa final'!$Y$40="Muy Baja",'Mapa final'!$AA$40="Mayor"),CONCATENATE("R6C",'Mapa final'!$O$40),"")</f>
        <v/>
      </c>
      <c r="AC51" s="257" t="str">
        <f>IF(AND('Mapa final'!$Y$41="Muy Baja",'Mapa final'!$AA$41="Mayor"),CONCATENATE("R6C",'Mapa final'!$O$41),"")</f>
        <v/>
      </c>
      <c r="AD51" s="257" t="str">
        <f>IF(AND('Mapa final'!$Y$42="Muy Baja",'Mapa final'!$AA$42="Mayor"),CONCATENATE("R6C",'Mapa final'!$O$42),"")</f>
        <v/>
      </c>
      <c r="AE51" s="257" t="str">
        <f>IF(AND('Mapa final'!$Y$43="Muy Baja",'Mapa final'!$AA$43="Mayor"),CONCATENATE("R6C",'Mapa final'!$O$43),"")</f>
        <v/>
      </c>
      <c r="AF51" s="257" t="str">
        <f>IF(AND('Mapa final'!$Y$44="Muy Baja",'Mapa final'!$AA$44="Mayor"),CONCATENATE("R6C",'Mapa final'!$O$44),"")</f>
        <v/>
      </c>
      <c r="AG51" s="258" t="str">
        <f>IF(AND('Mapa final'!$Y$45="Muy Baja",'Mapa final'!$AA$45="Mayor"),CONCATENATE("R6C",'Mapa final'!$O$45),"")</f>
        <v/>
      </c>
      <c r="AH51" s="259" t="str">
        <f>IF(AND('Mapa final'!$Y$40="Muy Baja",'Mapa final'!$AA$40="Catastrófico"),CONCATENATE("R6C",'Mapa final'!$O$40),"")</f>
        <v/>
      </c>
      <c r="AI51" s="260" t="str">
        <f>IF(AND('Mapa final'!$Y$41="Muy Baja",'Mapa final'!$AA$41="Catastrófico"),CONCATENATE("R6C",'Mapa final'!$O$41),"")</f>
        <v/>
      </c>
      <c r="AJ51" s="260" t="str">
        <f>IF(AND('Mapa final'!$Y$42="Muy Baja",'Mapa final'!$AA$42="Catastrófico"),CONCATENATE("R6C",'Mapa final'!$O$42),"")</f>
        <v/>
      </c>
      <c r="AK51" s="260" t="str">
        <f>IF(AND('Mapa final'!$Y$43="Muy Baja",'Mapa final'!$AA$43="Catastrófico"),CONCATENATE("R6C",'Mapa final'!$O$43),"")</f>
        <v/>
      </c>
      <c r="AL51" s="260" t="str">
        <f>IF(AND('Mapa final'!$Y$44="Muy Baja",'Mapa final'!$AA$44="Catastrófico"),CONCATENATE("R6C",'Mapa final'!$O$44),"")</f>
        <v/>
      </c>
      <c r="AM51" s="26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78"/>
      <c r="C52" s="578"/>
      <c r="D52" s="579"/>
      <c r="E52" s="667"/>
      <c r="F52" s="668"/>
      <c r="G52" s="668"/>
      <c r="H52" s="668"/>
      <c r="I52" s="669"/>
      <c r="J52" s="280" t="str">
        <f>IF(AND('Mapa final'!$Y$46="Muy Baja",'Mapa final'!$AA$46="Leve"),CONCATENATE("R7C",'Mapa final'!$O$46),"")</f>
        <v/>
      </c>
      <c r="K52" s="281" t="str">
        <f>IF(AND('Mapa final'!$Y$47="Muy Baja",'Mapa final'!$AA$47="Leve"),CONCATENATE("R7C",'Mapa final'!$O$47),"")</f>
        <v/>
      </c>
      <c r="L52" s="281" t="str">
        <f>IF(AND('Mapa final'!$Y$48="Muy Baja",'Mapa final'!$AA$48="Leve"),CONCATENATE("R7C",'Mapa final'!$O$48),"")</f>
        <v/>
      </c>
      <c r="M52" s="281" t="str">
        <f>IF(AND('Mapa final'!$Y$49="Muy Baja",'Mapa final'!$AA$49="Leve"),CONCATENATE("R7C",'Mapa final'!$O$49),"")</f>
        <v/>
      </c>
      <c r="N52" s="281" t="str">
        <f>IF(AND('Mapa final'!$Y$50="Muy Baja",'Mapa final'!$AA$50="Leve"),CONCATENATE("R7C",'Mapa final'!$O$50),"")</f>
        <v/>
      </c>
      <c r="O52" s="282" t="str">
        <f>IF(AND('Mapa final'!$Y$51="Muy Baja",'Mapa final'!$AA$51="Leve"),CONCATENATE("R7C",'Mapa final'!$O$51),"")</f>
        <v/>
      </c>
      <c r="P52" s="280" t="str">
        <f>IF(AND('Mapa final'!$Y$46="Muy Baja",'Mapa final'!$AA$46="Menor"),CONCATENATE("R7C",'Mapa final'!$O$46),"")</f>
        <v/>
      </c>
      <c r="Q52" s="281" t="str">
        <f>IF(AND('Mapa final'!$Y$47="Muy Baja",'Mapa final'!$AA$47="Menor"),CONCATENATE("R7C",'Mapa final'!$O$47),"")</f>
        <v/>
      </c>
      <c r="R52" s="281" t="str">
        <f>IF(AND('Mapa final'!$Y$48="Muy Baja",'Mapa final'!$AA$48="Menor"),CONCATENATE("R7C",'Mapa final'!$O$48),"")</f>
        <v/>
      </c>
      <c r="S52" s="281" t="str">
        <f>IF(AND('Mapa final'!$Y$49="Muy Baja",'Mapa final'!$AA$49="Menor"),CONCATENATE("R7C",'Mapa final'!$O$49),"")</f>
        <v/>
      </c>
      <c r="T52" s="281" t="str">
        <f>IF(AND('Mapa final'!$Y$50="Muy Baja",'Mapa final'!$AA$50="Menor"),CONCATENATE("R7C",'Mapa final'!$O$50),"")</f>
        <v/>
      </c>
      <c r="U52" s="282" t="str">
        <f>IF(AND('Mapa final'!$Y$51="Muy Baja",'Mapa final'!$AA$51="Menor"),CONCATENATE("R7C",'Mapa final'!$O$51),"")</f>
        <v/>
      </c>
      <c r="V52" s="271" t="str">
        <f>IF(AND('Mapa final'!$Y$46="Muy Baja",'Mapa final'!$AA$46="Moderado"),CONCATENATE("R7C",'Mapa final'!$O$46),"")</f>
        <v/>
      </c>
      <c r="W52" s="272" t="str">
        <f>IF(AND('Mapa final'!$Y$47="Muy Baja",'Mapa final'!$AA$47="Moderado"),CONCATENATE("R7C",'Mapa final'!$O$47),"")</f>
        <v/>
      </c>
      <c r="X52" s="272" t="str">
        <f>IF(AND('Mapa final'!$Y$48="Muy Baja",'Mapa final'!$AA$48="Moderado"),CONCATENATE("R7C",'Mapa final'!$O$48),"")</f>
        <v/>
      </c>
      <c r="Y52" s="272" t="str">
        <f>IF(AND('Mapa final'!$Y$49="Muy Baja",'Mapa final'!$AA$49="Moderado"),CONCATENATE("R7C",'Mapa final'!$O$49),"")</f>
        <v/>
      </c>
      <c r="Z52" s="272" t="str">
        <f>IF(AND('Mapa final'!$Y$50="Muy Baja",'Mapa final'!$AA$50="Moderado"),CONCATENATE("R7C",'Mapa final'!$O$50),"")</f>
        <v/>
      </c>
      <c r="AA52" s="273" t="str">
        <f>IF(AND('Mapa final'!$Y$51="Muy Baja",'Mapa final'!$AA$51="Moderado"),CONCATENATE("R7C",'Mapa final'!$O$51),"")</f>
        <v/>
      </c>
      <c r="AB52" s="256" t="str">
        <f>IF(AND('Mapa final'!$Y$46="Muy Baja",'Mapa final'!$AA$46="Mayor"),CONCATENATE("R7C",'Mapa final'!$O$46),"")</f>
        <v/>
      </c>
      <c r="AC52" s="257" t="str">
        <f>IF(AND('Mapa final'!$Y$47="Muy Baja",'Mapa final'!$AA$47="Mayor"),CONCATENATE("R7C",'Mapa final'!$O$47),"")</f>
        <v/>
      </c>
      <c r="AD52" s="257" t="str">
        <f>IF(AND('Mapa final'!$Y$48="Muy Baja",'Mapa final'!$AA$48="Mayor"),CONCATENATE("R7C",'Mapa final'!$O$48),"")</f>
        <v/>
      </c>
      <c r="AE52" s="257" t="str">
        <f>IF(AND('Mapa final'!$Y$49="Muy Baja",'Mapa final'!$AA$49="Mayor"),CONCATENATE("R7C",'Mapa final'!$O$49),"")</f>
        <v/>
      </c>
      <c r="AF52" s="257" t="str">
        <f>IF(AND('Mapa final'!$Y$50="Muy Baja",'Mapa final'!$AA$50="Mayor"),CONCATENATE("R7C",'Mapa final'!$O$50),"")</f>
        <v/>
      </c>
      <c r="AG52" s="258" t="str">
        <f>IF(AND('Mapa final'!$Y$51="Muy Baja",'Mapa final'!$AA$51="Mayor"),CONCATENATE("R7C",'Mapa final'!$O$51),"")</f>
        <v/>
      </c>
      <c r="AH52" s="259" t="str">
        <f>IF(AND('Mapa final'!$Y$46="Muy Baja",'Mapa final'!$AA$46="Catastrófico"),CONCATENATE("R7C",'Mapa final'!$O$46),"")</f>
        <v/>
      </c>
      <c r="AI52" s="260" t="str">
        <f>IF(AND('Mapa final'!$Y$47="Muy Baja",'Mapa final'!$AA$47="Catastrófico"),CONCATENATE("R7C",'Mapa final'!$O$47),"")</f>
        <v/>
      </c>
      <c r="AJ52" s="260" t="str">
        <f>IF(AND('Mapa final'!$Y$48="Muy Baja",'Mapa final'!$AA$48="Catastrófico"),CONCATENATE("R7C",'Mapa final'!$O$48),"")</f>
        <v/>
      </c>
      <c r="AK52" s="260" t="str">
        <f>IF(AND('Mapa final'!$Y$49="Muy Baja",'Mapa final'!$AA$49="Catastrófico"),CONCATENATE("R7C",'Mapa final'!$O$49),"")</f>
        <v/>
      </c>
      <c r="AL52" s="260" t="str">
        <f>IF(AND('Mapa final'!$Y$50="Muy Baja",'Mapa final'!$AA$50="Catastrófico"),CONCATENATE("R7C",'Mapa final'!$O$50),"")</f>
        <v/>
      </c>
      <c r="AM52" s="26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78"/>
      <c r="C53" s="578"/>
      <c r="D53" s="579"/>
      <c r="E53" s="667"/>
      <c r="F53" s="668"/>
      <c r="G53" s="668"/>
      <c r="H53" s="668"/>
      <c r="I53" s="669"/>
      <c r="J53" s="280" t="str">
        <f>IF(AND('Mapa final'!$Y$52="Muy Baja",'Mapa final'!$AA$52="Leve"),CONCATENATE("R8C",'Mapa final'!$O$52),"")</f>
        <v/>
      </c>
      <c r="K53" s="281" t="str">
        <f>IF(AND('Mapa final'!$Y$53="Muy Baja",'Mapa final'!$AA$53="Leve"),CONCATENATE("R8C",'Mapa final'!$O$53),"")</f>
        <v/>
      </c>
      <c r="L53" s="281" t="str">
        <f>IF(AND('Mapa final'!$Y$54="Muy Baja",'Mapa final'!$AA$54="Leve"),CONCATENATE("R8C",'Mapa final'!$O$54),"")</f>
        <v/>
      </c>
      <c r="M53" s="281" t="str">
        <f>IF(AND('Mapa final'!$Y$55="Muy Baja",'Mapa final'!$AA$55="Leve"),CONCATENATE("R8C",'Mapa final'!$O$55),"")</f>
        <v/>
      </c>
      <c r="N53" s="281" t="str">
        <f>IF(AND('Mapa final'!$Y$56="Muy Baja",'Mapa final'!$AA$56="Leve"),CONCATENATE("R8C",'Mapa final'!$O$56),"")</f>
        <v/>
      </c>
      <c r="O53" s="282" t="str">
        <f>IF(AND('Mapa final'!$Y$57="Muy Baja",'Mapa final'!$AA$57="Leve"),CONCATENATE("R8C",'Mapa final'!$O$57),"")</f>
        <v/>
      </c>
      <c r="P53" s="280" t="str">
        <f>IF(AND('Mapa final'!$Y$52="Muy Baja",'Mapa final'!$AA$52="Menor"),CONCATENATE("R8C",'Mapa final'!$O$52),"")</f>
        <v/>
      </c>
      <c r="Q53" s="281" t="str">
        <f>IF(AND('Mapa final'!$Y$53="Muy Baja",'Mapa final'!$AA$53="Menor"),CONCATENATE("R8C",'Mapa final'!$O$53),"")</f>
        <v/>
      </c>
      <c r="R53" s="281" t="str">
        <f>IF(AND('Mapa final'!$Y$54="Muy Baja",'Mapa final'!$AA$54="Menor"),CONCATENATE("R8C",'Mapa final'!$O$54),"")</f>
        <v/>
      </c>
      <c r="S53" s="281" t="str">
        <f>IF(AND('Mapa final'!$Y$55="Muy Baja",'Mapa final'!$AA$55="Menor"),CONCATENATE("R8C",'Mapa final'!$O$55),"")</f>
        <v/>
      </c>
      <c r="T53" s="281" t="str">
        <f>IF(AND('Mapa final'!$Y$56="Muy Baja",'Mapa final'!$AA$56="Menor"),CONCATENATE("R8C",'Mapa final'!$O$56),"")</f>
        <v/>
      </c>
      <c r="U53" s="282" t="str">
        <f>IF(AND('Mapa final'!$Y$57="Muy Baja",'Mapa final'!$AA$57="Menor"),CONCATENATE("R8C",'Mapa final'!$O$57),"")</f>
        <v/>
      </c>
      <c r="V53" s="271" t="str">
        <f>IF(AND('Mapa final'!$Y$52="Muy Baja",'Mapa final'!$AA$52="Moderado"),CONCATENATE("R8C",'Mapa final'!$O$52),"")</f>
        <v/>
      </c>
      <c r="W53" s="272" t="str">
        <f>IF(AND('Mapa final'!$Y$53="Muy Baja",'Mapa final'!$AA$53="Moderado"),CONCATENATE("R8C",'Mapa final'!$O$53),"")</f>
        <v/>
      </c>
      <c r="X53" s="272" t="str">
        <f>IF(AND('Mapa final'!$Y$54="Muy Baja",'Mapa final'!$AA$54="Moderado"),CONCATENATE("R8C",'Mapa final'!$O$54),"")</f>
        <v/>
      </c>
      <c r="Y53" s="272" t="str">
        <f>IF(AND('Mapa final'!$Y$55="Muy Baja",'Mapa final'!$AA$55="Moderado"),CONCATENATE("R8C",'Mapa final'!$O$55),"")</f>
        <v/>
      </c>
      <c r="Z53" s="272" t="str">
        <f>IF(AND('Mapa final'!$Y$56="Muy Baja",'Mapa final'!$AA$56="Moderado"),CONCATENATE("R8C",'Mapa final'!$O$56),"")</f>
        <v/>
      </c>
      <c r="AA53" s="273" t="str">
        <f>IF(AND('Mapa final'!$Y$57="Muy Baja",'Mapa final'!$AA$57="Moderado"),CONCATENATE("R8C",'Mapa final'!$O$57),"")</f>
        <v/>
      </c>
      <c r="AB53" s="256" t="str">
        <f>IF(AND('Mapa final'!$Y$52="Muy Baja",'Mapa final'!$AA$52="Mayor"),CONCATENATE("R8C",'Mapa final'!$O$52),"")</f>
        <v/>
      </c>
      <c r="AC53" s="257" t="str">
        <f>IF(AND('Mapa final'!$Y$53="Muy Baja",'Mapa final'!$AA$53="Mayor"),CONCATENATE("R8C",'Mapa final'!$O$53),"")</f>
        <v/>
      </c>
      <c r="AD53" s="257" t="str">
        <f>IF(AND('Mapa final'!$Y$54="Muy Baja",'Mapa final'!$AA$54="Mayor"),CONCATENATE("R8C",'Mapa final'!$O$54),"")</f>
        <v/>
      </c>
      <c r="AE53" s="257" t="str">
        <f>IF(AND('Mapa final'!$Y$55="Muy Baja",'Mapa final'!$AA$55="Mayor"),CONCATENATE("R8C",'Mapa final'!$O$55),"")</f>
        <v/>
      </c>
      <c r="AF53" s="257" t="str">
        <f>IF(AND('Mapa final'!$Y$56="Muy Baja",'Mapa final'!$AA$56="Mayor"),CONCATENATE("R8C",'Mapa final'!$O$56),"")</f>
        <v/>
      </c>
      <c r="AG53" s="258" t="str">
        <f>IF(AND('Mapa final'!$Y$57="Muy Baja",'Mapa final'!$AA$57="Mayor"),CONCATENATE("R8C",'Mapa final'!$O$57),"")</f>
        <v/>
      </c>
      <c r="AH53" s="259" t="str">
        <f>IF(AND('Mapa final'!$Y$52="Muy Baja",'Mapa final'!$AA$52="Catastrófico"),CONCATENATE("R8C",'Mapa final'!$O$52),"")</f>
        <v/>
      </c>
      <c r="AI53" s="260" t="str">
        <f>IF(AND('Mapa final'!$Y$53="Muy Baja",'Mapa final'!$AA$53="Catastrófico"),CONCATENATE("R8C",'Mapa final'!$O$53),"")</f>
        <v/>
      </c>
      <c r="AJ53" s="260" t="str">
        <f>IF(AND('Mapa final'!$Y$54="Muy Baja",'Mapa final'!$AA$54="Catastrófico"),CONCATENATE("R8C",'Mapa final'!$O$54),"")</f>
        <v/>
      </c>
      <c r="AK53" s="260" t="str">
        <f>IF(AND('Mapa final'!$Y$55="Muy Baja",'Mapa final'!$AA$55="Catastrófico"),CONCATENATE("R8C",'Mapa final'!$O$55),"")</f>
        <v/>
      </c>
      <c r="AL53" s="260" t="str">
        <f>IF(AND('Mapa final'!$Y$56="Muy Baja",'Mapa final'!$AA$56="Catastrófico"),CONCATENATE("R8C",'Mapa final'!$O$56),"")</f>
        <v/>
      </c>
      <c r="AM53" s="26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78"/>
      <c r="C54" s="578"/>
      <c r="D54" s="579"/>
      <c r="E54" s="667"/>
      <c r="F54" s="668"/>
      <c r="G54" s="668"/>
      <c r="H54" s="668"/>
      <c r="I54" s="669"/>
      <c r="J54" s="280" t="str">
        <f>IF(AND('Mapa final'!$Y$58="Muy Baja",'Mapa final'!$AA$58="Leve"),CONCATENATE("R9C",'Mapa final'!$O$58),"")</f>
        <v/>
      </c>
      <c r="K54" s="281" t="str">
        <f>IF(AND('Mapa final'!$Y$59="Muy Baja",'Mapa final'!$AA$59="Leve"),CONCATENATE("R9C",'Mapa final'!$O$59),"")</f>
        <v/>
      </c>
      <c r="L54" s="281" t="str">
        <f>IF(AND('Mapa final'!$Y$60="Muy Baja",'Mapa final'!$AA$60="Leve"),CONCATENATE("R9C",'Mapa final'!$O$60),"")</f>
        <v/>
      </c>
      <c r="M54" s="281" t="str">
        <f>IF(AND('Mapa final'!$Y$61="Muy Baja",'Mapa final'!$AA$61="Leve"),CONCATENATE("R9C",'Mapa final'!$O$61),"")</f>
        <v/>
      </c>
      <c r="N54" s="281" t="str">
        <f>IF(AND('Mapa final'!$Y$62="Muy Baja",'Mapa final'!$AA$62="Leve"),CONCATENATE("R9C",'Mapa final'!$O$62),"")</f>
        <v/>
      </c>
      <c r="O54" s="282" t="str">
        <f>IF(AND('Mapa final'!$Y$63="Muy Baja",'Mapa final'!$AA$63="Leve"),CONCATENATE("R9C",'Mapa final'!$O$63),"")</f>
        <v/>
      </c>
      <c r="P54" s="280" t="str">
        <f>IF(AND('Mapa final'!$Y$58="Muy Baja",'Mapa final'!$AA$58="Menor"),CONCATENATE("R9C",'Mapa final'!$O$58),"")</f>
        <v/>
      </c>
      <c r="Q54" s="281" t="str">
        <f>IF(AND('Mapa final'!$Y$59="Muy Baja",'Mapa final'!$AA$59="Menor"),CONCATENATE("R9C",'Mapa final'!$O$59),"")</f>
        <v/>
      </c>
      <c r="R54" s="281" t="str">
        <f>IF(AND('Mapa final'!$Y$60="Muy Baja",'Mapa final'!$AA$60="Menor"),CONCATENATE("R9C",'Mapa final'!$O$60),"")</f>
        <v/>
      </c>
      <c r="S54" s="281" t="str">
        <f>IF(AND('Mapa final'!$Y$61="Muy Baja",'Mapa final'!$AA$61="Menor"),CONCATENATE("R9C",'Mapa final'!$O$61),"")</f>
        <v/>
      </c>
      <c r="T54" s="281" t="str">
        <f>IF(AND('Mapa final'!$Y$62="Muy Baja",'Mapa final'!$AA$62="Menor"),CONCATENATE("R9C",'Mapa final'!$O$62),"")</f>
        <v/>
      </c>
      <c r="U54" s="282" t="str">
        <f>IF(AND('Mapa final'!$Y$63="Muy Baja",'Mapa final'!$AA$63="Menor"),CONCATENATE("R9C",'Mapa final'!$O$63),"")</f>
        <v/>
      </c>
      <c r="V54" s="271" t="str">
        <f>IF(AND('Mapa final'!$Y$58="Muy Baja",'Mapa final'!$AA$58="Moderado"),CONCATENATE("R9C",'Mapa final'!$O$58),"")</f>
        <v/>
      </c>
      <c r="W54" s="272" t="str">
        <f>IF(AND('Mapa final'!$Y$59="Muy Baja",'Mapa final'!$AA$59="Moderado"),CONCATENATE("R9C",'Mapa final'!$O$59),"")</f>
        <v/>
      </c>
      <c r="X54" s="272" t="str">
        <f>IF(AND('Mapa final'!$Y$60="Muy Baja",'Mapa final'!$AA$60="Moderado"),CONCATENATE("R9C",'Mapa final'!$O$60),"")</f>
        <v/>
      </c>
      <c r="Y54" s="272" t="str">
        <f>IF(AND('Mapa final'!$Y$61="Muy Baja",'Mapa final'!$AA$61="Moderado"),CONCATENATE("R9C",'Mapa final'!$O$61),"")</f>
        <v/>
      </c>
      <c r="Z54" s="272" t="str">
        <f>IF(AND('Mapa final'!$Y$62="Muy Baja",'Mapa final'!$AA$62="Moderado"),CONCATENATE("R9C",'Mapa final'!$O$62),"")</f>
        <v/>
      </c>
      <c r="AA54" s="273" t="str">
        <f>IF(AND('Mapa final'!$Y$63="Muy Baja",'Mapa final'!$AA$63="Moderado"),CONCATENATE("R9C",'Mapa final'!$O$63),"")</f>
        <v/>
      </c>
      <c r="AB54" s="256" t="str">
        <f>IF(AND('Mapa final'!$Y$58="Muy Baja",'Mapa final'!$AA$58="Mayor"),CONCATENATE("R9C",'Mapa final'!$O$58),"")</f>
        <v/>
      </c>
      <c r="AC54" s="257" t="str">
        <f>IF(AND('Mapa final'!$Y$59="Muy Baja",'Mapa final'!$AA$59="Mayor"),CONCATENATE("R9C",'Mapa final'!$O$59),"")</f>
        <v/>
      </c>
      <c r="AD54" s="257" t="str">
        <f>IF(AND('Mapa final'!$Y$60="Muy Baja",'Mapa final'!$AA$60="Mayor"),CONCATENATE("R9C",'Mapa final'!$O$60),"")</f>
        <v/>
      </c>
      <c r="AE54" s="257" t="str">
        <f>IF(AND('Mapa final'!$Y$61="Muy Baja",'Mapa final'!$AA$61="Mayor"),CONCATENATE("R9C",'Mapa final'!$O$61),"")</f>
        <v/>
      </c>
      <c r="AF54" s="257" t="str">
        <f>IF(AND('Mapa final'!$Y$62="Muy Baja",'Mapa final'!$AA$62="Mayor"),CONCATENATE("R9C",'Mapa final'!$O$62),"")</f>
        <v/>
      </c>
      <c r="AG54" s="258" t="str">
        <f>IF(AND('Mapa final'!$Y$63="Muy Baja",'Mapa final'!$AA$63="Mayor"),CONCATENATE("R9C",'Mapa final'!$O$63),"")</f>
        <v/>
      </c>
      <c r="AH54" s="259" t="str">
        <f>IF(AND('Mapa final'!$Y$58="Muy Baja",'Mapa final'!$AA$58="Catastrófico"),CONCATENATE("R9C",'Mapa final'!$O$58),"")</f>
        <v/>
      </c>
      <c r="AI54" s="260" t="str">
        <f>IF(AND('Mapa final'!$Y$59="Muy Baja",'Mapa final'!$AA$59="Catastrófico"),CONCATENATE("R9C",'Mapa final'!$O$59),"")</f>
        <v/>
      </c>
      <c r="AJ54" s="260" t="str">
        <f>IF(AND('Mapa final'!$Y$60="Muy Baja",'Mapa final'!$AA$60="Catastrófico"),CONCATENATE("R9C",'Mapa final'!$O$60),"")</f>
        <v/>
      </c>
      <c r="AK54" s="260" t="str">
        <f>IF(AND('Mapa final'!$Y$61="Muy Baja",'Mapa final'!$AA$61="Catastrófico"),CONCATENATE("R9C",'Mapa final'!$O$61),"")</f>
        <v/>
      </c>
      <c r="AL54" s="260" t="str">
        <f>IF(AND('Mapa final'!$Y$62="Muy Baja",'Mapa final'!$AA$62="Catastrófico"),CONCATENATE("R9C",'Mapa final'!$O$62),"")</f>
        <v/>
      </c>
      <c r="AM54" s="26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78"/>
      <c r="C55" s="578"/>
      <c r="D55" s="579"/>
      <c r="E55" s="670"/>
      <c r="F55" s="671"/>
      <c r="G55" s="671"/>
      <c r="H55" s="671"/>
      <c r="I55" s="672"/>
      <c r="J55" s="283" t="str">
        <f>IF(AND('Mapa final'!$Y$64="Muy Baja",'Mapa final'!$AA$64="Leve"),CONCATENATE("R10C",'Mapa final'!$O$64),"")</f>
        <v/>
      </c>
      <c r="K55" s="284" t="str">
        <f>IF(AND('Mapa final'!$Y$65="Muy Baja",'Mapa final'!$AA$65="Leve"),CONCATENATE("R10C",'Mapa final'!$O$65),"")</f>
        <v/>
      </c>
      <c r="L55" s="284" t="str">
        <f>IF(AND('Mapa final'!$Y$66="Muy Baja",'Mapa final'!$AA$66="Leve"),CONCATENATE("R10C",'Mapa final'!$O$66),"")</f>
        <v/>
      </c>
      <c r="M55" s="284" t="str">
        <f>IF(AND('Mapa final'!$Y$67="Muy Baja",'Mapa final'!$AA$67="Leve"),CONCATENATE("R10C",'Mapa final'!$O$67),"")</f>
        <v/>
      </c>
      <c r="N55" s="284" t="str">
        <f>IF(AND('Mapa final'!$Y$68="Muy Baja",'Mapa final'!$AA$68="Leve"),CONCATENATE("R10C",'Mapa final'!$O$68),"")</f>
        <v/>
      </c>
      <c r="O55" s="285" t="str">
        <f>IF(AND('Mapa final'!$Y$69="Muy Baja",'Mapa final'!$AA$69="Leve"),CONCATENATE("R10C",'Mapa final'!$O$69),"")</f>
        <v/>
      </c>
      <c r="P55" s="283" t="str">
        <f>IF(AND('Mapa final'!$Y$64="Muy Baja",'Mapa final'!$AA$64="Menor"),CONCATENATE("R10C",'Mapa final'!$O$64),"")</f>
        <v/>
      </c>
      <c r="Q55" s="284" t="str">
        <f>IF(AND('Mapa final'!$Y$65="Muy Baja",'Mapa final'!$AA$65="Menor"),CONCATENATE("R10C",'Mapa final'!$O$65),"")</f>
        <v/>
      </c>
      <c r="R55" s="284" t="str">
        <f>IF(AND('Mapa final'!$Y$66="Muy Baja",'Mapa final'!$AA$66="Menor"),CONCATENATE("R10C",'Mapa final'!$O$66),"")</f>
        <v/>
      </c>
      <c r="S55" s="284" t="str">
        <f>IF(AND('Mapa final'!$Y$67="Muy Baja",'Mapa final'!$AA$67="Menor"),CONCATENATE("R10C",'Mapa final'!$O$67),"")</f>
        <v/>
      </c>
      <c r="T55" s="284" t="str">
        <f>IF(AND('Mapa final'!$Y$68="Muy Baja",'Mapa final'!$AA$68="Menor"),CONCATENATE("R10C",'Mapa final'!$O$68),"")</f>
        <v/>
      </c>
      <c r="U55" s="285" t="str">
        <f>IF(AND('Mapa final'!$Y$69="Muy Baja",'Mapa final'!$AA$69="Menor"),CONCATENATE("R10C",'Mapa final'!$O$69),"")</f>
        <v/>
      </c>
      <c r="V55" s="274" t="str">
        <f>IF(AND('Mapa final'!$Y$64="Muy Baja",'Mapa final'!$AA$64="Moderado"),CONCATENATE("R10C",'Mapa final'!$O$64),"")</f>
        <v/>
      </c>
      <c r="W55" s="275" t="str">
        <f>IF(AND('Mapa final'!$Y$65="Muy Baja",'Mapa final'!$AA$65="Moderado"),CONCATENATE("R10C",'Mapa final'!$O$65),"")</f>
        <v/>
      </c>
      <c r="X55" s="275" t="str">
        <f>IF(AND('Mapa final'!$Y$66="Muy Baja",'Mapa final'!$AA$66="Moderado"),CONCATENATE("R10C",'Mapa final'!$O$66),"")</f>
        <v/>
      </c>
      <c r="Y55" s="275" t="str">
        <f>IF(AND('Mapa final'!$Y$67="Muy Baja",'Mapa final'!$AA$67="Moderado"),CONCATENATE("R10C",'Mapa final'!$O$67),"")</f>
        <v/>
      </c>
      <c r="Z55" s="275" t="str">
        <f>IF(AND('Mapa final'!$Y$68="Muy Baja",'Mapa final'!$AA$68="Moderado"),CONCATENATE("R10C",'Mapa final'!$O$68),"")</f>
        <v/>
      </c>
      <c r="AA55" s="276" t="str">
        <f>IF(AND('Mapa final'!$Y$69="Muy Baja",'Mapa final'!$AA$69="Moderado"),CONCATENATE("R10C",'Mapa final'!$O$69),"")</f>
        <v/>
      </c>
      <c r="AB55" s="262" t="str">
        <f>IF(AND('Mapa final'!$Y$64="Muy Baja",'Mapa final'!$AA$64="Mayor"),CONCATENATE("R10C",'Mapa final'!$O$64),"")</f>
        <v/>
      </c>
      <c r="AC55" s="263" t="str">
        <f>IF(AND('Mapa final'!$Y$65="Muy Baja",'Mapa final'!$AA$65="Mayor"),CONCATENATE("R10C",'Mapa final'!$O$65),"")</f>
        <v/>
      </c>
      <c r="AD55" s="263" t="str">
        <f>IF(AND('Mapa final'!$Y$66="Muy Baja",'Mapa final'!$AA$66="Mayor"),CONCATENATE("R10C",'Mapa final'!$O$66),"")</f>
        <v/>
      </c>
      <c r="AE55" s="263" t="str">
        <f>IF(AND('Mapa final'!$Y$67="Muy Baja",'Mapa final'!$AA$67="Mayor"),CONCATENATE("R10C",'Mapa final'!$O$67),"")</f>
        <v/>
      </c>
      <c r="AF55" s="263" t="str">
        <f>IF(AND('Mapa final'!$Y$68="Muy Baja",'Mapa final'!$AA$68="Mayor"),CONCATENATE("R10C",'Mapa final'!$O$68),"")</f>
        <v/>
      </c>
      <c r="AG55" s="264" t="str">
        <f>IF(AND('Mapa final'!$Y$69="Muy Baja",'Mapa final'!$AA$69="Mayor"),CONCATENATE("R10C",'Mapa final'!$O$69),"")</f>
        <v/>
      </c>
      <c r="AH55" s="265" t="str">
        <f>IF(AND('Mapa final'!$Y$64="Muy Baja",'Mapa final'!$AA$64="Catastrófico"),CONCATENATE("R10C",'Mapa final'!$O$64),"")</f>
        <v/>
      </c>
      <c r="AI55" s="266" t="str">
        <f>IF(AND('Mapa final'!$Y$65="Muy Baja",'Mapa final'!$AA$65="Catastrófico"),CONCATENATE("R10C",'Mapa final'!$O$65),"")</f>
        <v/>
      </c>
      <c r="AJ55" s="266" t="str">
        <f>IF(AND('Mapa final'!$Y$66="Muy Baja",'Mapa final'!$AA$66="Catastrófico"),CONCATENATE("R10C",'Mapa final'!$O$66),"")</f>
        <v/>
      </c>
      <c r="AK55" s="266" t="str">
        <f>IF(AND('Mapa final'!$Y$67="Muy Baja",'Mapa final'!$AA$67="Catastrófico"),CONCATENATE("R10C",'Mapa final'!$O$67),"")</f>
        <v/>
      </c>
      <c r="AL55" s="266" t="str">
        <f>IF(AND('Mapa final'!$Y$68="Muy Baja",'Mapa final'!$AA$68="Catastrófico"),CONCATENATE("R10C",'Mapa final'!$O$68),"")</f>
        <v/>
      </c>
      <c r="AM55" s="26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4" t="s">
        <v>1062</v>
      </c>
      <c r="K56" s="665"/>
      <c r="L56" s="665"/>
      <c r="M56" s="665"/>
      <c r="N56" s="665"/>
      <c r="O56" s="666"/>
      <c r="P56" s="664" t="s">
        <v>1063</v>
      </c>
      <c r="Q56" s="665"/>
      <c r="R56" s="665"/>
      <c r="S56" s="665"/>
      <c r="T56" s="665"/>
      <c r="U56" s="666"/>
      <c r="V56" s="664" t="s">
        <v>1064</v>
      </c>
      <c r="W56" s="665"/>
      <c r="X56" s="665"/>
      <c r="Y56" s="665"/>
      <c r="Z56" s="665"/>
      <c r="AA56" s="666"/>
      <c r="AB56" s="664" t="s">
        <v>1065</v>
      </c>
      <c r="AC56" s="710"/>
      <c r="AD56" s="665"/>
      <c r="AE56" s="665"/>
      <c r="AF56" s="665"/>
      <c r="AG56" s="666"/>
      <c r="AH56" s="664" t="s">
        <v>1066</v>
      </c>
      <c r="AI56" s="665"/>
      <c r="AJ56" s="665"/>
      <c r="AK56" s="665"/>
      <c r="AL56" s="665"/>
      <c r="AM56" s="66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67"/>
      <c r="K57" s="668"/>
      <c r="L57" s="668"/>
      <c r="M57" s="668"/>
      <c r="N57" s="668"/>
      <c r="O57" s="669"/>
      <c r="P57" s="667"/>
      <c r="Q57" s="668"/>
      <c r="R57" s="668"/>
      <c r="S57" s="668"/>
      <c r="T57" s="668"/>
      <c r="U57" s="669"/>
      <c r="V57" s="667"/>
      <c r="W57" s="668"/>
      <c r="X57" s="668"/>
      <c r="Y57" s="668"/>
      <c r="Z57" s="668"/>
      <c r="AA57" s="669"/>
      <c r="AB57" s="667"/>
      <c r="AC57" s="668"/>
      <c r="AD57" s="668"/>
      <c r="AE57" s="668"/>
      <c r="AF57" s="668"/>
      <c r="AG57" s="669"/>
      <c r="AH57" s="667"/>
      <c r="AI57" s="668"/>
      <c r="AJ57" s="668"/>
      <c r="AK57" s="668"/>
      <c r="AL57" s="668"/>
      <c r="AM57" s="66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67"/>
      <c r="K58" s="668"/>
      <c r="L58" s="668"/>
      <c r="M58" s="668"/>
      <c r="N58" s="668"/>
      <c r="O58" s="669"/>
      <c r="P58" s="667"/>
      <c r="Q58" s="668"/>
      <c r="R58" s="668"/>
      <c r="S58" s="668"/>
      <c r="T58" s="668"/>
      <c r="U58" s="669"/>
      <c r="V58" s="667"/>
      <c r="W58" s="668"/>
      <c r="X58" s="668"/>
      <c r="Y58" s="668"/>
      <c r="Z58" s="668"/>
      <c r="AA58" s="669"/>
      <c r="AB58" s="667"/>
      <c r="AC58" s="668"/>
      <c r="AD58" s="668"/>
      <c r="AE58" s="668"/>
      <c r="AF58" s="668"/>
      <c r="AG58" s="669"/>
      <c r="AH58" s="667"/>
      <c r="AI58" s="668"/>
      <c r="AJ58" s="668"/>
      <c r="AK58" s="668"/>
      <c r="AL58" s="668"/>
      <c r="AM58" s="66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67"/>
      <c r="K59" s="668"/>
      <c r="L59" s="668"/>
      <c r="M59" s="668"/>
      <c r="N59" s="668"/>
      <c r="O59" s="669"/>
      <c r="P59" s="667"/>
      <c r="Q59" s="668"/>
      <c r="R59" s="668"/>
      <c r="S59" s="668"/>
      <c r="T59" s="668"/>
      <c r="U59" s="669"/>
      <c r="V59" s="667"/>
      <c r="W59" s="668"/>
      <c r="X59" s="668"/>
      <c r="Y59" s="668"/>
      <c r="Z59" s="668"/>
      <c r="AA59" s="669"/>
      <c r="AB59" s="667"/>
      <c r="AC59" s="668"/>
      <c r="AD59" s="668"/>
      <c r="AE59" s="668"/>
      <c r="AF59" s="668"/>
      <c r="AG59" s="669"/>
      <c r="AH59" s="667"/>
      <c r="AI59" s="668"/>
      <c r="AJ59" s="668"/>
      <c r="AK59" s="668"/>
      <c r="AL59" s="668"/>
      <c r="AM59" s="66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67"/>
      <c r="K60" s="668"/>
      <c r="L60" s="668"/>
      <c r="M60" s="668"/>
      <c r="N60" s="668"/>
      <c r="O60" s="669"/>
      <c r="P60" s="667"/>
      <c r="Q60" s="668"/>
      <c r="R60" s="668"/>
      <c r="S60" s="668"/>
      <c r="T60" s="668"/>
      <c r="U60" s="669"/>
      <c r="V60" s="667"/>
      <c r="W60" s="668"/>
      <c r="X60" s="668"/>
      <c r="Y60" s="668"/>
      <c r="Z60" s="668"/>
      <c r="AA60" s="669"/>
      <c r="AB60" s="667"/>
      <c r="AC60" s="668"/>
      <c r="AD60" s="668"/>
      <c r="AE60" s="668"/>
      <c r="AF60" s="668"/>
      <c r="AG60" s="669"/>
      <c r="AH60" s="667"/>
      <c r="AI60" s="668"/>
      <c r="AJ60" s="668"/>
      <c r="AK60" s="668"/>
      <c r="AL60" s="668"/>
      <c r="AM60" s="66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0"/>
      <c r="K61" s="671"/>
      <c r="L61" s="671"/>
      <c r="M61" s="671"/>
      <c r="N61" s="671"/>
      <c r="O61" s="672"/>
      <c r="P61" s="670"/>
      <c r="Q61" s="671"/>
      <c r="R61" s="671"/>
      <c r="S61" s="671"/>
      <c r="T61" s="671"/>
      <c r="U61" s="672"/>
      <c r="V61" s="670"/>
      <c r="W61" s="671"/>
      <c r="X61" s="671"/>
      <c r="Y61" s="671"/>
      <c r="Z61" s="671"/>
      <c r="AA61" s="672"/>
      <c r="AB61" s="670"/>
      <c r="AC61" s="671"/>
      <c r="AD61" s="671"/>
      <c r="AE61" s="671"/>
      <c r="AF61" s="671"/>
      <c r="AG61" s="672"/>
      <c r="AH61" s="670"/>
      <c r="AI61" s="671"/>
      <c r="AJ61" s="671"/>
      <c r="AK61" s="671"/>
      <c r="AL61" s="671"/>
      <c r="AM61" s="67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3sUWhNuOXMyIBiBRNlUo9F23Y+tlf5cy2dtZimdpqnI1RsO/r3NxZXH5HrJWY5/9fJ6tw+0lU8p9eNZs7W3lQ==" saltValue="2ad6V7hBjeTMQvfwj6AIH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AK55"/>
  <sheetViews>
    <sheetView zoomScale="90" zoomScaleNormal="90" workbookViewId="0">
      <selection activeCell="C7" sqref="C7"/>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31" t="s">
        <v>1068</v>
      </c>
      <c r="C1" s="731"/>
      <c r="D1" s="73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1069</v>
      </c>
      <c r="D3" s="288"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1070</v>
      </c>
      <c r="C4" s="290" t="s">
        <v>1071</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1072</v>
      </c>
      <c r="C5" s="293" t="s">
        <v>1073</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1074</v>
      </c>
      <c r="C6" s="293" t="s">
        <v>1186</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1075</v>
      </c>
      <c r="C7" s="293" t="s">
        <v>1187</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1076</v>
      </c>
      <c r="C8" s="293" t="s">
        <v>1188</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9"/>
      <c r="B33" s="316"/>
      <c r="C33" s="316"/>
      <c r="D33" s="316"/>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x14ac:dyDescent="0.25">
      <c r="A34" s="339"/>
      <c r="B34" s="316"/>
      <c r="C34" s="316"/>
      <c r="D34" s="316"/>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x14ac:dyDescent="0.25">
      <c r="A35" s="339"/>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U232"/>
  <sheetViews>
    <sheetView zoomScale="60" zoomScaleNormal="60" workbookViewId="0">
      <selection activeCell="F7" sqref="F7:F12"/>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2" t="s">
        <v>1077</v>
      </c>
      <c r="C1" s="732"/>
      <c r="D1" s="73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9"/>
      <c r="C3" s="300" t="s">
        <v>1078</v>
      </c>
      <c r="D3" s="300" t="s">
        <v>1079</v>
      </c>
      <c r="E3" s="15"/>
      <c r="F3" s="15"/>
      <c r="G3" s="15"/>
      <c r="H3" s="15"/>
      <c r="I3" s="15"/>
      <c r="J3" s="15"/>
      <c r="K3" s="15"/>
      <c r="L3" s="15"/>
      <c r="M3" s="15"/>
      <c r="N3" s="15"/>
      <c r="O3" s="15"/>
      <c r="P3" s="15"/>
      <c r="Q3" s="15"/>
      <c r="R3" s="15"/>
      <c r="S3" s="15"/>
      <c r="T3" s="15"/>
      <c r="U3" s="15"/>
    </row>
    <row r="4" spans="1:21" ht="33.75" x14ac:dyDescent="0.25">
      <c r="A4" s="301" t="s">
        <v>11</v>
      </c>
      <c r="B4" s="302" t="s">
        <v>1080</v>
      </c>
      <c r="C4" s="303" t="s">
        <v>1081</v>
      </c>
      <c r="D4" s="304" t="s">
        <v>1082</v>
      </c>
      <c r="E4" s="15"/>
      <c r="F4" s="15"/>
      <c r="G4" s="15"/>
      <c r="H4" s="15"/>
      <c r="I4" s="15"/>
      <c r="J4" s="15"/>
      <c r="K4" s="15"/>
      <c r="L4" s="15"/>
      <c r="M4" s="15"/>
      <c r="N4" s="15"/>
      <c r="O4" s="15"/>
      <c r="P4" s="15"/>
      <c r="Q4" s="15"/>
      <c r="R4" s="15"/>
      <c r="S4" s="15"/>
      <c r="T4" s="15"/>
      <c r="U4" s="15"/>
    </row>
    <row r="5" spans="1:21" ht="101.25" x14ac:dyDescent="0.25">
      <c r="A5" s="301" t="s">
        <v>10</v>
      </c>
      <c r="B5" s="305" t="s">
        <v>1083</v>
      </c>
      <c r="C5" s="306" t="s">
        <v>1084</v>
      </c>
      <c r="D5" s="307" t="s">
        <v>1085</v>
      </c>
      <c r="E5" s="15"/>
      <c r="F5" s="15"/>
      <c r="G5" s="15"/>
      <c r="H5" s="15"/>
      <c r="I5" s="15"/>
      <c r="J5" s="15"/>
      <c r="K5" s="15"/>
      <c r="L5" s="15"/>
      <c r="M5" s="15"/>
      <c r="N5" s="15"/>
      <c r="O5" s="15"/>
      <c r="P5" s="15"/>
      <c r="Q5" s="15"/>
      <c r="R5" s="15"/>
      <c r="S5" s="15"/>
      <c r="T5" s="15"/>
      <c r="U5" s="15"/>
    </row>
    <row r="6" spans="1:21" ht="67.5" x14ac:dyDescent="0.25">
      <c r="A6" s="301" t="s">
        <v>9</v>
      </c>
      <c r="B6" s="308" t="s">
        <v>1086</v>
      </c>
      <c r="C6" s="306" t="s">
        <v>1161</v>
      </c>
      <c r="D6" s="307" t="s">
        <v>1088</v>
      </c>
      <c r="E6" s="15"/>
      <c r="F6" s="15"/>
      <c r="G6" s="15"/>
      <c r="H6" s="15"/>
      <c r="I6" s="15"/>
      <c r="J6" s="15"/>
      <c r="K6" s="15"/>
      <c r="L6" s="15"/>
      <c r="M6" s="15"/>
      <c r="N6" s="15"/>
      <c r="O6" s="15"/>
      <c r="P6" s="15"/>
      <c r="Q6" s="15"/>
      <c r="R6" s="15"/>
      <c r="S6" s="15"/>
      <c r="T6" s="15"/>
      <c r="U6" s="15"/>
    </row>
    <row r="7" spans="1:21" ht="101.25" x14ac:dyDescent="0.25">
      <c r="A7" s="301" t="s">
        <v>8</v>
      </c>
      <c r="B7" s="309" t="s">
        <v>1089</v>
      </c>
      <c r="C7" s="306" t="s">
        <v>1162</v>
      </c>
      <c r="D7" s="307" t="s">
        <v>1091</v>
      </c>
      <c r="E7" s="15"/>
      <c r="F7" s="15"/>
      <c r="G7" s="15"/>
      <c r="H7" s="15"/>
      <c r="I7" s="15"/>
      <c r="J7" s="15"/>
      <c r="K7" s="15"/>
      <c r="L7" s="15"/>
      <c r="M7" s="15"/>
      <c r="N7" s="15"/>
      <c r="O7" s="15"/>
      <c r="P7" s="15"/>
      <c r="Q7" s="15"/>
      <c r="R7" s="15"/>
      <c r="S7" s="15"/>
      <c r="T7" s="15"/>
      <c r="U7" s="15"/>
    </row>
    <row r="8" spans="1:21" ht="67.5" x14ac:dyDescent="0.25">
      <c r="A8" s="301" t="s">
        <v>7</v>
      </c>
      <c r="B8" s="310" t="s">
        <v>1092</v>
      </c>
      <c r="C8" s="306" t="s">
        <v>1163</v>
      </c>
      <c r="D8" s="307" t="s">
        <v>1094</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7"/>
      <c r="C10" s="347"/>
      <c r="D10" s="347"/>
      <c r="E10" s="301"/>
      <c r="F10" s="15"/>
      <c r="G10" s="15"/>
      <c r="H10" s="15"/>
      <c r="I10" s="15"/>
      <c r="J10" s="15"/>
      <c r="K10" s="15"/>
      <c r="L10" s="15"/>
      <c r="M10" s="15"/>
      <c r="N10" s="15"/>
      <c r="O10" s="15"/>
      <c r="P10" s="15"/>
      <c r="Q10" s="15"/>
      <c r="R10" s="15"/>
      <c r="S10" s="15"/>
      <c r="T10" s="15"/>
      <c r="U10" s="15"/>
    </row>
    <row r="11" spans="1:21" x14ac:dyDescent="0.25">
      <c r="A11" s="301"/>
      <c r="B11" s="301" t="s">
        <v>1095</v>
      </c>
      <c r="C11" s="301" t="s">
        <v>1096</v>
      </c>
      <c r="D11" s="301" t="s">
        <v>1097</v>
      </c>
      <c r="E11" s="301"/>
      <c r="F11" s="15"/>
      <c r="G11" s="15"/>
      <c r="H11" s="15"/>
      <c r="I11" s="15"/>
      <c r="J11" s="15"/>
      <c r="K11" s="15"/>
      <c r="L11" s="15"/>
      <c r="M11" s="15"/>
      <c r="N11" s="15"/>
      <c r="O11" s="15"/>
      <c r="P11" s="15"/>
      <c r="Q11" s="15"/>
      <c r="R11" s="15"/>
      <c r="S11" s="15"/>
      <c r="T11" s="15"/>
      <c r="U11" s="15"/>
    </row>
    <row r="12" spans="1:21" x14ac:dyDescent="0.25">
      <c r="A12" s="301"/>
      <c r="B12" s="301" t="s">
        <v>1098</v>
      </c>
      <c r="C12" s="301" t="s">
        <v>1099</v>
      </c>
      <c r="D12" s="301" t="s">
        <v>1100</v>
      </c>
      <c r="E12" s="301"/>
      <c r="F12" s="15"/>
      <c r="G12" s="15"/>
      <c r="H12" s="15"/>
      <c r="I12" s="15"/>
      <c r="J12" s="15"/>
      <c r="K12" s="15"/>
      <c r="L12" s="15"/>
      <c r="M12" s="15"/>
      <c r="N12" s="15"/>
      <c r="O12" s="15"/>
      <c r="P12" s="15"/>
      <c r="Q12" s="15"/>
      <c r="R12" s="15"/>
      <c r="S12" s="15"/>
      <c r="T12" s="15"/>
      <c r="U12" s="15"/>
    </row>
    <row r="13" spans="1:21" x14ac:dyDescent="0.25">
      <c r="A13" s="301"/>
      <c r="B13" s="301"/>
      <c r="C13" s="301" t="s">
        <v>1164</v>
      </c>
      <c r="D13" s="301" t="s">
        <v>1101</v>
      </c>
      <c r="E13" s="301"/>
      <c r="F13" s="15"/>
      <c r="G13" s="15"/>
      <c r="H13" s="15"/>
      <c r="I13" s="15"/>
      <c r="J13" s="15"/>
      <c r="K13" s="15"/>
      <c r="L13" s="15"/>
      <c r="M13" s="15"/>
      <c r="N13" s="15"/>
      <c r="O13" s="15"/>
      <c r="P13" s="15"/>
      <c r="Q13" s="15"/>
      <c r="R13" s="15"/>
      <c r="S13" s="15"/>
      <c r="T13" s="15"/>
      <c r="U13" s="15"/>
    </row>
    <row r="14" spans="1:21" x14ac:dyDescent="0.25">
      <c r="A14" s="301"/>
      <c r="B14" s="301"/>
      <c r="C14" s="301" t="s">
        <v>1165</v>
      </c>
      <c r="D14" s="301" t="s">
        <v>1102</v>
      </c>
      <c r="E14" s="301"/>
      <c r="F14" s="15"/>
      <c r="G14" s="15"/>
      <c r="H14" s="15"/>
      <c r="I14" s="15"/>
      <c r="J14" s="15"/>
      <c r="K14" s="15"/>
      <c r="L14" s="15"/>
      <c r="M14" s="15"/>
      <c r="N14" s="15"/>
      <c r="O14" s="15"/>
      <c r="P14" s="15"/>
      <c r="Q14" s="15"/>
      <c r="R14" s="15"/>
      <c r="S14" s="15"/>
      <c r="T14" s="15"/>
      <c r="U14" s="15"/>
    </row>
    <row r="15" spans="1:21" x14ac:dyDescent="0.25">
      <c r="A15" s="301"/>
      <c r="B15" s="301"/>
      <c r="C15" s="301" t="s">
        <v>1166</v>
      </c>
      <c r="D15" s="301" t="s">
        <v>1103</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9"/>
      <c r="C20" s="339"/>
      <c r="D20" s="339"/>
      <c r="E20" s="339"/>
      <c r="F20" s="15"/>
      <c r="G20" s="15"/>
      <c r="H20" s="15"/>
      <c r="I20" s="15"/>
      <c r="J20" s="15"/>
      <c r="K20" s="15"/>
      <c r="L20" s="15"/>
      <c r="M20" s="15"/>
      <c r="N20" s="15"/>
      <c r="O20" s="15"/>
    </row>
    <row r="21" spans="1:15" x14ac:dyDescent="0.25">
      <c r="A21" s="301"/>
      <c r="B21" s="339"/>
      <c r="C21" s="339"/>
      <c r="D21" s="339"/>
      <c r="E21" s="339"/>
      <c r="F21" s="15"/>
      <c r="G21" s="15"/>
      <c r="H21" s="15"/>
      <c r="I21" s="15"/>
      <c r="J21" s="15"/>
      <c r="K21" s="15"/>
      <c r="L21" s="15"/>
      <c r="M21" s="15"/>
      <c r="N21" s="15"/>
      <c r="O21" s="15"/>
    </row>
    <row r="22" spans="1:15" ht="20.25" x14ac:dyDescent="0.25">
      <c r="A22" s="301"/>
      <c r="B22" s="339"/>
      <c r="C22" s="341"/>
      <c r="D22" s="341"/>
      <c r="E22" s="339"/>
      <c r="F22" s="15"/>
      <c r="G22" s="15"/>
      <c r="H22" s="15"/>
      <c r="I22" s="15"/>
      <c r="J22" s="15"/>
      <c r="K22" s="15"/>
      <c r="L22" s="15"/>
      <c r="M22" s="15"/>
      <c r="N22" s="15"/>
      <c r="O22" s="15"/>
    </row>
    <row r="23" spans="1:15" ht="20.25" x14ac:dyDescent="0.25">
      <c r="A23" s="301"/>
      <c r="B23" s="339"/>
      <c r="C23" s="341"/>
      <c r="D23" s="341"/>
      <c r="E23" s="339"/>
      <c r="F23" s="15"/>
      <c r="G23" s="15"/>
      <c r="H23" s="15"/>
      <c r="I23" s="15"/>
      <c r="J23" s="15"/>
      <c r="K23" s="15"/>
      <c r="L23" s="15"/>
      <c r="M23" s="15"/>
      <c r="N23" s="15"/>
      <c r="O23" s="15"/>
    </row>
    <row r="24" spans="1:15" ht="20.25" x14ac:dyDescent="0.25">
      <c r="A24" s="301"/>
      <c r="B24" s="339"/>
      <c r="C24" s="341"/>
      <c r="D24" s="341"/>
      <c r="E24" s="339"/>
      <c r="F24" s="15"/>
      <c r="G24" s="15"/>
      <c r="H24" s="15"/>
      <c r="I24" s="15"/>
      <c r="J24" s="15"/>
      <c r="K24" s="15"/>
      <c r="L24" s="15"/>
      <c r="M24" s="15"/>
      <c r="N24" s="15"/>
      <c r="O24" s="15"/>
    </row>
    <row r="25" spans="1:15" ht="20.25" x14ac:dyDescent="0.25">
      <c r="A25" s="301"/>
      <c r="B25" s="339"/>
      <c r="C25" s="341"/>
      <c r="D25" s="341"/>
      <c r="E25" s="339"/>
      <c r="F25" s="15"/>
      <c r="G25" s="15"/>
      <c r="H25" s="15"/>
      <c r="I25" s="15"/>
      <c r="J25" s="15"/>
      <c r="K25" s="15"/>
      <c r="L25" s="15"/>
      <c r="M25" s="15"/>
      <c r="N25" s="15"/>
      <c r="O25" s="15"/>
    </row>
    <row r="26" spans="1:15" ht="20.25" x14ac:dyDescent="0.25">
      <c r="A26" s="301"/>
      <c r="B26" s="339"/>
      <c r="C26" s="341"/>
      <c r="D26" s="341"/>
      <c r="E26" s="339"/>
      <c r="F26" s="15"/>
      <c r="G26" s="15"/>
      <c r="H26" s="15"/>
      <c r="I26" s="15"/>
      <c r="J26" s="15"/>
      <c r="K26" s="15"/>
      <c r="L26" s="15"/>
      <c r="M26" s="15"/>
      <c r="N26" s="15"/>
      <c r="O26" s="15"/>
    </row>
    <row r="27" spans="1:15" ht="20.25" x14ac:dyDescent="0.25">
      <c r="A27" s="301"/>
      <c r="B27" s="339"/>
      <c r="C27" s="341"/>
      <c r="D27" s="341"/>
      <c r="E27" s="339"/>
      <c r="F27" s="15"/>
      <c r="G27" s="15"/>
      <c r="H27" s="15"/>
      <c r="I27" s="15"/>
      <c r="J27" s="15"/>
      <c r="K27" s="15"/>
      <c r="L27" s="15"/>
      <c r="M27" s="15"/>
      <c r="N27" s="15"/>
      <c r="O27" s="15"/>
    </row>
    <row r="28" spans="1:15" ht="20.25" x14ac:dyDescent="0.25">
      <c r="A28" s="301"/>
      <c r="B28" s="339"/>
      <c r="C28" s="341"/>
      <c r="D28" s="341"/>
      <c r="E28" s="339"/>
      <c r="F28" s="15"/>
      <c r="G28" s="15"/>
      <c r="H28" s="15"/>
      <c r="I28" s="15"/>
      <c r="J28" s="15"/>
      <c r="K28" s="15"/>
      <c r="L28" s="15"/>
      <c r="M28" s="15"/>
      <c r="N28" s="15"/>
      <c r="O28" s="15"/>
    </row>
    <row r="29" spans="1:15" ht="20.25" x14ac:dyDescent="0.25">
      <c r="A29" s="301"/>
      <c r="B29" s="339"/>
      <c r="C29" s="341"/>
      <c r="D29" s="341"/>
      <c r="E29" s="339"/>
      <c r="F29" s="15"/>
      <c r="G29" s="15"/>
      <c r="H29" s="15"/>
      <c r="I29" s="15"/>
      <c r="J29" s="15"/>
      <c r="K29" s="15"/>
      <c r="L29" s="15"/>
      <c r="M29" s="15"/>
      <c r="N29" s="15"/>
      <c r="O29" s="15"/>
    </row>
    <row r="30" spans="1:15" ht="20.25" x14ac:dyDescent="0.25">
      <c r="A30" s="301"/>
      <c r="B30" s="339"/>
      <c r="C30" s="341"/>
      <c r="D30" s="341"/>
      <c r="E30" s="339"/>
      <c r="F30" s="15"/>
      <c r="G30" s="15"/>
      <c r="H30" s="15"/>
      <c r="I30" s="15"/>
      <c r="J30" s="15"/>
      <c r="K30" s="15"/>
      <c r="L30" s="15"/>
      <c r="M30" s="15"/>
      <c r="N30" s="15"/>
      <c r="O30" s="15"/>
    </row>
    <row r="31" spans="1:15" ht="20.25" x14ac:dyDescent="0.25">
      <c r="A31" s="301"/>
      <c r="B31" s="339"/>
      <c r="C31" s="341"/>
      <c r="D31" s="341"/>
      <c r="E31" s="339"/>
      <c r="F31" s="15"/>
      <c r="G31" s="15"/>
      <c r="H31" s="15"/>
      <c r="I31" s="15"/>
      <c r="J31" s="15"/>
      <c r="K31" s="15"/>
      <c r="L31" s="15"/>
      <c r="M31" s="15"/>
      <c r="N31" s="15"/>
      <c r="O31" s="15"/>
    </row>
    <row r="32" spans="1:15" ht="20.25" x14ac:dyDescent="0.25">
      <c r="A32" s="301"/>
      <c r="B32" s="339"/>
      <c r="C32" s="341"/>
      <c r="D32" s="341"/>
      <c r="E32" s="339"/>
      <c r="F32" s="15"/>
      <c r="G32" s="15"/>
      <c r="H32" s="15"/>
      <c r="I32" s="15"/>
      <c r="J32" s="15"/>
      <c r="K32" s="15"/>
      <c r="L32" s="15"/>
      <c r="M32" s="15"/>
      <c r="N32" s="15"/>
      <c r="O32" s="15"/>
    </row>
    <row r="33" spans="1:15" ht="20.25" x14ac:dyDescent="0.25">
      <c r="A33" s="301"/>
      <c r="B33" s="339"/>
      <c r="C33" s="341"/>
      <c r="D33" s="341"/>
      <c r="E33" s="339"/>
      <c r="F33" s="15"/>
      <c r="G33" s="15"/>
      <c r="H33" s="15"/>
      <c r="I33" s="15"/>
      <c r="J33" s="15"/>
      <c r="K33" s="15"/>
      <c r="L33" s="15"/>
      <c r="M33" s="15"/>
      <c r="N33" s="15"/>
      <c r="O33" s="15"/>
    </row>
    <row r="34" spans="1:15" ht="20.25" x14ac:dyDescent="0.25">
      <c r="A34" s="301"/>
      <c r="B34" s="339"/>
      <c r="C34" s="341"/>
      <c r="D34" s="341"/>
      <c r="E34" s="339"/>
      <c r="F34" s="15"/>
      <c r="G34" s="15"/>
      <c r="H34" s="15"/>
      <c r="I34" s="15"/>
      <c r="J34" s="15"/>
      <c r="K34" s="15"/>
      <c r="L34" s="15"/>
      <c r="M34" s="15"/>
      <c r="N34" s="15"/>
      <c r="O34" s="15"/>
    </row>
    <row r="35" spans="1:15" ht="20.25" x14ac:dyDescent="0.25">
      <c r="A35" s="301"/>
      <c r="B35" s="339"/>
      <c r="C35" s="341"/>
      <c r="D35" s="341"/>
      <c r="E35" s="339"/>
      <c r="F35" s="15"/>
      <c r="G35" s="15"/>
      <c r="H35" s="15"/>
      <c r="I35" s="15"/>
      <c r="J35" s="15"/>
      <c r="K35" s="15"/>
      <c r="L35" s="15"/>
      <c r="M35" s="15"/>
      <c r="N35" s="15"/>
      <c r="O35" s="15"/>
    </row>
    <row r="36" spans="1:15" ht="20.25" x14ac:dyDescent="0.25">
      <c r="A36" s="301"/>
      <c r="B36" s="339"/>
      <c r="C36" s="341"/>
      <c r="D36" s="341"/>
      <c r="E36" s="339"/>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1104</v>
      </c>
      <c r="C209" s="314" t="s">
        <v>1105</v>
      </c>
      <c r="D209" t="s">
        <v>1104</v>
      </c>
      <c r="E209" t="s">
        <v>1105</v>
      </c>
    </row>
    <row r="210" spans="1:8" ht="21" x14ac:dyDescent="0.35">
      <c r="A210" s="15"/>
      <c r="B210" s="315" t="s">
        <v>1106</v>
      </c>
      <c r="C210" s="315"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15" t="s">
        <v>1106</v>
      </c>
      <c r="C211" s="315" t="s">
        <v>1084</v>
      </c>
      <c r="E211" t="s">
        <v>1107</v>
      </c>
      <c r="F211" t="str">
        <f t="shared" ref="F211:F221" si="0">IF(NOT(ISBLANK(D211)),D211,IF(NOT(ISBLANK(E211)),"     "&amp;E211,FALSE))</f>
        <v xml:space="preserve">     Afectación menor a 10 SMLMV .</v>
      </c>
    </row>
    <row r="212" spans="1:8" ht="21" x14ac:dyDescent="0.35">
      <c r="A212" s="15"/>
      <c r="B212" s="315" t="s">
        <v>1106</v>
      </c>
      <c r="C212" s="315" t="s">
        <v>1087</v>
      </c>
      <c r="E212" t="s">
        <v>1084</v>
      </c>
      <c r="F212" t="str">
        <f t="shared" si="0"/>
        <v xml:space="preserve">     Entre 10 y 50 SMLMV </v>
      </c>
    </row>
    <row r="213" spans="1:8" ht="21" x14ac:dyDescent="0.35">
      <c r="A213" s="15"/>
      <c r="B213" s="315" t="s">
        <v>1106</v>
      </c>
      <c r="C213" s="315" t="s">
        <v>1090</v>
      </c>
      <c r="E213" t="s">
        <v>1161</v>
      </c>
      <c r="F213" t="str">
        <f t="shared" si="0"/>
        <v xml:space="preserve">     Entre 51 y 100 SMLMV </v>
      </c>
    </row>
    <row r="214" spans="1:8" ht="21" x14ac:dyDescent="0.35">
      <c r="A214" s="15"/>
      <c r="B214" s="315" t="s">
        <v>1106</v>
      </c>
      <c r="C214" s="315" t="s">
        <v>1093</v>
      </c>
      <c r="E214" t="s">
        <v>1162</v>
      </c>
      <c r="F214" t="str">
        <f t="shared" si="0"/>
        <v xml:space="preserve">     Entre 101 y 500 SMLMV </v>
      </c>
    </row>
    <row r="215" spans="1:8" ht="21" x14ac:dyDescent="0.35">
      <c r="A215" s="15"/>
      <c r="B215" s="315" t="s">
        <v>1079</v>
      </c>
      <c r="C215" s="315" t="s">
        <v>1082</v>
      </c>
      <c r="E215" t="s">
        <v>1163</v>
      </c>
      <c r="F215" t="str">
        <f t="shared" si="0"/>
        <v xml:space="preserve">     Mayor a 501 SMLMV </v>
      </c>
    </row>
    <row r="216" spans="1:8" ht="21" x14ac:dyDescent="0.35">
      <c r="A216" s="15"/>
      <c r="B216" s="315" t="s">
        <v>1079</v>
      </c>
      <c r="C216" s="315" t="s">
        <v>1085</v>
      </c>
      <c r="D216" t="s">
        <v>1079</v>
      </c>
      <c r="F216" t="str">
        <f t="shared" si="0"/>
        <v>Pérdida Reputacional</v>
      </c>
    </row>
    <row r="217" spans="1:8" ht="21" x14ac:dyDescent="0.35">
      <c r="A217" s="15"/>
      <c r="B217" s="315" t="s">
        <v>1079</v>
      </c>
      <c r="C217" s="315" t="s">
        <v>1088</v>
      </c>
      <c r="E217" t="s">
        <v>1082</v>
      </c>
      <c r="F217" t="str">
        <f t="shared" si="0"/>
        <v xml:space="preserve">     El riesgo afecta la imagen de alguna área de la organización</v>
      </c>
    </row>
    <row r="218" spans="1:8" ht="21" x14ac:dyDescent="0.35">
      <c r="A218" s="15"/>
      <c r="B218" s="315" t="s">
        <v>1079</v>
      </c>
      <c r="C218" s="315"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15" t="s">
        <v>1079</v>
      </c>
      <c r="C219" s="315" t="s">
        <v>1094</v>
      </c>
      <c r="E219" t="s">
        <v>1088</v>
      </c>
      <c r="F219" t="str">
        <f t="shared" si="0"/>
        <v xml:space="preserve">     El riesgo afecta la imagen de la entidad con algunos usuarios de relevancia frente al logro de los objetivos</v>
      </c>
    </row>
    <row r="220" spans="1:8" x14ac:dyDescent="0.25">
      <c r="A220" s="15"/>
      <c r="B220" s="316"/>
      <c r="C220" s="316"/>
      <c r="E220" t="s">
        <v>1091</v>
      </c>
      <c r="F220" t="str">
        <f t="shared" si="0"/>
        <v xml:space="preserve">     El riesgo afecta la imagen de de la entidad con efecto publicitario sostenido a nivel de sector administrativo, nivel departamental o municipal</v>
      </c>
    </row>
    <row r="221" spans="1:8" x14ac:dyDescent="0.25">
      <c r="A221" s="15"/>
      <c r="B221" s="316" t="str">
        <f t="array" ref="B221:B223">_xlfn.UNIQUE(Tabla11214[[#All],[Criterios]])</f>
        <v>Criterios</v>
      </c>
      <c r="C221" s="316"/>
      <c r="E221" t="s">
        <v>1094</v>
      </c>
      <c r="F221" t="str">
        <f t="shared" si="0"/>
        <v xml:space="preserve">     El riesgo afecta la imagen de la entidad a nivel nacional, con efecto publicitarios sostenible a nivel país</v>
      </c>
    </row>
    <row r="222" spans="1:8" x14ac:dyDescent="0.25">
      <c r="A222" s="15"/>
      <c r="B222" s="316" t="str">
        <v>Afectación Económica o presupuestal</v>
      </c>
      <c r="C222" s="316"/>
    </row>
    <row r="223" spans="1:8" x14ac:dyDescent="0.25">
      <c r="B223" s="316" t="str">
        <v>Pérdida Reputacional</v>
      </c>
      <c r="C223" s="316"/>
      <c r="F223" s="317" t="s">
        <v>1108</v>
      </c>
    </row>
    <row r="224" spans="1:8" x14ac:dyDescent="0.25">
      <c r="B224" s="318"/>
      <c r="C224" s="318"/>
      <c r="F224" s="317" t="s">
        <v>1109</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100-000000000000}">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734" t="s">
        <v>1110</v>
      </c>
      <c r="C1" s="735"/>
      <c r="D1" s="735"/>
      <c r="E1" s="735"/>
      <c r="F1" s="736"/>
    </row>
    <row r="2" spans="2:6" ht="16.5" thickBot="1" x14ac:dyDescent="0.3">
      <c r="B2" s="320"/>
      <c r="C2" s="320"/>
      <c r="D2" s="320"/>
      <c r="E2" s="320"/>
      <c r="F2" s="320"/>
    </row>
    <row r="3" spans="2:6" ht="16.5" thickBot="1" x14ac:dyDescent="0.25">
      <c r="B3" s="737" t="s">
        <v>1111</v>
      </c>
      <c r="C3" s="738"/>
      <c r="D3" s="738"/>
      <c r="E3" s="321" t="s">
        <v>1112</v>
      </c>
      <c r="F3" s="322" t="s">
        <v>1113</v>
      </c>
    </row>
    <row r="4" spans="2:6" ht="31.5" x14ac:dyDescent="0.2">
      <c r="B4" s="739" t="s">
        <v>1114</v>
      </c>
      <c r="C4" s="741" t="s">
        <v>27</v>
      </c>
      <c r="D4" s="323" t="s">
        <v>1115</v>
      </c>
      <c r="E4" s="324" t="s">
        <v>1116</v>
      </c>
      <c r="F4" s="325">
        <v>0.25</v>
      </c>
    </row>
    <row r="5" spans="2:6" ht="47.25" x14ac:dyDescent="0.2">
      <c r="B5" s="740"/>
      <c r="C5" s="742"/>
      <c r="D5" s="326" t="s">
        <v>1117</v>
      </c>
      <c r="E5" s="327" t="s">
        <v>1118</v>
      </c>
      <c r="F5" s="328">
        <v>0.15</v>
      </c>
    </row>
    <row r="6" spans="2:6" ht="47.25" x14ac:dyDescent="0.2">
      <c r="B6" s="740"/>
      <c r="C6" s="742"/>
      <c r="D6" s="326" t="s">
        <v>1119</v>
      </c>
      <c r="E6" s="327" t="s">
        <v>1120</v>
      </c>
      <c r="F6" s="328">
        <v>0.1</v>
      </c>
    </row>
    <row r="7" spans="2:6" ht="63" x14ac:dyDescent="0.2">
      <c r="B7" s="740"/>
      <c r="C7" s="742" t="s">
        <v>1047</v>
      </c>
      <c r="D7" s="326" t="s">
        <v>1121</v>
      </c>
      <c r="E7" s="327" t="s">
        <v>1122</v>
      </c>
      <c r="F7" s="328">
        <v>0.25</v>
      </c>
    </row>
    <row r="8" spans="2:6" ht="31.5" x14ac:dyDescent="0.2">
      <c r="B8" s="740"/>
      <c r="C8" s="742"/>
      <c r="D8" s="326" t="s">
        <v>1123</v>
      </c>
      <c r="E8" s="327" t="s">
        <v>1124</v>
      </c>
      <c r="F8" s="328">
        <v>0.15</v>
      </c>
    </row>
    <row r="9" spans="2:6" ht="47.25" x14ac:dyDescent="0.2">
      <c r="B9" s="740" t="s">
        <v>1125</v>
      </c>
      <c r="C9" s="742" t="s">
        <v>1049</v>
      </c>
      <c r="D9" s="326" t="s">
        <v>1126</v>
      </c>
      <c r="E9" s="327" t="s">
        <v>1127</v>
      </c>
      <c r="F9" s="329" t="s">
        <v>1128</v>
      </c>
    </row>
    <row r="10" spans="2:6" ht="63" x14ac:dyDescent="0.2">
      <c r="B10" s="740"/>
      <c r="C10" s="742"/>
      <c r="D10" s="326" t="s">
        <v>1129</v>
      </c>
      <c r="E10" s="327" t="s">
        <v>1130</v>
      </c>
      <c r="F10" s="329" t="s">
        <v>1128</v>
      </c>
    </row>
    <row r="11" spans="2:6" ht="47.25" x14ac:dyDescent="0.2">
      <c r="B11" s="740"/>
      <c r="C11" s="742" t="s">
        <v>154</v>
      </c>
      <c r="D11" s="326" t="s">
        <v>1131</v>
      </c>
      <c r="E11" s="327" t="s">
        <v>1132</v>
      </c>
      <c r="F11" s="329" t="s">
        <v>1128</v>
      </c>
    </row>
    <row r="12" spans="2:6" ht="47.25" x14ac:dyDescent="0.2">
      <c r="B12" s="740"/>
      <c r="C12" s="742"/>
      <c r="D12" s="326" t="s">
        <v>1133</v>
      </c>
      <c r="E12" s="327" t="s">
        <v>1134</v>
      </c>
      <c r="F12" s="329" t="s">
        <v>1128</v>
      </c>
    </row>
    <row r="13" spans="2:6" ht="31.5" x14ac:dyDescent="0.2">
      <c r="B13" s="740"/>
      <c r="C13" s="742" t="s">
        <v>1050</v>
      </c>
      <c r="D13" s="326" t="s">
        <v>1135</v>
      </c>
      <c r="E13" s="327" t="s">
        <v>1136</v>
      </c>
      <c r="F13" s="329" t="s">
        <v>1128</v>
      </c>
    </row>
    <row r="14" spans="2:6" ht="32.25" thickBot="1" x14ac:dyDescent="0.25">
      <c r="B14" s="743"/>
      <c r="C14" s="744"/>
      <c r="D14" s="330" t="s">
        <v>1137</v>
      </c>
      <c r="E14" s="331" t="s">
        <v>1138</v>
      </c>
      <c r="F14" s="332" t="s">
        <v>1128</v>
      </c>
    </row>
    <row r="15" spans="2:6" ht="49.5" customHeight="1" x14ac:dyDescent="0.2">
      <c r="B15" s="733" t="s">
        <v>1139</v>
      </c>
      <c r="C15" s="733"/>
      <c r="D15" s="733"/>
      <c r="E15" s="733"/>
      <c r="F15" s="733"/>
    </row>
    <row r="16" spans="2:6" ht="27" customHeight="1" x14ac:dyDescent="0.25">
      <c r="B16" s="33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69" t="s">
        <v>14</v>
      </c>
      <c r="B1" s="469"/>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KN100"/>
  <sheetViews>
    <sheetView showGridLines="0" zoomScale="70" zoomScaleNormal="70" workbookViewId="0">
      <pane xSplit="3" ySplit="10" topLeftCell="D11" activePane="bottomRight" state="frozen"/>
      <selection pane="topRight" activeCell="D1" sqref="D1"/>
      <selection pane="bottomLeft" activeCell="A11" sqref="A11"/>
      <selection pane="bottomRight" activeCell="C1" sqref="C1"/>
    </sheetView>
  </sheetViews>
  <sheetFormatPr baseColWidth="10"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6"/>
      <c r="C1" s="167"/>
      <c r="D1" s="751" t="s">
        <v>469</v>
      </c>
      <c r="E1" s="755" t="s">
        <v>1233</v>
      </c>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5"/>
      <c r="AQ1" s="755"/>
      <c r="AR1" s="755"/>
      <c r="AS1" s="755"/>
      <c r="AT1" s="755"/>
      <c r="AU1" s="755"/>
      <c r="AV1" s="755"/>
      <c r="AW1" s="755"/>
      <c r="AX1" s="755"/>
      <c r="AY1" s="755"/>
      <c r="AZ1" s="755"/>
      <c r="BA1" s="755"/>
      <c r="BB1" s="755"/>
      <c r="BC1" s="755"/>
      <c r="BD1" s="755"/>
      <c r="BE1" s="755"/>
      <c r="BF1" s="755"/>
      <c r="BG1" s="755"/>
      <c r="BH1" s="755"/>
      <c r="BI1" s="755"/>
      <c r="BJ1" s="755"/>
      <c r="BK1" s="755"/>
      <c r="BL1" s="756"/>
      <c r="BM1" s="151" t="s">
        <v>963</v>
      </c>
      <c r="BN1" s="152">
        <v>7</v>
      </c>
    </row>
    <row r="2" spans="1:300" ht="26.25" customHeight="1" x14ac:dyDescent="0.3">
      <c r="A2" s="52"/>
      <c r="B2" s="137"/>
      <c r="C2" s="168"/>
      <c r="D2" s="712"/>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12"/>
      <c r="BM2" s="151" t="s">
        <v>964</v>
      </c>
      <c r="BN2" s="153" t="s">
        <v>1236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64"/>
      <c r="DL2" s="764"/>
    </row>
    <row r="3" spans="1:300" ht="18.75" customHeight="1" x14ac:dyDescent="0.3">
      <c r="A3" s="52"/>
      <c r="B3" s="137"/>
      <c r="C3" s="168"/>
      <c r="D3" s="752" t="s">
        <v>962</v>
      </c>
      <c r="E3" s="758" t="s">
        <v>1234</v>
      </c>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758"/>
      <c r="AJ3" s="758"/>
      <c r="AK3" s="758"/>
      <c r="AL3" s="758"/>
      <c r="AM3" s="758"/>
      <c r="AN3" s="758"/>
      <c r="AO3" s="758"/>
      <c r="AP3" s="758"/>
      <c r="AQ3" s="758"/>
      <c r="AR3" s="758"/>
      <c r="AS3" s="758"/>
      <c r="AT3" s="758"/>
      <c r="AU3" s="758"/>
      <c r="AV3" s="758"/>
      <c r="AW3" s="758"/>
      <c r="AX3" s="758"/>
      <c r="AY3" s="758"/>
      <c r="AZ3" s="758"/>
      <c r="BA3" s="758"/>
      <c r="BB3" s="758"/>
      <c r="BC3" s="758"/>
      <c r="BD3" s="758"/>
      <c r="BE3" s="758"/>
      <c r="BF3" s="758"/>
      <c r="BG3" s="758"/>
      <c r="BH3" s="758"/>
      <c r="BI3" s="758"/>
      <c r="BJ3" s="758"/>
      <c r="BK3" s="758"/>
      <c r="BL3" s="752"/>
      <c r="BM3" s="753" t="s">
        <v>965</v>
      </c>
      <c r="BN3" s="759">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65"/>
      <c r="DL3" s="765"/>
    </row>
    <row r="4" spans="1:300" s="44" customFormat="1" ht="14.25" customHeight="1" x14ac:dyDescent="0.3">
      <c r="A4" s="52"/>
      <c r="B4" s="138"/>
      <c r="C4" s="169"/>
      <c r="D4" s="712"/>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12"/>
      <c r="BM4" s="754"/>
      <c r="BN4" s="760"/>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14"/>
      <c r="C5" s="415"/>
      <c r="D5" s="415"/>
      <c r="E5" s="415" t="s">
        <v>961</v>
      </c>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c r="BE5" s="415"/>
      <c r="BF5" s="415"/>
      <c r="BG5" s="415"/>
      <c r="BH5" s="415"/>
      <c r="BI5" s="415"/>
      <c r="BJ5" s="415"/>
      <c r="BK5" s="415"/>
      <c r="BL5" s="416"/>
      <c r="BM5" s="417"/>
      <c r="BN5" s="418"/>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8" t="s">
        <v>1192</v>
      </c>
      <c r="D6" s="68"/>
      <c r="E6" s="67" t="s">
        <v>456</v>
      </c>
      <c r="F6" s="766" t="str">
        <f>IFERROR(INDEX(Tabla10[],MATCH(C6,Tabla10[PROCESOS],0),2)," ")</f>
        <v>Administrar y satisfacer las necesidades de bienes, servicios e impactos y aspectos ambientales que permitan la continuidad de la operación y funcionamiento de la entidad en cumplimiento de la normatividad vigente.</v>
      </c>
      <c r="G6" s="767"/>
      <c r="H6" s="767"/>
      <c r="I6" s="767"/>
      <c r="J6" s="767"/>
      <c r="K6" s="767"/>
      <c r="L6" s="767"/>
      <c r="M6" s="767"/>
      <c r="N6" s="767"/>
      <c r="O6" s="767"/>
      <c r="P6" s="767"/>
      <c r="Q6" s="767"/>
      <c r="R6" s="767"/>
      <c r="S6" s="76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7"/>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5" customFormat="1" ht="16.5" customHeight="1" x14ac:dyDescent="0.5">
      <c r="B8" s="745" t="s">
        <v>976</v>
      </c>
      <c r="C8" s="746"/>
      <c r="D8" s="746"/>
      <c r="E8" s="366"/>
      <c r="F8" s="366"/>
      <c r="G8" s="367"/>
      <c r="H8" s="368"/>
      <c r="I8" s="369"/>
      <c r="J8" s="369"/>
      <c r="K8" s="369"/>
      <c r="L8" s="369"/>
      <c r="M8" s="369"/>
      <c r="N8" s="369"/>
      <c r="O8" s="369"/>
      <c r="P8" s="369"/>
      <c r="Q8" s="369"/>
      <c r="R8" s="749" t="s">
        <v>167</v>
      </c>
      <c r="S8" s="749"/>
      <c r="T8" s="749"/>
      <c r="U8" s="749"/>
      <c r="V8" s="749"/>
      <c r="W8" s="749"/>
      <c r="X8" s="749"/>
      <c r="Y8" s="749"/>
      <c r="Z8" s="749"/>
      <c r="AA8" s="749"/>
      <c r="AB8" s="749"/>
      <c r="AC8" s="749"/>
      <c r="AD8" s="749"/>
      <c r="AE8" s="749"/>
      <c r="AF8" s="749"/>
      <c r="AG8" s="749"/>
      <c r="AH8" s="749"/>
      <c r="AI8" s="749"/>
      <c r="AJ8" s="749"/>
      <c r="AK8" s="749"/>
      <c r="AL8" s="749"/>
      <c r="AM8" s="749"/>
      <c r="AN8" s="749"/>
      <c r="AO8" s="749"/>
      <c r="AP8" s="749"/>
      <c r="AQ8" s="749"/>
      <c r="AR8" s="749"/>
      <c r="AS8" s="749"/>
      <c r="AT8" s="749"/>
      <c r="AU8" s="749"/>
      <c r="AV8" s="749"/>
      <c r="AW8" s="749"/>
      <c r="AX8" s="749"/>
      <c r="AY8" s="749"/>
      <c r="AZ8" s="749"/>
      <c r="BA8" s="749"/>
      <c r="BB8" s="749"/>
      <c r="BC8" s="749"/>
      <c r="BD8" s="749"/>
      <c r="BE8" s="749"/>
      <c r="BF8" s="749"/>
      <c r="BG8" s="369"/>
      <c r="BH8" s="369"/>
      <c r="BI8" s="369"/>
      <c r="BJ8" s="369"/>
      <c r="BK8" s="369"/>
      <c r="BL8" s="369"/>
      <c r="BM8" s="369"/>
      <c r="BN8" s="37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5" customFormat="1" ht="17.25" customHeight="1" thickBot="1" x14ac:dyDescent="0.3">
      <c r="B9" s="747"/>
      <c r="C9" s="748"/>
      <c r="D9" s="748"/>
      <c r="E9" s="371"/>
      <c r="F9" s="371"/>
      <c r="G9" s="372"/>
      <c r="H9" s="373"/>
      <c r="I9" s="374"/>
      <c r="J9" s="761" t="s">
        <v>26</v>
      </c>
      <c r="K9" s="762"/>
      <c r="L9" s="762"/>
      <c r="M9" s="762"/>
      <c r="N9" s="762"/>
      <c r="O9" s="762"/>
      <c r="P9" s="763"/>
      <c r="Q9" s="375"/>
      <c r="R9" s="750"/>
      <c r="S9" s="750"/>
      <c r="T9" s="750"/>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c r="AT9" s="750"/>
      <c r="AU9" s="750"/>
      <c r="AV9" s="750"/>
      <c r="AW9" s="750"/>
      <c r="AX9" s="750"/>
      <c r="AY9" s="750"/>
      <c r="AZ9" s="750"/>
      <c r="BA9" s="750"/>
      <c r="BB9" s="750"/>
      <c r="BC9" s="750"/>
      <c r="BD9" s="750"/>
      <c r="BE9" s="750"/>
      <c r="BF9" s="750"/>
      <c r="BG9" s="376"/>
      <c r="BH9" s="376"/>
      <c r="BI9" s="376"/>
      <c r="BJ9" s="376"/>
      <c r="BK9" s="376"/>
      <c r="BL9" s="376"/>
      <c r="BM9" s="376"/>
      <c r="BN9" s="37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7" customFormat="1" ht="87.75" customHeight="1" thickBot="1" x14ac:dyDescent="0.3">
      <c r="B10" s="28" t="s">
        <v>159</v>
      </c>
      <c r="C10" s="28" t="s">
        <v>25</v>
      </c>
      <c r="D10" s="378" t="s">
        <v>184</v>
      </c>
      <c r="E10" s="28" t="s">
        <v>418</v>
      </c>
      <c r="F10" s="28" t="s">
        <v>2</v>
      </c>
      <c r="G10" s="28" t="s">
        <v>28</v>
      </c>
      <c r="H10" s="28" t="s">
        <v>154</v>
      </c>
      <c r="I10" s="379" t="s">
        <v>4</v>
      </c>
      <c r="J10" s="28" t="s">
        <v>90</v>
      </c>
      <c r="K10" s="380"/>
      <c r="L10" s="28" t="s">
        <v>91</v>
      </c>
      <c r="M10" s="381"/>
      <c r="N10" s="28" t="s">
        <v>92</v>
      </c>
      <c r="O10" s="381"/>
      <c r="P10" s="28" t="s">
        <v>146</v>
      </c>
      <c r="Q10" s="382"/>
      <c r="R10" s="379" t="s">
        <v>470</v>
      </c>
      <c r="S10" s="383" t="s">
        <v>114</v>
      </c>
      <c r="T10" s="28" t="s">
        <v>481</v>
      </c>
      <c r="U10" s="379" t="s">
        <v>482</v>
      </c>
      <c r="V10" s="28" t="s">
        <v>124</v>
      </c>
      <c r="W10" s="379"/>
      <c r="X10" s="28" t="s">
        <v>125</v>
      </c>
      <c r="Y10" s="379"/>
      <c r="Z10" s="28" t="s">
        <v>126</v>
      </c>
      <c r="AA10" s="379"/>
      <c r="AB10" s="28" t="s">
        <v>127</v>
      </c>
      <c r="AC10" s="379"/>
      <c r="AD10" s="28" t="s">
        <v>977</v>
      </c>
      <c r="AE10" s="379"/>
      <c r="AF10" s="28" t="s">
        <v>128</v>
      </c>
      <c r="AG10" s="379"/>
      <c r="AH10" s="28" t="s">
        <v>129</v>
      </c>
      <c r="AI10" s="379"/>
      <c r="AJ10" s="28" t="s">
        <v>130</v>
      </c>
      <c r="AK10" s="379"/>
      <c r="AL10" s="28" t="s">
        <v>131</v>
      </c>
      <c r="AM10" s="379"/>
      <c r="AN10" s="28" t="s">
        <v>132</v>
      </c>
      <c r="AO10" s="379"/>
      <c r="AP10" s="28" t="s">
        <v>133</v>
      </c>
      <c r="AQ10" s="379"/>
      <c r="AR10" s="28" t="s">
        <v>134</v>
      </c>
      <c r="AS10" s="379"/>
      <c r="AT10" s="28" t="s">
        <v>135</v>
      </c>
      <c r="AU10" s="379"/>
      <c r="AV10" s="28" t="s">
        <v>136</v>
      </c>
      <c r="AW10" s="379"/>
      <c r="AX10" s="28" t="s">
        <v>137</v>
      </c>
      <c r="AY10" s="379"/>
      <c r="AZ10" s="28" t="s">
        <v>138</v>
      </c>
      <c r="BA10" s="379"/>
      <c r="BB10" s="28" t="s">
        <v>139</v>
      </c>
      <c r="BC10" s="379"/>
      <c r="BD10" s="28" t="s">
        <v>140</v>
      </c>
      <c r="BE10" s="379"/>
      <c r="BF10" s="28" t="s">
        <v>141</v>
      </c>
      <c r="BG10" s="379"/>
      <c r="BH10" s="379" t="s">
        <v>471</v>
      </c>
      <c r="BI10" s="384" t="s">
        <v>472</v>
      </c>
      <c r="BJ10" s="379" t="s">
        <v>6</v>
      </c>
      <c r="BK10" s="379" t="s">
        <v>960</v>
      </c>
      <c r="BL10" s="379" t="s">
        <v>155</v>
      </c>
      <c r="BM10" s="379"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56"/>
      <c r="C11" s="198"/>
      <c r="D11" s="199"/>
      <c r="E11" s="37"/>
      <c r="F11" s="178"/>
      <c r="G11" s="157"/>
      <c r="H11" s="23"/>
      <c r="I11" s="19" t="b">
        <f>IF(H11="Posible",3,IF(H11="Rara vez",1,IF(H11="Improbable",2,IF(H11="Probable",4,IF(H11="Casi seguro",5)))))</f>
        <v>0</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56"/>
      <c r="C12" s="179"/>
      <c r="D12" s="197"/>
      <c r="E12" s="195"/>
      <c r="F12" s="196"/>
      <c r="G12" s="173"/>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56"/>
      <c r="C13" s="166"/>
      <c r="D13" s="165"/>
      <c r="E13" s="38"/>
      <c r="F13" s="186"/>
      <c r="G13" s="18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56"/>
      <c r="C14" s="184"/>
      <c r="D14" s="185"/>
      <c r="E14" s="38"/>
      <c r="F14" s="178"/>
      <c r="G14" s="157"/>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56"/>
      <c r="C15" s="158"/>
      <c r="D15" s="165"/>
      <c r="E15" s="38"/>
      <c r="F15" s="157"/>
      <c r="G15" s="157"/>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56"/>
      <c r="C16" s="158"/>
      <c r="D16" s="165"/>
      <c r="E16" s="38"/>
      <c r="F16" s="178"/>
      <c r="G16" s="157"/>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56"/>
      <c r="C17" s="188"/>
      <c r="D17" s="185"/>
      <c r="E17" s="38"/>
      <c r="F17" s="157"/>
      <c r="G17" s="157"/>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56"/>
      <c r="C18" s="158"/>
      <c r="D18" s="194"/>
      <c r="E18" s="38"/>
      <c r="F18" s="157"/>
      <c r="G18" s="157"/>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56"/>
      <c r="C19" s="129"/>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56"/>
      <c r="C20" s="129"/>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56"/>
      <c r="C21" s="129"/>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56"/>
      <c r="C22" s="129"/>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56"/>
      <c r="C23" s="129"/>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56"/>
      <c r="C24" s="129"/>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29"/>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29"/>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29"/>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29"/>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29"/>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29"/>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29"/>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29"/>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29"/>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29"/>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29"/>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29"/>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29"/>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29"/>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29"/>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29"/>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29"/>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29"/>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29"/>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29"/>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29"/>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29"/>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29"/>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29"/>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29"/>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29"/>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29"/>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29"/>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29"/>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29"/>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29"/>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29"/>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29"/>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29"/>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29"/>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29"/>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29"/>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29"/>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29"/>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29"/>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29"/>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29"/>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29"/>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29"/>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29"/>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29"/>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29"/>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29"/>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29"/>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29"/>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29"/>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29"/>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29"/>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29"/>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29"/>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29"/>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29"/>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29"/>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29"/>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29"/>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29"/>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29"/>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29"/>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29"/>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29"/>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29"/>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29"/>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29"/>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29"/>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29"/>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29"/>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29"/>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29"/>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29"/>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29"/>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29"/>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oqAvb9BlHyDIqmsWJgP1JBLmbSZd8S+jdszBpA1S862VaWVfaLdC83t58FZYY82Xe3LZuvEGHz4wCZHVgyfmoA==" saltValue="0f2XZnnjnXnCDNAPOBSlSw==" spinCount="100000" sheet="1" objects="1" scenarios="1"/>
  <autoFilter ref="B10:BN100" xr:uid="{00000000-0009-0000-0000-000013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3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Hoja1!$A$1:$A$14</xm:f>
          </x14:formula1>
          <xm:sqref>C6</xm:sqref>
        </x14:dataValidation>
        <x14:dataValidation type="list" allowBlank="1" showInputMessage="1" showErrorMessage="1" xr:uid="{00000000-0002-0000-1300-000002000000}">
          <x14:formula1>
            <xm:f>'VALIDACIÓN DE DATOS'!$E$2:$E$201</xm:f>
          </x14:formula1>
          <xm:sqref>B11:B100</xm:sqref>
        </x14:dataValidation>
        <x14:dataValidation type="list" allowBlank="1" showInputMessage="1" showErrorMessage="1" xr:uid="{00000000-0002-0000-1300-000003000000}">
          <x14:formula1>
            <xm:f>'VALIDACIÓN DE DATOS'!$Q$2:$Q$6</xm:f>
          </x14:formula1>
          <xm:sqref>L11:L100 N11:N100 P11:P100 H11:H100 J11:J100</xm:sqref>
        </x14:dataValidation>
        <x14:dataValidation type="list" allowBlank="1" showInputMessage="1" showErrorMessage="1" xr:uid="{00000000-0002-0000-1300-000004000000}">
          <x14:formula1>
            <xm:f>'VALIDACIÓN DE DATOS'!$O$10:$O$11</xm:f>
          </x14:formula1>
          <xm:sqref>E11:E100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Y65540"/>
  <sheetViews>
    <sheetView showGridLines="0" topLeftCell="B1" zoomScale="50" zoomScaleNormal="50" workbookViewId="0">
      <pane xSplit="5" ySplit="9" topLeftCell="G10" activePane="bottomRight" state="frozen"/>
      <selection activeCell="B1" sqref="B1"/>
      <selection pane="topRight" activeCell="G1" sqref="G1"/>
      <selection pane="bottomLeft" activeCell="B10" sqref="B10"/>
      <selection pane="bottomRight" activeCell="G12" sqref="G12:G13"/>
    </sheetView>
  </sheetViews>
  <sheetFormatPr baseColWidth="10" defaultRowHeight="15" x14ac:dyDescent="0.3"/>
  <cols>
    <col min="1" max="1" width="9" style="39" hidden="1" customWidth="1"/>
    <col min="2" max="2" width="1.85546875" style="122"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x14ac:dyDescent="0.3">
      <c r="B1" s="120"/>
      <c r="C1" s="136"/>
      <c r="D1" s="140"/>
      <c r="E1" s="170"/>
      <c r="F1" s="769" t="s">
        <v>469</v>
      </c>
      <c r="G1" s="713" t="s">
        <v>1233</v>
      </c>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153" t="s">
        <v>963</v>
      </c>
      <c r="AZ1" s="152">
        <v>7</v>
      </c>
    </row>
    <row r="2" spans="1:233" ht="29.25" customHeight="1" x14ac:dyDescent="0.3">
      <c r="B2" s="121"/>
      <c r="C2" s="137"/>
      <c r="D2"/>
      <c r="E2" s="171"/>
      <c r="F2" s="770"/>
      <c r="G2" s="713"/>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c r="AT2" s="771"/>
      <c r="AU2" s="771"/>
      <c r="AV2" s="771"/>
      <c r="AW2" s="771"/>
      <c r="AX2" s="771"/>
      <c r="AY2" s="153" t="s">
        <v>964</v>
      </c>
      <c r="AZ2" s="153" t="s">
        <v>1237</v>
      </c>
    </row>
    <row r="3" spans="1:233" ht="30.75" customHeight="1" x14ac:dyDescent="0.3">
      <c r="B3" s="121"/>
      <c r="C3" s="141"/>
      <c r="D3" s="142"/>
      <c r="E3" s="172"/>
      <c r="F3" s="164" t="s">
        <v>962</v>
      </c>
      <c r="G3" s="772" t="s">
        <v>1234</v>
      </c>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13"/>
      <c r="AY3" s="153" t="s">
        <v>965</v>
      </c>
      <c r="AZ3" s="154">
        <v>45139</v>
      </c>
    </row>
    <row r="4" spans="1:233" ht="23.25" customHeight="1" x14ac:dyDescent="0.3">
      <c r="B4" s="121"/>
      <c r="C4" s="419"/>
      <c r="D4" s="420"/>
      <c r="E4" s="421"/>
      <c r="F4" s="421"/>
      <c r="G4" s="422" t="s">
        <v>961</v>
      </c>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12"/>
    </row>
    <row r="5" spans="1:233" s="43" customFormat="1" ht="39.75" customHeight="1" x14ac:dyDescent="0.25">
      <c r="B5" s="122"/>
      <c r="C5" s="66" t="s">
        <v>232</v>
      </c>
      <c r="D5" s="128" t="str">
        <f>'Riesgos de Corrupción'!C6</f>
        <v xml:space="preserve">Gestión Administrativa </v>
      </c>
      <c r="E5" s="71"/>
      <c r="F5" s="69" t="s">
        <v>234</v>
      </c>
      <c r="G5" s="793" t="str">
        <f>'Riesgos de Corrupción'!F6</f>
        <v>Administrar y satisfacer las necesidades de bienes, servicios e impactos y aspectos ambientales que permitan la continuidad de la operación y funcionamiento de la entidad en cumplimiento de la normatividad vigente.</v>
      </c>
      <c r="H5" s="794"/>
      <c r="I5" s="794"/>
      <c r="J5" s="794"/>
      <c r="K5" s="794"/>
      <c r="L5" s="794"/>
      <c r="M5" s="794"/>
      <c r="N5" s="794"/>
      <c r="O5" s="794"/>
      <c r="P5" s="794"/>
      <c r="Q5" s="794"/>
      <c r="R5" s="794"/>
      <c r="S5" s="795"/>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5" customFormat="1" ht="28.5" customHeight="1" thickBot="1" x14ac:dyDescent="0.3">
      <c r="A7" s="385"/>
      <c r="B7" s="386"/>
      <c r="C7" s="773" t="s">
        <v>959</v>
      </c>
      <c r="D7" s="774"/>
      <c r="E7" s="775"/>
      <c r="F7" s="779" t="s">
        <v>168</v>
      </c>
      <c r="G7" s="779"/>
      <c r="H7" s="779"/>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79"/>
      <c r="AY7" s="779"/>
      <c r="AZ7" s="780"/>
    </row>
    <row r="8" spans="1:233" s="365" customFormat="1" ht="31.5" customHeight="1" thickBot="1" x14ac:dyDescent="0.3">
      <c r="A8" s="387"/>
      <c r="B8" s="386"/>
      <c r="C8" s="776"/>
      <c r="D8" s="777"/>
      <c r="E8" s="778"/>
      <c r="F8" s="781" t="s">
        <v>80</v>
      </c>
      <c r="G8" s="781"/>
      <c r="H8" s="781"/>
      <c r="I8" s="781"/>
      <c r="J8" s="781"/>
      <c r="K8" s="781"/>
      <c r="L8" s="781"/>
      <c r="M8" s="781"/>
      <c r="N8" s="781"/>
      <c r="O8" s="781"/>
      <c r="P8" s="781"/>
      <c r="Q8" s="781"/>
      <c r="R8" s="781"/>
      <c r="S8" s="781"/>
      <c r="T8" s="781"/>
      <c r="U8" s="781"/>
      <c r="V8" s="781"/>
      <c r="W8" s="781"/>
      <c r="X8" s="782"/>
      <c r="Y8" s="783" t="s">
        <v>142</v>
      </c>
      <c r="Z8" s="784"/>
      <c r="AA8" s="784"/>
      <c r="AB8" s="784"/>
      <c r="AC8" s="784"/>
      <c r="AD8" s="784"/>
      <c r="AE8" s="785"/>
      <c r="AF8" s="786" t="s">
        <v>77</v>
      </c>
      <c r="AG8" s="781"/>
      <c r="AH8" s="781"/>
      <c r="AI8" s="781"/>
      <c r="AJ8" s="781"/>
      <c r="AK8" s="781"/>
      <c r="AL8" s="781"/>
      <c r="AM8" s="781"/>
      <c r="AN8" s="781"/>
      <c r="AO8" s="781"/>
      <c r="AP8" s="781"/>
      <c r="AQ8" s="781"/>
      <c r="AR8" s="782"/>
      <c r="AS8" s="787" t="s">
        <v>466</v>
      </c>
      <c r="AT8" s="788"/>
      <c r="AU8" s="788"/>
      <c r="AV8" s="789"/>
      <c r="AW8" s="790" t="s">
        <v>153</v>
      </c>
      <c r="AX8" s="791"/>
      <c r="AY8" s="791"/>
      <c r="AZ8" s="792"/>
    </row>
    <row r="9" spans="1:233" s="377" customFormat="1" ht="97.5" customHeight="1" thickBot="1" x14ac:dyDescent="0.3">
      <c r="A9" s="388" t="s">
        <v>206</v>
      </c>
      <c r="B9" s="386"/>
      <c r="C9" s="28" t="s">
        <v>187</v>
      </c>
      <c r="D9" s="389" t="s">
        <v>544</v>
      </c>
      <c r="E9" s="390" t="s">
        <v>235</v>
      </c>
      <c r="F9" s="391" t="s">
        <v>88</v>
      </c>
      <c r="G9" s="28" t="s">
        <v>147</v>
      </c>
      <c r="H9" s="28" t="s">
        <v>148</v>
      </c>
      <c r="I9" s="28" t="s">
        <v>186</v>
      </c>
      <c r="J9" s="28"/>
      <c r="K9" s="28" t="s">
        <v>109</v>
      </c>
      <c r="L9" s="392"/>
      <c r="M9" s="28" t="s">
        <v>110</v>
      </c>
      <c r="N9" s="28"/>
      <c r="O9" s="28" t="s">
        <v>169</v>
      </c>
      <c r="P9" s="28"/>
      <c r="Q9" s="28" t="s">
        <v>111</v>
      </c>
      <c r="R9" s="28"/>
      <c r="S9" s="28" t="s">
        <v>112</v>
      </c>
      <c r="T9" s="28"/>
      <c r="U9" s="28" t="s">
        <v>113</v>
      </c>
      <c r="V9" s="393"/>
      <c r="W9" s="379" t="s">
        <v>79</v>
      </c>
      <c r="X9" s="379" t="s">
        <v>87</v>
      </c>
      <c r="Y9" s="379" t="s">
        <v>205</v>
      </c>
      <c r="Z9" s="28" t="s">
        <v>204</v>
      </c>
      <c r="AA9" s="379" t="s">
        <v>973</v>
      </c>
      <c r="AB9" s="379" t="s">
        <v>144</v>
      </c>
      <c r="AC9" s="379" t="s">
        <v>143</v>
      </c>
      <c r="AD9" s="379" t="s">
        <v>165</v>
      </c>
      <c r="AE9" s="379" t="s">
        <v>166</v>
      </c>
      <c r="AF9" s="379" t="s">
        <v>89</v>
      </c>
      <c r="AG9" s="394" t="s">
        <v>457</v>
      </c>
      <c r="AH9" s="379" t="s">
        <v>464</v>
      </c>
      <c r="AI9" s="379" t="s">
        <v>460</v>
      </c>
      <c r="AJ9" s="379" t="s">
        <v>458</v>
      </c>
      <c r="AK9" s="379" t="s">
        <v>465</v>
      </c>
      <c r="AL9" s="379" t="s">
        <v>461</v>
      </c>
      <c r="AM9" s="379" t="s">
        <v>149</v>
      </c>
      <c r="AN9" s="379" t="s">
        <v>78</v>
      </c>
      <c r="AO9" s="28" t="s">
        <v>463</v>
      </c>
      <c r="AP9" s="28" t="s">
        <v>151</v>
      </c>
      <c r="AQ9" s="28" t="s">
        <v>150</v>
      </c>
      <c r="AR9" s="28" t="s">
        <v>152</v>
      </c>
      <c r="AS9" s="28" t="s">
        <v>203</v>
      </c>
      <c r="AT9" s="28" t="s">
        <v>467</v>
      </c>
      <c r="AU9" s="28" t="s">
        <v>468</v>
      </c>
      <c r="AV9" s="28" t="s">
        <v>966</v>
      </c>
      <c r="AW9" s="28" t="s">
        <v>158</v>
      </c>
      <c r="AX9" s="28" t="s">
        <v>1228</v>
      </c>
      <c r="AY9" s="28" t="s">
        <v>1229</v>
      </c>
      <c r="AZ9" s="28" t="s">
        <v>1230</v>
      </c>
      <c r="BA9" s="395"/>
      <c r="BB9" s="395"/>
    </row>
    <row r="10" spans="1:233" s="40" customFormat="1" ht="130.5" customHeight="1" x14ac:dyDescent="0.25">
      <c r="A10" s="21"/>
      <c r="B10" s="124" t="str">
        <f>C10&amp;"-"&amp;E10</f>
        <v>-</v>
      </c>
      <c r="C10" s="180"/>
      <c r="D10" s="160"/>
      <c r="E10" s="161"/>
      <c r="F10" s="179"/>
      <c r="G10" s="37"/>
      <c r="H10" s="23"/>
      <c r="I10" s="18"/>
      <c r="J10" s="80">
        <f>IF(I10="Asignado",15,IF(I10="No asignado",0,IF(I10=0,0)))</f>
        <v>0</v>
      </c>
      <c r="K10" s="18"/>
      <c r="L10" s="80">
        <f>IF(K10="Adecuado",15,IF(K10="Inadecuado",0,IF(I10=0,0)))</f>
        <v>0</v>
      </c>
      <c r="M10" s="18"/>
      <c r="N10" s="80">
        <f>IF(M10="Oportuna",15,IF(M10="Inoportuna",0,IF(I10=0,0)))</f>
        <v>0</v>
      </c>
      <c r="O10" s="18"/>
      <c r="P10" s="80">
        <f t="shared" ref="P10:P72" si="0">IF(O10="Prevenir",15,IF(O10="Detectar",10,IF(O10="No es un control",0,IF(I10=0,0))))</f>
        <v>0</v>
      </c>
      <c r="Q10" s="18"/>
      <c r="R10" s="80">
        <f t="shared" ref="R10:R72" si="1">IF(Q10="Confiable",15,IF(Q10="No confiable",0,IF(I10=0,0)))</f>
        <v>0</v>
      </c>
      <c r="S10" s="18"/>
      <c r="T10" s="80">
        <f t="shared" ref="T10:T72" si="2">IF(S10="Se investigan y resuelven oportunamente",15,IF(S10="No se investigan y resuelven oportunamente",0,IF(I10=0,0)))</f>
        <v>0</v>
      </c>
      <c r="U10" s="18"/>
      <c r="V10" s="80">
        <f t="shared" ref="V10:V72" si="3">IF(U10="Completa",10,IF(U10="Incompleta",5,IF(U10="No existe",0,IF(I10=0,0))))</f>
        <v>0</v>
      </c>
      <c r="W10" s="22" t="str">
        <f t="shared" ref="W10:W72" si="4">IF(G10=0," ",IF((J10+L10+N10+P10+R10+T10+V10)&gt;=0,(J10+L10+N10+P10+R10+T10+V10)))</f>
        <v xml:space="preserve"> </v>
      </c>
      <c r="X10" s="22" t="str">
        <f>IF(W10=" "," ",IF(AND(W10&gt;=0,W10&lt;=85),"Débil",IF(AND(W10&gt;=86,W10&lt;=95),"Moderado",IF(AND(W10&gt;=96,W10&lt;=100),"Fuerte"," "))))</f>
        <v xml:space="preserve"> </v>
      </c>
      <c r="Y10" s="22" t="str">
        <f t="shared" ref="Y10:Y72" si="5">IF(Z10="Siempre se ejecuta", 100,IF(Z10="Algunas veces se ejecuta",50,IF(Z10="No se ejecuta",0,"")))</f>
        <v/>
      </c>
      <c r="Z10" s="24"/>
      <c r="AA10" s="22" t="str">
        <f>IF(Z10="Siempre se ejecuta","Fuerte",IF(Z10="Algunas veces se ejecuta","Moderado",IF(Z10="No se ejecuta", "Débil","")))</f>
        <v/>
      </c>
      <c r="AB10" s="22" t="str">
        <f>IF(AND(X10="Fuerte",AA10="Fuerte"),"Fuerte",IF(AND(X10="Fuerte",AA10="Moderado"),"Moderado",IF(AND(X10="Fuerte",AA10="Débil"),"Débil",IF(AND(X10="Moderado",AA10="Moderado"),"Moderado",IF(AND(X10="Moderado",AA10="Fuerte"),"Moderado",IF(AND(X10="Moderado",AA10="Débil"),"Débil",IF(X10="Débil","Débil"," ")))))))</f>
        <v xml:space="preserve"> </v>
      </c>
      <c r="AC10" s="22" t="str">
        <f>IF(AB10="Fuerte","No",IF(AB10="Moderado","Sí",IF(AB10="Débil","Sí","")))</f>
        <v/>
      </c>
      <c r="AD10" s="22" t="str">
        <f>IFERROR(IF(Y10=" "," ",IF(Y10&gt;=0,(W10+Y10)/2))," ")</f>
        <v xml:space="preserve"> </v>
      </c>
      <c r="AE10" s="135" t="str">
        <f t="shared" ref="AE10:AE76" si="6">IFERROR(IF(AD10=" "," ",IF(AVERAGE($AD$10:$AD$252)&gt;=0,AVERAGEIFS($AD$10:$AD$251,$C$10:$C$251,C10))),"  ")</f>
        <v xml:space="preserve"> </v>
      </c>
      <c r="AF10" s="22" t="str">
        <f>IF(AE10=" "," ",IF(AE10=100,"Fuerte",IF(AE10&lt;50,"Débil",IF(AE10&gt;49,"Moderado"," "))))</f>
        <v xml:space="preserve"> </v>
      </c>
      <c r="AG10" s="50">
        <f>IF(OR(AND(AF10="Fuerte",G10="No disminuye"),AND(AF10="Moderado",G10="No disminuye")),0,IF(AND(AF10="Fuerte",G10="Directamente"),2,IF(AND(AF10="Moderado",G10="Directamente"),1,0)))</f>
        <v>0</v>
      </c>
      <c r="AH10" s="134" t="str">
        <f t="shared" ref="AH10:AH76" si="7">IFERROR(AVERAGEIFS($AG$10:$AG$251,$C$10:$C$251,C10)," ")</f>
        <v xml:space="preserve"> </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 xml:space="preserve"> </v>
      </c>
      <c r="AJ10" s="8" t="str">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 xml:space="preserve"> </v>
      </c>
      <c r="AK10" s="200" t="str">
        <f t="shared" ref="AK10:AK76" si="8">IFERROR(AVERAGEIFS($AJ$10:$AJ$251,$C$10:$C$251,C10)," ")</f>
        <v xml:space="preserve"> </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 xml:space="preserve"> </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 xml:space="preserve"> </v>
      </c>
      <c r="AN10" s="22" t="str">
        <f>IF(AM10="Zona Moderada","Reducir riesgo",IF(AM10="Zona Alta","Compartir riesgo",IF(AM10="Zona Extrema","Evitar riesgo"," ")))</f>
        <v xml:space="preserve"> </v>
      </c>
      <c r="AO10" s="173"/>
      <c r="AP10" s="27"/>
      <c r="AQ10" s="18"/>
      <c r="AR10" s="174"/>
      <c r="AS10" s="181"/>
      <c r="AT10" s="181"/>
      <c r="AU10" s="174"/>
      <c r="AV10" s="174"/>
      <c r="AW10" s="18"/>
      <c r="AX10" s="159"/>
      <c r="AY10" s="191"/>
      <c r="AZ10" s="159"/>
    </row>
    <row r="11" spans="1:233" s="40" customFormat="1" ht="129.75" customHeight="1" x14ac:dyDescent="0.25">
      <c r="A11" s="21"/>
      <c r="B11" s="124" t="str">
        <f t="shared" ref="B11:B73" si="9">C11&amp;"-"&amp;E11</f>
        <v>-</v>
      </c>
      <c r="C11" s="180"/>
      <c r="D11" s="160"/>
      <c r="E11" s="161"/>
      <c r="F11" s="179"/>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7"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00"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73"/>
      <c r="AP11" s="27"/>
      <c r="AQ11" s="18"/>
      <c r="AR11" s="174"/>
      <c r="AS11" s="181"/>
      <c r="AT11" s="181"/>
      <c r="AU11" s="174"/>
      <c r="AV11" s="174"/>
      <c r="AW11" s="18"/>
      <c r="AX11" s="159"/>
      <c r="AY11" s="192"/>
      <c r="AZ11" s="159"/>
    </row>
    <row r="12" spans="1:233" s="40" customFormat="1" ht="150" customHeight="1" x14ac:dyDescent="0.25">
      <c r="A12" s="21"/>
      <c r="B12" s="124" t="str">
        <f t="shared" si="9"/>
        <v>-</v>
      </c>
      <c r="C12" s="180"/>
      <c r="D12" s="160"/>
      <c r="E12" s="161"/>
      <c r="F12" s="179"/>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7"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00"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73"/>
      <c r="AP12" s="18"/>
      <c r="AQ12" s="18"/>
      <c r="AR12" s="174"/>
      <c r="AS12" s="181"/>
      <c r="AT12" s="181"/>
      <c r="AU12" s="174"/>
      <c r="AV12" s="174"/>
      <c r="AW12" s="18"/>
      <c r="AX12" s="159"/>
      <c r="AY12" s="159"/>
      <c r="AZ12" s="159"/>
    </row>
    <row r="13" spans="1:233" s="40" customFormat="1" ht="140.25" customHeight="1" x14ac:dyDescent="0.25">
      <c r="A13" s="21"/>
      <c r="B13" s="124" t="str">
        <f>C13&amp;"-"&amp;E13</f>
        <v>-</v>
      </c>
      <c r="C13" s="180"/>
      <c r="D13" s="160"/>
      <c r="E13" s="161"/>
      <c r="F13" s="179"/>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7"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75"/>
      <c r="AP13" s="195"/>
      <c r="AQ13" s="18"/>
      <c r="AR13" s="174"/>
      <c r="AS13" s="181"/>
      <c r="AT13" s="174"/>
      <c r="AU13" s="174"/>
      <c r="AV13" s="18"/>
      <c r="AW13" s="18"/>
      <c r="AX13" s="157"/>
      <c r="AY13" s="201"/>
      <c r="AZ13" s="21"/>
    </row>
    <row r="14" spans="1:233" s="40" customFormat="1" ht="136.5" customHeight="1" x14ac:dyDescent="0.25">
      <c r="A14" s="21"/>
      <c r="B14" s="124" t="str">
        <f>C14&amp;"-"&amp;E14</f>
        <v>-</v>
      </c>
      <c r="C14" s="180"/>
      <c r="D14" s="160"/>
      <c r="E14" s="161"/>
      <c r="F14" s="179"/>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7"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75"/>
      <c r="AP14" s="195"/>
      <c r="AQ14" s="18"/>
      <c r="AR14" s="174"/>
      <c r="AS14" s="181"/>
      <c r="AT14" s="174"/>
      <c r="AU14" s="174"/>
      <c r="AV14" s="18"/>
      <c r="AW14" s="18"/>
      <c r="AX14" s="159"/>
      <c r="AY14" s="201"/>
      <c r="AZ14" s="21"/>
    </row>
    <row r="15" spans="1:233" s="40" customFormat="1" ht="122.25" customHeight="1" x14ac:dyDescent="0.25">
      <c r="A15" s="21"/>
      <c r="B15" s="124" t="str">
        <f>C15&amp;"-"&amp;E15</f>
        <v>-</v>
      </c>
      <c r="C15" s="180"/>
      <c r="D15" s="160"/>
      <c r="E15" s="161"/>
      <c r="F15" s="179"/>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7"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75"/>
      <c r="AP15" s="18"/>
      <c r="AQ15" s="18"/>
      <c r="AR15" s="174"/>
      <c r="AS15" s="181"/>
      <c r="AT15" s="181"/>
      <c r="AU15" s="174"/>
      <c r="AV15" s="174"/>
      <c r="AW15" s="18"/>
      <c r="AX15" s="159"/>
      <c r="AY15" s="159"/>
      <c r="AZ15" s="21"/>
    </row>
    <row r="16" spans="1:233" s="40" customFormat="1" ht="157.5" customHeight="1" x14ac:dyDescent="0.25">
      <c r="A16" s="21"/>
      <c r="B16" s="124" t="str">
        <f t="shared" si="9"/>
        <v>-</v>
      </c>
      <c r="C16" s="180"/>
      <c r="D16" s="160"/>
      <c r="E16" s="161"/>
      <c r="F16" s="166"/>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7"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73"/>
      <c r="AP16" s="27"/>
      <c r="AQ16" s="18"/>
      <c r="AR16" s="174"/>
      <c r="AS16" s="174"/>
      <c r="AT16" s="174"/>
      <c r="AU16" s="174"/>
      <c r="AV16" s="174"/>
      <c r="AW16" s="175"/>
      <c r="AX16" s="175"/>
      <c r="AY16" s="175"/>
      <c r="AZ16" s="175"/>
    </row>
    <row r="17" spans="1:52" s="40" customFormat="1" ht="153" customHeight="1" x14ac:dyDescent="0.25">
      <c r="A17" s="21"/>
      <c r="B17" s="125" t="str">
        <f t="shared" si="9"/>
        <v>-</v>
      </c>
      <c r="C17" s="180"/>
      <c r="D17" s="160"/>
      <c r="E17" s="161"/>
      <c r="F17" s="158"/>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7"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5"/>
      <c r="AP17" s="18"/>
      <c r="AQ17" s="18"/>
      <c r="AR17" s="174"/>
      <c r="AS17" s="174"/>
      <c r="AT17" s="174"/>
      <c r="AU17" s="174"/>
      <c r="AV17" s="174"/>
      <c r="AW17" s="175"/>
      <c r="AX17" s="175"/>
      <c r="AY17" s="175"/>
      <c r="AZ17" s="175"/>
    </row>
    <row r="18" spans="1:52" s="40" customFormat="1" ht="126.75" customHeight="1" x14ac:dyDescent="0.25">
      <c r="A18" s="21"/>
      <c r="B18" s="124" t="str">
        <f t="shared" si="9"/>
        <v>-</v>
      </c>
      <c r="C18" s="180"/>
      <c r="D18" s="160"/>
      <c r="E18" s="161"/>
      <c r="F18" s="193"/>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7"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74"/>
      <c r="AS18" s="174"/>
      <c r="AT18" s="174"/>
      <c r="AU18" s="18"/>
      <c r="AV18" s="174"/>
      <c r="AW18" s="175"/>
      <c r="AX18" s="175"/>
      <c r="AY18" s="159"/>
      <c r="AZ18" s="159"/>
    </row>
    <row r="19" spans="1:52" s="40" customFormat="1" ht="144" customHeight="1" x14ac:dyDescent="0.25">
      <c r="A19" s="21"/>
      <c r="B19" s="124" t="str">
        <f t="shared" si="9"/>
        <v>-</v>
      </c>
      <c r="C19" s="180"/>
      <c r="D19" s="160"/>
      <c r="E19" s="161"/>
      <c r="F19" s="158"/>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7"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59"/>
      <c r="AP19" s="159"/>
      <c r="AQ19" s="23"/>
      <c r="AR19" s="20"/>
      <c r="AS19" s="159"/>
      <c r="AT19" s="23"/>
      <c r="AU19" s="159"/>
      <c r="AV19" s="23"/>
      <c r="AW19" s="159"/>
      <c r="AX19" s="159"/>
      <c r="AY19" s="159"/>
      <c r="AZ19" s="175"/>
    </row>
    <row r="20" spans="1:52" s="48" customFormat="1" ht="131.25" customHeight="1" x14ac:dyDescent="0.3">
      <c r="A20" s="75"/>
      <c r="B20" s="124" t="str">
        <f t="shared" si="9"/>
        <v>-</v>
      </c>
      <c r="C20" s="180"/>
      <c r="D20" s="160"/>
      <c r="E20" s="161"/>
      <c r="F20" s="158"/>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7"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59"/>
      <c r="AP20" s="159"/>
      <c r="AQ20" s="23"/>
      <c r="AR20" s="23"/>
      <c r="AS20" s="159"/>
      <c r="AT20" s="23"/>
      <c r="AU20" s="159"/>
      <c r="AV20" s="23"/>
      <c r="AW20" s="159"/>
      <c r="AX20" s="159"/>
      <c r="AY20" s="159"/>
      <c r="AZ20" s="175"/>
    </row>
    <row r="21" spans="1:52" s="48" customFormat="1" ht="138.75" customHeight="1" x14ac:dyDescent="0.3">
      <c r="A21" s="75"/>
      <c r="B21" s="124" t="str">
        <f t="shared" si="9"/>
        <v>-</v>
      </c>
      <c r="C21" s="180"/>
      <c r="D21" s="160"/>
      <c r="E21" s="161"/>
      <c r="F21" s="158"/>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7"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59"/>
      <c r="AP21" s="159"/>
      <c r="AQ21" s="159"/>
      <c r="AR21" s="23"/>
      <c r="AS21" s="159"/>
      <c r="AT21" s="159"/>
      <c r="AU21" s="23"/>
      <c r="AV21" s="23"/>
      <c r="AW21" s="159"/>
      <c r="AX21" s="182"/>
      <c r="AY21" s="182"/>
      <c r="AZ21" s="159"/>
    </row>
    <row r="22" spans="1:52" s="48" customFormat="1" ht="183" customHeight="1" x14ac:dyDescent="0.3">
      <c r="A22" s="75"/>
      <c r="B22" s="124" t="str">
        <f t="shared" si="9"/>
        <v>-</v>
      </c>
      <c r="C22" s="180"/>
      <c r="D22" s="160"/>
      <c r="E22" s="161"/>
      <c r="F22" s="18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7"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82"/>
      <c r="AP22" s="182"/>
      <c r="AQ22" s="182"/>
      <c r="AR22" s="21"/>
      <c r="AS22" s="182"/>
      <c r="AT22" s="159"/>
      <c r="AU22" s="23"/>
      <c r="AV22" s="21"/>
      <c r="AW22" s="159"/>
      <c r="AX22" s="159"/>
      <c r="AY22" s="159"/>
      <c r="AZ22" s="159"/>
    </row>
    <row r="23" spans="1:52" ht="199.5" customHeight="1" x14ac:dyDescent="0.3">
      <c r="B23" s="124" t="str">
        <f t="shared" si="9"/>
        <v>-</v>
      </c>
      <c r="C23" s="180"/>
      <c r="D23" s="160"/>
      <c r="E23" s="161"/>
      <c r="F23" s="158"/>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7"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57"/>
      <c r="AP23" s="24"/>
      <c r="AQ23" s="159"/>
      <c r="AR23" s="20"/>
      <c r="AS23" s="183"/>
      <c r="AT23" s="20"/>
      <c r="AU23" s="20"/>
      <c r="AV23" s="20"/>
      <c r="AW23" s="159"/>
      <c r="AX23" s="23"/>
      <c r="AY23" s="159"/>
      <c r="AZ23" s="159"/>
    </row>
    <row r="24" spans="1:52" ht="210.75" customHeight="1" x14ac:dyDescent="0.3">
      <c r="B24" s="124" t="str">
        <f t="shared" si="9"/>
        <v>-</v>
      </c>
      <c r="C24" s="180"/>
      <c r="D24" s="160"/>
      <c r="E24" s="161"/>
      <c r="F24" s="158"/>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7"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57"/>
      <c r="AP24" s="24"/>
      <c r="AQ24" s="23"/>
      <c r="AR24" s="20"/>
      <c r="AS24" s="183"/>
      <c r="AT24" s="20"/>
      <c r="AU24" s="20"/>
      <c r="AV24" s="20"/>
      <c r="AW24" s="159"/>
      <c r="AX24" s="159"/>
      <c r="AY24" s="159"/>
      <c r="AZ24" s="159"/>
    </row>
    <row r="25" spans="1:52" ht="208.5" customHeight="1" x14ac:dyDescent="0.3">
      <c r="B25" s="124" t="str">
        <f t="shared" si="9"/>
        <v>-</v>
      </c>
      <c r="C25" s="180"/>
      <c r="D25" s="160"/>
      <c r="E25" s="161"/>
      <c r="F25" s="158"/>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7"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59"/>
      <c r="AP25" s="23"/>
      <c r="AQ25" s="23"/>
      <c r="AR25" s="20"/>
      <c r="AS25" s="183"/>
      <c r="AT25" s="20"/>
      <c r="AU25" s="20"/>
      <c r="AV25" s="20"/>
      <c r="AW25" s="159"/>
      <c r="AX25" s="159"/>
      <c r="AY25" s="159"/>
      <c r="AZ25" s="159"/>
    </row>
    <row r="26" spans="1:52" ht="208.5" customHeight="1" x14ac:dyDescent="0.3">
      <c r="B26" s="124" t="str">
        <f t="shared" si="9"/>
        <v>-</v>
      </c>
      <c r="C26" s="180"/>
      <c r="D26" s="160"/>
      <c r="E26" s="161"/>
      <c r="F26" s="158"/>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7"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59"/>
      <c r="AP26" s="190"/>
      <c r="AQ26" s="23"/>
      <c r="AR26" s="20"/>
      <c r="AS26" s="183"/>
      <c r="AT26" s="20"/>
      <c r="AU26" s="20"/>
      <c r="AV26" s="20"/>
      <c r="AW26" s="159"/>
      <c r="AX26" s="159"/>
      <c r="AY26" s="159"/>
      <c r="AZ26" s="159"/>
    </row>
    <row r="27" spans="1:52" ht="212.25" customHeight="1" x14ac:dyDescent="0.3">
      <c r="B27" s="124" t="str">
        <f t="shared" si="9"/>
        <v>-</v>
      </c>
      <c r="C27" s="180"/>
      <c r="D27" s="160"/>
      <c r="E27" s="161"/>
      <c r="F27" s="158"/>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7"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59"/>
      <c r="AP27" s="23"/>
      <c r="AQ27" s="23"/>
      <c r="AR27" s="20"/>
      <c r="AS27" s="183"/>
      <c r="AT27" s="20"/>
      <c r="AU27" s="20"/>
      <c r="AV27" s="20"/>
      <c r="AW27" s="159"/>
      <c r="AX27" s="159"/>
      <c r="AY27" s="159"/>
      <c r="AZ27" s="159"/>
    </row>
    <row r="28" spans="1:52" ht="83.25" customHeight="1" x14ac:dyDescent="0.3">
      <c r="B28" s="124" t="str">
        <f t="shared" si="9"/>
        <v>-</v>
      </c>
      <c r="C28" s="180"/>
      <c r="D28" s="160"/>
      <c r="E28" s="161"/>
      <c r="F28" s="158"/>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7"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59"/>
      <c r="AP28" s="159"/>
      <c r="AQ28" s="159"/>
      <c r="AR28" s="23"/>
      <c r="AS28" s="159"/>
      <c r="AT28" s="159"/>
      <c r="AU28" s="23"/>
      <c r="AV28" s="23"/>
      <c r="AW28" s="159"/>
      <c r="AX28" s="182"/>
      <c r="AY28" s="182"/>
      <c r="AZ28" s="21"/>
    </row>
    <row r="29" spans="1:52" ht="73.5" customHeight="1" x14ac:dyDescent="0.3">
      <c r="B29" s="124" t="str">
        <f t="shared" si="9"/>
        <v>-</v>
      </c>
      <c r="C29" s="180"/>
      <c r="D29" s="160"/>
      <c r="E29" s="161"/>
      <c r="F29" s="18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7"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82"/>
      <c r="AP29" s="182"/>
      <c r="AQ29" s="182"/>
      <c r="AR29" s="21"/>
      <c r="AS29" s="182"/>
      <c r="AT29" s="159"/>
      <c r="AU29" s="23"/>
      <c r="AV29" s="21"/>
      <c r="AW29" s="159"/>
      <c r="AX29" s="159"/>
      <c r="AY29" s="159"/>
      <c r="AZ29" s="21"/>
    </row>
    <row r="30" spans="1:52" ht="49.5" customHeight="1" x14ac:dyDescent="0.3">
      <c r="B30" s="124" t="str">
        <f t="shared" si="9"/>
        <v>-</v>
      </c>
      <c r="C30" s="180"/>
      <c r="D30" s="160"/>
      <c r="E30" s="161"/>
      <c r="F30" s="131"/>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7"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180"/>
      <c r="D31" s="160"/>
      <c r="E31" s="161"/>
      <c r="F31" s="131"/>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7"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180"/>
      <c r="D32" s="160"/>
      <c r="E32" s="161"/>
      <c r="F32" s="132"/>
      <c r="G32" s="130"/>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7"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180"/>
      <c r="D33" s="160"/>
      <c r="E33" s="161"/>
      <c r="F33" s="131"/>
      <c r="G33" s="130"/>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7"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180"/>
      <c r="D34" s="160"/>
      <c r="E34" s="161"/>
      <c r="F34" s="131"/>
      <c r="G34" s="130"/>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7"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180"/>
      <c r="D35" s="160"/>
      <c r="E35" s="161"/>
      <c r="F35" s="131"/>
      <c r="G35" s="130"/>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7"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6"/>
      <c r="D36" s="24"/>
      <c r="E36" s="23"/>
      <c r="F36" s="131"/>
      <c r="G36" s="130"/>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7"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6"/>
      <c r="D37" s="24"/>
      <c r="E37" s="23"/>
      <c r="F37" s="131"/>
      <c r="G37" s="130"/>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7"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6"/>
      <c r="D38" s="24"/>
      <c r="E38" s="23"/>
      <c r="F38" s="131"/>
      <c r="G38" s="130"/>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7"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6"/>
      <c r="D39" s="24"/>
      <c r="E39" s="23"/>
      <c r="F39" s="131"/>
      <c r="G39" s="130"/>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7"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6"/>
      <c r="D40" s="24"/>
      <c r="E40" s="23"/>
      <c r="F40" s="131"/>
      <c r="G40" s="130"/>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7"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6"/>
      <c r="D41" s="24"/>
      <c r="E41" s="23"/>
      <c r="F41" s="131"/>
      <c r="G41" s="130"/>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7"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6"/>
      <c r="D42" s="24"/>
      <c r="E42" s="23"/>
      <c r="F42" s="131"/>
      <c r="G42" s="130"/>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7"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6"/>
      <c r="D43" s="24"/>
      <c r="E43" s="23"/>
      <c r="F43" s="131"/>
      <c r="G43" s="130"/>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7"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6"/>
      <c r="D44" s="24"/>
      <c r="E44" s="23"/>
      <c r="F44" s="131"/>
      <c r="G44" s="130"/>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7"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6"/>
      <c r="D45" s="24"/>
      <c r="E45" s="23"/>
      <c r="F45" s="131"/>
      <c r="G45" s="130"/>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7"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6"/>
      <c r="D46" s="24"/>
      <c r="E46" s="23"/>
      <c r="F46" s="131"/>
      <c r="G46" s="130"/>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7"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6"/>
      <c r="D47" s="24"/>
      <c r="E47" s="23"/>
      <c r="F47" s="131"/>
      <c r="G47" s="130"/>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7"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6"/>
      <c r="D48" s="24"/>
      <c r="E48" s="23"/>
      <c r="F48" s="131"/>
      <c r="G48" s="130"/>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7"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6"/>
      <c r="D49" s="24"/>
      <c r="E49" s="23"/>
      <c r="F49" s="131"/>
      <c r="G49" s="130"/>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7"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6"/>
      <c r="D50" s="24"/>
      <c r="E50" s="23"/>
      <c r="F50" s="131"/>
      <c r="G50" s="130"/>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7"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1"/>
      <c r="G51" s="130"/>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7"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1"/>
      <c r="G52" s="130"/>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7"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1"/>
      <c r="G53" s="130"/>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7"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1"/>
      <c r="G54" s="130"/>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7"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1"/>
      <c r="G55" s="130"/>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7"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1"/>
      <c r="G56" s="130"/>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7"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1"/>
      <c r="G57" s="130"/>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7"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1"/>
      <c r="G58" s="130"/>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7"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1"/>
      <c r="G59" s="130"/>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7"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1"/>
      <c r="G60" s="130"/>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7"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1"/>
      <c r="G61" s="130"/>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7"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1"/>
      <c r="G62" s="130"/>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7"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1"/>
      <c r="G63" s="130"/>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7"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1"/>
      <c r="G64" s="130"/>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7"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1"/>
      <c r="G65" s="130"/>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7"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1"/>
      <c r="G66" s="130"/>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7"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1"/>
      <c r="G67" s="130"/>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7"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1"/>
      <c r="G68" s="130"/>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7"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1"/>
      <c r="G69" s="130"/>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7"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1"/>
      <c r="G70" s="130"/>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7"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1"/>
      <c r="G71" s="130"/>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7"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1"/>
      <c r="G72" s="130"/>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7"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1"/>
      <c r="G73" s="130"/>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7"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28">C74&amp;"-"&amp;E74</f>
        <v>-</v>
      </c>
      <c r="C74" s="18"/>
      <c r="D74" s="24"/>
      <c r="E74" s="23"/>
      <c r="F74" s="131"/>
      <c r="G74" s="130"/>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7"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28"/>
        <v>-</v>
      </c>
      <c r="C75" s="18"/>
      <c r="D75" s="24"/>
      <c r="E75" s="23"/>
      <c r="F75" s="131"/>
      <c r="G75" s="130"/>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7"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28"/>
        <v>-</v>
      </c>
      <c r="C76" s="18"/>
      <c r="D76" s="24"/>
      <c r="E76" s="23"/>
      <c r="F76" s="131"/>
      <c r="G76" s="130"/>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7"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4" t="str">
        <f t="shared" si="28"/>
        <v>-</v>
      </c>
      <c r="C77" s="18"/>
      <c r="D77" s="24"/>
      <c r="E77" s="23"/>
      <c r="F77" s="131"/>
      <c r="G77" s="130"/>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7"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4" t="str">
        <f t="shared" si="28"/>
        <v>-</v>
      </c>
      <c r="C78" s="18"/>
      <c r="D78" s="24"/>
      <c r="E78" s="23"/>
      <c r="F78" s="131"/>
      <c r="G78" s="130"/>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7"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4" t="str">
        <f t="shared" si="28"/>
        <v>-</v>
      </c>
      <c r="C79" s="18"/>
      <c r="D79" s="24"/>
      <c r="E79" s="23"/>
      <c r="F79" s="131"/>
      <c r="G79" s="130"/>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7"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4" t="str">
        <f t="shared" si="28"/>
        <v>-</v>
      </c>
      <c r="C80" s="18"/>
      <c r="D80" s="24"/>
      <c r="E80" s="23"/>
      <c r="F80" s="131"/>
      <c r="G80" s="130"/>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7"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4" t="str">
        <f t="shared" si="28"/>
        <v>-</v>
      </c>
      <c r="C81" s="18"/>
      <c r="D81" s="24"/>
      <c r="E81" s="23"/>
      <c r="F81" s="131"/>
      <c r="G81" s="130"/>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7"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4" t="str">
        <f t="shared" si="28"/>
        <v>-</v>
      </c>
      <c r="C82" s="18"/>
      <c r="D82" s="24"/>
      <c r="E82" s="23"/>
      <c r="F82" s="131"/>
      <c r="G82" s="130"/>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7"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4" t="str">
        <f t="shared" si="28"/>
        <v>-</v>
      </c>
      <c r="C83" s="18"/>
      <c r="D83" s="24"/>
      <c r="E83" s="23"/>
      <c r="F83" s="131"/>
      <c r="G83" s="130"/>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7"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4" t="str">
        <f t="shared" si="28"/>
        <v>-</v>
      </c>
      <c r="C84" s="18"/>
      <c r="D84" s="24"/>
      <c r="E84" s="23"/>
      <c r="F84" s="131"/>
      <c r="G84" s="130"/>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7"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4" t="str">
        <f t="shared" si="28"/>
        <v>-</v>
      </c>
      <c r="C85" s="18"/>
      <c r="D85" s="24"/>
      <c r="E85" s="23"/>
      <c r="F85" s="131"/>
      <c r="G85" s="130"/>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7"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4" t="str">
        <f t="shared" si="28"/>
        <v>-</v>
      </c>
      <c r="C86" s="18"/>
      <c r="D86" s="24"/>
      <c r="E86" s="23"/>
      <c r="F86" s="131"/>
      <c r="G86" s="130"/>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7"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4" t="str">
        <f t="shared" si="28"/>
        <v>-</v>
      </c>
      <c r="C87" s="18"/>
      <c r="D87" s="24"/>
      <c r="E87" s="23"/>
      <c r="F87" s="131"/>
      <c r="G87" s="130"/>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7"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4" t="str">
        <f t="shared" si="28"/>
        <v>-</v>
      </c>
      <c r="C88" s="18"/>
      <c r="D88" s="24"/>
      <c r="E88" s="23"/>
      <c r="F88" s="131"/>
      <c r="G88" s="130"/>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7"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4" t="str">
        <f t="shared" si="28"/>
        <v>-</v>
      </c>
      <c r="C89" s="18"/>
      <c r="D89" s="24"/>
      <c r="E89" s="23"/>
      <c r="F89" s="131"/>
      <c r="G89" s="130"/>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7"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4" t="str">
        <f t="shared" si="28"/>
        <v>-</v>
      </c>
      <c r="C90" s="18"/>
      <c r="D90" s="24"/>
      <c r="E90" s="23"/>
      <c r="F90" s="131"/>
      <c r="G90" s="130"/>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7"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4" t="str">
        <f t="shared" si="28"/>
        <v>-</v>
      </c>
      <c r="C91" s="18"/>
      <c r="D91" s="24"/>
      <c r="E91" s="23"/>
      <c r="F91" s="131"/>
      <c r="G91" s="130"/>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7"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4" t="str">
        <f t="shared" si="28"/>
        <v>-</v>
      </c>
      <c r="C92" s="18"/>
      <c r="D92" s="24"/>
      <c r="E92" s="23"/>
      <c r="F92" s="131"/>
      <c r="G92" s="130"/>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7"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4" t="str">
        <f t="shared" si="28"/>
        <v>-</v>
      </c>
      <c r="C93" s="18"/>
      <c r="D93" s="24"/>
      <c r="E93" s="23"/>
      <c r="F93" s="131"/>
      <c r="G93" s="130"/>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7"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4" t="str">
        <f t="shared" si="28"/>
        <v>-</v>
      </c>
      <c r="C94" s="18"/>
      <c r="D94" s="24"/>
      <c r="E94" s="23"/>
      <c r="F94" s="131"/>
      <c r="G94" s="130"/>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7"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4" t="str">
        <f t="shared" si="28"/>
        <v>-</v>
      </c>
      <c r="C95" s="18"/>
      <c r="D95" s="24"/>
      <c r="E95" s="23"/>
      <c r="F95" s="131"/>
      <c r="G95" s="130"/>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7"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4" t="str">
        <f t="shared" si="28"/>
        <v>-</v>
      </c>
      <c r="C96" s="18"/>
      <c r="D96" s="24"/>
      <c r="E96" s="23"/>
      <c r="F96" s="131"/>
      <c r="G96" s="130"/>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7"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4" t="str">
        <f t="shared" si="28"/>
        <v>-</v>
      </c>
      <c r="C97" s="18"/>
      <c r="D97" s="24"/>
      <c r="E97" s="23"/>
      <c r="F97" s="131"/>
      <c r="G97" s="130"/>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7"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4" t="str">
        <f t="shared" si="28"/>
        <v>-</v>
      </c>
      <c r="C98" s="18"/>
      <c r="D98" s="24"/>
      <c r="E98" s="23"/>
      <c r="F98" s="131"/>
      <c r="G98" s="130"/>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7"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4" t="str">
        <f t="shared" si="28"/>
        <v>-</v>
      </c>
      <c r="C99" s="18"/>
      <c r="D99" s="24"/>
      <c r="E99" s="23"/>
      <c r="F99" s="131"/>
      <c r="G99" s="130"/>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7"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4" t="str">
        <f t="shared" si="28"/>
        <v>-</v>
      </c>
      <c r="C100" s="18"/>
      <c r="D100" s="24"/>
      <c r="E100" s="23"/>
      <c r="F100" s="131"/>
      <c r="G100" s="130"/>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7"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4" t="str">
        <f t="shared" si="28"/>
        <v>-</v>
      </c>
      <c r="C101" s="18"/>
      <c r="D101" s="24"/>
      <c r="E101" s="23"/>
      <c r="F101" s="131"/>
      <c r="G101" s="130"/>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7"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4" t="str">
        <f t="shared" si="28"/>
        <v>-</v>
      </c>
      <c r="C102" s="18"/>
      <c r="D102" s="24"/>
      <c r="E102" s="23"/>
      <c r="F102" s="131"/>
      <c r="G102" s="130"/>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7"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4" t="str">
        <f t="shared" si="28"/>
        <v>-</v>
      </c>
      <c r="C103" s="18"/>
      <c r="D103" s="24"/>
      <c r="E103" s="23"/>
      <c r="F103" s="131"/>
      <c r="G103" s="130"/>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7"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4" t="str">
        <f t="shared" si="28"/>
        <v>-</v>
      </c>
      <c r="C104" s="18"/>
      <c r="D104" s="24"/>
      <c r="E104" s="23"/>
      <c r="F104" s="131"/>
      <c r="G104" s="130"/>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7"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4" t="str">
        <f t="shared" si="28"/>
        <v>-</v>
      </c>
      <c r="C105" s="18"/>
      <c r="D105" s="24"/>
      <c r="E105" s="23"/>
      <c r="F105" s="131"/>
      <c r="G105" s="130"/>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7"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4" t="str">
        <f t="shared" si="28"/>
        <v>-</v>
      </c>
      <c r="C106" s="18"/>
      <c r="D106" s="24"/>
      <c r="E106" s="23"/>
      <c r="F106" s="131"/>
      <c r="G106" s="130"/>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7"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4" t="str">
        <f t="shared" si="28"/>
        <v>-</v>
      </c>
      <c r="C107" s="18"/>
      <c r="D107" s="24"/>
      <c r="E107" s="23"/>
      <c r="F107" s="131"/>
      <c r="G107" s="130"/>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7"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4" t="str">
        <f t="shared" si="28"/>
        <v>-</v>
      </c>
      <c r="C108" s="18"/>
      <c r="D108" s="24"/>
      <c r="E108" s="23"/>
      <c r="F108" s="131"/>
      <c r="G108" s="130"/>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7"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4" t="str">
        <f t="shared" si="28"/>
        <v>-</v>
      </c>
      <c r="C109" s="18"/>
      <c r="D109" s="24"/>
      <c r="E109" s="23"/>
      <c r="F109" s="131"/>
      <c r="G109" s="130"/>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7"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4" t="str">
        <f t="shared" si="28"/>
        <v>-</v>
      </c>
      <c r="C110" s="18"/>
      <c r="D110" s="24"/>
      <c r="E110" s="23"/>
      <c r="F110" s="131"/>
      <c r="G110" s="130"/>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7"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4" t="str">
        <f t="shared" si="28"/>
        <v>-</v>
      </c>
      <c r="C111" s="18"/>
      <c r="D111" s="24"/>
      <c r="E111" s="23"/>
      <c r="F111" s="131"/>
      <c r="G111" s="130"/>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7"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4" t="str">
        <f t="shared" si="28"/>
        <v>-</v>
      </c>
      <c r="C112" s="18"/>
      <c r="D112" s="24"/>
      <c r="E112" s="23"/>
      <c r="F112" s="131"/>
      <c r="G112" s="130"/>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7"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4" t="str">
        <f t="shared" si="28"/>
        <v>-</v>
      </c>
      <c r="C113" s="18"/>
      <c r="D113" s="24"/>
      <c r="E113" s="23"/>
      <c r="F113" s="131"/>
      <c r="G113" s="130"/>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7"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4" t="str">
        <f t="shared" si="28"/>
        <v>-</v>
      </c>
      <c r="C114" s="18"/>
      <c r="D114" s="24"/>
      <c r="E114" s="23"/>
      <c r="F114" s="131"/>
      <c r="G114" s="130"/>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7"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4" t="str">
        <f t="shared" si="28"/>
        <v>-</v>
      </c>
      <c r="C115" s="18"/>
      <c r="D115" s="24"/>
      <c r="E115" s="23"/>
      <c r="F115" s="131"/>
      <c r="G115" s="130"/>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7"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4" t="str">
        <f t="shared" si="28"/>
        <v>-</v>
      </c>
      <c r="C116" s="18"/>
      <c r="D116" s="24"/>
      <c r="E116" s="23"/>
      <c r="F116" s="131"/>
      <c r="G116" s="130"/>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7"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4" t="str">
        <f t="shared" si="28"/>
        <v>-</v>
      </c>
      <c r="C117" s="18"/>
      <c r="D117" s="24"/>
      <c r="E117" s="23"/>
      <c r="F117" s="131"/>
      <c r="G117" s="130"/>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7"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4" t="str">
        <f t="shared" si="28"/>
        <v>-</v>
      </c>
      <c r="C118" s="18"/>
      <c r="D118" s="24"/>
      <c r="E118" s="23"/>
      <c r="F118" s="131"/>
      <c r="G118" s="130"/>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7"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4" t="str">
        <f t="shared" si="28"/>
        <v>-</v>
      </c>
      <c r="C119" s="18"/>
      <c r="D119" s="24"/>
      <c r="E119" s="23"/>
      <c r="F119" s="131"/>
      <c r="G119" s="130"/>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7"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4" t="str">
        <f t="shared" si="28"/>
        <v>-</v>
      </c>
      <c r="C120" s="18"/>
      <c r="D120" s="24"/>
      <c r="E120" s="23"/>
      <c r="F120" s="131"/>
      <c r="G120" s="130"/>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7"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4" t="str">
        <f t="shared" si="28"/>
        <v>-</v>
      </c>
      <c r="C121" s="18"/>
      <c r="D121" s="24"/>
      <c r="E121" s="23"/>
      <c r="F121" s="131"/>
      <c r="G121" s="130"/>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7"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4" t="str">
        <f t="shared" si="28"/>
        <v>-</v>
      </c>
      <c r="C122" s="18"/>
      <c r="D122" s="24"/>
      <c r="E122" s="23"/>
      <c r="F122" s="131"/>
      <c r="G122" s="130"/>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7"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4" t="str">
        <f t="shared" si="28"/>
        <v>-</v>
      </c>
      <c r="C123" s="18"/>
      <c r="D123" s="24"/>
      <c r="E123" s="23"/>
      <c r="F123" s="131"/>
      <c r="G123" s="130"/>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7"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4" t="str">
        <f t="shared" si="28"/>
        <v>-</v>
      </c>
      <c r="C124" s="18"/>
      <c r="D124" s="24"/>
      <c r="E124" s="23"/>
      <c r="F124" s="131"/>
      <c r="G124" s="130"/>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7"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4" t="str">
        <f t="shared" si="28"/>
        <v>-</v>
      </c>
      <c r="C125" s="18"/>
      <c r="D125" s="24"/>
      <c r="E125" s="23"/>
      <c r="F125" s="131"/>
      <c r="G125" s="130"/>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7"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4" t="str">
        <f t="shared" si="28"/>
        <v>-</v>
      </c>
      <c r="C126" s="18"/>
      <c r="D126" s="24"/>
      <c r="E126" s="23"/>
      <c r="F126" s="131"/>
      <c r="G126" s="130"/>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7"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4" t="str">
        <f t="shared" si="28"/>
        <v>-</v>
      </c>
      <c r="C127" s="18"/>
      <c r="D127" s="24"/>
      <c r="E127" s="23"/>
      <c r="F127" s="131"/>
      <c r="G127" s="130"/>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7"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4" t="str">
        <f t="shared" si="28"/>
        <v>-</v>
      </c>
      <c r="C128" s="18"/>
      <c r="D128" s="24"/>
      <c r="E128" s="23"/>
      <c r="F128" s="131"/>
      <c r="G128" s="130"/>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7"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4" t="str">
        <f t="shared" si="28"/>
        <v>-</v>
      </c>
      <c r="C129" s="18"/>
      <c r="D129" s="24"/>
      <c r="E129" s="23"/>
      <c r="F129" s="131"/>
      <c r="G129" s="130"/>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7"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4" t="str">
        <f t="shared" si="28"/>
        <v>-</v>
      </c>
      <c r="C130" s="18"/>
      <c r="D130" s="24"/>
      <c r="E130" s="23"/>
      <c r="F130" s="131"/>
      <c r="G130" s="130"/>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7"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4" t="str">
        <f t="shared" si="28"/>
        <v>-</v>
      </c>
      <c r="C131" s="18"/>
      <c r="D131" s="24"/>
      <c r="E131" s="23"/>
      <c r="F131" s="131"/>
      <c r="G131" s="130"/>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7"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4" t="str">
        <f t="shared" si="28"/>
        <v>-</v>
      </c>
      <c r="C132" s="18"/>
      <c r="D132" s="24"/>
      <c r="E132" s="23"/>
      <c r="F132" s="131"/>
      <c r="G132" s="130"/>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7"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4" t="str">
        <f t="shared" si="28"/>
        <v>-</v>
      </c>
      <c r="C133" s="18"/>
      <c r="D133" s="24"/>
      <c r="E133" s="23"/>
      <c r="F133" s="131"/>
      <c r="G133" s="130"/>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7"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4" t="str">
        <f t="shared" si="28"/>
        <v>-</v>
      </c>
      <c r="C134" s="18"/>
      <c r="D134" s="24"/>
      <c r="E134" s="23"/>
      <c r="F134" s="131"/>
      <c r="G134" s="130"/>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7"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4" t="str">
        <f t="shared" si="28"/>
        <v>-</v>
      </c>
      <c r="C135" s="18"/>
      <c r="D135" s="24"/>
      <c r="E135" s="23"/>
      <c r="F135" s="131"/>
      <c r="G135" s="130"/>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7"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4" t="str">
        <f t="shared" si="28"/>
        <v>-</v>
      </c>
      <c r="C136" s="18"/>
      <c r="D136" s="24"/>
      <c r="E136" s="23"/>
      <c r="F136" s="131"/>
      <c r="G136" s="130"/>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7"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4" t="str">
        <f t="shared" si="28"/>
        <v>-</v>
      </c>
      <c r="C137" s="18"/>
      <c r="D137" s="24"/>
      <c r="E137" s="23"/>
      <c r="F137" s="131"/>
      <c r="G137" s="130"/>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7"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50">C138&amp;"-"&amp;E138</f>
        <v>-</v>
      </c>
      <c r="C138" s="18"/>
      <c r="D138" s="24"/>
      <c r="E138" s="23"/>
      <c r="F138" s="131"/>
      <c r="G138" s="130"/>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7"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4" t="str">
        <f t="shared" si="50"/>
        <v>-</v>
      </c>
      <c r="C139" s="18"/>
      <c r="D139" s="24"/>
      <c r="E139" s="23"/>
      <c r="F139" s="131"/>
      <c r="G139" s="130"/>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7"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50"/>
        <v>-</v>
      </c>
      <c r="C140" s="18"/>
      <c r="D140" s="24"/>
      <c r="E140" s="23"/>
      <c r="F140" s="131"/>
      <c r="G140" s="130"/>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7"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4" t="str">
        <f t="shared" si="50"/>
        <v>-</v>
      </c>
      <c r="C141" s="18"/>
      <c r="D141" s="24"/>
      <c r="E141" s="23"/>
      <c r="F141" s="131"/>
      <c r="G141" s="130"/>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7"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4" t="str">
        <f t="shared" si="50"/>
        <v>-</v>
      </c>
      <c r="C142" s="18"/>
      <c r="D142" s="24"/>
      <c r="E142" s="23"/>
      <c r="F142" s="131"/>
      <c r="G142" s="130"/>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7"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4" t="str">
        <f t="shared" si="50"/>
        <v>-</v>
      </c>
      <c r="C143" s="18"/>
      <c r="D143" s="24"/>
      <c r="E143" s="23"/>
      <c r="F143" s="131"/>
      <c r="G143" s="130"/>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7"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4" t="str">
        <f t="shared" si="50"/>
        <v>-</v>
      </c>
      <c r="C144" s="18"/>
      <c r="D144" s="24"/>
      <c r="E144" s="23"/>
      <c r="F144" s="131"/>
      <c r="G144" s="130"/>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7"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4" t="str">
        <f t="shared" si="50"/>
        <v>-</v>
      </c>
      <c r="C145" s="18"/>
      <c r="D145" s="24"/>
      <c r="E145" s="23"/>
      <c r="F145" s="131"/>
      <c r="G145" s="130"/>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7"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4" t="str">
        <f t="shared" si="50"/>
        <v>-</v>
      </c>
      <c r="C146" s="18"/>
      <c r="D146" s="24"/>
      <c r="E146" s="23"/>
      <c r="F146" s="131"/>
      <c r="G146" s="130"/>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7"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4" t="str">
        <f t="shared" si="50"/>
        <v>-</v>
      </c>
      <c r="C147" s="18"/>
      <c r="D147" s="24"/>
      <c r="E147" s="23"/>
      <c r="F147" s="131"/>
      <c r="G147" s="130"/>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7"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4" t="str">
        <f t="shared" si="50"/>
        <v>-</v>
      </c>
      <c r="C148" s="18"/>
      <c r="D148" s="24"/>
      <c r="E148" s="23"/>
      <c r="F148" s="131"/>
      <c r="G148" s="130"/>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7"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4" t="str">
        <f t="shared" si="50"/>
        <v>-</v>
      </c>
      <c r="C149" s="18"/>
      <c r="D149" s="24"/>
      <c r="E149" s="23"/>
      <c r="F149" s="131"/>
      <c r="G149" s="130"/>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7"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4" t="str">
        <f t="shared" si="50"/>
        <v>-</v>
      </c>
      <c r="C150" s="18"/>
      <c r="D150" s="24"/>
      <c r="E150" s="23"/>
      <c r="F150" s="131"/>
      <c r="G150" s="130"/>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7"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4" t="str">
        <f t="shared" si="50"/>
        <v>-</v>
      </c>
      <c r="C151" s="18"/>
      <c r="D151" s="24"/>
      <c r="E151" s="23"/>
      <c r="F151" s="131"/>
      <c r="G151" s="130"/>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7"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4" t="str">
        <f t="shared" si="50"/>
        <v>-</v>
      </c>
      <c r="C152" s="18"/>
      <c r="D152" s="24"/>
      <c r="E152" s="23"/>
      <c r="F152" s="131"/>
      <c r="G152" s="130"/>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7"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4" t="str">
        <f t="shared" si="50"/>
        <v>-</v>
      </c>
      <c r="C153" s="18"/>
      <c r="D153" s="24"/>
      <c r="E153" s="23"/>
      <c r="F153" s="131"/>
      <c r="G153" s="130"/>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7"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4" t="str">
        <f t="shared" si="50"/>
        <v>-</v>
      </c>
      <c r="C154" s="18"/>
      <c r="D154" s="24"/>
      <c r="E154" s="23"/>
      <c r="F154" s="131"/>
      <c r="G154" s="130"/>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7"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4" t="str">
        <f t="shared" si="50"/>
        <v>-</v>
      </c>
      <c r="C155" s="18"/>
      <c r="D155" s="24"/>
      <c r="E155" s="23"/>
      <c r="F155" s="131"/>
      <c r="G155" s="130"/>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7"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4" t="str">
        <f t="shared" si="50"/>
        <v>-</v>
      </c>
      <c r="C156" s="18"/>
      <c r="D156" s="24"/>
      <c r="E156" s="23"/>
      <c r="F156" s="131"/>
      <c r="G156" s="130"/>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7"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4" t="str">
        <f t="shared" si="50"/>
        <v>-</v>
      </c>
      <c r="C157" s="18"/>
      <c r="D157" s="24"/>
      <c r="E157" s="23"/>
      <c r="F157" s="131"/>
      <c r="G157" s="130"/>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7"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4" t="str">
        <f t="shared" si="50"/>
        <v>-</v>
      </c>
      <c r="C158" s="18"/>
      <c r="D158" s="24"/>
      <c r="E158" s="23"/>
      <c r="F158" s="131"/>
      <c r="G158" s="130"/>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7"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4" t="str">
        <f t="shared" si="50"/>
        <v>-</v>
      </c>
      <c r="C159" s="18"/>
      <c r="D159" s="24"/>
      <c r="E159" s="23"/>
      <c r="F159" s="131"/>
      <c r="G159" s="130"/>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7"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4" t="str">
        <f t="shared" si="50"/>
        <v>-</v>
      </c>
      <c r="C160" s="18"/>
      <c r="D160" s="24"/>
      <c r="E160" s="23"/>
      <c r="F160" s="131"/>
      <c r="G160" s="130"/>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7"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4" t="str">
        <f t="shared" si="50"/>
        <v>-</v>
      </c>
      <c r="C161" s="18"/>
      <c r="D161" s="24"/>
      <c r="E161" s="23"/>
      <c r="F161" s="131"/>
      <c r="G161" s="130"/>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7"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4" t="str">
        <f t="shared" si="50"/>
        <v>-</v>
      </c>
      <c r="C162" s="18"/>
      <c r="D162" s="24"/>
      <c r="E162" s="23"/>
      <c r="F162" s="131"/>
      <c r="G162" s="130"/>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7"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4" t="str">
        <f t="shared" si="50"/>
        <v>-</v>
      </c>
      <c r="C163" s="18"/>
      <c r="D163" s="24"/>
      <c r="E163" s="23"/>
      <c r="F163" s="131"/>
      <c r="G163" s="130"/>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7"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4" t="str">
        <f t="shared" si="50"/>
        <v>-</v>
      </c>
      <c r="C164" s="18"/>
      <c r="D164" s="24"/>
      <c r="E164" s="23"/>
      <c r="F164" s="131"/>
      <c r="G164" s="130"/>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7"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4" t="str">
        <f t="shared" si="50"/>
        <v>-</v>
      </c>
      <c r="C165" s="18"/>
      <c r="D165" s="24"/>
      <c r="E165" s="23"/>
      <c r="F165" s="131"/>
      <c r="G165" s="130"/>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7"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4" t="str">
        <f t="shared" si="50"/>
        <v>-</v>
      </c>
      <c r="C166" s="18"/>
      <c r="D166" s="24"/>
      <c r="E166" s="23"/>
      <c r="F166" s="131"/>
      <c r="G166" s="130"/>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7"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4" t="str">
        <f t="shared" si="50"/>
        <v>-</v>
      </c>
      <c r="C167" s="18"/>
      <c r="D167" s="24"/>
      <c r="E167" s="23"/>
      <c r="F167" s="131"/>
      <c r="G167" s="130"/>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7"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4" t="str">
        <f t="shared" si="50"/>
        <v>-</v>
      </c>
      <c r="C168" s="18"/>
      <c r="D168" s="24"/>
      <c r="E168" s="23"/>
      <c r="F168" s="131"/>
      <c r="G168" s="130"/>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7"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4" t="str">
        <f t="shared" si="50"/>
        <v>-</v>
      </c>
      <c r="C169" s="18"/>
      <c r="D169" s="24"/>
      <c r="E169" s="23"/>
      <c r="F169" s="131"/>
      <c r="G169" s="130"/>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7"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4" t="str">
        <f t="shared" si="50"/>
        <v>-</v>
      </c>
      <c r="C170" s="18"/>
      <c r="D170" s="24"/>
      <c r="E170" s="23"/>
      <c r="F170" s="131"/>
      <c r="G170" s="130"/>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7"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4" t="str">
        <f t="shared" si="50"/>
        <v>-</v>
      </c>
      <c r="C171" s="18"/>
      <c r="D171" s="24"/>
      <c r="E171" s="23"/>
      <c r="F171" s="131"/>
      <c r="G171" s="130"/>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7"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4" t="str">
        <f t="shared" si="50"/>
        <v>-</v>
      </c>
      <c r="C172" s="18"/>
      <c r="D172" s="24"/>
      <c r="E172" s="23"/>
      <c r="F172" s="131"/>
      <c r="G172" s="130"/>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7"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4" t="str">
        <f t="shared" si="50"/>
        <v>-</v>
      </c>
      <c r="C173" s="18"/>
      <c r="D173" s="24"/>
      <c r="E173" s="23"/>
      <c r="F173" s="131"/>
      <c r="G173" s="130"/>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7"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4" t="str">
        <f t="shared" si="50"/>
        <v>-</v>
      </c>
      <c r="C174" s="18"/>
      <c r="D174" s="24"/>
      <c r="E174" s="23"/>
      <c r="F174" s="131"/>
      <c r="G174" s="130"/>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7"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4" t="str">
        <f t="shared" si="50"/>
        <v>-</v>
      </c>
      <c r="C175" s="18"/>
      <c r="D175" s="24"/>
      <c r="E175" s="23"/>
      <c r="F175" s="131"/>
      <c r="G175" s="130"/>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7"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4" t="str">
        <f t="shared" si="50"/>
        <v>-</v>
      </c>
      <c r="C176" s="18"/>
      <c r="D176" s="24"/>
      <c r="E176" s="23"/>
      <c r="F176" s="131"/>
      <c r="G176" s="130"/>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7"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4" t="str">
        <f t="shared" si="50"/>
        <v>-</v>
      </c>
      <c r="C177" s="18"/>
      <c r="D177" s="24"/>
      <c r="E177" s="23"/>
      <c r="F177" s="131"/>
      <c r="G177" s="130"/>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7"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4" t="str">
        <f t="shared" si="50"/>
        <v>-</v>
      </c>
      <c r="C178" s="18"/>
      <c r="D178" s="24"/>
      <c r="E178" s="23"/>
      <c r="F178" s="131"/>
      <c r="G178" s="130"/>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7"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4" t="str">
        <f t="shared" si="50"/>
        <v>-</v>
      </c>
      <c r="C179" s="18"/>
      <c r="D179" s="24"/>
      <c r="E179" s="23"/>
      <c r="F179" s="131"/>
      <c r="G179" s="130"/>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7"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4" t="str">
        <f t="shared" si="50"/>
        <v>-</v>
      </c>
      <c r="C180" s="18"/>
      <c r="D180" s="24"/>
      <c r="E180" s="23"/>
      <c r="F180" s="131"/>
      <c r="G180" s="130"/>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7"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4" t="str">
        <f t="shared" si="50"/>
        <v>-</v>
      </c>
      <c r="C181" s="18"/>
      <c r="D181" s="24"/>
      <c r="E181" s="23"/>
      <c r="F181" s="131"/>
      <c r="G181" s="130"/>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7"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4" t="str">
        <f t="shared" si="50"/>
        <v>-</v>
      </c>
      <c r="C182" s="18"/>
      <c r="D182" s="24"/>
      <c r="E182" s="23"/>
      <c r="F182" s="131"/>
      <c r="G182" s="130"/>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7"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4" t="str">
        <f t="shared" si="50"/>
        <v>-</v>
      </c>
      <c r="C183" s="18"/>
      <c r="D183" s="24"/>
      <c r="E183" s="23"/>
      <c r="F183" s="131"/>
      <c r="G183" s="130"/>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7"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4" t="str">
        <f t="shared" si="50"/>
        <v>-</v>
      </c>
      <c r="C184" s="18"/>
      <c r="D184" s="24"/>
      <c r="E184" s="23"/>
      <c r="F184" s="131"/>
      <c r="G184" s="130"/>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7"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4" t="str">
        <f t="shared" si="50"/>
        <v>-</v>
      </c>
      <c r="C185" s="18"/>
      <c r="D185" s="24"/>
      <c r="E185" s="23"/>
      <c r="F185" s="131"/>
      <c r="G185" s="130"/>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7"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4" t="str">
        <f t="shared" si="50"/>
        <v>-</v>
      </c>
      <c r="C186" s="18"/>
      <c r="D186" s="24"/>
      <c r="E186" s="23"/>
      <c r="F186" s="131"/>
      <c r="G186" s="130"/>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7"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4" t="str">
        <f t="shared" si="50"/>
        <v>-</v>
      </c>
      <c r="C187" s="18"/>
      <c r="D187" s="24"/>
      <c r="E187" s="23"/>
      <c r="F187" s="131"/>
      <c r="G187" s="130"/>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7"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4" t="str">
        <f t="shared" si="50"/>
        <v>-</v>
      </c>
      <c r="C188" s="18"/>
      <c r="D188" s="24"/>
      <c r="E188" s="23"/>
      <c r="F188" s="131"/>
      <c r="G188" s="130"/>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7"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4" t="str">
        <f t="shared" si="50"/>
        <v>-</v>
      </c>
      <c r="C189" s="18"/>
      <c r="D189" s="24"/>
      <c r="E189" s="23"/>
      <c r="F189" s="131"/>
      <c r="G189" s="130"/>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7"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4" t="str">
        <f t="shared" si="50"/>
        <v>-</v>
      </c>
      <c r="C190" s="18"/>
      <c r="D190" s="24"/>
      <c r="E190" s="23"/>
      <c r="F190" s="131"/>
      <c r="G190" s="130"/>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7"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4" t="str">
        <f t="shared" si="50"/>
        <v>-</v>
      </c>
      <c r="C191" s="18"/>
      <c r="D191" s="24"/>
      <c r="E191" s="23"/>
      <c r="F191" s="131"/>
      <c r="G191" s="130"/>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7"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4" t="str">
        <f t="shared" si="50"/>
        <v>-</v>
      </c>
      <c r="C192" s="18"/>
      <c r="D192" s="24"/>
      <c r="E192" s="23"/>
      <c r="F192" s="131"/>
      <c r="G192" s="130"/>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7"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4" t="str">
        <f t="shared" si="50"/>
        <v>-</v>
      </c>
      <c r="C193" s="18"/>
      <c r="D193" s="24"/>
      <c r="E193" s="23"/>
      <c r="F193" s="131"/>
      <c r="G193" s="130"/>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7"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4" t="str">
        <f t="shared" si="50"/>
        <v>-</v>
      </c>
      <c r="C194" s="18"/>
      <c r="D194" s="24"/>
      <c r="E194" s="23"/>
      <c r="F194" s="131"/>
      <c r="G194" s="130"/>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7"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4" t="str">
        <f t="shared" si="50"/>
        <v>-</v>
      </c>
      <c r="C195" s="18"/>
      <c r="D195" s="24"/>
      <c r="E195" s="23"/>
      <c r="F195" s="131"/>
      <c r="G195" s="130"/>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7"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4" t="str">
        <f t="shared" si="50"/>
        <v>-</v>
      </c>
      <c r="C196" s="18"/>
      <c r="D196" s="24"/>
      <c r="E196" s="23"/>
      <c r="F196" s="131"/>
      <c r="G196" s="130"/>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7"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4" t="str">
        <f t="shared" si="50"/>
        <v>-</v>
      </c>
      <c r="C197" s="18"/>
      <c r="D197" s="24"/>
      <c r="E197" s="23"/>
      <c r="F197" s="131"/>
      <c r="G197" s="130"/>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7"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4" t="str">
        <f t="shared" si="50"/>
        <v>-</v>
      </c>
      <c r="C198" s="18"/>
      <c r="D198" s="24"/>
      <c r="E198" s="23"/>
      <c r="F198" s="131"/>
      <c r="G198" s="130"/>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7"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4" t="str">
        <f t="shared" si="50"/>
        <v>-</v>
      </c>
      <c r="C199" s="18"/>
      <c r="D199" s="24"/>
      <c r="E199" s="23"/>
      <c r="F199" s="131"/>
      <c r="G199" s="130"/>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7"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4" t="str">
        <f t="shared" si="50"/>
        <v>-</v>
      </c>
      <c r="C200" s="18"/>
      <c r="D200" s="24"/>
      <c r="E200" s="23"/>
      <c r="F200" s="131"/>
      <c r="G200" s="130"/>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7"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4" t="str">
        <f t="shared" si="50"/>
        <v>-</v>
      </c>
      <c r="C201" s="18"/>
      <c r="D201" s="24"/>
      <c r="E201" s="23"/>
      <c r="F201" s="131"/>
      <c r="G201" s="130"/>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7"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72">C202&amp;"-"&amp;E202</f>
        <v>-</v>
      </c>
      <c r="C202" s="18"/>
      <c r="D202" s="24"/>
      <c r="E202" s="23"/>
      <c r="F202" s="131"/>
      <c r="G202" s="130"/>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7"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4" t="str">
        <f t="shared" si="72"/>
        <v>-</v>
      </c>
      <c r="C203" s="18"/>
      <c r="D203" s="24"/>
      <c r="E203" s="23"/>
      <c r="F203" s="131"/>
      <c r="G203" s="130"/>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7"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72"/>
        <v>-</v>
      </c>
      <c r="C204" s="18"/>
      <c r="D204" s="24"/>
      <c r="E204" s="23"/>
      <c r="F204" s="131"/>
      <c r="G204" s="130"/>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7"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4" t="str">
        <f t="shared" si="72"/>
        <v>-</v>
      </c>
      <c r="C205" s="18"/>
      <c r="D205" s="24"/>
      <c r="E205" s="23"/>
      <c r="F205" s="131"/>
      <c r="G205" s="130"/>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7"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4" t="str">
        <f t="shared" si="72"/>
        <v>-</v>
      </c>
      <c r="C206" s="18"/>
      <c r="D206" s="24"/>
      <c r="E206" s="23"/>
      <c r="F206" s="131"/>
      <c r="G206" s="130"/>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7"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4" t="str">
        <f t="shared" si="72"/>
        <v>-</v>
      </c>
      <c r="C207" s="18"/>
      <c r="D207" s="24"/>
      <c r="E207" s="23"/>
      <c r="F207" s="131"/>
      <c r="G207" s="130"/>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7"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4" t="str">
        <f t="shared" si="72"/>
        <v>-</v>
      </c>
      <c r="C208" s="18"/>
      <c r="D208" s="24"/>
      <c r="E208" s="23"/>
      <c r="F208" s="131"/>
      <c r="G208" s="130"/>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7"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4" t="str">
        <f t="shared" si="72"/>
        <v>-</v>
      </c>
      <c r="C209" s="18"/>
      <c r="D209" s="24"/>
      <c r="E209" s="23"/>
      <c r="F209" s="131"/>
      <c r="G209" s="130"/>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7"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4" t="str">
        <f t="shared" si="72"/>
        <v>-</v>
      </c>
      <c r="C210" s="18"/>
      <c r="D210" s="24"/>
      <c r="E210" s="23"/>
      <c r="F210" s="131"/>
      <c r="G210" s="130"/>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7"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4" t="str">
        <f t="shared" si="72"/>
        <v>-</v>
      </c>
      <c r="C211" s="18"/>
      <c r="D211" s="24"/>
      <c r="E211" s="23"/>
      <c r="F211" s="131"/>
      <c r="G211" s="130"/>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7"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4" t="str">
        <f t="shared" si="72"/>
        <v>-</v>
      </c>
      <c r="C212" s="18"/>
      <c r="D212" s="24"/>
      <c r="E212" s="23"/>
      <c r="F212" s="131"/>
      <c r="G212" s="130"/>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7"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4" t="str">
        <f t="shared" si="72"/>
        <v>-</v>
      </c>
      <c r="C213" s="18"/>
      <c r="D213" s="24"/>
      <c r="E213" s="23"/>
      <c r="F213" s="131"/>
      <c r="G213" s="130"/>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7"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4" t="str">
        <f t="shared" si="72"/>
        <v>-</v>
      </c>
      <c r="C214" s="18"/>
      <c r="D214" s="24"/>
      <c r="E214" s="23"/>
      <c r="F214" s="131"/>
      <c r="G214" s="130"/>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7"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4" t="str">
        <f t="shared" si="72"/>
        <v>-</v>
      </c>
      <c r="C215" s="18"/>
      <c r="D215" s="24"/>
      <c r="E215" s="23"/>
      <c r="F215" s="131"/>
      <c r="G215" s="130"/>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7"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4" t="str">
        <f t="shared" si="72"/>
        <v>-</v>
      </c>
      <c r="C216" s="18"/>
      <c r="D216" s="24"/>
      <c r="E216" s="23"/>
      <c r="F216" s="131"/>
      <c r="G216" s="130"/>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7"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4" t="str">
        <f t="shared" si="72"/>
        <v>-</v>
      </c>
      <c r="C217" s="18"/>
      <c r="D217" s="24"/>
      <c r="E217" s="23"/>
      <c r="F217" s="131"/>
      <c r="G217" s="130"/>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7"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4" t="str">
        <f t="shared" si="72"/>
        <v>-</v>
      </c>
      <c r="C218" s="18"/>
      <c r="D218" s="24"/>
      <c r="E218" s="23"/>
      <c r="F218" s="131"/>
      <c r="G218" s="130"/>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7"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4" t="str">
        <f t="shared" si="72"/>
        <v>-</v>
      </c>
      <c r="C219" s="18"/>
      <c r="D219" s="24"/>
      <c r="E219" s="23"/>
      <c r="F219" s="131"/>
      <c r="G219" s="130"/>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7"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4" t="str">
        <f t="shared" si="72"/>
        <v>-</v>
      </c>
      <c r="C220" s="18"/>
      <c r="D220" s="24"/>
      <c r="E220" s="23"/>
      <c r="F220" s="131"/>
      <c r="G220" s="130"/>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7"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4" t="str">
        <f t="shared" si="72"/>
        <v>-</v>
      </c>
      <c r="C221" s="18"/>
      <c r="D221" s="24"/>
      <c r="E221" s="23"/>
      <c r="F221" s="131"/>
      <c r="G221" s="130"/>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7"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4" t="str">
        <f t="shared" si="72"/>
        <v>-</v>
      </c>
      <c r="C222" s="18"/>
      <c r="D222" s="24"/>
      <c r="E222" s="23"/>
      <c r="F222" s="131"/>
      <c r="G222" s="130"/>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7"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4" t="str">
        <f t="shared" si="72"/>
        <v>-</v>
      </c>
      <c r="C223" s="18"/>
      <c r="D223" s="24"/>
      <c r="E223" s="23"/>
      <c r="F223" s="131"/>
      <c r="G223" s="130"/>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7"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4" t="str">
        <f t="shared" si="72"/>
        <v>-</v>
      </c>
      <c r="C224" s="18"/>
      <c r="D224" s="24"/>
      <c r="E224" s="23"/>
      <c r="F224" s="131"/>
      <c r="G224" s="130"/>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7"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4" t="str">
        <f t="shared" si="72"/>
        <v>-</v>
      </c>
      <c r="C225" s="18"/>
      <c r="D225" s="24"/>
      <c r="E225" s="23"/>
      <c r="F225" s="131"/>
      <c r="G225" s="130"/>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7"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4" t="str">
        <f t="shared" si="72"/>
        <v>-</v>
      </c>
      <c r="C226" s="18"/>
      <c r="D226" s="24"/>
      <c r="E226" s="23"/>
      <c r="F226" s="131"/>
      <c r="G226" s="130"/>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7"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4" t="str">
        <f t="shared" si="72"/>
        <v>-</v>
      </c>
      <c r="C227" s="18"/>
      <c r="D227" s="24"/>
      <c r="E227" s="23"/>
      <c r="F227" s="131"/>
      <c r="G227" s="130"/>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7"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4" t="str">
        <f t="shared" si="72"/>
        <v>-</v>
      </c>
      <c r="C228" s="18"/>
      <c r="D228" s="24"/>
      <c r="E228" s="23"/>
      <c r="F228" s="131"/>
      <c r="G228" s="130"/>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7"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4" t="str">
        <f t="shared" si="72"/>
        <v>-</v>
      </c>
      <c r="C229" s="18"/>
      <c r="D229" s="24"/>
      <c r="E229" s="23"/>
      <c r="F229" s="131"/>
      <c r="G229" s="130"/>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7"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4" t="str">
        <f t="shared" si="72"/>
        <v>-</v>
      </c>
      <c r="C230" s="18"/>
      <c r="D230" s="24"/>
      <c r="E230" s="23"/>
      <c r="F230" s="131"/>
      <c r="G230" s="130"/>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7"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4" t="str">
        <f t="shared" si="72"/>
        <v>-</v>
      </c>
      <c r="C231" s="18"/>
      <c r="D231" s="24"/>
      <c r="E231" s="23"/>
      <c r="F231" s="131"/>
      <c r="G231" s="130"/>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7"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4" t="str">
        <f t="shared" si="72"/>
        <v>-</v>
      </c>
      <c r="C232" s="18"/>
      <c r="D232" s="24"/>
      <c r="E232" s="23"/>
      <c r="F232" s="131"/>
      <c r="G232" s="130"/>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7"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4" t="str">
        <f t="shared" si="72"/>
        <v>-</v>
      </c>
      <c r="C233" s="18"/>
      <c r="D233" s="24"/>
      <c r="E233" s="23"/>
      <c r="F233" s="131"/>
      <c r="G233" s="130"/>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7"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4" t="str">
        <f t="shared" si="72"/>
        <v>-</v>
      </c>
      <c r="C234" s="18"/>
      <c r="D234" s="24"/>
      <c r="E234" s="23"/>
      <c r="F234" s="131"/>
      <c r="G234" s="130"/>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7"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4" t="str">
        <f t="shared" si="72"/>
        <v>-</v>
      </c>
      <c r="C235" s="18"/>
      <c r="D235" s="24"/>
      <c r="E235" s="23"/>
      <c r="F235" s="131"/>
      <c r="G235" s="130"/>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7"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4" t="str">
        <f t="shared" si="72"/>
        <v>-</v>
      </c>
      <c r="C236" s="18"/>
      <c r="D236" s="24"/>
      <c r="E236" s="23"/>
      <c r="F236" s="131"/>
      <c r="G236" s="130"/>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7"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4" t="str">
        <f t="shared" si="72"/>
        <v>-</v>
      </c>
      <c r="C237" s="18"/>
      <c r="D237" s="24"/>
      <c r="E237" s="23"/>
      <c r="F237" s="131"/>
      <c r="G237" s="130"/>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7"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4" t="str">
        <f t="shared" si="72"/>
        <v>-</v>
      </c>
      <c r="C238" s="18"/>
      <c r="D238" s="24"/>
      <c r="E238" s="23"/>
      <c r="F238" s="131"/>
      <c r="G238" s="130"/>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7"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4" t="str">
        <f t="shared" si="72"/>
        <v>-</v>
      </c>
      <c r="C239" s="18"/>
      <c r="D239" s="24"/>
      <c r="E239" s="23"/>
      <c r="F239" s="131"/>
      <c r="G239" s="130"/>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7"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4" t="str">
        <f t="shared" si="72"/>
        <v>-</v>
      </c>
      <c r="C240" s="18"/>
      <c r="D240" s="24"/>
      <c r="E240" s="23"/>
      <c r="F240" s="131"/>
      <c r="G240" s="130"/>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7"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4" t="str">
        <f t="shared" si="72"/>
        <v>-</v>
      </c>
      <c r="C241" s="18"/>
      <c r="D241" s="24"/>
      <c r="E241" s="23"/>
      <c r="F241" s="131"/>
      <c r="G241" s="130"/>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7"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4" t="str">
        <f t="shared" si="72"/>
        <v>-</v>
      </c>
      <c r="C242" s="18"/>
      <c r="D242" s="24"/>
      <c r="E242" s="23"/>
      <c r="F242" s="131"/>
      <c r="G242" s="130"/>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7"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4" t="str">
        <f t="shared" si="72"/>
        <v>-</v>
      </c>
      <c r="C243" s="18"/>
      <c r="D243" s="24"/>
      <c r="E243" s="23"/>
      <c r="F243" s="131"/>
      <c r="G243" s="130"/>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7"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4" t="str">
        <f t="shared" si="72"/>
        <v>-</v>
      </c>
      <c r="C244" s="18"/>
      <c r="D244" s="24"/>
      <c r="E244" s="23"/>
      <c r="F244" s="131"/>
      <c r="G244" s="130"/>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7"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4" t="str">
        <f t="shared" si="72"/>
        <v>-</v>
      </c>
      <c r="C245" s="18"/>
      <c r="D245" s="24"/>
      <c r="E245" s="23"/>
      <c r="F245" s="131"/>
      <c r="G245" s="130"/>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7"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4" t="str">
        <f t="shared" si="72"/>
        <v>-</v>
      </c>
      <c r="C246" s="18"/>
      <c r="D246" s="24"/>
      <c r="E246" s="23"/>
      <c r="F246" s="131"/>
      <c r="G246" s="130"/>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7"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4" t="str">
        <f t="shared" si="72"/>
        <v>-</v>
      </c>
      <c r="C247" s="18"/>
      <c r="D247" s="24"/>
      <c r="E247" s="23"/>
      <c r="F247" s="131"/>
      <c r="G247" s="130"/>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7"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4" t="str">
        <f t="shared" si="72"/>
        <v>-</v>
      </c>
      <c r="C248" s="18"/>
      <c r="D248" s="24"/>
      <c r="E248" s="23"/>
      <c r="F248" s="131"/>
      <c r="G248" s="130"/>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7"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4" t="str">
        <f t="shared" si="72"/>
        <v>-</v>
      </c>
      <c r="C249" s="18"/>
      <c r="D249" s="24"/>
      <c r="E249" s="23"/>
      <c r="F249" s="131"/>
      <c r="G249" s="130"/>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7"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4" t="str">
        <f t="shared" si="72"/>
        <v>-</v>
      </c>
      <c r="C250" s="18"/>
      <c r="D250" s="24"/>
      <c r="E250" s="23"/>
      <c r="F250" s="131"/>
      <c r="G250" s="130"/>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7"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4" t="str">
        <f t="shared" si="72"/>
        <v>-</v>
      </c>
      <c r="C251" s="18"/>
      <c r="D251" s="24"/>
      <c r="E251" s="23"/>
      <c r="F251" s="131"/>
      <c r="G251" s="133"/>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aubOdMQNRoIM9unHfAdIeG2zaN+ehruk2NRNvqXJjIqfbBl68M94UJbIK83olYVSyF5welSzQ97q7dL72PNzA==" saltValue="JiDvgegJM1QyKjN8IY/5ow==" spinCount="100000" sheet="1" formatCells="0" formatColumns="0" formatRows="0" autoFilter="0" pivotTables="0"/>
  <autoFilter ref="C9:AZ251" xr:uid="{00000000-0009-0000-0000-00001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400-000000000000}">
      <formula1>"Directamente,No disminuye,"</formula1>
    </dataValidation>
    <dataValidation type="list" allowBlank="1" showInputMessage="1" showErrorMessage="1" sqref="Z10:Z251" xr:uid="{00000000-0002-0000-1400-000001000000}">
      <formula1>"Siempre se ejecuta, Algunas veces se ejecuta, No se ejecuta"</formula1>
    </dataValidation>
    <dataValidation type="list" allowBlank="1" showInputMessage="1" showErrorMessage="1" sqref="U10:U251" xr:uid="{00000000-0002-0000-1400-000002000000}">
      <formula1>"Completa,Incompleta,No existe"</formula1>
    </dataValidation>
    <dataValidation type="list" allowBlank="1" showInputMessage="1" showErrorMessage="1" sqref="S10:S251" xr:uid="{00000000-0002-0000-1400-000003000000}">
      <formula1>"Se investigan y resuelven oportunamente,No se investigan y resuelven oportunamente"</formula1>
    </dataValidation>
    <dataValidation type="list" allowBlank="1" showInputMessage="1" showErrorMessage="1" sqref="Q10:Q251" xr:uid="{00000000-0002-0000-1400-000004000000}">
      <formula1>"Confiable,No confiable"</formula1>
    </dataValidation>
    <dataValidation type="list" allowBlank="1" showInputMessage="1" showErrorMessage="1" sqref="O10:O251" xr:uid="{00000000-0002-0000-1400-000005000000}">
      <formula1>"Prevenir,Detectar,No es un control"</formula1>
    </dataValidation>
    <dataValidation type="list" allowBlank="1" showInputMessage="1" showErrorMessage="1" sqref="M10:M251" xr:uid="{00000000-0002-0000-1400-000006000000}">
      <formula1>"Oportuna,Inoportuna"</formula1>
    </dataValidation>
    <dataValidation type="list" allowBlank="1" showInputMessage="1" showErrorMessage="1" sqref="K10:K251" xr:uid="{00000000-0002-0000-1400-000007000000}">
      <formula1>"Adecuado,Inadecuado"</formula1>
    </dataValidation>
    <dataValidation type="list" allowBlank="1" showInputMessage="1" showErrorMessage="1" sqref="I10:I251" xr:uid="{00000000-0002-0000-1400-000008000000}">
      <formula1>"Asignado,No asignado"</formula1>
    </dataValidation>
    <dataValidation type="list" allowBlank="1" showInputMessage="1" showErrorMessage="1" sqref="G18:G251" xr:uid="{00000000-0002-0000-1400-000009000000}">
      <formula1>"Directamente,No disminuye"</formula1>
    </dataValidation>
    <dataValidation type="list" allowBlank="1" showInputMessage="1" showErrorMessage="1" sqref="H10:H251" xr:uid="{00000000-0002-0000-1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'VALIDACIÓN DE DATOS'!$G$2:$G$31</xm:f>
          </x14:formula1>
          <xm:sqref>E10:E251</xm:sqref>
        </x14:dataValidation>
        <x14:dataValidation type="list" allowBlank="1" showInputMessage="1" showErrorMessage="1" xr:uid="{00000000-0002-0000-1400-00000C000000}">
          <x14:formula1>
            <xm:f>'VALIDACIÓN DE DATOS'!$E$2:$E$201</xm:f>
          </x14:formula1>
          <xm:sqref>C10:C251</xm:sqref>
        </x14:dataValidation>
        <x14:dataValidation type="list" allowBlank="1" showInputMessage="1" showErrorMessage="1" xr:uid="{00000000-0002-0000-1400-00000D000000}">
          <x14:formula1>
            <xm:f>'VALIDACIÓN DE DATOS'!$I$2:$I$31</xm:f>
          </x14:formula1>
          <xm:sqref>D10:D251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AB62"/>
  <sheetViews>
    <sheetView showGridLines="0" topLeftCell="K1" zoomScale="70" zoomScaleNormal="70" workbookViewId="0">
      <selection activeCell="AE4" sqref="AE4"/>
    </sheetView>
  </sheetViews>
  <sheetFormatPr baseColWidth="10"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3"/>
      <c r="L1" s="144"/>
      <c r="M1" s="812" t="s">
        <v>469</v>
      </c>
      <c r="N1" s="814" t="s">
        <v>1233</v>
      </c>
      <c r="O1" s="758"/>
      <c r="P1" s="758"/>
      <c r="Q1" s="758"/>
      <c r="R1" s="758"/>
      <c r="S1" s="758"/>
      <c r="T1" s="758"/>
      <c r="U1" s="758"/>
      <c r="V1" s="758"/>
      <c r="W1" s="758"/>
      <c r="X1" s="752"/>
      <c r="Y1" s="153" t="s">
        <v>963</v>
      </c>
      <c r="Z1" s="816">
        <v>7</v>
      </c>
      <c r="AA1" s="817"/>
      <c r="AB1" s="818"/>
    </row>
    <row r="2" spans="2:28" ht="29.25" customHeight="1" x14ac:dyDescent="0.25">
      <c r="K2" s="138"/>
      <c r="L2" s="139"/>
      <c r="M2" s="813"/>
      <c r="N2" s="815"/>
      <c r="O2" s="757"/>
      <c r="P2" s="757"/>
      <c r="Q2" s="757"/>
      <c r="R2" s="757"/>
      <c r="S2" s="757"/>
      <c r="T2" s="757"/>
      <c r="U2" s="757"/>
      <c r="V2" s="757"/>
      <c r="W2" s="757"/>
      <c r="X2" s="712"/>
      <c r="Y2" s="153" t="s">
        <v>964</v>
      </c>
      <c r="Z2" s="819" t="s">
        <v>1238</v>
      </c>
      <c r="AA2" s="772"/>
      <c r="AB2" s="713"/>
    </row>
    <row r="3" spans="2:28" ht="32.25" customHeight="1" x14ac:dyDescent="0.25">
      <c r="K3" s="423"/>
      <c r="L3" s="424"/>
      <c r="M3" s="407" t="s">
        <v>962</v>
      </c>
      <c r="N3" s="819" t="s">
        <v>1234</v>
      </c>
      <c r="O3" s="772"/>
      <c r="P3" s="772"/>
      <c r="Q3" s="772"/>
      <c r="R3" s="772"/>
      <c r="S3" s="772"/>
      <c r="T3" s="772"/>
      <c r="U3" s="772"/>
      <c r="V3" s="772"/>
      <c r="W3" s="772"/>
      <c r="X3" s="713"/>
      <c r="Y3" s="153" t="s">
        <v>965</v>
      </c>
      <c r="Z3" s="820">
        <v>45139</v>
      </c>
      <c r="AA3" s="821"/>
      <c r="AB3" s="822"/>
    </row>
    <row r="4" spans="2:28" ht="23.25" customHeight="1" x14ac:dyDescent="0.25"/>
    <row r="5" spans="2:28" ht="15" customHeight="1" thickBot="1" x14ac:dyDescent="0.3"/>
    <row r="6" spans="2:28" ht="30.75" customHeight="1" thickBot="1" x14ac:dyDescent="0.3">
      <c r="K6" s="796" t="s">
        <v>157</v>
      </c>
      <c r="L6" s="797"/>
      <c r="M6" s="797"/>
      <c r="N6" s="797"/>
      <c r="O6" s="797"/>
      <c r="P6" s="797"/>
      <c r="Q6" s="798"/>
      <c r="S6" s="799" t="str">
        <f>K8</f>
        <v xml:space="preserve">Gestión Administrativa </v>
      </c>
      <c r="T6" s="800"/>
      <c r="U6" s="800"/>
      <c r="V6" s="800"/>
      <c r="W6" s="800"/>
      <c r="X6" s="800"/>
      <c r="Y6" s="800"/>
      <c r="Z6" s="800"/>
      <c r="AA6" s="800"/>
      <c r="AB6" s="801"/>
    </row>
    <row r="7" spans="2:28" ht="36" customHeight="1" thickBot="1" x14ac:dyDescent="0.3">
      <c r="B7" s="807" t="s">
        <v>81</v>
      </c>
      <c r="C7" s="809" t="s">
        <v>24</v>
      </c>
      <c r="D7" s="810"/>
      <c r="E7" s="810"/>
      <c r="F7" s="810"/>
      <c r="G7" s="811"/>
      <c r="K7" s="396" t="s">
        <v>1</v>
      </c>
      <c r="L7" s="397" t="s">
        <v>187</v>
      </c>
      <c r="M7" s="397" t="s">
        <v>3</v>
      </c>
      <c r="N7" s="397" t="s">
        <v>190</v>
      </c>
      <c r="O7" s="397" t="s">
        <v>5</v>
      </c>
      <c r="P7" s="397" t="s">
        <v>145</v>
      </c>
      <c r="Q7" s="397" t="s">
        <v>157</v>
      </c>
      <c r="S7" s="81"/>
      <c r="T7" s="82"/>
      <c r="U7" s="82"/>
      <c r="V7" s="82"/>
      <c r="W7" s="82"/>
      <c r="X7" s="82"/>
      <c r="Y7" s="82"/>
      <c r="Z7" s="82"/>
      <c r="AA7" s="82"/>
      <c r="AB7" s="83"/>
    </row>
    <row r="8" spans="2:28" ht="45.75" customHeight="1" thickBot="1" x14ac:dyDescent="0.3">
      <c r="B8" s="808"/>
      <c r="C8" s="84" t="s">
        <v>11</v>
      </c>
      <c r="D8" s="84" t="s">
        <v>10</v>
      </c>
      <c r="E8" s="84" t="s">
        <v>9</v>
      </c>
      <c r="F8" s="84" t="s">
        <v>8</v>
      </c>
      <c r="G8" s="84" t="s">
        <v>7</v>
      </c>
      <c r="K8" s="802" t="str">
        <f>'Riesgos de Corrupción'!C6</f>
        <v xml:space="preserve">Gestión Administrativa </v>
      </c>
      <c r="L8" s="85"/>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805" t="s">
        <v>81</v>
      </c>
      <c r="T8" s="86"/>
      <c r="AB8" s="87"/>
    </row>
    <row r="9" spans="2:28" ht="45.75" customHeight="1" thickBot="1" x14ac:dyDescent="0.3">
      <c r="B9" s="88" t="s">
        <v>93</v>
      </c>
      <c r="C9" s="89" t="s">
        <v>96</v>
      </c>
      <c r="D9" s="89" t="s">
        <v>97</v>
      </c>
      <c r="E9" s="90" t="s">
        <v>102</v>
      </c>
      <c r="F9" s="90" t="s">
        <v>103</v>
      </c>
      <c r="G9" s="90" t="s">
        <v>106</v>
      </c>
      <c r="K9" s="803"/>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05"/>
      <c r="T9" s="91" t="s">
        <v>196</v>
      </c>
      <c r="U9" s="78"/>
      <c r="AB9" s="87"/>
    </row>
    <row r="10" spans="2:28" ht="45.75" customHeight="1" thickBot="1" x14ac:dyDescent="0.3">
      <c r="B10" s="88" t="s">
        <v>73</v>
      </c>
      <c r="C10" s="92" t="s">
        <v>82</v>
      </c>
      <c r="D10" s="89" t="s">
        <v>98</v>
      </c>
      <c r="E10" s="89" t="s">
        <v>100</v>
      </c>
      <c r="F10" s="90" t="s">
        <v>104</v>
      </c>
      <c r="G10" s="90" t="s">
        <v>103</v>
      </c>
      <c r="K10" s="80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05"/>
      <c r="T10" s="91" t="s">
        <v>198</v>
      </c>
      <c r="U10" s="78"/>
      <c r="AB10" s="87"/>
    </row>
    <row r="11" spans="2:28" ht="45" customHeight="1" thickBot="1" x14ac:dyDescent="0.3">
      <c r="B11" s="88" t="s">
        <v>74</v>
      </c>
      <c r="C11" s="93" t="s">
        <v>94</v>
      </c>
      <c r="D11" s="92" t="s">
        <v>84</v>
      </c>
      <c r="E11" s="89" t="s">
        <v>99</v>
      </c>
      <c r="F11" s="90" t="s">
        <v>105</v>
      </c>
      <c r="G11" s="90" t="s">
        <v>102</v>
      </c>
      <c r="K11" s="80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05"/>
      <c r="T11" s="91" t="s">
        <v>195</v>
      </c>
      <c r="U11" s="78"/>
      <c r="AB11" s="87"/>
    </row>
    <row r="12" spans="2:28" ht="45.75" customHeight="1" thickBot="1" x14ac:dyDescent="0.3">
      <c r="B12" s="88" t="s">
        <v>75</v>
      </c>
      <c r="C12" s="93" t="s">
        <v>85</v>
      </c>
      <c r="D12" s="93" t="s">
        <v>95</v>
      </c>
      <c r="E12" s="92" t="s">
        <v>84</v>
      </c>
      <c r="F12" s="89" t="s">
        <v>98</v>
      </c>
      <c r="G12" s="90" t="s">
        <v>107</v>
      </c>
      <c r="K12" s="80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05"/>
      <c r="T12" s="91" t="s">
        <v>197</v>
      </c>
      <c r="U12" s="78"/>
      <c r="AB12" s="87"/>
    </row>
    <row r="13" spans="2:28" ht="46.5" customHeight="1" thickBot="1" x14ac:dyDescent="0.3">
      <c r="B13" s="88" t="s">
        <v>76</v>
      </c>
      <c r="C13" s="93" t="s">
        <v>86</v>
      </c>
      <c r="D13" s="93" t="s">
        <v>85</v>
      </c>
      <c r="E13" s="92" t="s">
        <v>83</v>
      </c>
      <c r="F13" s="89" t="s">
        <v>101</v>
      </c>
      <c r="G13" s="90" t="s">
        <v>108</v>
      </c>
      <c r="K13" s="80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05"/>
      <c r="T13" s="91" t="s">
        <v>194</v>
      </c>
      <c r="U13" s="78"/>
      <c r="AB13" s="87"/>
    </row>
    <row r="14" spans="2:28" ht="45.75" customHeight="1" x14ac:dyDescent="0.25">
      <c r="K14" s="80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05"/>
      <c r="T14" s="94"/>
      <c r="AB14" s="87"/>
    </row>
    <row r="15" spans="2:28" ht="37.5" customHeight="1" x14ac:dyDescent="0.25">
      <c r="K15" s="80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0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06" t="s">
        <v>24</v>
      </c>
      <c r="V16" s="806"/>
      <c r="W16" s="806"/>
      <c r="X16" s="806"/>
      <c r="Y16" s="806"/>
      <c r="Z16" s="806"/>
      <c r="AA16" s="806"/>
      <c r="AB16" s="101"/>
    </row>
    <row r="17" spans="11:27" ht="30" customHeight="1" x14ac:dyDescent="0.25">
      <c r="K17" s="80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0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0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0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0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0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0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0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0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0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0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0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0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0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0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0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0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0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796" t="s">
        <v>149</v>
      </c>
      <c r="L36" s="797"/>
      <c r="M36" s="797"/>
      <c r="N36" s="797"/>
      <c r="O36" s="797"/>
      <c r="P36" s="797"/>
      <c r="Q36" s="798"/>
      <c r="S36" s="799" t="str">
        <f>K38</f>
        <v xml:space="preserve">Gestión Administrativa </v>
      </c>
      <c r="T36" s="800"/>
      <c r="U36" s="800"/>
      <c r="V36" s="800"/>
      <c r="W36" s="800"/>
      <c r="X36" s="800"/>
      <c r="Y36" s="800"/>
      <c r="Z36" s="800"/>
      <c r="AA36" s="800"/>
      <c r="AB36" s="801"/>
    </row>
    <row r="37" spans="11:28" ht="30" customHeight="1" thickBot="1" x14ac:dyDescent="0.3">
      <c r="K37" s="396" t="s">
        <v>1</v>
      </c>
      <c r="L37" s="397" t="s">
        <v>187</v>
      </c>
      <c r="M37" s="397" t="s">
        <v>3</v>
      </c>
      <c r="N37" s="397" t="s">
        <v>190</v>
      </c>
      <c r="O37" s="397" t="s">
        <v>5</v>
      </c>
      <c r="P37" s="397" t="s">
        <v>145</v>
      </c>
      <c r="Q37" s="397" t="s">
        <v>149</v>
      </c>
      <c r="S37" s="81"/>
      <c r="T37" s="82"/>
      <c r="U37" s="82"/>
      <c r="V37" s="82"/>
      <c r="W37" s="82"/>
      <c r="X37" s="82"/>
      <c r="Y37" s="82"/>
      <c r="Z37" s="82"/>
      <c r="AA37" s="82"/>
      <c r="AB37" s="83"/>
    </row>
    <row r="38" spans="11:28" ht="45.75" customHeight="1" x14ac:dyDescent="0.25">
      <c r="K38" s="802" t="str">
        <f>K8</f>
        <v xml:space="preserve">Gestión Administrativa </v>
      </c>
      <c r="L38" s="105"/>
      <c r="M38" s="32" t="str">
        <f>IFERROR(INDEX('Controles de Corrupción'!$C$10:$AN$251,MATCH('Mapa de calor Corrupción'!L38,'Controles de Corrupción'!$C$10:$C$251,0),33), " ")</f>
        <v xml:space="preserve"> </v>
      </c>
      <c r="N38" s="32" t="str">
        <f>IF(M38="Rara vez",1,IF(M38="Improbable",2,IF(M38="Posible",3,IF(M38="Probable",4,IF(M38="Casi seguro",5," ")))))</f>
        <v xml:space="preserve"> </v>
      </c>
      <c r="O38" s="32" t="str">
        <f>IFERROR(INDEX('Controles de Corrupción'!$C$10:$AN$251,MATCH('Mapa de calor Corrupción'!L38,'Controles de Corrupción'!$C$10:$C$251,0),36)," ")</f>
        <v xml:space="preserve"> </v>
      </c>
      <c r="P38" s="32" t="str">
        <f>IFERROR(IF(O38="Insignificante",1,IF(O38="Menor",2,IF(O38="Moderado",3,IF(O38="Mayor",4,IF(O38="Catastrófico",5,IF(O38=" "," ")))))),"")</f>
        <v xml:space="preserve"> </v>
      </c>
      <c r="Q38" s="33" t="str">
        <f>IFERROR(INDEX('Controles de Corrupción'!$C$10:$AN$251,MATCH('Mapa de calor Corrupción'!L38,'Controles de Corrupción'!$C$10:$C$251,0),37)," ")</f>
        <v xml:space="preserve"> </v>
      </c>
      <c r="S38" s="805" t="s">
        <v>81</v>
      </c>
      <c r="T38" s="86"/>
      <c r="AB38" s="87"/>
    </row>
    <row r="39" spans="11:28" ht="45.75" customHeight="1" x14ac:dyDescent="0.25">
      <c r="K39" s="803"/>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05"/>
      <c r="T39" s="91" t="s">
        <v>196</v>
      </c>
      <c r="U39" s="78"/>
      <c r="AB39" s="87"/>
    </row>
    <row r="40" spans="11:28" ht="45.75" customHeight="1" x14ac:dyDescent="0.25">
      <c r="K40" s="803"/>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05"/>
      <c r="T40" s="91" t="s">
        <v>198</v>
      </c>
      <c r="U40" s="78"/>
      <c r="AB40" s="87"/>
    </row>
    <row r="41" spans="11:28" ht="45.75" customHeight="1" x14ac:dyDescent="0.25">
      <c r="K41" s="803"/>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05"/>
      <c r="T41" s="91" t="s">
        <v>195</v>
      </c>
      <c r="U41" s="78"/>
      <c r="AB41" s="87"/>
    </row>
    <row r="42" spans="11:28" ht="45.75" customHeight="1" x14ac:dyDescent="0.25">
      <c r="K42" s="803"/>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05"/>
      <c r="T42" s="91" t="s">
        <v>197</v>
      </c>
      <c r="U42" s="78"/>
      <c r="AB42" s="87"/>
    </row>
    <row r="43" spans="11:28" ht="45.75" customHeight="1" x14ac:dyDescent="0.25">
      <c r="K43" s="803"/>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05"/>
      <c r="T43" s="91" t="s">
        <v>194</v>
      </c>
      <c r="U43" s="78"/>
      <c r="AB43" s="87"/>
    </row>
    <row r="44" spans="11:28" ht="45.75" customHeight="1" x14ac:dyDescent="0.25">
      <c r="K44" s="803"/>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05"/>
      <c r="T44" s="94"/>
      <c r="AB44" s="87"/>
    </row>
    <row r="45" spans="11:28" ht="45" customHeight="1" x14ac:dyDescent="0.25">
      <c r="K45" s="803"/>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03"/>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06" t="s">
        <v>24</v>
      </c>
      <c r="V46" s="806"/>
      <c r="W46" s="806"/>
      <c r="X46" s="806"/>
      <c r="Y46" s="806"/>
      <c r="Z46" s="806"/>
      <c r="AA46" s="806"/>
      <c r="AB46" s="101"/>
    </row>
    <row r="47" spans="11:28" ht="50.25" customHeight="1" x14ac:dyDescent="0.25">
      <c r="K47" s="803"/>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03"/>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03"/>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03"/>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03"/>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03"/>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03"/>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03"/>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03"/>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03"/>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03"/>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03"/>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03"/>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03"/>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03"/>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04"/>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PRhe9gwwCAH2WzzMuAA/x1upDOAqQqeBAwWcgUf2kKYbUf9VJjEN+g1W02331oLkLBOdAyfon/RlHmgIZ+oGg==" saltValue="6h3pd0qmkpAmKvboG+M/Mw==" spinCount="100000" sheet="1" autoFilter="0"/>
  <mergeCells count="18">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0000000}">
          <x14:formula1>
            <xm:f>'VALIDACIÓN DE DATOS'!$E$2:$E$201</xm:f>
          </x14:formula1>
          <xm:sqref>L38:L62 L8:L34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T13" sqref="T13"/>
    </sheetView>
  </sheetViews>
  <sheetFormatPr baseColWidth="10"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6"/>
      <c r="C1" s="148"/>
      <c r="D1" s="721" t="s">
        <v>469</v>
      </c>
      <c r="E1" s="723" t="s">
        <v>1233</v>
      </c>
      <c r="F1" s="724"/>
      <c r="G1" s="724"/>
      <c r="H1" s="724"/>
      <c r="I1" s="724"/>
      <c r="J1" s="724"/>
      <c r="K1" s="724"/>
      <c r="L1" s="724"/>
      <c r="M1" s="724"/>
      <c r="N1" s="724"/>
      <c r="O1" s="724"/>
      <c r="P1" s="153" t="s">
        <v>963</v>
      </c>
      <c r="Q1" s="15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5" t="s">
        <v>13</v>
      </c>
      <c r="CL1" s="726"/>
    </row>
    <row r="2" spans="1:90" ht="24" customHeight="1" thickBot="1" x14ac:dyDescent="0.3">
      <c r="A2" s="116"/>
      <c r="B2" s="145"/>
      <c r="C2" s="149"/>
      <c r="D2" s="722"/>
      <c r="E2" s="723"/>
      <c r="F2" s="724"/>
      <c r="G2" s="724"/>
      <c r="H2" s="724"/>
      <c r="I2" s="724"/>
      <c r="J2" s="724"/>
      <c r="K2" s="724"/>
      <c r="L2" s="724"/>
      <c r="M2" s="724"/>
      <c r="N2" s="724"/>
      <c r="O2" s="724"/>
      <c r="P2" s="153" t="s">
        <v>964</v>
      </c>
      <c r="Q2" s="153" t="s">
        <v>1239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5" t="s">
        <v>12</v>
      </c>
      <c r="CL2" s="726"/>
    </row>
    <row r="3" spans="1:90" s="110" customFormat="1" ht="36.75" customHeight="1" thickBot="1" x14ac:dyDescent="0.3">
      <c r="A3" s="116"/>
      <c r="B3" s="145"/>
      <c r="C3" s="150"/>
      <c r="D3" s="155" t="s">
        <v>962</v>
      </c>
      <c r="E3" s="727" t="s">
        <v>1234</v>
      </c>
      <c r="F3" s="727"/>
      <c r="G3" s="727"/>
      <c r="H3" s="727"/>
      <c r="I3" s="727"/>
      <c r="J3" s="727"/>
      <c r="K3" s="727"/>
      <c r="L3" s="727"/>
      <c r="M3" s="727"/>
      <c r="N3" s="727"/>
      <c r="O3" s="723"/>
      <c r="P3" s="153" t="s">
        <v>965</v>
      </c>
      <c r="Q3" s="15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8" t="s">
        <v>156</v>
      </c>
      <c r="CL3" s="729"/>
    </row>
    <row r="4" spans="1:90" ht="27" customHeight="1" x14ac:dyDescent="0.25">
      <c r="A4" s="116"/>
      <c r="B4" s="408"/>
      <c r="C4" s="409"/>
      <c r="D4" s="410"/>
      <c r="E4" s="413" t="s">
        <v>961</v>
      </c>
      <c r="F4" s="413"/>
      <c r="G4" s="413"/>
      <c r="H4" s="413"/>
      <c r="I4" s="413"/>
      <c r="J4" s="413"/>
      <c r="K4" s="413"/>
      <c r="L4" s="413"/>
      <c r="M4" s="413"/>
      <c r="N4" s="413"/>
      <c r="O4" s="413"/>
      <c r="P4" s="411"/>
      <c r="Q4" s="412"/>
    </row>
    <row r="5" spans="1:90" customFormat="1" ht="41.25" customHeight="1" thickBot="1" x14ac:dyDescent="0.3">
      <c r="A5" s="117"/>
      <c r="B5" s="398" t="s">
        <v>473</v>
      </c>
      <c r="C5" s="202" t="str">
        <f>'Riesgos de Corrupción'!C6</f>
        <v xml:space="preserve">Gestión Administrativa </v>
      </c>
      <c r="D5" s="399"/>
      <c r="Q5" s="400"/>
    </row>
    <row r="6" spans="1:90" s="1" customFormat="1" ht="85.5" customHeight="1" thickBot="1" x14ac:dyDescent="0.3">
      <c r="A6" s="118" t="s">
        <v>462</v>
      </c>
      <c r="B6" s="401" t="s">
        <v>159</v>
      </c>
      <c r="C6" s="379" t="s">
        <v>25</v>
      </c>
      <c r="D6" s="402" t="s">
        <v>27</v>
      </c>
      <c r="E6" s="403" t="s">
        <v>2</v>
      </c>
      <c r="F6" s="404" t="s">
        <v>3</v>
      </c>
      <c r="G6" s="404" t="s">
        <v>5</v>
      </c>
      <c r="H6" s="404" t="s">
        <v>185</v>
      </c>
      <c r="I6" s="404" t="s">
        <v>3</v>
      </c>
      <c r="J6" s="404" t="s">
        <v>5</v>
      </c>
      <c r="K6" s="404" t="s">
        <v>160</v>
      </c>
      <c r="L6" s="404" t="s">
        <v>161</v>
      </c>
      <c r="M6" s="379" t="s">
        <v>88</v>
      </c>
      <c r="N6" s="379" t="s">
        <v>162</v>
      </c>
      <c r="O6" s="379" t="s">
        <v>0</v>
      </c>
      <c r="P6" s="379" t="s">
        <v>163</v>
      </c>
      <c r="Q6" s="379" t="s">
        <v>164</v>
      </c>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row>
    <row r="7" spans="1:90" ht="163.5" customHeight="1" x14ac:dyDescent="0.25">
      <c r="A7" s="119" t="s">
        <v>545</v>
      </c>
      <c r="B7" s="712" t="s">
        <v>188</v>
      </c>
      <c r="C7" s="714" t="str">
        <f>IFERROR(INDEX('Riesgos de Corrupción'!$B$11:$BN$100,MATCH('Mapa Riesgo Corrupción'!B7,'Riesgos de Corrupción'!$B$11:$B$100,0),2),"")</f>
        <v/>
      </c>
      <c r="D7" s="730" t="str">
        <f>IFERROR(INDEX('Riesgos de Corrupción'!$B$11:$BN$100,MATCH('Mapa Riesgo Corrupción'!B7,'Riesgos de Corrupción'!$B$11:$B$100,0),4),"")</f>
        <v/>
      </c>
      <c r="E7" s="714" t="str">
        <f>IFERROR(INDEX('Riesgos de Corrupción'!$B$11:$BN$100,MATCH('Mapa Riesgo Corrupción'!B7,'Riesgos de Corrupción'!$B$11:$B$100,0),5),"")</f>
        <v/>
      </c>
      <c r="F7" s="720" t="str">
        <f>IFERROR(INDEX('Riesgos de Corrupción'!$B$11:$BN$100,MATCH('Mapa Riesgo Corrupción'!B7,'Riesgos de Corrupción'!$B$11:$B$100,0),18),"")</f>
        <v/>
      </c>
      <c r="G7" s="720" t="str">
        <f>IFERROR(INDEX('Riesgos de Corrupción'!$B$11:$BN$100,MATCH('Mapa Riesgo Corrupción'!B7,'Riesgos de Corrupción'!$B$11:$B$100,0),63),"")</f>
        <v/>
      </c>
      <c r="H7" s="835" t="str">
        <f>IFERROR(INDEX('Riesgos de Corrupción'!$B$11:$BN$100,MATCH('Mapa Riesgo Corrupción'!B7,'Riesgos de Corrupción'!$B$11:$B$100,0),64),"")</f>
        <v/>
      </c>
      <c r="I7" s="720" t="str">
        <f>IFERROR(INDEX('Controles de Corrupción'!$C$10:$AZ$251,MATCH('Mapa Riesgo Corrupción'!B7,'Controles de Corrupción'!$C$10:$C$251,0),33),"")</f>
        <v/>
      </c>
      <c r="J7" s="720" t="str">
        <f>IFERROR(INDEX('Controles de Corrupción'!$C$10:$AZ$251,MATCH('Mapa Riesgo Corrupción'!B7,'Controles de Corrupción'!$C$10:$C$251,0),36),"")</f>
        <v/>
      </c>
      <c r="K7" s="720" t="str">
        <f>IFERROR(INDEX('Controles de Corrupción'!$C$10:$AZ$251,MATCH('Mapa Riesgo Corrupción'!B7,'Controles de Corrupción'!$C$10:$C$251,0),37),"")</f>
        <v/>
      </c>
      <c r="L7" s="720" t="str">
        <f>IFERROR(INDEX('Controles de Corrupción'!$C$10:$AZ$251,MATCH('Mapa Riesgo Corrupción'!B7,'Controles de Corrupción'!$C$10:$C$251,0),38),"")</f>
        <v/>
      </c>
      <c r="M7" s="176" t="str">
        <f>IFERROR(INDEX('Controles de Corrupción'!$C$10:$AZ$251,MATCH(A7,'Controles de Corrupción'!$B$10:$B$251,0),4),"")</f>
        <v/>
      </c>
      <c r="N7" s="70" t="str">
        <f>IFERROR(INDEX('Controles de Corrupción'!$C$10:$AZ$251,MATCH(A7,'Controles de Corrupción'!$B$10:$B$251,0),40),"")</f>
        <v/>
      </c>
      <c r="O7" s="70" t="str">
        <f>IFERROR(INDEX('Controles de Corrupción'!$C$10:$AZ$251,MATCH(A7,'Controles de Corrupción'!$B$10:$B$251,0),41),"")</f>
        <v/>
      </c>
      <c r="P7" s="70" t="str">
        <f>IFERROR(INDEX('Controles de Corrupción'!$C$10:$AZ$251,MATCH(A7,'Controles de Corrupción'!$B$10:$B$251,0),42),"")</f>
        <v/>
      </c>
      <c r="Q7" s="177" t="str">
        <f>IFERROR(INDEX('Controles de Corrupción'!$C$10:$AZ$251,MATCH(A7,'Controles de Corrupción'!$B$10:$B$251,0),47),"")</f>
        <v/>
      </c>
    </row>
    <row r="8" spans="1:90" ht="105.75" customHeight="1" x14ac:dyDescent="0.25">
      <c r="A8" s="119" t="s">
        <v>546</v>
      </c>
      <c r="B8" s="713"/>
      <c r="C8" s="715"/>
      <c r="D8" s="717"/>
      <c r="E8" s="715"/>
      <c r="F8" s="718"/>
      <c r="G8" s="718"/>
      <c r="H8" s="824"/>
      <c r="I8" s="718"/>
      <c r="J8" s="718"/>
      <c r="K8" s="718"/>
      <c r="L8" s="718"/>
      <c r="M8" s="176"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77" t="str">
        <f>IFERROR(INDEX('Controles de Corrupción'!$C$10:$AZ$251,MATCH(A8,'Controles de Corrupción'!$B$10:$B$251,0),47),"")</f>
        <v/>
      </c>
    </row>
    <row r="9" spans="1:90" ht="33" hidden="1" customHeight="1" x14ac:dyDescent="0.25">
      <c r="A9" s="119" t="s">
        <v>547</v>
      </c>
      <c r="B9" s="713"/>
      <c r="C9" s="715"/>
      <c r="D9" s="717"/>
      <c r="E9" s="715"/>
      <c r="F9" s="718"/>
      <c r="G9" s="718"/>
      <c r="H9" s="824"/>
      <c r="I9" s="718"/>
      <c r="J9" s="718"/>
      <c r="K9" s="718"/>
      <c r="L9" s="718"/>
      <c r="M9" s="176"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77" t="str">
        <f>IFERROR(INDEX('Controles de Corrupción'!$C$10:$AZ$251,MATCH(A9,'Controles de Corrupción'!$B$10:$B$251,0),47),"")</f>
        <v/>
      </c>
    </row>
    <row r="10" spans="1:90" ht="33" hidden="1" customHeight="1" x14ac:dyDescent="0.25">
      <c r="A10" s="119" t="s">
        <v>548</v>
      </c>
      <c r="B10" s="713"/>
      <c r="C10" s="715"/>
      <c r="D10" s="717"/>
      <c r="E10" s="715"/>
      <c r="F10" s="718"/>
      <c r="G10" s="718"/>
      <c r="H10" s="824"/>
      <c r="I10" s="718"/>
      <c r="J10" s="718"/>
      <c r="K10" s="718"/>
      <c r="L10" s="718"/>
      <c r="M10" s="17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77" t="str">
        <f>IFERROR(INDEX('Controles de Corrupción'!$C$10:$AZ$251,MATCH(A10,'Controles de Corrupción'!$B$10:$B$251,0),47),"")</f>
        <v/>
      </c>
    </row>
    <row r="11" spans="1:90" ht="33" hidden="1" customHeight="1" x14ac:dyDescent="0.25">
      <c r="A11" s="119" t="s">
        <v>549</v>
      </c>
      <c r="B11" s="713"/>
      <c r="C11" s="715"/>
      <c r="D11" s="717"/>
      <c r="E11" s="715"/>
      <c r="F11" s="718"/>
      <c r="G11" s="718"/>
      <c r="H11" s="824"/>
      <c r="I11" s="718"/>
      <c r="J11" s="718"/>
      <c r="K11" s="718"/>
      <c r="L11" s="718"/>
      <c r="M11" s="17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77" t="str">
        <f>IFERROR(INDEX('Controles de Corrupción'!$C$10:$AZ$251,MATCH(A11,'Controles de Corrupción'!$B$10:$B$251,0),47),"")</f>
        <v/>
      </c>
    </row>
    <row r="12" spans="1:90" ht="33" hidden="1" customHeight="1" x14ac:dyDescent="0.25">
      <c r="A12" s="119" t="s">
        <v>550</v>
      </c>
      <c r="B12" s="713"/>
      <c r="C12" s="715"/>
      <c r="D12" s="717"/>
      <c r="E12" s="715"/>
      <c r="F12" s="718"/>
      <c r="G12" s="718"/>
      <c r="H12" s="719"/>
      <c r="I12" s="718"/>
      <c r="J12" s="718"/>
      <c r="K12" s="718"/>
      <c r="L12" s="718"/>
      <c r="M12" s="17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77" t="str">
        <f>IFERROR(INDEX('Controles de Corrupción'!$C$10:$AZ$251,MATCH(A12,'Controles de Corrupción'!$B$10:$B$251,0),47),"")</f>
        <v/>
      </c>
    </row>
    <row r="13" spans="1:90" ht="135" customHeight="1" x14ac:dyDescent="0.25">
      <c r="A13" s="119" t="s">
        <v>551</v>
      </c>
      <c r="B13" s="752"/>
      <c r="C13" s="834" t="str">
        <f>IFERROR(INDEX('Riesgos de Corrupción'!$B$11:$BN$100,MATCH('Mapa Riesgo Corrupción'!B13,'Riesgos de Corrupción'!$B$11:$B$100,0),2),"")</f>
        <v/>
      </c>
      <c r="D13" s="717" t="str">
        <f>IFERROR(INDEX('Riesgos de Corrupción'!$B$11:$BN$100,MATCH('Mapa Riesgo Corrupción'!B13,'Riesgos de Corrupción'!$B$11:$B$100,0),4),"")</f>
        <v/>
      </c>
      <c r="E13" s="715" t="str">
        <f>IFERROR(INDEX('Riesgos de Corrupción'!$B$11:$BN$100,MATCH('Mapa Riesgo Corrupción'!B13,'Riesgos de Corrupción'!$B$11:$B$100,0),5),"")</f>
        <v/>
      </c>
      <c r="F13" s="718" t="str">
        <f>IFERROR(INDEX('Riesgos de Corrupción'!$B$11:$BN$100,MATCH('Mapa Riesgo Corrupción'!B13,'Riesgos de Corrupción'!$B$11:$B$100,0),18),"")</f>
        <v/>
      </c>
      <c r="G13" s="718" t="str">
        <f>IFERROR(INDEX('Riesgos de Corrupción'!$B$11:$BN$100,MATCH('Mapa Riesgo Corrupción'!B13,'Riesgos de Corrupción'!$B$11:$B$100,0),63),"")</f>
        <v/>
      </c>
      <c r="H13" s="823" t="str">
        <f>IFERROR(INDEX('Riesgos de Corrupción'!$B$11:$BN$100,MATCH('Mapa Riesgo Corrupción'!B13,'Riesgos de Corrupción'!$B$11:$B$100,0),64),"")</f>
        <v/>
      </c>
      <c r="I13" s="718" t="str">
        <f>IFERROR(INDEX('Controles de Corrupción'!$C$10:$AZ$251,MATCH('Mapa Riesgo Corrupción'!B13,'Controles de Corrupción'!$C$10:$C$251,0),33),"")</f>
        <v/>
      </c>
      <c r="J13" s="718" t="str">
        <f>IFERROR(INDEX('Controles de Corrupción'!$C$10:$AZ$251,MATCH('Mapa Riesgo Corrupción'!B13,'Controles de Corrupción'!$C$10:$C$251,0),36),"")</f>
        <v/>
      </c>
      <c r="K13" s="718" t="str">
        <f>IFERROR(INDEX('Controles de Corrupción'!$C$10:$AZ$251,MATCH('Mapa Riesgo Corrupción'!B13,'Controles de Corrupción'!$C$10:$C$251,0),37),"")</f>
        <v/>
      </c>
      <c r="L13" s="718" t="str">
        <f>IFERROR(INDEX('Controles de Corrupción'!$C$10:$AZ$251,MATCH('Mapa Riesgo Corrupción'!B13,'Controles de Corrupción'!$C$10:$C$251,0),38),"")</f>
        <v/>
      </c>
      <c r="M13" s="176"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77" t="str">
        <f>IFERROR(INDEX('Controles de Corrupción'!$C$10:$AZ$251,MATCH(A13,'Controles de Corrupción'!$B$10:$B$251,0),47),"")</f>
        <v/>
      </c>
    </row>
    <row r="14" spans="1:90" ht="114.75" customHeight="1" x14ac:dyDescent="0.25">
      <c r="A14" s="119" t="s">
        <v>552</v>
      </c>
      <c r="B14" s="756"/>
      <c r="C14" s="834"/>
      <c r="D14" s="717"/>
      <c r="E14" s="715"/>
      <c r="F14" s="718"/>
      <c r="G14" s="718"/>
      <c r="H14" s="824"/>
      <c r="I14" s="718"/>
      <c r="J14" s="718"/>
      <c r="K14" s="718"/>
      <c r="L14" s="718"/>
      <c r="M14" s="17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77" t="str">
        <f>IFERROR(INDEX('Controles de Corrupción'!$C$10:$AZ$251,MATCH(A14,'Controles de Corrupción'!$B$10:$B$251,0),47),"")</f>
        <v/>
      </c>
    </row>
    <row r="15" spans="1:90" ht="96" hidden="1" customHeight="1" x14ac:dyDescent="0.25">
      <c r="A15" s="119" t="s">
        <v>553</v>
      </c>
      <c r="B15" s="756"/>
      <c r="C15" s="834"/>
      <c r="D15" s="717"/>
      <c r="E15" s="715"/>
      <c r="F15" s="718"/>
      <c r="G15" s="718"/>
      <c r="H15" s="824"/>
      <c r="I15" s="718"/>
      <c r="J15" s="718"/>
      <c r="K15" s="718"/>
      <c r="L15" s="718"/>
      <c r="M15" s="17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77" t="str">
        <f>IFERROR(INDEX('Controles de Corrupción'!$C$10:$AZ$251,MATCH(A15,'Controles de Corrupción'!$B$10:$B$251,0),47),"")</f>
        <v/>
      </c>
    </row>
    <row r="16" spans="1:90" ht="33" hidden="1" customHeight="1" x14ac:dyDescent="0.25">
      <c r="A16" s="119" t="s">
        <v>554</v>
      </c>
      <c r="B16" s="756"/>
      <c r="C16" s="834"/>
      <c r="D16" s="717"/>
      <c r="E16" s="715"/>
      <c r="F16" s="718"/>
      <c r="G16" s="718"/>
      <c r="H16" s="824"/>
      <c r="I16" s="718"/>
      <c r="J16" s="718"/>
      <c r="K16" s="718"/>
      <c r="L16" s="718"/>
      <c r="M16" s="17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77" t="str">
        <f>IFERROR(INDEX('Controles de Corrupción'!$C$10:$AZ$251,MATCH(A16,'Controles de Corrupción'!$B$10:$B$251,0),47),"")</f>
        <v/>
      </c>
    </row>
    <row r="17" spans="1:17" ht="33" hidden="1" customHeight="1" x14ac:dyDescent="0.25">
      <c r="A17" s="119" t="s">
        <v>555</v>
      </c>
      <c r="B17" s="756"/>
      <c r="C17" s="834"/>
      <c r="D17" s="717"/>
      <c r="E17" s="715"/>
      <c r="F17" s="718"/>
      <c r="G17" s="718"/>
      <c r="H17" s="824"/>
      <c r="I17" s="718"/>
      <c r="J17" s="718"/>
      <c r="K17" s="718"/>
      <c r="L17" s="718"/>
      <c r="M17" s="17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77" t="str">
        <f>IFERROR(INDEX('Controles de Corrupción'!$C$10:$AZ$251,MATCH(A17,'Controles de Corrupción'!$B$10:$B$251,0),47),"")</f>
        <v/>
      </c>
    </row>
    <row r="18" spans="1:17" ht="17.25" hidden="1" customHeight="1" x14ac:dyDescent="0.25">
      <c r="A18" s="119" t="s">
        <v>556</v>
      </c>
      <c r="B18" s="712"/>
      <c r="C18" s="834"/>
      <c r="D18" s="717"/>
      <c r="E18" s="715"/>
      <c r="F18" s="718"/>
      <c r="G18" s="718"/>
      <c r="H18" s="719"/>
      <c r="I18" s="718"/>
      <c r="J18" s="718"/>
      <c r="K18" s="718"/>
      <c r="L18" s="718"/>
      <c r="M18" s="17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77" t="str">
        <f>IFERROR(INDEX('Controles de Corrupción'!$C$10:$AZ$251,MATCH(A18,'Controles de Corrupción'!$B$10:$B$251,0),47),"")</f>
        <v/>
      </c>
    </row>
    <row r="19" spans="1:17" ht="174" customHeight="1" x14ac:dyDescent="0.25">
      <c r="A19" s="119" t="s">
        <v>557</v>
      </c>
      <c r="B19" s="752"/>
      <c r="C19" s="834" t="str">
        <f>IFERROR(INDEX('Riesgos de Corrupción'!$B$11:$BN$100,MATCH('Mapa Riesgo Corrupción'!B19,'Riesgos de Corrupción'!$B$11:$B$100,0),2),"")</f>
        <v/>
      </c>
      <c r="D19" s="717" t="str">
        <f>IFERROR(INDEX('Riesgos de Corrupción'!$B$11:$BN$100,MATCH('Mapa Riesgo Corrupción'!B19,'Riesgos de Corrupción'!$B$11:$B$100,0),4),"")</f>
        <v/>
      </c>
      <c r="E19" s="715" t="str">
        <f>IFERROR(INDEX('Riesgos de Corrupción'!$B$11:$BN$100,MATCH('Mapa Riesgo Corrupción'!B19,'Riesgos de Corrupción'!$B$11:$B$100,0),5),"")</f>
        <v/>
      </c>
      <c r="F19" s="718" t="str">
        <f>IFERROR(INDEX('Riesgos de Corrupción'!$B$11:$BN$100,MATCH('Mapa Riesgo Corrupción'!B19,'Riesgos de Corrupción'!$B$11:$B$100,0),18),"")</f>
        <v/>
      </c>
      <c r="G19" s="718" t="str">
        <f>IFERROR(INDEX('Riesgos de Corrupción'!$B$11:$BN$100,MATCH('Mapa Riesgo Corrupción'!B19,'Riesgos de Corrupción'!$B$11:$B$100,0),63),"")</f>
        <v/>
      </c>
      <c r="H19" s="823" t="str">
        <f>IFERROR(INDEX('Riesgos de Corrupción'!$B$11:$BN$100,MATCH('Mapa Riesgo Corrupción'!B19,'Riesgos de Corrupción'!$B$11:$B$100,0),64),"")</f>
        <v/>
      </c>
      <c r="I19" s="718" t="str">
        <f>IFERROR(INDEX('Controles de Corrupción'!$C$10:$AZ$251,MATCH('Mapa Riesgo Corrupción'!B19,'Controles de Corrupción'!$C$10:$C$251,0),33),"")</f>
        <v/>
      </c>
      <c r="J19" s="718" t="str">
        <f>IFERROR(INDEX('Controles de Corrupción'!$C$10:$AZ$251,MATCH('Mapa Riesgo Corrupción'!B19,'Controles de Corrupción'!$C$10:$C$251,0),36),"")</f>
        <v/>
      </c>
      <c r="K19" s="718" t="str">
        <f>IFERROR(INDEX('Controles de Corrupción'!$C$10:$AZ$251,MATCH('Mapa Riesgo Corrupción'!B19,'Controles de Corrupción'!$C$10:$C$251,0),37),"")</f>
        <v/>
      </c>
      <c r="L19" s="718" t="str">
        <f>IFERROR(INDEX('Controles de Corrupción'!$C$10:$AZ$251,MATCH('Mapa Riesgo Corrupción'!B19,'Controles de Corrupción'!$C$10:$C$251,0),38),"")</f>
        <v/>
      </c>
      <c r="M19" s="17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77" t="str">
        <f>IFERROR(INDEX('Controles de Corrupción'!$C$10:$AZ$251,MATCH(A19,'Controles de Corrupción'!$B$10:$B$251,0),47),"")</f>
        <v/>
      </c>
    </row>
    <row r="20" spans="1:17" ht="132" customHeight="1" x14ac:dyDescent="0.25">
      <c r="A20" s="119" t="s">
        <v>558</v>
      </c>
      <c r="B20" s="756"/>
      <c r="C20" s="834"/>
      <c r="D20" s="717"/>
      <c r="E20" s="715"/>
      <c r="F20" s="718"/>
      <c r="G20" s="718"/>
      <c r="H20" s="824"/>
      <c r="I20" s="718"/>
      <c r="J20" s="718"/>
      <c r="K20" s="718"/>
      <c r="L20" s="718"/>
      <c r="M20" s="17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77" t="str">
        <f>IFERROR(INDEX('Controles de Corrupción'!$C$10:$AZ$251,MATCH(A20,'Controles de Corrupción'!$B$10:$B$251,0),47),"")</f>
        <v/>
      </c>
    </row>
    <row r="21" spans="1:17" ht="104.25" customHeight="1" x14ac:dyDescent="0.25">
      <c r="A21" s="119" t="s">
        <v>559</v>
      </c>
      <c r="B21" s="756"/>
      <c r="C21" s="834"/>
      <c r="D21" s="717"/>
      <c r="E21" s="715"/>
      <c r="F21" s="718"/>
      <c r="G21" s="718"/>
      <c r="H21" s="824"/>
      <c r="I21" s="718"/>
      <c r="J21" s="718"/>
      <c r="K21" s="718"/>
      <c r="L21" s="718"/>
      <c r="M21" s="17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77" t="str">
        <f>IFERROR(INDEX('Controles de Corrupción'!$C$10:$AZ$251,MATCH(A21,'Controles de Corrupción'!$B$10:$B$251,0),47),"")</f>
        <v/>
      </c>
    </row>
    <row r="22" spans="1:17" ht="43.5" hidden="1" customHeight="1" x14ac:dyDescent="0.25">
      <c r="A22" s="119" t="s">
        <v>560</v>
      </c>
      <c r="B22" s="756"/>
      <c r="C22" s="834"/>
      <c r="D22" s="717"/>
      <c r="E22" s="715"/>
      <c r="F22" s="718"/>
      <c r="G22" s="718"/>
      <c r="H22" s="824"/>
      <c r="I22" s="718"/>
      <c r="J22" s="718"/>
      <c r="K22" s="718"/>
      <c r="L22" s="718"/>
      <c r="M22" s="17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77" t="str">
        <f>IFERROR(INDEX('Controles de Corrupción'!$C$10:$AZ$251,MATCH(A22,'Controles de Corrupción'!$B$10:$B$251,0),47),"")</f>
        <v/>
      </c>
    </row>
    <row r="23" spans="1:17" ht="43.5" hidden="1" customHeight="1" x14ac:dyDescent="0.25">
      <c r="A23" s="119" t="s">
        <v>561</v>
      </c>
      <c r="B23" s="756"/>
      <c r="C23" s="834"/>
      <c r="D23" s="717"/>
      <c r="E23" s="715"/>
      <c r="F23" s="718"/>
      <c r="G23" s="718"/>
      <c r="H23" s="824"/>
      <c r="I23" s="718"/>
      <c r="J23" s="718"/>
      <c r="K23" s="718"/>
      <c r="L23" s="718"/>
      <c r="M23" s="17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77" t="str">
        <f>IFERROR(INDEX('Controles de Corrupción'!$C$10:$AZ$251,MATCH(A23,'Controles de Corrupción'!$B$10:$B$251,0),47),"")</f>
        <v/>
      </c>
    </row>
    <row r="24" spans="1:17" ht="43.5" hidden="1" customHeight="1" x14ac:dyDescent="0.25">
      <c r="A24" s="119" t="s">
        <v>562</v>
      </c>
      <c r="B24" s="712"/>
      <c r="C24" s="834"/>
      <c r="D24" s="717"/>
      <c r="E24" s="715"/>
      <c r="F24" s="718"/>
      <c r="G24" s="718"/>
      <c r="H24" s="719"/>
      <c r="I24" s="718"/>
      <c r="J24" s="718"/>
      <c r="K24" s="718"/>
      <c r="L24" s="718"/>
      <c r="M24" s="17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77" t="str">
        <f>IFERROR(INDEX('Controles de Corrupción'!$C$10:$AZ$251,MATCH(A24,'Controles de Corrupción'!$B$10:$B$251,0),47),"")</f>
        <v/>
      </c>
    </row>
    <row r="25" spans="1:17" ht="135.75" customHeight="1" x14ac:dyDescent="0.25">
      <c r="A25" s="119" t="s">
        <v>563</v>
      </c>
      <c r="B25" s="752"/>
      <c r="C25" s="834" t="str">
        <f>IFERROR(INDEX('Riesgos de Corrupción'!$B$11:$BN$100,MATCH('Mapa Riesgo Corrupción'!B25,'Riesgos de Corrupción'!$B$11:$B$100,0),2),"")</f>
        <v/>
      </c>
      <c r="D25" s="717" t="str">
        <f>IFERROR(INDEX('Riesgos de Corrupción'!$B$11:$BN$100,MATCH('Mapa Riesgo Corrupción'!B25,'Riesgos de Corrupción'!$B$11:$B$100,0),4),"")</f>
        <v/>
      </c>
      <c r="E25" s="715" t="str">
        <f>IFERROR(INDEX('Riesgos de Corrupción'!$B$11:$BN$100,MATCH('Mapa Riesgo Corrupción'!B25,'Riesgos de Corrupción'!$B$11:$B$100,0),5),"")</f>
        <v/>
      </c>
      <c r="F25" s="718" t="str">
        <f>IFERROR(INDEX('Riesgos de Corrupción'!$B$11:$BN$100,MATCH('Mapa Riesgo Corrupción'!B25,'Riesgos de Corrupción'!$B$11:$B$100,0),18),"")</f>
        <v/>
      </c>
      <c r="G25" s="718" t="str">
        <f>IFERROR(INDEX('Riesgos de Corrupción'!$B$11:$BN$100,MATCH('Mapa Riesgo Corrupción'!B25,'Riesgos de Corrupción'!$B$11:$B$100,0),63),"")</f>
        <v/>
      </c>
      <c r="H25" s="823" t="str">
        <f>IFERROR(INDEX('Riesgos de Corrupción'!$B$11:$BN$100,MATCH('Mapa Riesgo Corrupción'!B25,'Riesgos de Corrupción'!$B$11:$B$100,0),64),"")</f>
        <v/>
      </c>
      <c r="I25" s="718" t="str">
        <f>IFERROR(INDEX('Controles de Corrupción'!$C$10:$AZ$251,MATCH('Mapa Riesgo Corrupción'!B25,'Controles de Corrupción'!$C$10:$C$251,0),33),"")</f>
        <v/>
      </c>
      <c r="J25" s="718" t="str">
        <f>IFERROR(INDEX('Controles de Corrupción'!$C$10:$AZ$251,MATCH('Mapa Riesgo Corrupción'!B25,'Controles de Corrupción'!$C$10:$C$251,0),36),"")</f>
        <v/>
      </c>
      <c r="K25" s="718" t="str">
        <f>IFERROR(INDEX('Controles de Corrupción'!$C$10:$AZ$251,MATCH('Mapa Riesgo Corrupción'!B25,'Controles de Corrupción'!$C$10:$C$251,0),37),"")</f>
        <v/>
      </c>
      <c r="L25" s="718" t="str">
        <f>IFERROR(INDEX('Controles de Corrupción'!$C$10:$AZ$251,MATCH('Mapa Riesgo Corrupción'!B25,'Controles de Corrupción'!$C$10:$C$251,0),38),"")</f>
        <v/>
      </c>
      <c r="M25" s="17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77" t="str">
        <f>IFERROR(INDEX('Controles de Corrupción'!$C$10:$AZ$251,MATCH(A25,'Controles de Corrupción'!$B$10:$B$251,0),47),"")</f>
        <v/>
      </c>
    </row>
    <row r="26" spans="1:17" ht="135.75" customHeight="1" x14ac:dyDescent="0.25">
      <c r="A26" s="119" t="s">
        <v>564</v>
      </c>
      <c r="B26" s="756"/>
      <c r="C26" s="834"/>
      <c r="D26" s="717"/>
      <c r="E26" s="715"/>
      <c r="F26" s="718"/>
      <c r="G26" s="718"/>
      <c r="H26" s="824"/>
      <c r="I26" s="718"/>
      <c r="J26" s="718"/>
      <c r="K26" s="718"/>
      <c r="L26" s="718"/>
      <c r="M26" s="17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77" t="str">
        <f>IFERROR(INDEX('Controles de Corrupción'!$C$10:$AZ$251,MATCH(A26,'Controles de Corrupción'!$B$10:$B$251,0),47),"")</f>
        <v/>
      </c>
    </row>
    <row r="27" spans="1:17" ht="43.5" hidden="1" customHeight="1" x14ac:dyDescent="0.25">
      <c r="A27" s="119" t="s">
        <v>565</v>
      </c>
      <c r="B27" s="756"/>
      <c r="C27" s="834"/>
      <c r="D27" s="717"/>
      <c r="E27" s="715"/>
      <c r="F27" s="718"/>
      <c r="G27" s="718"/>
      <c r="H27" s="824"/>
      <c r="I27" s="718"/>
      <c r="J27" s="718"/>
      <c r="K27" s="718"/>
      <c r="L27" s="718"/>
      <c r="M27" s="17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77" t="str">
        <f>IFERROR(INDEX('Controles de Corrupción'!$C$10:$AZ$251,MATCH(A27,'Controles de Corrupción'!$B$10:$B$251,0),47),"")</f>
        <v/>
      </c>
    </row>
    <row r="28" spans="1:17" ht="43.5" hidden="1" customHeight="1" x14ac:dyDescent="0.25">
      <c r="A28" s="119" t="s">
        <v>566</v>
      </c>
      <c r="B28" s="756"/>
      <c r="C28" s="834"/>
      <c r="D28" s="717"/>
      <c r="E28" s="715"/>
      <c r="F28" s="718"/>
      <c r="G28" s="718"/>
      <c r="H28" s="824"/>
      <c r="I28" s="718"/>
      <c r="J28" s="718"/>
      <c r="K28" s="718"/>
      <c r="L28" s="718"/>
      <c r="M28" s="17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77" t="str">
        <f>IFERROR(INDEX('Controles de Corrupción'!$C$10:$AZ$251,MATCH(A28,'Controles de Corrupción'!$B$10:$B$251,0),47),"")</f>
        <v/>
      </c>
    </row>
    <row r="29" spans="1:17" ht="43.5" hidden="1" customHeight="1" x14ac:dyDescent="0.25">
      <c r="A29" s="119" t="s">
        <v>567</v>
      </c>
      <c r="B29" s="756"/>
      <c r="C29" s="834"/>
      <c r="D29" s="717"/>
      <c r="E29" s="715"/>
      <c r="F29" s="718"/>
      <c r="G29" s="718"/>
      <c r="H29" s="824"/>
      <c r="I29" s="718"/>
      <c r="J29" s="718"/>
      <c r="K29" s="718"/>
      <c r="L29" s="718"/>
      <c r="M29" s="17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77" t="str">
        <f>IFERROR(INDEX('Controles de Corrupción'!$C$10:$AZ$251,MATCH(A29,'Controles de Corrupción'!$B$10:$B$251,0),47),"")</f>
        <v/>
      </c>
    </row>
    <row r="30" spans="1:17" ht="43.5" hidden="1" customHeight="1" x14ac:dyDescent="0.25">
      <c r="A30" s="119" t="s">
        <v>568</v>
      </c>
      <c r="B30" s="712"/>
      <c r="C30" s="834"/>
      <c r="D30" s="717"/>
      <c r="E30" s="715"/>
      <c r="F30" s="718"/>
      <c r="G30" s="718"/>
      <c r="H30" s="719"/>
      <c r="I30" s="718"/>
      <c r="J30" s="718"/>
      <c r="K30" s="718"/>
      <c r="L30" s="718"/>
      <c r="M30" s="17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77" t="str">
        <f>IFERROR(INDEX('Controles de Corrupción'!$C$10:$AZ$251,MATCH(A30,'Controles de Corrupción'!$B$10:$B$251,0),47),"")</f>
        <v/>
      </c>
    </row>
    <row r="31" spans="1:17" ht="125.25" customHeight="1" x14ac:dyDescent="0.25">
      <c r="A31" s="119" t="s">
        <v>569</v>
      </c>
      <c r="B31" s="752"/>
      <c r="C31" s="834" t="str">
        <f>IFERROR(INDEX('Riesgos de Corrupción'!$B$11:$BN$100,MATCH('Mapa Riesgo Corrupción'!B31,'Riesgos de Corrupción'!$B$11:$B$100,0),2),"")</f>
        <v/>
      </c>
      <c r="D31" s="717" t="str">
        <f>IFERROR(INDEX('Riesgos de Corrupción'!$B$11:$BN$100,MATCH('Mapa Riesgo Corrupción'!B31,'Riesgos de Corrupción'!$B$11:$B$100,0),4),"")</f>
        <v/>
      </c>
      <c r="E31" s="715" t="str">
        <f>IFERROR(INDEX('Riesgos de Corrupción'!$B$11:$BN$100,MATCH('Mapa Riesgo Corrupción'!B31,'Riesgos de Corrupción'!$B$11:$B$100,0),5),"")</f>
        <v/>
      </c>
      <c r="F31" s="718" t="str">
        <f>IFERROR(INDEX('Riesgos de Corrupción'!$B$11:$BN$100,MATCH('Mapa Riesgo Corrupción'!B31,'Riesgos de Corrupción'!$B$11:$B$100,0),18),"")</f>
        <v/>
      </c>
      <c r="G31" s="718" t="str">
        <f>IFERROR(INDEX('Riesgos de Corrupción'!$B$11:$BN$100,MATCH('Mapa Riesgo Corrupción'!B31,'Riesgos de Corrupción'!$B$11:$B$100,0),63),"")</f>
        <v/>
      </c>
      <c r="H31" s="823" t="str">
        <f>IFERROR(INDEX('Riesgos de Corrupción'!$B$11:$BN$100,MATCH('Mapa Riesgo Corrupción'!B31,'Riesgos de Corrupción'!$B$11:$B$100,0),64),"")</f>
        <v/>
      </c>
      <c r="I31" s="718" t="str">
        <f>IFERROR(INDEX('Controles de Corrupción'!$C$10:$AZ$251,MATCH('Mapa Riesgo Corrupción'!B31,'Controles de Corrupción'!$C$10:$C$251,0),33),"")</f>
        <v/>
      </c>
      <c r="J31" s="718" t="str">
        <f>IFERROR(INDEX('Controles de Corrupción'!$C$10:$AZ$251,MATCH('Mapa Riesgo Corrupción'!B31,'Controles de Corrupción'!$C$10:$C$251,0),36),"")</f>
        <v/>
      </c>
      <c r="K31" s="718" t="str">
        <f>IFERROR(INDEX('Controles de Corrupción'!$C$10:$AZ$251,MATCH('Mapa Riesgo Corrupción'!B31,'Controles de Corrupción'!$C$10:$C$251,0),37),"")</f>
        <v/>
      </c>
      <c r="L31" s="718" t="str">
        <f>IFERROR(INDEX('Controles de Corrupción'!$C$10:$AZ$251,MATCH('Mapa Riesgo Corrupción'!B31,'Controles de Corrupción'!$C$10:$C$251,0),38),"")</f>
        <v/>
      </c>
      <c r="M31" s="17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77" t="str">
        <f>IFERROR(INDEX('Controles de Corrupción'!$C$10:$AZ$251,MATCH(A31,'Controles de Corrupción'!$B$10:$B$251,0),47),"")</f>
        <v/>
      </c>
    </row>
    <row r="32" spans="1:17" ht="159.75" customHeight="1" x14ac:dyDescent="0.25">
      <c r="A32" s="119" t="s">
        <v>570</v>
      </c>
      <c r="B32" s="756"/>
      <c r="C32" s="834"/>
      <c r="D32" s="717"/>
      <c r="E32" s="715"/>
      <c r="F32" s="718"/>
      <c r="G32" s="718"/>
      <c r="H32" s="824"/>
      <c r="I32" s="718"/>
      <c r="J32" s="718"/>
      <c r="K32" s="718"/>
      <c r="L32" s="718"/>
      <c r="M32" s="176" t="str">
        <f>IFERROR(INDEX('Controles de Corrupción'!$C$10:$AZ$251,MATCH(A32,'Controles de Corrupción'!$B$10:$B$251,0),4),"")</f>
        <v/>
      </c>
      <c r="N32" s="17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77" t="str">
        <f>IFERROR(INDEX('Controles de Corrupción'!$C$10:$AZ$251,MATCH(A32,'Controles de Corrupción'!$B$10:$B$251,0),47),"")</f>
        <v/>
      </c>
    </row>
    <row r="33" spans="1:17" ht="43.5" hidden="1" customHeight="1" x14ac:dyDescent="0.25">
      <c r="A33" s="119" t="s">
        <v>571</v>
      </c>
      <c r="B33" s="756"/>
      <c r="C33" s="834"/>
      <c r="D33" s="717"/>
      <c r="E33" s="715"/>
      <c r="F33" s="718"/>
      <c r="G33" s="718"/>
      <c r="H33" s="824"/>
      <c r="I33" s="718"/>
      <c r="J33" s="718"/>
      <c r="K33" s="718"/>
      <c r="L33" s="718"/>
      <c r="M33" s="17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77" t="str">
        <f>IFERROR(INDEX('Controles de Corrupción'!$C$10:$AZ$251,MATCH(A33,'Controles de Corrupción'!$B$10:$B$251,0),47),"")</f>
        <v/>
      </c>
    </row>
    <row r="34" spans="1:17" ht="43.5" hidden="1" customHeight="1" x14ac:dyDescent="0.25">
      <c r="A34" s="119" t="s">
        <v>572</v>
      </c>
      <c r="B34" s="756"/>
      <c r="C34" s="834"/>
      <c r="D34" s="717"/>
      <c r="E34" s="715"/>
      <c r="F34" s="718"/>
      <c r="G34" s="718"/>
      <c r="H34" s="824"/>
      <c r="I34" s="718"/>
      <c r="J34" s="718"/>
      <c r="K34" s="718"/>
      <c r="L34" s="718"/>
      <c r="M34" s="17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77" t="str">
        <f>IFERROR(INDEX('Controles de Corrupción'!$C$10:$AZ$251,MATCH(A34,'Controles de Corrupción'!$B$10:$B$251,0),47),"")</f>
        <v/>
      </c>
    </row>
    <row r="35" spans="1:17" ht="43.5" hidden="1" customHeight="1" x14ac:dyDescent="0.25">
      <c r="A35" s="119" t="s">
        <v>573</v>
      </c>
      <c r="B35" s="756"/>
      <c r="C35" s="834"/>
      <c r="D35" s="717"/>
      <c r="E35" s="715"/>
      <c r="F35" s="718"/>
      <c r="G35" s="718"/>
      <c r="H35" s="824"/>
      <c r="I35" s="718"/>
      <c r="J35" s="718"/>
      <c r="K35" s="718"/>
      <c r="L35" s="718"/>
      <c r="M35" s="17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77" t="str">
        <f>IFERROR(INDEX('Controles de Corrupción'!$C$10:$AZ$251,MATCH(A35,'Controles de Corrupción'!$B$10:$B$251,0),47),"")</f>
        <v/>
      </c>
    </row>
    <row r="36" spans="1:17" ht="43.5" hidden="1" customHeight="1" x14ac:dyDescent="0.25">
      <c r="A36" s="119" t="s">
        <v>574</v>
      </c>
      <c r="B36" s="712"/>
      <c r="C36" s="834"/>
      <c r="D36" s="717"/>
      <c r="E36" s="715"/>
      <c r="F36" s="718"/>
      <c r="G36" s="718"/>
      <c r="H36" s="719"/>
      <c r="I36" s="718"/>
      <c r="J36" s="718"/>
      <c r="K36" s="718"/>
      <c r="L36" s="718"/>
      <c r="M36" s="17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967</v>
      </c>
      <c r="B37" s="752"/>
      <c r="C37" s="834" t="str">
        <f>IFERROR(INDEX('Riesgos de Corrupción'!$B$11:$BN$100,MATCH('Mapa Riesgo Corrupción'!B37,'Riesgos de Corrupción'!$B$11:$B$100,0),2),"")</f>
        <v/>
      </c>
      <c r="D37" s="717" t="str">
        <f>IFERROR(INDEX('Riesgos de Corrupción'!$B$11:$BN$100,MATCH('Mapa Riesgo Corrupción'!B37,'Riesgos de Corrupción'!$B$11:$B$100,0),4),"")</f>
        <v/>
      </c>
      <c r="E37" s="715" t="str">
        <f>IFERROR(INDEX('Riesgos de Corrupción'!$B$11:$BN$100,MATCH('Mapa Riesgo Corrupción'!B37,'Riesgos de Corrupción'!$B$11:$B$100,0),5),"")</f>
        <v/>
      </c>
      <c r="F37" s="718" t="str">
        <f>IFERROR(INDEX('Riesgos de Corrupción'!$B$11:$BN$100,MATCH('Mapa Riesgo Corrupción'!B37,'Riesgos de Corrupción'!$B$11:$B$100,0),18),"")</f>
        <v/>
      </c>
      <c r="G37" s="718" t="str">
        <f>IFERROR(INDEX('Riesgos de Corrupción'!$B$11:$BN$100,MATCH('Mapa Riesgo Corrupción'!B37,'Riesgos de Corrupción'!$B$11:$B$100,0),63),"")</f>
        <v/>
      </c>
      <c r="H37" s="823" t="str">
        <f>IFERROR(INDEX('Riesgos de Corrupción'!$B$11:$BN$100,MATCH('Mapa Riesgo Corrupción'!B37,'Riesgos de Corrupción'!$B$11:$B$100,0),64),"")</f>
        <v/>
      </c>
      <c r="I37" s="718" t="str">
        <f>IFERROR(INDEX('Controles de Corrupción'!$C$10:$AZ$251,MATCH('Mapa Riesgo Corrupción'!B37,'Controles de Corrupción'!$C$10:$C$251,0),33),"")</f>
        <v/>
      </c>
      <c r="J37" s="718" t="str">
        <f>IFERROR(INDEX('Controles de Corrupción'!$C$10:$AZ$251,MATCH('Mapa Riesgo Corrupción'!B37,'Controles de Corrupción'!$C$10:$C$251,0),36),"")</f>
        <v/>
      </c>
      <c r="K37" s="718" t="str">
        <f>IFERROR(INDEX('Controles de Corrupción'!$C$10:$AZ$251,MATCH('Mapa Riesgo Corrupción'!B37,'Controles de Corrupción'!$C$10:$C$251,0),37),"")</f>
        <v/>
      </c>
      <c r="L37" s="718" t="str">
        <f>IFERROR(INDEX('Controles de Corrupción'!$C$10:$AZ$251,MATCH('Mapa Riesgo Corrupción'!B37,'Controles de Corrupción'!$C$10:$C$251,0),38),"")</f>
        <v/>
      </c>
      <c r="M37" s="17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77" t="str">
        <f>IFERROR(INDEX('Controles de Corrupción'!$C$10:$AZ$251,MATCH(A37,'Controles de Corrupción'!$B$10:$B$251,0),47),"")</f>
        <v/>
      </c>
    </row>
    <row r="38" spans="1:17" ht="43.5" hidden="1" customHeight="1" x14ac:dyDescent="0.25">
      <c r="A38" s="119" t="s">
        <v>968</v>
      </c>
      <c r="B38" s="756"/>
      <c r="C38" s="834"/>
      <c r="D38" s="717"/>
      <c r="E38" s="715"/>
      <c r="F38" s="718"/>
      <c r="G38" s="718"/>
      <c r="H38" s="824"/>
      <c r="I38" s="718"/>
      <c r="J38" s="718"/>
      <c r="K38" s="718"/>
      <c r="L38" s="718"/>
      <c r="M38" s="17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969</v>
      </c>
      <c r="B39" s="756"/>
      <c r="C39" s="834"/>
      <c r="D39" s="717"/>
      <c r="E39" s="715"/>
      <c r="F39" s="718"/>
      <c r="G39" s="718"/>
      <c r="H39" s="824"/>
      <c r="I39" s="718"/>
      <c r="J39" s="718"/>
      <c r="K39" s="718"/>
      <c r="L39" s="718"/>
      <c r="M39" s="17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970</v>
      </c>
      <c r="B40" s="756"/>
      <c r="C40" s="834"/>
      <c r="D40" s="717"/>
      <c r="E40" s="715"/>
      <c r="F40" s="718"/>
      <c r="G40" s="718"/>
      <c r="H40" s="824"/>
      <c r="I40" s="718"/>
      <c r="J40" s="718"/>
      <c r="K40" s="718"/>
      <c r="L40" s="718"/>
      <c r="M40" s="17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971</v>
      </c>
      <c r="B41" s="756"/>
      <c r="C41" s="834"/>
      <c r="D41" s="717"/>
      <c r="E41" s="715"/>
      <c r="F41" s="718"/>
      <c r="G41" s="718"/>
      <c r="H41" s="824"/>
      <c r="I41" s="718"/>
      <c r="J41" s="718"/>
      <c r="K41" s="718"/>
      <c r="L41" s="718"/>
      <c r="M41" s="17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972</v>
      </c>
      <c r="B42" s="712"/>
      <c r="C42" s="834"/>
      <c r="D42" s="717"/>
      <c r="E42" s="715"/>
      <c r="F42" s="718"/>
      <c r="G42" s="718"/>
      <c r="H42" s="719"/>
      <c r="I42" s="718"/>
      <c r="J42" s="718"/>
      <c r="K42" s="718"/>
      <c r="L42" s="718"/>
      <c r="M42" s="17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575</v>
      </c>
      <c r="B43" s="752"/>
      <c r="C43" s="834" t="str">
        <f>IFERROR(INDEX('Riesgos de Corrupción'!$B$11:$BN$100,MATCH('Mapa Riesgo Corrupción'!B43,'Riesgos de Corrupción'!$B$11:$B$100,0),2),"")</f>
        <v/>
      </c>
      <c r="D43" s="717" t="str">
        <f>IFERROR(INDEX('Riesgos de Corrupción'!$B$11:$BN$100,MATCH('Mapa Riesgo Corrupción'!B43,'Riesgos de Corrupción'!$B$11:$B$100,0),4),"")</f>
        <v/>
      </c>
      <c r="E43" s="715" t="str">
        <f>IFERROR(INDEX('Riesgos de Corrupción'!$B$11:$BN$100,MATCH('Mapa Riesgo Corrupción'!B43,'Riesgos de Corrupción'!$B$11:$B$100,0),5),"")</f>
        <v/>
      </c>
      <c r="F43" s="718" t="str">
        <f>IFERROR(INDEX('Riesgos de Corrupción'!$B$11:$BN$100,MATCH('Mapa Riesgo Corrupción'!B43,'Riesgos de Corrupción'!$B$11:$B$100,0),18),"")</f>
        <v/>
      </c>
      <c r="G43" s="718" t="str">
        <f>IFERROR(INDEX('Riesgos de Corrupción'!$B$11:$BN$100,MATCH('Mapa Riesgo Corrupción'!B43,'Riesgos de Corrupción'!$B$11:$B$100,0),63),"")</f>
        <v/>
      </c>
      <c r="H43" s="823" t="str">
        <f>IFERROR(INDEX('Riesgos de Corrupción'!$B$11:$BN$100,MATCH('Mapa Riesgo Corrupción'!B43,'Riesgos de Corrupción'!$B$11:$B$100,0),64),"")</f>
        <v/>
      </c>
      <c r="I43" s="718" t="str">
        <f>IFERROR(INDEX('Controles de Corrupción'!$C$10:$AZ$251,MATCH('Mapa Riesgo Corrupción'!B43,'Controles de Corrupción'!$C$10:$C$251,0),33),"")</f>
        <v/>
      </c>
      <c r="J43" s="718" t="str">
        <f>IFERROR(INDEX('Controles de Corrupción'!$C$10:$AZ$251,MATCH('Mapa Riesgo Corrupción'!B43,'Controles de Corrupción'!$C$10:$C$251,0),36),"")</f>
        <v/>
      </c>
      <c r="K43" s="718" t="str">
        <f>IFERROR(INDEX('Controles de Corrupción'!$C$10:$AZ$251,MATCH('Mapa Riesgo Corrupción'!B43,'Controles de Corrupción'!$C$10:$C$251,0),37),"")</f>
        <v/>
      </c>
      <c r="L43" s="718" t="str">
        <f>IFERROR(INDEX('Controles de Corrupción'!$C$10:$AZ$251,MATCH('Mapa Riesgo Corrupción'!B43,'Controles de Corrupción'!$C$10:$C$251,0),38),"")</f>
        <v/>
      </c>
      <c r="M43" s="17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77" t="str">
        <f>IFERROR(INDEX('Controles de Corrupción'!$C$10:$AZ$251,MATCH(A43,'Controles de Corrupción'!$B$10:$B$251,0),47),"")</f>
        <v/>
      </c>
    </row>
    <row r="44" spans="1:17" ht="43.5" hidden="1" customHeight="1" x14ac:dyDescent="0.25">
      <c r="A44" s="119" t="s">
        <v>576</v>
      </c>
      <c r="B44" s="756"/>
      <c r="C44" s="834"/>
      <c r="D44" s="717"/>
      <c r="E44" s="715"/>
      <c r="F44" s="718"/>
      <c r="G44" s="718"/>
      <c r="H44" s="824"/>
      <c r="I44" s="718"/>
      <c r="J44" s="718"/>
      <c r="K44" s="718"/>
      <c r="L44" s="718"/>
      <c r="M44" s="17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577</v>
      </c>
      <c r="B45" s="756"/>
      <c r="C45" s="834"/>
      <c r="D45" s="717"/>
      <c r="E45" s="715"/>
      <c r="F45" s="718"/>
      <c r="G45" s="718"/>
      <c r="H45" s="824"/>
      <c r="I45" s="718"/>
      <c r="J45" s="718"/>
      <c r="K45" s="718"/>
      <c r="L45" s="718"/>
      <c r="M45" s="17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578</v>
      </c>
      <c r="B46" s="756"/>
      <c r="C46" s="834"/>
      <c r="D46" s="717"/>
      <c r="E46" s="715"/>
      <c r="F46" s="718"/>
      <c r="G46" s="718"/>
      <c r="H46" s="824"/>
      <c r="I46" s="718"/>
      <c r="J46" s="718"/>
      <c r="K46" s="718"/>
      <c r="L46" s="718"/>
      <c r="M46" s="17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579</v>
      </c>
      <c r="B47" s="756"/>
      <c r="C47" s="834"/>
      <c r="D47" s="717"/>
      <c r="E47" s="715"/>
      <c r="F47" s="718"/>
      <c r="G47" s="718"/>
      <c r="H47" s="824"/>
      <c r="I47" s="718"/>
      <c r="J47" s="718"/>
      <c r="K47" s="718"/>
      <c r="L47" s="718"/>
      <c r="M47" s="17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580</v>
      </c>
      <c r="B48" s="712"/>
      <c r="C48" s="834"/>
      <c r="D48" s="717"/>
      <c r="E48" s="715"/>
      <c r="F48" s="718"/>
      <c r="G48" s="718"/>
      <c r="H48" s="719"/>
      <c r="I48" s="718"/>
      <c r="J48" s="718"/>
      <c r="K48" s="718"/>
      <c r="L48" s="718"/>
      <c r="M48" s="17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581</v>
      </c>
      <c r="B49" s="752"/>
      <c r="C49" s="834" t="str">
        <f>IFERROR(INDEX('Riesgos de Corrupción'!$B$11:$BN$100,MATCH('Mapa Riesgo Corrupción'!B49,'Riesgos de Corrupción'!$B$11:$B$100,0),2),"")</f>
        <v/>
      </c>
      <c r="D49" s="717" t="str">
        <f>IFERROR(INDEX('Riesgos de Corrupción'!$B$11:$BN$100,MATCH('Mapa Riesgo Corrupción'!B49,'Riesgos de Corrupción'!$B$11:$B$100,0),4),"")</f>
        <v/>
      </c>
      <c r="E49" s="715" t="str">
        <f>IFERROR(INDEX('Riesgos de Corrupción'!$B$11:$BN$100,MATCH('Mapa Riesgo Corrupción'!B49,'Riesgos de Corrupción'!$B$11:$B$100,0),5),"")</f>
        <v/>
      </c>
      <c r="F49" s="718" t="str">
        <f>IFERROR(INDEX('Riesgos de Corrupción'!$B$11:$BN$100,MATCH('Mapa Riesgo Corrupción'!B49,'Riesgos de Corrupción'!$B$11:$B$100,0),18),"")</f>
        <v/>
      </c>
      <c r="G49" s="718" t="str">
        <f>IFERROR(INDEX('Riesgos de Corrupción'!$B$11:$BN$100,MATCH('Mapa Riesgo Corrupción'!B49,'Riesgos de Corrupción'!$B$11:$B$100,0),63),"")</f>
        <v/>
      </c>
      <c r="H49" s="823" t="str">
        <f>IFERROR(INDEX('Riesgos de Corrupción'!$B$11:$BN$100,MATCH('Mapa Riesgo Corrupción'!B49,'Riesgos de Corrupción'!$B$11:$B$100,0),64),"")</f>
        <v/>
      </c>
      <c r="I49" s="718" t="str">
        <f>IFERROR(INDEX('Controles de Corrupción'!$C$10:$AZ$251,MATCH('Mapa Riesgo Corrupción'!B49,'Controles de Corrupción'!$C$10:$C$251,0),33),"")</f>
        <v/>
      </c>
      <c r="J49" s="718" t="str">
        <f>IFERROR(INDEX('Controles de Corrupción'!$C$10:$AZ$251,MATCH('Mapa Riesgo Corrupción'!B49,'Controles de Corrupción'!$C$10:$C$251,0),36),"")</f>
        <v/>
      </c>
      <c r="K49" s="718" t="str">
        <f>IFERROR(INDEX('Controles de Corrupción'!$C$10:$AZ$251,MATCH('Mapa Riesgo Corrupción'!B49,'Controles de Corrupción'!$C$10:$C$251,0),37),"")</f>
        <v/>
      </c>
      <c r="L49" s="718" t="str">
        <f>IFERROR(INDEX('Controles de Corrupción'!$C$10:$AZ$251,MATCH('Mapa Riesgo Corrupción'!B49,'Controles de Corrupción'!$C$10:$C$251,0),38),"")</f>
        <v/>
      </c>
      <c r="M49" s="17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582</v>
      </c>
      <c r="B50" s="756"/>
      <c r="C50" s="834"/>
      <c r="D50" s="717"/>
      <c r="E50" s="715"/>
      <c r="F50" s="718"/>
      <c r="G50" s="718"/>
      <c r="H50" s="824"/>
      <c r="I50" s="718"/>
      <c r="J50" s="718"/>
      <c r="K50" s="718"/>
      <c r="L50" s="718"/>
      <c r="M50" s="17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583</v>
      </c>
      <c r="B51" s="756"/>
      <c r="C51" s="834"/>
      <c r="D51" s="717"/>
      <c r="E51" s="715"/>
      <c r="F51" s="718"/>
      <c r="G51" s="718"/>
      <c r="H51" s="824"/>
      <c r="I51" s="718"/>
      <c r="J51" s="718"/>
      <c r="K51" s="718"/>
      <c r="L51" s="718"/>
      <c r="M51" s="17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584</v>
      </c>
      <c r="B52" s="756"/>
      <c r="C52" s="834"/>
      <c r="D52" s="717"/>
      <c r="E52" s="715"/>
      <c r="F52" s="718"/>
      <c r="G52" s="718"/>
      <c r="H52" s="824"/>
      <c r="I52" s="718"/>
      <c r="J52" s="718"/>
      <c r="K52" s="718"/>
      <c r="L52" s="718"/>
      <c r="M52" s="17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585</v>
      </c>
      <c r="B53" s="756"/>
      <c r="C53" s="834"/>
      <c r="D53" s="717"/>
      <c r="E53" s="715"/>
      <c r="F53" s="718"/>
      <c r="G53" s="718"/>
      <c r="H53" s="824"/>
      <c r="I53" s="718"/>
      <c r="J53" s="718"/>
      <c r="K53" s="718"/>
      <c r="L53" s="718"/>
      <c r="M53" s="17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586</v>
      </c>
      <c r="B54" s="712"/>
      <c r="C54" s="834"/>
      <c r="D54" s="717"/>
      <c r="E54" s="715"/>
      <c r="F54" s="718"/>
      <c r="G54" s="718"/>
      <c r="H54" s="719"/>
      <c r="I54" s="718"/>
      <c r="J54" s="718"/>
      <c r="K54" s="718"/>
      <c r="L54" s="718"/>
      <c r="M54" s="17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587</v>
      </c>
      <c r="B55" s="752"/>
      <c r="C55" s="832" t="str">
        <f>IFERROR(INDEX('Riesgos de Corrupción'!$B$11:$BN$100,MATCH('Mapa Riesgo Corrupción'!B55,'Riesgos de Corrupción'!$B$11:$B$100,0),2),"")</f>
        <v/>
      </c>
      <c r="D55" s="716" t="str">
        <f>IFERROR(INDEX('Riesgos de Corrupción'!$B$11:$BN$100,MATCH('Mapa Riesgo Corrupción'!B55,'Riesgos de Corrupción'!$B$11:$B$100,0),4),"")</f>
        <v/>
      </c>
      <c r="E55" s="714" t="str">
        <f>IFERROR(INDEX('Riesgos de Corrupción'!$B$11:$BN$100,MATCH('Mapa Riesgo Corrupción'!B55,'Riesgos de Corrupción'!$B$11:$B$100,0),5),"")</f>
        <v/>
      </c>
      <c r="F55" s="720" t="str">
        <f>IFERROR(INDEX('Riesgos de Corrupción'!$B$11:$BN$100,MATCH('Mapa Riesgo Corrupción'!B55,'Riesgos de Corrupción'!$B$11:$B$100,0),18),"")</f>
        <v/>
      </c>
      <c r="G55" s="720" t="str">
        <f>IFERROR(INDEX('Riesgos de Corrupción'!$B$11:$BN$100,MATCH('Mapa Riesgo Corrupción'!B55,'Riesgos de Corrupción'!$B$11:$B$100,0),63),"")</f>
        <v/>
      </c>
      <c r="H55" s="823" t="str">
        <f>IFERROR(INDEX('Riesgos de Corrupción'!$B$11:$BN$100,MATCH('Mapa Riesgo Corrupción'!B55,'Riesgos de Corrupción'!$B$11:$B$100,0),64),"")</f>
        <v/>
      </c>
      <c r="I55" s="720" t="str">
        <f>IFERROR(INDEX('Controles de Corrupción'!$C$10:$AZ$251,MATCH('Mapa Riesgo Corrupción'!B55,'Controles de Corrupción'!$C$10:$C$251,0),33),"")</f>
        <v/>
      </c>
      <c r="J55" s="720" t="str">
        <f>IFERROR(INDEX('Controles de Corrupción'!$C$10:$AZ$251,MATCH('Mapa Riesgo Corrupción'!B55,'Controles de Corrupción'!$C$10:$C$251,0),36),"")</f>
        <v/>
      </c>
      <c r="K55" s="720" t="str">
        <f>IFERROR(INDEX('Controles de Corrupción'!$C$10:$AZ$251,MATCH('Mapa Riesgo Corrupción'!B55,'Controles de Corrupción'!$C$10:$C$251,0),37),"")</f>
        <v/>
      </c>
      <c r="L55" s="720" t="str">
        <f>IFERROR(INDEX('Controles de Corrupción'!$C$10:$AZ$251,MATCH('Mapa Riesgo Corrupción'!B55,'Controles de Corrupción'!$C$10:$C$251,0),38),"")</f>
        <v/>
      </c>
      <c r="M55" s="17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588</v>
      </c>
      <c r="B56" s="756"/>
      <c r="C56" s="833"/>
      <c r="D56" s="717"/>
      <c r="E56" s="715"/>
      <c r="F56" s="718"/>
      <c r="G56" s="718"/>
      <c r="H56" s="824"/>
      <c r="I56" s="718"/>
      <c r="J56" s="718"/>
      <c r="K56" s="718"/>
      <c r="L56" s="718"/>
      <c r="M56" s="17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589</v>
      </c>
      <c r="B57" s="756"/>
      <c r="C57" s="833"/>
      <c r="D57" s="717"/>
      <c r="E57" s="715"/>
      <c r="F57" s="718"/>
      <c r="G57" s="718"/>
      <c r="H57" s="824"/>
      <c r="I57" s="718"/>
      <c r="J57" s="718"/>
      <c r="K57" s="718"/>
      <c r="L57" s="718"/>
      <c r="M57" s="17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590</v>
      </c>
      <c r="B58" s="756"/>
      <c r="C58" s="833"/>
      <c r="D58" s="717"/>
      <c r="E58" s="715"/>
      <c r="F58" s="718"/>
      <c r="G58" s="718"/>
      <c r="H58" s="824"/>
      <c r="I58" s="718"/>
      <c r="J58" s="718"/>
      <c r="K58" s="718"/>
      <c r="L58" s="718"/>
      <c r="M58" s="17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591</v>
      </c>
      <c r="B59" s="756"/>
      <c r="C59" s="833"/>
      <c r="D59" s="717"/>
      <c r="E59" s="715"/>
      <c r="F59" s="718"/>
      <c r="G59" s="718"/>
      <c r="H59" s="824"/>
      <c r="I59" s="718"/>
      <c r="J59" s="718"/>
      <c r="K59" s="718"/>
      <c r="L59" s="718"/>
      <c r="M59" s="17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592</v>
      </c>
      <c r="B60" s="712"/>
      <c r="C60" s="833"/>
      <c r="D60" s="717"/>
      <c r="E60" s="715"/>
      <c r="F60" s="718"/>
      <c r="G60" s="718"/>
      <c r="H60" s="719"/>
      <c r="I60" s="718"/>
      <c r="J60" s="718"/>
      <c r="K60" s="718"/>
      <c r="L60" s="718"/>
      <c r="M60" s="17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593</v>
      </c>
      <c r="B61" s="752"/>
      <c r="C61" s="832" t="str">
        <f>IFERROR(INDEX('Riesgos de Corrupción'!$B$11:$BN$100,MATCH('Mapa Riesgo Corrupción'!B61,'Riesgos de Corrupción'!$B$11:$B$100,0),2),"")</f>
        <v/>
      </c>
      <c r="D61" s="716" t="str">
        <f>IFERROR(INDEX('Riesgos de Corrupción'!$B$11:$BN$100,MATCH('Mapa Riesgo Corrupción'!B61,'Riesgos de Corrupción'!$B$11:$B$100,0),4),"")</f>
        <v/>
      </c>
      <c r="E61" s="714" t="str">
        <f>IFERROR(INDEX('Riesgos de Corrupción'!$B$11:$BN$100,MATCH('Mapa Riesgo Corrupción'!B61,'Riesgos de Corrupción'!$B$11:$B$100,0),5),"")</f>
        <v/>
      </c>
      <c r="F61" s="720" t="str">
        <f>IFERROR(INDEX('Riesgos de Corrupción'!$B$11:$BN$100,MATCH('Mapa Riesgo Corrupción'!B61,'Riesgos de Corrupción'!$B$11:$B$100,0),18),"")</f>
        <v/>
      </c>
      <c r="G61" s="720" t="str">
        <f>IFERROR(INDEX('Riesgos de Corrupción'!$B$11:$BN$100,MATCH('Mapa Riesgo Corrupción'!B61,'Riesgos de Corrupción'!$B$11:$B$100,0),63),"")</f>
        <v/>
      </c>
      <c r="H61" s="823" t="str">
        <f>IFERROR(INDEX('Riesgos de Corrupción'!$B$11:$BN$100,MATCH('Mapa Riesgo Corrupción'!B61,'Riesgos de Corrupción'!$B$11:$B$100,0),64),"")</f>
        <v/>
      </c>
      <c r="I61" s="720" t="str">
        <f>IFERROR(INDEX('Controles de Corrupción'!$C$10:$AZ$251,MATCH('Mapa Riesgo Corrupción'!B61,'Controles de Corrupción'!$C$10:$C$251,0),33),"")</f>
        <v/>
      </c>
      <c r="J61" s="720" t="str">
        <f>IFERROR(INDEX('Controles de Corrupción'!$C$10:$AZ$251,MATCH('Mapa Riesgo Corrupción'!B61,'Controles de Corrupción'!$C$10:$C$251,0),36),"")</f>
        <v/>
      </c>
      <c r="K61" s="720" t="str">
        <f>IFERROR(INDEX('Controles de Corrupción'!$C$10:$AZ$251,MATCH('Mapa Riesgo Corrupción'!B61,'Controles de Corrupción'!$C$10:$C$251,0),37),"")</f>
        <v/>
      </c>
      <c r="L61" s="720" t="str">
        <f>IFERROR(INDEX('Controles de Corrupción'!$C$10:$AZ$251,MATCH('Mapa Riesgo Corrupción'!B61,'Controles de Corrupción'!$C$10:$C$251,0),38),"")</f>
        <v/>
      </c>
      <c r="M61" s="17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594</v>
      </c>
      <c r="B62" s="756"/>
      <c r="C62" s="833"/>
      <c r="D62" s="717"/>
      <c r="E62" s="715"/>
      <c r="F62" s="718"/>
      <c r="G62" s="718"/>
      <c r="H62" s="824"/>
      <c r="I62" s="718"/>
      <c r="J62" s="718"/>
      <c r="K62" s="718"/>
      <c r="L62" s="718"/>
      <c r="M62" s="17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595</v>
      </c>
      <c r="B63" s="756"/>
      <c r="C63" s="833"/>
      <c r="D63" s="717"/>
      <c r="E63" s="715"/>
      <c r="F63" s="718"/>
      <c r="G63" s="718"/>
      <c r="H63" s="824"/>
      <c r="I63" s="718"/>
      <c r="J63" s="718"/>
      <c r="K63" s="718"/>
      <c r="L63" s="718"/>
      <c r="M63" s="17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596</v>
      </c>
      <c r="B64" s="756"/>
      <c r="C64" s="833"/>
      <c r="D64" s="717"/>
      <c r="E64" s="715"/>
      <c r="F64" s="718"/>
      <c r="G64" s="718"/>
      <c r="H64" s="824"/>
      <c r="I64" s="718"/>
      <c r="J64" s="718"/>
      <c r="K64" s="718"/>
      <c r="L64" s="718"/>
      <c r="M64" s="17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597</v>
      </c>
      <c r="B65" s="756"/>
      <c r="C65" s="833"/>
      <c r="D65" s="717"/>
      <c r="E65" s="715"/>
      <c r="F65" s="718"/>
      <c r="G65" s="718"/>
      <c r="H65" s="824"/>
      <c r="I65" s="718"/>
      <c r="J65" s="718"/>
      <c r="K65" s="718"/>
      <c r="L65" s="718"/>
      <c r="M65" s="17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598</v>
      </c>
      <c r="B66" s="712"/>
      <c r="C66" s="833"/>
      <c r="D66" s="717"/>
      <c r="E66" s="715"/>
      <c r="F66" s="718"/>
      <c r="G66" s="718"/>
      <c r="H66" s="719"/>
      <c r="I66" s="718"/>
      <c r="J66" s="718"/>
      <c r="K66" s="718"/>
      <c r="L66" s="718"/>
      <c r="M66" s="17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599</v>
      </c>
      <c r="B67" s="752"/>
      <c r="C67" s="832" t="str">
        <f>IFERROR(INDEX('Riesgos de Corrupción'!$B$11:$BN$100,MATCH('Mapa Riesgo Corrupción'!B67,'Riesgos de Corrupción'!$B$11:$B$100,0),2),"")</f>
        <v/>
      </c>
      <c r="D67" s="716" t="str">
        <f>IFERROR(INDEX('Riesgos de Corrupción'!$B$11:$BN$100,MATCH('Mapa Riesgo Corrupción'!B67,'Riesgos de Corrupción'!$B$11:$B$100,0),4),"")</f>
        <v/>
      </c>
      <c r="E67" s="714" t="str">
        <f>IFERROR(INDEX('Riesgos de Corrupción'!$B$11:$BN$100,MATCH('Mapa Riesgo Corrupción'!B67,'Riesgos de Corrupción'!$B$11:$B$100,0),5),"")</f>
        <v/>
      </c>
      <c r="F67" s="720" t="str">
        <f>IFERROR(INDEX('Riesgos de Corrupción'!$B$11:$BN$100,MATCH('Mapa Riesgo Corrupción'!B67,'Riesgos de Corrupción'!$B$11:$B$100,0),18),"")</f>
        <v/>
      </c>
      <c r="G67" s="720" t="str">
        <f>IFERROR(INDEX('Riesgos de Corrupción'!$B$11:$BN$100,MATCH('Mapa Riesgo Corrupción'!B67,'Riesgos de Corrupción'!$B$11:$B$100,0),63),"")</f>
        <v/>
      </c>
      <c r="H67" s="823" t="str">
        <f>IFERROR(INDEX('Riesgos de Corrupción'!$B$11:$BN$100,MATCH('Mapa Riesgo Corrupción'!B67,'Riesgos de Corrupción'!$B$11:$B$100,0),64),"")</f>
        <v/>
      </c>
      <c r="I67" s="720" t="str">
        <f>IFERROR(INDEX('Controles de Corrupción'!$C$10:$AZ$251,MATCH('Mapa Riesgo Corrupción'!B67,'Controles de Corrupción'!$C$10:$C$251,0),33),"")</f>
        <v/>
      </c>
      <c r="J67" s="720" t="str">
        <f>IFERROR(INDEX('Controles de Corrupción'!$C$10:$AZ$251,MATCH('Mapa Riesgo Corrupción'!B67,'Controles de Corrupción'!$C$10:$C$251,0),36),"")</f>
        <v/>
      </c>
      <c r="K67" s="720" t="str">
        <f>IFERROR(INDEX('Controles de Corrupción'!$C$10:$AZ$251,MATCH('Mapa Riesgo Corrupción'!B67,'Controles de Corrupción'!$C$10:$C$251,0),37),"")</f>
        <v/>
      </c>
      <c r="L67" s="720" t="str">
        <f>IFERROR(INDEX('Controles de Corrupción'!$C$10:$AZ$251,MATCH('Mapa Riesgo Corrupción'!B67,'Controles de Corrupción'!$C$10:$C$251,0),38),"")</f>
        <v/>
      </c>
      <c r="M67" s="17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600</v>
      </c>
      <c r="B68" s="756"/>
      <c r="C68" s="833"/>
      <c r="D68" s="717"/>
      <c r="E68" s="715"/>
      <c r="F68" s="718"/>
      <c r="G68" s="718"/>
      <c r="H68" s="824"/>
      <c r="I68" s="718"/>
      <c r="J68" s="718"/>
      <c r="K68" s="718"/>
      <c r="L68" s="718"/>
      <c r="M68" s="17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601</v>
      </c>
      <c r="B69" s="756"/>
      <c r="C69" s="833"/>
      <c r="D69" s="717"/>
      <c r="E69" s="715"/>
      <c r="F69" s="718"/>
      <c r="G69" s="718"/>
      <c r="H69" s="824"/>
      <c r="I69" s="718"/>
      <c r="J69" s="718"/>
      <c r="K69" s="718"/>
      <c r="L69" s="718"/>
      <c r="M69" s="17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602</v>
      </c>
      <c r="B70" s="756"/>
      <c r="C70" s="833"/>
      <c r="D70" s="717"/>
      <c r="E70" s="715"/>
      <c r="F70" s="718"/>
      <c r="G70" s="718"/>
      <c r="H70" s="824"/>
      <c r="I70" s="718"/>
      <c r="J70" s="718"/>
      <c r="K70" s="718"/>
      <c r="L70" s="718"/>
      <c r="M70" s="17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603</v>
      </c>
      <c r="B71" s="756"/>
      <c r="C71" s="833"/>
      <c r="D71" s="717"/>
      <c r="E71" s="715"/>
      <c r="F71" s="718"/>
      <c r="G71" s="718"/>
      <c r="H71" s="824"/>
      <c r="I71" s="718"/>
      <c r="J71" s="718"/>
      <c r="K71" s="718"/>
      <c r="L71" s="718"/>
      <c r="M71" s="17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604</v>
      </c>
      <c r="B72" s="712"/>
      <c r="C72" s="833"/>
      <c r="D72" s="717"/>
      <c r="E72" s="715"/>
      <c r="F72" s="718"/>
      <c r="G72" s="718"/>
      <c r="H72" s="719"/>
      <c r="I72" s="718"/>
      <c r="J72" s="718"/>
      <c r="K72" s="718"/>
      <c r="L72" s="718"/>
      <c r="M72" s="17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605</v>
      </c>
      <c r="B73" s="752"/>
      <c r="C73" s="832" t="str">
        <f>IFERROR(INDEX('Riesgos de Corrupción'!$B$11:$BN$100,MATCH('Mapa Riesgo Corrupción'!B73,'Riesgos de Corrupción'!$B$11:$B$100,0),2),"")</f>
        <v/>
      </c>
      <c r="D73" s="716" t="str">
        <f>IFERROR(INDEX('Riesgos de Corrupción'!$B$11:$BN$100,MATCH('Mapa Riesgo Corrupción'!B73,'Riesgos de Corrupción'!$B$11:$B$100,0),4),"")</f>
        <v/>
      </c>
      <c r="E73" s="714" t="str">
        <f>IFERROR(INDEX('Riesgos de Corrupción'!$B$11:$BN$100,MATCH('Mapa Riesgo Corrupción'!B73,'Riesgos de Corrupción'!$B$11:$B$100,0),5),"")</f>
        <v/>
      </c>
      <c r="F73" s="720" t="str">
        <f>IFERROR(INDEX('Riesgos de Corrupción'!$B$11:$BN$100,MATCH('Mapa Riesgo Corrupción'!B73,'Riesgos de Corrupción'!$B$11:$B$100,0),18),"")</f>
        <v/>
      </c>
      <c r="G73" s="720" t="str">
        <f>IFERROR(INDEX('Riesgos de Corrupción'!$B$11:$BN$100,MATCH('Mapa Riesgo Corrupción'!B73,'Riesgos de Corrupción'!$B$11:$B$100,0),63),"")</f>
        <v/>
      </c>
      <c r="H73" s="823" t="str">
        <f>IFERROR(INDEX('Riesgos de Corrupción'!$B$11:$BN$100,MATCH('Mapa Riesgo Corrupción'!B73,'Riesgos de Corrupción'!$B$11:$B$100,0),64),"")</f>
        <v/>
      </c>
      <c r="I73" s="720" t="str">
        <f>IFERROR(INDEX('Controles de Corrupción'!$C$10:$AZ$251,MATCH('Mapa Riesgo Corrupción'!B73,'Controles de Corrupción'!$C$10:$C$251,0),33),"")</f>
        <v/>
      </c>
      <c r="J73" s="720" t="str">
        <f>IFERROR(INDEX('Controles de Corrupción'!$C$10:$AZ$251,MATCH('Mapa Riesgo Corrupción'!B73,'Controles de Corrupción'!$C$10:$C$251,0),36),"")</f>
        <v/>
      </c>
      <c r="K73" s="720" t="str">
        <f>IFERROR(INDEX('Controles de Corrupción'!$C$10:$AZ$251,MATCH('Mapa Riesgo Corrupción'!B73,'Controles de Corrupción'!$C$10:$C$251,0),37),"")</f>
        <v/>
      </c>
      <c r="L73" s="720" t="str">
        <f>IFERROR(INDEX('Controles de Corrupción'!$C$10:$AZ$251,MATCH('Mapa Riesgo Corrupción'!B73,'Controles de Corrupción'!$C$10:$C$251,0),38),"")</f>
        <v/>
      </c>
      <c r="M73" s="17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606</v>
      </c>
      <c r="B74" s="756"/>
      <c r="C74" s="833"/>
      <c r="D74" s="717"/>
      <c r="E74" s="715"/>
      <c r="F74" s="718"/>
      <c r="G74" s="718"/>
      <c r="H74" s="824"/>
      <c r="I74" s="718"/>
      <c r="J74" s="718"/>
      <c r="K74" s="718"/>
      <c r="L74" s="718"/>
      <c r="M74" s="17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607</v>
      </c>
      <c r="B75" s="756"/>
      <c r="C75" s="833"/>
      <c r="D75" s="717"/>
      <c r="E75" s="715"/>
      <c r="F75" s="718"/>
      <c r="G75" s="718"/>
      <c r="H75" s="824"/>
      <c r="I75" s="718"/>
      <c r="J75" s="718"/>
      <c r="K75" s="718"/>
      <c r="L75" s="718"/>
      <c r="M75" s="17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608</v>
      </c>
      <c r="B76" s="756"/>
      <c r="C76" s="833"/>
      <c r="D76" s="717"/>
      <c r="E76" s="715"/>
      <c r="F76" s="718"/>
      <c r="G76" s="718"/>
      <c r="H76" s="824"/>
      <c r="I76" s="718"/>
      <c r="J76" s="718"/>
      <c r="K76" s="718"/>
      <c r="L76" s="718"/>
      <c r="M76" s="17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609</v>
      </c>
      <c r="B77" s="756"/>
      <c r="C77" s="833"/>
      <c r="D77" s="717"/>
      <c r="E77" s="715"/>
      <c r="F77" s="718"/>
      <c r="G77" s="718"/>
      <c r="H77" s="824"/>
      <c r="I77" s="718"/>
      <c r="J77" s="718"/>
      <c r="K77" s="718"/>
      <c r="L77" s="718"/>
      <c r="M77" s="17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610</v>
      </c>
      <c r="B78" s="712"/>
      <c r="C78" s="833"/>
      <c r="D78" s="717"/>
      <c r="E78" s="715"/>
      <c r="F78" s="718"/>
      <c r="G78" s="718"/>
      <c r="H78" s="719"/>
      <c r="I78" s="718"/>
      <c r="J78" s="718"/>
      <c r="K78" s="718"/>
      <c r="L78" s="718"/>
      <c r="M78" s="17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611</v>
      </c>
      <c r="B79" s="752"/>
      <c r="C79" s="832" t="str">
        <f>IFERROR(INDEX('Riesgos de Corrupción'!$B$11:$BN$100,MATCH('Mapa Riesgo Corrupción'!B79,'Riesgos de Corrupción'!$B$11:$B$100,0),2),"")</f>
        <v/>
      </c>
      <c r="D79" s="716" t="str">
        <f>IFERROR(INDEX('Riesgos de Corrupción'!$B$11:$BN$100,MATCH('Mapa Riesgo Corrupción'!B79,'Riesgos de Corrupción'!$B$11:$B$100,0),4),"")</f>
        <v/>
      </c>
      <c r="E79" s="714" t="str">
        <f>IFERROR(INDEX('Riesgos de Corrupción'!$B$11:$BN$100,MATCH('Mapa Riesgo Corrupción'!B79,'Riesgos de Corrupción'!$B$11:$B$100,0),5),"")</f>
        <v/>
      </c>
      <c r="F79" s="720" t="str">
        <f>IFERROR(INDEX('Riesgos de Corrupción'!$B$11:$BN$100,MATCH('Mapa Riesgo Corrupción'!B79,'Riesgos de Corrupción'!$B$11:$B$100,0),18),"")</f>
        <v/>
      </c>
      <c r="G79" s="720" t="str">
        <f>IFERROR(INDEX('Riesgos de Corrupción'!$B$11:$BN$100,MATCH('Mapa Riesgo Corrupción'!B79,'Riesgos de Corrupción'!$B$11:$B$100,0),63),"")</f>
        <v/>
      </c>
      <c r="H79" s="823" t="str">
        <f>IFERROR(INDEX('Riesgos de Corrupción'!$B$11:$BN$100,MATCH('Mapa Riesgo Corrupción'!B79,'Riesgos de Corrupción'!$B$11:$B$100,0),64),"")</f>
        <v/>
      </c>
      <c r="I79" s="720" t="str">
        <f>IFERROR(INDEX('Controles de Corrupción'!$C$10:$AZ$251,MATCH('Mapa Riesgo Corrupción'!B79,'Controles de Corrupción'!$C$10:$C$251,0),33),"")</f>
        <v/>
      </c>
      <c r="J79" s="720" t="str">
        <f>IFERROR(INDEX('Controles de Corrupción'!$C$10:$AZ$251,MATCH('Mapa Riesgo Corrupción'!B79,'Controles de Corrupción'!$C$10:$C$251,0),36),"")</f>
        <v/>
      </c>
      <c r="K79" s="720" t="str">
        <f>IFERROR(INDEX('Controles de Corrupción'!$C$10:$AZ$251,MATCH('Mapa Riesgo Corrupción'!B79,'Controles de Corrupción'!$C$10:$C$251,0),37),"")</f>
        <v/>
      </c>
      <c r="L79" s="720" t="str">
        <f>IFERROR(INDEX('Controles de Corrupción'!$C$10:$AZ$251,MATCH('Mapa Riesgo Corrupción'!B79,'Controles de Corrupción'!$C$10:$C$251,0),38),"")</f>
        <v/>
      </c>
      <c r="M79" s="17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612</v>
      </c>
      <c r="B80" s="756"/>
      <c r="C80" s="833"/>
      <c r="D80" s="717"/>
      <c r="E80" s="715"/>
      <c r="F80" s="718"/>
      <c r="G80" s="718"/>
      <c r="H80" s="824"/>
      <c r="I80" s="718"/>
      <c r="J80" s="718"/>
      <c r="K80" s="718"/>
      <c r="L80" s="718"/>
      <c r="M80" s="17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613</v>
      </c>
      <c r="B81" s="756"/>
      <c r="C81" s="833"/>
      <c r="D81" s="717"/>
      <c r="E81" s="715"/>
      <c r="F81" s="718"/>
      <c r="G81" s="718"/>
      <c r="H81" s="824"/>
      <c r="I81" s="718"/>
      <c r="J81" s="718"/>
      <c r="K81" s="718"/>
      <c r="L81" s="718"/>
      <c r="M81" s="17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614</v>
      </c>
      <c r="B82" s="756"/>
      <c r="C82" s="833"/>
      <c r="D82" s="717"/>
      <c r="E82" s="715"/>
      <c r="F82" s="718"/>
      <c r="G82" s="718"/>
      <c r="H82" s="824"/>
      <c r="I82" s="718"/>
      <c r="J82" s="718"/>
      <c r="K82" s="718"/>
      <c r="L82" s="718"/>
      <c r="M82" s="17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615</v>
      </c>
      <c r="B83" s="756"/>
      <c r="C83" s="833"/>
      <c r="D83" s="717"/>
      <c r="E83" s="715"/>
      <c r="F83" s="718"/>
      <c r="G83" s="718"/>
      <c r="H83" s="824"/>
      <c r="I83" s="718"/>
      <c r="J83" s="718"/>
      <c r="K83" s="718"/>
      <c r="L83" s="718"/>
      <c r="M83" s="17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616</v>
      </c>
      <c r="B84" s="712"/>
      <c r="C84" s="833"/>
      <c r="D84" s="717"/>
      <c r="E84" s="715"/>
      <c r="F84" s="718"/>
      <c r="G84" s="718"/>
      <c r="H84" s="719"/>
      <c r="I84" s="718"/>
      <c r="J84" s="718"/>
      <c r="K84" s="718"/>
      <c r="L84" s="718"/>
      <c r="M84" s="17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617</v>
      </c>
      <c r="B85" s="752"/>
      <c r="C85" s="832" t="str">
        <f>IFERROR(INDEX('Riesgos de Corrupción'!$B$11:$BN$100,MATCH('Mapa Riesgo Corrupción'!B85,'Riesgos de Corrupción'!$B$11:$B$100,0),2),"")</f>
        <v/>
      </c>
      <c r="D85" s="716" t="str">
        <f>IFERROR(INDEX('Riesgos de Corrupción'!$B$11:$BN$100,MATCH('Mapa Riesgo Corrupción'!B85,'Riesgos de Corrupción'!$B$11:$B$100,0),4),"")</f>
        <v/>
      </c>
      <c r="E85" s="714" t="str">
        <f>IFERROR(INDEX('Riesgos de Corrupción'!$B$11:$BN$100,MATCH('Mapa Riesgo Corrupción'!B85,'Riesgos de Corrupción'!$B$11:$B$100,0),5),"")</f>
        <v/>
      </c>
      <c r="F85" s="720" t="str">
        <f>IFERROR(INDEX('Riesgos de Corrupción'!$B$11:$BN$100,MATCH('Mapa Riesgo Corrupción'!B85,'Riesgos de Corrupción'!$B$11:$B$100,0),18),"")</f>
        <v/>
      </c>
      <c r="G85" s="720" t="str">
        <f>IFERROR(INDEX('Riesgos de Corrupción'!$B$11:$BN$100,MATCH('Mapa Riesgo Corrupción'!B85,'Riesgos de Corrupción'!$B$11:$B$100,0),63),"")</f>
        <v/>
      </c>
      <c r="H85" s="823" t="str">
        <f>IFERROR(INDEX('Riesgos de Corrupción'!$B$11:$BN$100,MATCH('Mapa Riesgo Corrupción'!B85,'Riesgos de Corrupción'!$B$11:$B$100,0),64),"")</f>
        <v/>
      </c>
      <c r="I85" s="720" t="str">
        <f>IFERROR(INDEX('Controles de Corrupción'!$C$10:$AZ$251,MATCH('Mapa Riesgo Corrupción'!B85,'Controles de Corrupción'!$C$10:$C$251,0),33),"")</f>
        <v/>
      </c>
      <c r="J85" s="720" t="str">
        <f>IFERROR(INDEX('Controles de Corrupción'!$C$10:$AZ$251,MATCH('Mapa Riesgo Corrupción'!B85,'Controles de Corrupción'!$C$10:$C$251,0),36),"")</f>
        <v/>
      </c>
      <c r="K85" s="720" t="str">
        <f>IFERROR(INDEX('Controles de Corrupción'!$C$10:$AZ$251,MATCH('Mapa Riesgo Corrupción'!B85,'Controles de Corrupción'!$C$10:$C$251,0),37),"")</f>
        <v/>
      </c>
      <c r="L85" s="720" t="str">
        <f>IFERROR(INDEX('Controles de Corrupción'!$C$10:$AZ$251,MATCH('Mapa Riesgo Corrupción'!B85,'Controles de Corrupción'!$C$10:$C$251,0),38),"")</f>
        <v/>
      </c>
      <c r="M85" s="17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618</v>
      </c>
      <c r="B86" s="756"/>
      <c r="C86" s="833"/>
      <c r="D86" s="717"/>
      <c r="E86" s="715"/>
      <c r="F86" s="718"/>
      <c r="G86" s="718"/>
      <c r="H86" s="824"/>
      <c r="I86" s="718"/>
      <c r="J86" s="718"/>
      <c r="K86" s="718"/>
      <c r="L86" s="718"/>
      <c r="M86" s="17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619</v>
      </c>
      <c r="B87" s="756"/>
      <c r="C87" s="833"/>
      <c r="D87" s="717"/>
      <c r="E87" s="715"/>
      <c r="F87" s="718"/>
      <c r="G87" s="718"/>
      <c r="H87" s="824"/>
      <c r="I87" s="718"/>
      <c r="J87" s="718"/>
      <c r="K87" s="718"/>
      <c r="L87" s="718"/>
      <c r="M87" s="17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620</v>
      </c>
      <c r="B88" s="756"/>
      <c r="C88" s="833"/>
      <c r="D88" s="717"/>
      <c r="E88" s="715"/>
      <c r="F88" s="718"/>
      <c r="G88" s="718"/>
      <c r="H88" s="824"/>
      <c r="I88" s="718"/>
      <c r="J88" s="718"/>
      <c r="K88" s="718"/>
      <c r="L88" s="718"/>
      <c r="M88" s="17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621</v>
      </c>
      <c r="B89" s="756"/>
      <c r="C89" s="833"/>
      <c r="D89" s="717"/>
      <c r="E89" s="715"/>
      <c r="F89" s="718"/>
      <c r="G89" s="718"/>
      <c r="H89" s="824"/>
      <c r="I89" s="718"/>
      <c r="J89" s="718"/>
      <c r="K89" s="718"/>
      <c r="L89" s="718"/>
      <c r="M89" s="17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622</v>
      </c>
      <c r="B90" s="712"/>
      <c r="C90" s="833"/>
      <c r="D90" s="717"/>
      <c r="E90" s="715"/>
      <c r="F90" s="718"/>
      <c r="G90" s="718"/>
      <c r="H90" s="719"/>
      <c r="I90" s="718"/>
      <c r="J90" s="718"/>
      <c r="K90" s="718"/>
      <c r="L90" s="718"/>
      <c r="M90" s="17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623</v>
      </c>
      <c r="B91" s="752"/>
      <c r="C91" s="832" t="str">
        <f>IFERROR(INDEX('Riesgos de Corrupción'!$B$11:$BN$100,MATCH('Mapa Riesgo Corrupción'!B91,'Riesgos de Corrupción'!$B$11:$B$100,0),2),"")</f>
        <v/>
      </c>
      <c r="D91" s="716" t="str">
        <f>IFERROR(INDEX('Riesgos de Corrupción'!$B$11:$BN$100,MATCH('Mapa Riesgo Corrupción'!B91,'Riesgos de Corrupción'!$B$11:$B$100,0),4),"")</f>
        <v/>
      </c>
      <c r="E91" s="830" t="str">
        <f>IFERROR(INDEX('Riesgos de Corrupción'!$B$11:$BN$100,MATCH('Mapa Riesgo Corrupción'!B91,'Riesgos de Corrupción'!$B$11:$B$100,0),5),"")</f>
        <v/>
      </c>
      <c r="F91" s="720" t="str">
        <f>IFERROR(INDEX('Riesgos de Corrupción'!$B$11:$BN$100,MATCH('Mapa Riesgo Corrupción'!B91,'Riesgos de Corrupción'!$B$11:$B$100,0),18),"")</f>
        <v/>
      </c>
      <c r="G91" s="720" t="str">
        <f>IFERROR(INDEX('Riesgos de Corrupción'!$B$11:$BN$100,MATCH('Mapa Riesgo Corrupción'!B91,'Riesgos de Corrupción'!$B$11:$B$100,0),63),"")</f>
        <v/>
      </c>
      <c r="H91" s="823" t="str">
        <f>IFERROR(INDEX('Riesgos de Corrupción'!$B$11:$BN$100,MATCH('Mapa Riesgo Corrupción'!B91,'Riesgos de Corrupción'!$B$11:$B$100,0),64),"")</f>
        <v/>
      </c>
      <c r="I91" s="720" t="str">
        <f>IFERROR(INDEX('Controles de Corrupción'!$C$10:$AZ$251,MATCH('Mapa Riesgo Corrupción'!B91,'Controles de Corrupción'!$C$10:$C$251,0),33),"")</f>
        <v/>
      </c>
      <c r="J91" s="720" t="str">
        <f>IFERROR(INDEX('Controles de Corrupción'!$C$10:$AZ$251,MATCH('Mapa Riesgo Corrupción'!B91,'Controles de Corrupción'!$C$10:$C$251,0),36),"")</f>
        <v/>
      </c>
      <c r="K91" s="720" t="str">
        <f>IFERROR(INDEX('Controles de Corrupción'!$C$10:$AZ$251,MATCH('Mapa Riesgo Corrupción'!B91,'Controles de Corrupción'!$C$10:$C$251,0),37),"")</f>
        <v/>
      </c>
      <c r="L91" s="720" t="str">
        <f>IFERROR(INDEX('Controles de Corrupción'!$C$10:$AZ$251,MATCH('Mapa Riesgo Corrupción'!B91,'Controles de Corrupción'!$C$10:$C$251,0),38),"")</f>
        <v/>
      </c>
      <c r="M91" s="17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624</v>
      </c>
      <c r="B92" s="756"/>
      <c r="C92" s="833"/>
      <c r="D92" s="717"/>
      <c r="E92" s="831"/>
      <c r="F92" s="718"/>
      <c r="G92" s="718"/>
      <c r="H92" s="824"/>
      <c r="I92" s="718"/>
      <c r="J92" s="718"/>
      <c r="K92" s="718"/>
      <c r="L92" s="718"/>
      <c r="M92" s="17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625</v>
      </c>
      <c r="B93" s="756"/>
      <c r="C93" s="833"/>
      <c r="D93" s="717"/>
      <c r="E93" s="831"/>
      <c r="F93" s="718"/>
      <c r="G93" s="718"/>
      <c r="H93" s="824"/>
      <c r="I93" s="718"/>
      <c r="J93" s="718"/>
      <c r="K93" s="718"/>
      <c r="L93" s="718"/>
      <c r="M93" s="17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626</v>
      </c>
      <c r="B94" s="756"/>
      <c r="C94" s="833"/>
      <c r="D94" s="717"/>
      <c r="E94" s="831"/>
      <c r="F94" s="718"/>
      <c r="G94" s="718"/>
      <c r="H94" s="824"/>
      <c r="I94" s="718"/>
      <c r="J94" s="718"/>
      <c r="K94" s="718"/>
      <c r="L94" s="718"/>
      <c r="M94" s="17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627</v>
      </c>
      <c r="B95" s="756"/>
      <c r="C95" s="833"/>
      <c r="D95" s="717"/>
      <c r="E95" s="831"/>
      <c r="F95" s="718"/>
      <c r="G95" s="718"/>
      <c r="H95" s="824"/>
      <c r="I95" s="718"/>
      <c r="J95" s="718"/>
      <c r="K95" s="718"/>
      <c r="L95" s="718"/>
      <c r="M95" s="17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628</v>
      </c>
      <c r="B96" s="712"/>
      <c r="C96" s="833"/>
      <c r="D96" s="717"/>
      <c r="E96" s="831"/>
      <c r="F96" s="718"/>
      <c r="G96" s="718"/>
      <c r="H96" s="719"/>
      <c r="I96" s="718"/>
      <c r="J96" s="718"/>
      <c r="K96" s="718"/>
      <c r="L96" s="718"/>
      <c r="M96" s="17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629</v>
      </c>
      <c r="B97" s="825"/>
      <c r="C97" s="828" t="str">
        <f>IFERROR(INDEX('Riesgos de Corrupción'!$B$11:$BN$100,MATCH('Mapa Riesgo Corrupción'!B97,'Riesgos de Corrupción'!$B$11:$B$100,0),2),"")</f>
        <v/>
      </c>
      <c r="D97" s="716" t="str">
        <f>IFERROR(INDEX('Riesgos de Corrupción'!$B$11:$BN$100,MATCH('Mapa Riesgo Corrupción'!B97,'Riesgos de Corrupción'!$B$11:$B$100,0),4),"")</f>
        <v/>
      </c>
      <c r="E97" s="830" t="str">
        <f>IFERROR(INDEX('Riesgos de Corrupción'!$B$11:$BN$100,MATCH('Mapa Riesgo Corrupción'!B97,'Riesgos de Corrupción'!$B$11:$B$100,0),5),"")</f>
        <v/>
      </c>
      <c r="F97" s="720" t="str">
        <f>IFERROR(INDEX('Riesgos de Corrupción'!$B$11:$BN$100,MATCH('Mapa Riesgo Corrupción'!B97,'Riesgos de Corrupción'!$B$11:$B$100,0),18),"")</f>
        <v/>
      </c>
      <c r="G97" s="720" t="str">
        <f>IFERROR(INDEX('Riesgos de Corrupción'!$B$11:$BN$100,MATCH('Mapa Riesgo Corrupción'!B97,'Riesgos de Corrupción'!$B$11:$B$100,0),63),"")</f>
        <v/>
      </c>
      <c r="H97" s="823" t="str">
        <f>IFERROR(INDEX('Riesgos de Corrupción'!$B$11:$BN$100,MATCH('Mapa Riesgo Corrupción'!B97,'Riesgos de Corrupción'!$B$11:$B$100,0),64),"")</f>
        <v/>
      </c>
      <c r="I97" s="720" t="str">
        <f>IFERROR(INDEX('Controles de Corrupción'!$C$10:$AZ$251,MATCH('Mapa Riesgo Corrupción'!B97,'Controles de Corrupción'!$C$10:$C$251,0),33),"")</f>
        <v/>
      </c>
      <c r="J97" s="720" t="str">
        <f>IFERROR(INDEX('Controles de Corrupción'!$C$10:$AZ$251,MATCH('Mapa Riesgo Corrupción'!B97,'Controles de Corrupción'!$C$10:$C$251,0),36),"")</f>
        <v/>
      </c>
      <c r="K97" s="720" t="str">
        <f>IFERROR(INDEX('Controles de Corrupción'!$C$10:$AZ$251,MATCH('Mapa Riesgo Corrupción'!B97,'Controles de Corrupción'!$C$10:$C$251,0),37),"")</f>
        <v/>
      </c>
      <c r="L97" s="720" t="str">
        <f>IFERROR(INDEX('Controles de Corrupción'!$C$10:$AZ$251,MATCH('Mapa Riesgo Corrupción'!B97,'Controles de Corrupción'!$C$10:$C$251,0),38),"")</f>
        <v/>
      </c>
      <c r="M97" s="17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630</v>
      </c>
      <c r="B98" s="826"/>
      <c r="C98" s="829"/>
      <c r="D98" s="717"/>
      <c r="E98" s="831"/>
      <c r="F98" s="718"/>
      <c r="G98" s="718"/>
      <c r="H98" s="824"/>
      <c r="I98" s="718"/>
      <c r="J98" s="718"/>
      <c r="K98" s="718"/>
      <c r="L98" s="718"/>
      <c r="M98" s="17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631</v>
      </c>
      <c r="B99" s="826"/>
      <c r="C99" s="829"/>
      <c r="D99" s="717"/>
      <c r="E99" s="831"/>
      <c r="F99" s="718"/>
      <c r="G99" s="718"/>
      <c r="H99" s="824"/>
      <c r="I99" s="718"/>
      <c r="J99" s="718"/>
      <c r="K99" s="718"/>
      <c r="L99" s="718"/>
      <c r="M99" s="17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632</v>
      </c>
      <c r="B100" s="826"/>
      <c r="C100" s="829"/>
      <c r="D100" s="717"/>
      <c r="E100" s="831"/>
      <c r="F100" s="718"/>
      <c r="G100" s="718"/>
      <c r="H100" s="824"/>
      <c r="I100" s="718"/>
      <c r="J100" s="718"/>
      <c r="K100" s="718"/>
      <c r="L100" s="718"/>
      <c r="M100" s="17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633</v>
      </c>
      <c r="B101" s="826"/>
      <c r="C101" s="829"/>
      <c r="D101" s="717"/>
      <c r="E101" s="831"/>
      <c r="F101" s="718"/>
      <c r="G101" s="718"/>
      <c r="H101" s="824"/>
      <c r="I101" s="718"/>
      <c r="J101" s="718"/>
      <c r="K101" s="718"/>
      <c r="L101" s="718"/>
      <c r="M101" s="17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634</v>
      </c>
      <c r="B102" s="827"/>
      <c r="C102" s="829"/>
      <c r="D102" s="717"/>
      <c r="E102" s="831"/>
      <c r="F102" s="718"/>
      <c r="G102" s="718"/>
      <c r="H102" s="719"/>
      <c r="I102" s="718"/>
      <c r="J102" s="718"/>
      <c r="K102" s="718"/>
      <c r="L102" s="718"/>
      <c r="M102" s="17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635</v>
      </c>
      <c r="B103" s="825"/>
      <c r="C103" s="828" t="str">
        <f>IFERROR(INDEX('Riesgos de Corrupción'!$B$11:$BN$100,MATCH('Mapa Riesgo Corrupción'!B103,'Riesgos de Corrupción'!$B$11:$B$100,0),2),"")</f>
        <v/>
      </c>
      <c r="D103" s="716" t="str">
        <f>IFERROR(INDEX('Riesgos de Corrupción'!$B$11:$BN$100,MATCH('Mapa Riesgo Corrupción'!B103,'Riesgos de Corrupción'!$B$11:$B$100,0),4),"")</f>
        <v/>
      </c>
      <c r="E103" s="830" t="str">
        <f>IFERROR(INDEX('Riesgos de Corrupción'!$B$11:$BN$100,MATCH('Mapa Riesgo Corrupción'!B103,'Riesgos de Corrupción'!$B$11:$B$100,0),5),"")</f>
        <v/>
      </c>
      <c r="F103" s="720" t="str">
        <f>IFERROR(INDEX('Riesgos de Corrupción'!$B$11:$BN$100,MATCH('Mapa Riesgo Corrupción'!B103,'Riesgos de Corrupción'!$B$11:$B$100,0),18),"")</f>
        <v/>
      </c>
      <c r="G103" s="720" t="str">
        <f>IFERROR(INDEX('Riesgos de Corrupción'!$B$11:$BN$100,MATCH('Mapa Riesgo Corrupción'!B103,'Riesgos de Corrupción'!$B$11:$B$100,0),63),"")</f>
        <v/>
      </c>
      <c r="H103" s="823" t="str">
        <f>IFERROR(INDEX('Riesgos de Corrupción'!$B$11:$BN$100,MATCH('Mapa Riesgo Corrupción'!B103,'Riesgos de Corrupción'!$B$11:$B$100,0),64),"")</f>
        <v/>
      </c>
      <c r="I103" s="720" t="str">
        <f>IFERROR(INDEX('Controles de Corrupción'!$C$10:$AZ$251,MATCH('Mapa Riesgo Corrupción'!B103,'Controles de Corrupción'!$C$10:$C$251,0),33),"")</f>
        <v/>
      </c>
      <c r="J103" s="720" t="str">
        <f>IFERROR(INDEX('Controles de Corrupción'!$C$10:$AZ$251,MATCH('Mapa Riesgo Corrupción'!B103,'Controles de Corrupción'!$C$10:$C$251,0),36),"")</f>
        <v/>
      </c>
      <c r="K103" s="720" t="str">
        <f>IFERROR(INDEX('Controles de Corrupción'!$C$10:$AZ$251,MATCH('Mapa Riesgo Corrupción'!B103,'Controles de Corrupción'!$C$10:$C$251,0),37),"")</f>
        <v/>
      </c>
      <c r="L103" s="720" t="str">
        <f>IFERROR(INDEX('Controles de Corrupción'!$C$10:$AZ$251,MATCH('Mapa Riesgo Corrupción'!B103,'Controles de Corrupción'!$C$10:$C$251,0),38),"")</f>
        <v/>
      </c>
      <c r="M103" s="17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636</v>
      </c>
      <c r="B104" s="826"/>
      <c r="C104" s="829"/>
      <c r="D104" s="717"/>
      <c r="E104" s="831"/>
      <c r="F104" s="718"/>
      <c r="G104" s="718"/>
      <c r="H104" s="824"/>
      <c r="I104" s="718"/>
      <c r="J104" s="718"/>
      <c r="K104" s="718"/>
      <c r="L104" s="718"/>
      <c r="M104" s="17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637</v>
      </c>
      <c r="B105" s="826"/>
      <c r="C105" s="829"/>
      <c r="D105" s="717"/>
      <c r="E105" s="831"/>
      <c r="F105" s="718"/>
      <c r="G105" s="718"/>
      <c r="H105" s="824"/>
      <c r="I105" s="718"/>
      <c r="J105" s="718"/>
      <c r="K105" s="718"/>
      <c r="L105" s="718"/>
      <c r="M105" s="17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638</v>
      </c>
      <c r="B106" s="826"/>
      <c r="C106" s="829"/>
      <c r="D106" s="717"/>
      <c r="E106" s="831"/>
      <c r="F106" s="718"/>
      <c r="G106" s="718"/>
      <c r="H106" s="824"/>
      <c r="I106" s="718"/>
      <c r="J106" s="718"/>
      <c r="K106" s="718"/>
      <c r="L106" s="718"/>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639</v>
      </c>
      <c r="B107" s="826"/>
      <c r="C107" s="829"/>
      <c r="D107" s="717"/>
      <c r="E107" s="831"/>
      <c r="F107" s="718"/>
      <c r="G107" s="718"/>
      <c r="H107" s="824"/>
      <c r="I107" s="718"/>
      <c r="J107" s="718"/>
      <c r="K107" s="718"/>
      <c r="L107" s="718"/>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640</v>
      </c>
      <c r="B108" s="827"/>
      <c r="C108" s="829"/>
      <c r="D108" s="717"/>
      <c r="E108" s="831"/>
      <c r="F108" s="718"/>
      <c r="G108" s="718"/>
      <c r="H108" s="719"/>
      <c r="I108" s="718"/>
      <c r="J108" s="718"/>
      <c r="K108" s="718"/>
      <c r="L108" s="718"/>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641</v>
      </c>
      <c r="B109" s="825"/>
      <c r="C109" s="828" t="str">
        <f>IFERROR(INDEX('Riesgos de Corrupción'!$B$11:$BN$100,MATCH('Mapa Riesgo Corrupción'!B109,'Riesgos de Corrupción'!$B$11:$B$100,0),2),"")</f>
        <v/>
      </c>
      <c r="D109" s="716" t="str">
        <f>IFERROR(INDEX('Riesgos de Corrupción'!$B$11:$BN$100,MATCH('Mapa Riesgo Corrupción'!B109,'Riesgos de Corrupción'!$B$11:$B$100,0),4),"")</f>
        <v/>
      </c>
      <c r="E109" s="830" t="str">
        <f>IFERROR(INDEX('Riesgos de Corrupción'!$B$11:$BN$100,MATCH('Mapa Riesgo Corrupción'!B109,'Riesgos de Corrupción'!$B$11:$B$100,0),5),"")</f>
        <v/>
      </c>
      <c r="F109" s="720" t="str">
        <f>IFERROR(INDEX('Riesgos de Corrupción'!$B$11:$BN$100,MATCH('Mapa Riesgo Corrupción'!B109,'Riesgos de Corrupción'!$B$11:$B$100,0),18),"")</f>
        <v/>
      </c>
      <c r="G109" s="720" t="str">
        <f>IFERROR(INDEX('Riesgos de Corrupción'!$B$11:$BN$100,MATCH('Mapa Riesgo Corrupción'!B109,'Riesgos de Corrupción'!$B$11:$B$100,0),63),"")</f>
        <v/>
      </c>
      <c r="H109" s="823" t="str">
        <f>IFERROR(INDEX('Riesgos de Corrupción'!$B$11:$BN$100,MATCH('Mapa Riesgo Corrupción'!B109,'Riesgos de Corrupción'!$B$11:$B$100,0),64),"")</f>
        <v/>
      </c>
      <c r="I109" s="720" t="str">
        <f>IFERROR(INDEX('Controles de Corrupción'!$C$10:$AZ$251,MATCH('Mapa Riesgo Corrupción'!B109,'Controles de Corrupción'!$C$10:$C$251,0),33),"")</f>
        <v/>
      </c>
      <c r="J109" s="720" t="str">
        <f>IFERROR(INDEX('Controles de Corrupción'!$C$10:$AZ$251,MATCH('Mapa Riesgo Corrupción'!B109,'Controles de Corrupción'!$C$10:$C$251,0),36),"")</f>
        <v/>
      </c>
      <c r="K109" s="720" t="str">
        <f>IFERROR(INDEX('Controles de Corrupción'!$C$10:$AZ$251,MATCH('Mapa Riesgo Corrupción'!B109,'Controles de Corrupción'!$C$10:$C$251,0),37),"")</f>
        <v/>
      </c>
      <c r="L109" s="720"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642</v>
      </c>
      <c r="B110" s="826"/>
      <c r="C110" s="829"/>
      <c r="D110" s="717"/>
      <c r="E110" s="831"/>
      <c r="F110" s="718"/>
      <c r="G110" s="718"/>
      <c r="H110" s="824"/>
      <c r="I110" s="718"/>
      <c r="J110" s="718"/>
      <c r="K110" s="718"/>
      <c r="L110" s="718"/>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643</v>
      </c>
      <c r="B111" s="826"/>
      <c r="C111" s="829"/>
      <c r="D111" s="717"/>
      <c r="E111" s="831"/>
      <c r="F111" s="718"/>
      <c r="G111" s="718"/>
      <c r="H111" s="824"/>
      <c r="I111" s="718"/>
      <c r="J111" s="718"/>
      <c r="K111" s="718"/>
      <c r="L111" s="718"/>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644</v>
      </c>
      <c r="B112" s="826"/>
      <c r="C112" s="829"/>
      <c r="D112" s="717"/>
      <c r="E112" s="831"/>
      <c r="F112" s="718"/>
      <c r="G112" s="718"/>
      <c r="H112" s="824"/>
      <c r="I112" s="718"/>
      <c r="J112" s="718"/>
      <c r="K112" s="718"/>
      <c r="L112" s="718"/>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645</v>
      </c>
      <c r="B113" s="826"/>
      <c r="C113" s="829"/>
      <c r="D113" s="717"/>
      <c r="E113" s="831"/>
      <c r="F113" s="718"/>
      <c r="G113" s="718"/>
      <c r="H113" s="824"/>
      <c r="I113" s="718"/>
      <c r="J113" s="718"/>
      <c r="K113" s="718"/>
      <c r="L113" s="718"/>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646</v>
      </c>
      <c r="B114" s="827"/>
      <c r="C114" s="829"/>
      <c r="D114" s="717"/>
      <c r="E114" s="831"/>
      <c r="F114" s="718"/>
      <c r="G114" s="718"/>
      <c r="H114" s="719"/>
      <c r="I114" s="718"/>
      <c r="J114" s="718"/>
      <c r="K114" s="718"/>
      <c r="L114" s="718"/>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647</v>
      </c>
      <c r="B115" s="825"/>
      <c r="C115" s="828" t="str">
        <f>IFERROR(INDEX('Riesgos de Corrupción'!$B$11:$BN$100,MATCH('Mapa Riesgo Corrupción'!B115,'Riesgos de Corrupción'!$B$11:$B$100,0),2),"")</f>
        <v/>
      </c>
      <c r="D115" s="716" t="str">
        <f>IFERROR(INDEX('Riesgos de Corrupción'!$B$11:$BN$100,MATCH('Mapa Riesgo Corrupción'!B115,'Riesgos de Corrupción'!$B$11:$B$100,0),4),"")</f>
        <v/>
      </c>
      <c r="E115" s="830" t="str">
        <f>IFERROR(INDEX('Riesgos de Corrupción'!$B$11:$BN$100,MATCH('Mapa Riesgo Corrupción'!B115,'Riesgos de Corrupción'!$B$11:$B$100,0),5),"")</f>
        <v/>
      </c>
      <c r="F115" s="720" t="str">
        <f>IFERROR(INDEX('Riesgos de Corrupción'!$B$11:$BN$100,MATCH('Mapa Riesgo Corrupción'!B115,'Riesgos de Corrupción'!$B$11:$B$100,0),18),"")</f>
        <v/>
      </c>
      <c r="G115" s="720" t="str">
        <f>IFERROR(INDEX('Riesgos de Corrupción'!$B$11:$BN$100,MATCH('Mapa Riesgo Corrupción'!B115,'Riesgos de Corrupción'!$B$11:$B$100,0),63),"")</f>
        <v/>
      </c>
      <c r="H115" s="823" t="str">
        <f>IFERROR(INDEX('Riesgos de Corrupción'!$B$11:$BN$100,MATCH('Mapa Riesgo Corrupción'!B115,'Riesgos de Corrupción'!$B$11:$B$100,0),64),"")</f>
        <v/>
      </c>
      <c r="I115" s="720" t="str">
        <f>IFERROR(INDEX('Controles de Corrupción'!$C$10:$AZ$251,MATCH('Mapa Riesgo Corrupción'!B115,'Controles de Corrupción'!$C$10:$C$251,0),33),"")</f>
        <v/>
      </c>
      <c r="J115" s="720" t="str">
        <f>IFERROR(INDEX('Controles de Corrupción'!$C$10:$AZ$251,MATCH('Mapa Riesgo Corrupción'!B115,'Controles de Corrupción'!$C$10:$C$251,0),36),"")</f>
        <v/>
      </c>
      <c r="K115" s="720" t="str">
        <f>IFERROR(INDEX('Controles de Corrupción'!$C$10:$AZ$251,MATCH('Mapa Riesgo Corrupción'!B115,'Controles de Corrupción'!$C$10:$C$251,0),37),"")</f>
        <v/>
      </c>
      <c r="L115" s="720"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648</v>
      </c>
      <c r="B116" s="826"/>
      <c r="C116" s="829"/>
      <c r="D116" s="717"/>
      <c r="E116" s="831"/>
      <c r="F116" s="718"/>
      <c r="G116" s="718"/>
      <c r="H116" s="824"/>
      <c r="I116" s="718"/>
      <c r="J116" s="718"/>
      <c r="K116" s="718"/>
      <c r="L116" s="718"/>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649</v>
      </c>
      <c r="B117" s="826"/>
      <c r="C117" s="829"/>
      <c r="D117" s="717"/>
      <c r="E117" s="831"/>
      <c r="F117" s="718"/>
      <c r="G117" s="718"/>
      <c r="H117" s="824"/>
      <c r="I117" s="718"/>
      <c r="J117" s="718"/>
      <c r="K117" s="718"/>
      <c r="L117" s="718"/>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650</v>
      </c>
      <c r="B118" s="826"/>
      <c r="C118" s="829"/>
      <c r="D118" s="717"/>
      <c r="E118" s="831"/>
      <c r="F118" s="718"/>
      <c r="G118" s="718"/>
      <c r="H118" s="824"/>
      <c r="I118" s="718"/>
      <c r="J118" s="718"/>
      <c r="K118" s="718"/>
      <c r="L118" s="718"/>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651</v>
      </c>
      <c r="B119" s="826"/>
      <c r="C119" s="829"/>
      <c r="D119" s="717"/>
      <c r="E119" s="831"/>
      <c r="F119" s="718"/>
      <c r="G119" s="718"/>
      <c r="H119" s="824"/>
      <c r="I119" s="718"/>
      <c r="J119" s="718"/>
      <c r="K119" s="718"/>
      <c r="L119" s="718"/>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652</v>
      </c>
      <c r="B120" s="827"/>
      <c r="C120" s="829"/>
      <c r="D120" s="717"/>
      <c r="E120" s="831"/>
      <c r="F120" s="718"/>
      <c r="G120" s="718"/>
      <c r="H120" s="719"/>
      <c r="I120" s="718"/>
      <c r="J120" s="718"/>
      <c r="K120" s="718"/>
      <c r="L120" s="718"/>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653</v>
      </c>
      <c r="B121" s="825"/>
      <c r="C121" s="828" t="str">
        <f>IFERROR(INDEX('Riesgos de Corrupción'!$B$11:$BN$100,MATCH('Mapa Riesgo Corrupción'!B121,'Riesgos de Corrupción'!$B$11:$B$100,0),2),"")</f>
        <v/>
      </c>
      <c r="D121" s="716" t="str">
        <f>IFERROR(INDEX('Riesgos de Corrupción'!$B$11:$BN$100,MATCH('Mapa Riesgo Corrupción'!B121,'Riesgos de Corrupción'!$B$11:$B$100,0),4),"")</f>
        <v/>
      </c>
      <c r="E121" s="830" t="str">
        <f>IFERROR(INDEX('Riesgos de Corrupción'!$B$11:$BN$100,MATCH('Mapa Riesgo Corrupción'!B121,'Riesgos de Corrupción'!$B$11:$B$100,0),5),"")</f>
        <v/>
      </c>
      <c r="F121" s="720" t="str">
        <f>IFERROR(INDEX('Riesgos de Corrupción'!$B$11:$BN$100,MATCH('Mapa Riesgo Corrupción'!B121,'Riesgos de Corrupción'!$B$11:$B$100,0),18),"")</f>
        <v/>
      </c>
      <c r="G121" s="720" t="str">
        <f>IFERROR(INDEX('Riesgos de Corrupción'!$B$11:$BN$100,MATCH('Mapa Riesgo Corrupción'!B121,'Riesgos de Corrupción'!$B$11:$B$100,0),63),"")</f>
        <v/>
      </c>
      <c r="H121" s="823" t="str">
        <f>IFERROR(INDEX('Riesgos de Corrupción'!$B$11:$BN$100,MATCH('Mapa Riesgo Corrupción'!B121,'Riesgos de Corrupción'!$B$11:$B$100,0),64),"")</f>
        <v/>
      </c>
      <c r="I121" s="720" t="str">
        <f>IFERROR(INDEX('Controles de Corrupción'!$C$10:$AZ$251,MATCH('Mapa Riesgo Corrupción'!B121,'Controles de Corrupción'!$C$10:$C$251,0),33),"")</f>
        <v/>
      </c>
      <c r="J121" s="720" t="str">
        <f>IFERROR(INDEX('Controles de Corrupción'!$C$10:$AZ$251,MATCH('Mapa Riesgo Corrupción'!B121,'Controles de Corrupción'!$C$10:$C$251,0),36),"")</f>
        <v/>
      </c>
      <c r="K121" s="720" t="str">
        <f>IFERROR(INDEX('Controles de Corrupción'!$C$10:$AZ$251,MATCH('Mapa Riesgo Corrupción'!B121,'Controles de Corrupción'!$C$10:$C$251,0),37),"")</f>
        <v/>
      </c>
      <c r="L121" s="720"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654</v>
      </c>
      <c r="B122" s="826"/>
      <c r="C122" s="829"/>
      <c r="D122" s="717"/>
      <c r="E122" s="831"/>
      <c r="F122" s="718"/>
      <c r="G122" s="718"/>
      <c r="H122" s="824"/>
      <c r="I122" s="718"/>
      <c r="J122" s="718"/>
      <c r="K122" s="718"/>
      <c r="L122" s="718"/>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655</v>
      </c>
      <c r="B123" s="826"/>
      <c r="C123" s="829"/>
      <c r="D123" s="717"/>
      <c r="E123" s="831"/>
      <c r="F123" s="718"/>
      <c r="G123" s="718"/>
      <c r="H123" s="824"/>
      <c r="I123" s="718"/>
      <c r="J123" s="718"/>
      <c r="K123" s="718"/>
      <c r="L123" s="718"/>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656</v>
      </c>
      <c r="B124" s="826"/>
      <c r="C124" s="829"/>
      <c r="D124" s="717"/>
      <c r="E124" s="831"/>
      <c r="F124" s="718"/>
      <c r="G124" s="718"/>
      <c r="H124" s="824"/>
      <c r="I124" s="718"/>
      <c r="J124" s="718"/>
      <c r="K124" s="718"/>
      <c r="L124" s="718"/>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657</v>
      </c>
      <c r="B125" s="826"/>
      <c r="C125" s="829"/>
      <c r="D125" s="717"/>
      <c r="E125" s="831"/>
      <c r="F125" s="718"/>
      <c r="G125" s="718"/>
      <c r="H125" s="824"/>
      <c r="I125" s="718"/>
      <c r="J125" s="718"/>
      <c r="K125" s="718"/>
      <c r="L125" s="718"/>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658</v>
      </c>
      <c r="B126" s="827"/>
      <c r="C126" s="829"/>
      <c r="D126" s="717"/>
      <c r="E126" s="831"/>
      <c r="F126" s="718"/>
      <c r="G126" s="718"/>
      <c r="H126" s="719"/>
      <c r="I126" s="718"/>
      <c r="J126" s="718"/>
      <c r="K126" s="718"/>
      <c r="L126" s="718"/>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659</v>
      </c>
      <c r="B127" s="825"/>
      <c r="C127" s="828" t="str">
        <f>IFERROR(INDEX('Riesgos de Corrupción'!$B$11:$BN$100,MATCH('Mapa Riesgo Corrupción'!B127,'Riesgos de Corrupción'!$B$11:$B$100,0),2),"")</f>
        <v/>
      </c>
      <c r="D127" s="716" t="str">
        <f>IFERROR(INDEX('Riesgos de Corrupción'!$B$11:$BN$100,MATCH('Mapa Riesgo Corrupción'!B127,'Riesgos de Corrupción'!$B$11:$B$100,0),4),"")</f>
        <v/>
      </c>
      <c r="E127" s="830" t="str">
        <f>IFERROR(INDEX('Riesgos de Corrupción'!$B$11:$BN$100,MATCH('Mapa Riesgo Corrupción'!B127,'Riesgos de Corrupción'!$B$11:$B$100,0),5),"")</f>
        <v/>
      </c>
      <c r="F127" s="720" t="str">
        <f>IFERROR(INDEX('Riesgos de Corrupción'!$B$11:$BN$100,MATCH('Mapa Riesgo Corrupción'!B127,'Riesgos de Corrupción'!$B$11:$B$100,0),18),"")</f>
        <v/>
      </c>
      <c r="G127" s="720" t="str">
        <f>IFERROR(INDEX('Riesgos de Corrupción'!$B$11:$BN$100,MATCH('Mapa Riesgo Corrupción'!B127,'Riesgos de Corrupción'!$B$11:$B$100,0),63),"")</f>
        <v/>
      </c>
      <c r="H127" s="823" t="str">
        <f>IFERROR(INDEX('Riesgos de Corrupción'!$B$11:$BN$100,MATCH('Mapa Riesgo Corrupción'!B127,'Riesgos de Corrupción'!$B$11:$B$100,0),64),"")</f>
        <v/>
      </c>
      <c r="I127" s="720" t="str">
        <f>IFERROR(INDEX('Controles de Corrupción'!$C$10:$AZ$251,MATCH('Mapa Riesgo Corrupción'!B127,'Controles de Corrupción'!$C$10:$C$251,0),33),"")</f>
        <v/>
      </c>
      <c r="J127" s="720" t="str">
        <f>IFERROR(INDEX('Controles de Corrupción'!$C$10:$AZ$251,MATCH('Mapa Riesgo Corrupción'!B127,'Controles de Corrupción'!$C$10:$C$251,0),36),"")</f>
        <v/>
      </c>
      <c r="K127" s="720" t="str">
        <f>IFERROR(INDEX('Controles de Corrupción'!$C$10:$AZ$251,MATCH('Mapa Riesgo Corrupción'!B127,'Controles de Corrupción'!$C$10:$C$251,0),37),"")</f>
        <v/>
      </c>
      <c r="L127" s="720"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660</v>
      </c>
      <c r="B128" s="826"/>
      <c r="C128" s="829"/>
      <c r="D128" s="717"/>
      <c r="E128" s="831"/>
      <c r="F128" s="718"/>
      <c r="G128" s="718"/>
      <c r="H128" s="824"/>
      <c r="I128" s="718"/>
      <c r="J128" s="718"/>
      <c r="K128" s="718"/>
      <c r="L128" s="718"/>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661</v>
      </c>
      <c r="B129" s="826"/>
      <c r="C129" s="829"/>
      <c r="D129" s="717"/>
      <c r="E129" s="831"/>
      <c r="F129" s="718"/>
      <c r="G129" s="718"/>
      <c r="H129" s="824"/>
      <c r="I129" s="718"/>
      <c r="J129" s="718"/>
      <c r="K129" s="718"/>
      <c r="L129" s="718"/>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662</v>
      </c>
      <c r="B130" s="826"/>
      <c r="C130" s="829"/>
      <c r="D130" s="717"/>
      <c r="E130" s="831"/>
      <c r="F130" s="718"/>
      <c r="G130" s="718"/>
      <c r="H130" s="824"/>
      <c r="I130" s="718"/>
      <c r="J130" s="718"/>
      <c r="K130" s="718"/>
      <c r="L130" s="718"/>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663</v>
      </c>
      <c r="B131" s="826"/>
      <c r="C131" s="829"/>
      <c r="D131" s="717"/>
      <c r="E131" s="831"/>
      <c r="F131" s="718"/>
      <c r="G131" s="718"/>
      <c r="H131" s="824"/>
      <c r="I131" s="718"/>
      <c r="J131" s="718"/>
      <c r="K131" s="718"/>
      <c r="L131" s="718"/>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664</v>
      </c>
      <c r="B132" s="827"/>
      <c r="C132" s="829"/>
      <c r="D132" s="717"/>
      <c r="E132" s="831"/>
      <c r="F132" s="718"/>
      <c r="G132" s="718"/>
      <c r="H132" s="719"/>
      <c r="I132" s="718"/>
      <c r="J132" s="718"/>
      <c r="K132" s="718"/>
      <c r="L132" s="718"/>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666</v>
      </c>
      <c r="B133" s="825"/>
      <c r="C133" s="828" t="str">
        <f>IFERROR(INDEX('Riesgos de Corrupción'!$B$11:$BN$100,MATCH('Mapa Riesgo Corrupción'!B133,'Riesgos de Corrupción'!$B$11:$B$100,0),2),"")</f>
        <v/>
      </c>
      <c r="D133" s="716" t="str">
        <f>IFERROR(INDEX('Riesgos de Corrupción'!$B$11:$BN$100,MATCH('Mapa Riesgo Corrupción'!B133,'Riesgos de Corrupción'!$B$11:$B$100,0),4),"")</f>
        <v/>
      </c>
      <c r="E133" s="830" t="str">
        <f>IFERROR(INDEX('Riesgos de Corrupción'!$B$11:$BN$100,MATCH('Mapa Riesgo Corrupción'!B133,'Riesgos de Corrupción'!$B$11:$B$100,0),5),"")</f>
        <v/>
      </c>
      <c r="F133" s="720" t="str">
        <f>IFERROR(INDEX('Riesgos de Corrupción'!$B$11:$BN$100,MATCH('Mapa Riesgo Corrupción'!B133,'Riesgos de Corrupción'!$B$11:$B$100,0),18),"")</f>
        <v/>
      </c>
      <c r="G133" s="720" t="str">
        <f>IFERROR(INDEX('Riesgos de Corrupción'!$B$11:$BN$100,MATCH('Mapa Riesgo Corrupción'!B133,'Riesgos de Corrupción'!$B$11:$B$100,0),63),"")</f>
        <v/>
      </c>
      <c r="H133" s="823" t="str">
        <f>IFERROR(INDEX('Riesgos de Corrupción'!$B$11:$BN$100,MATCH('Mapa Riesgo Corrupción'!B133,'Riesgos de Corrupción'!$B$11:$B$100,0),64),"")</f>
        <v/>
      </c>
      <c r="I133" s="720" t="str">
        <f>IFERROR(INDEX('Controles de Corrupción'!$C$10:$AZ$251,MATCH('Mapa Riesgo Corrupción'!B133,'Controles de Corrupción'!$C$10:$C$251,0),33),"")</f>
        <v/>
      </c>
      <c r="J133" s="720" t="str">
        <f>IFERROR(INDEX('Controles de Corrupción'!$C$10:$AZ$251,MATCH('Mapa Riesgo Corrupción'!B133,'Controles de Corrupción'!$C$10:$C$251,0),36),"")</f>
        <v/>
      </c>
      <c r="K133" s="720" t="str">
        <f>IFERROR(INDEX('Controles de Corrupción'!$C$10:$AZ$251,MATCH('Mapa Riesgo Corrupción'!B133,'Controles de Corrupción'!$C$10:$C$251,0),37),"")</f>
        <v/>
      </c>
      <c r="L133" s="720"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665</v>
      </c>
      <c r="B134" s="826"/>
      <c r="C134" s="829"/>
      <c r="D134" s="717"/>
      <c r="E134" s="831"/>
      <c r="F134" s="718"/>
      <c r="G134" s="718"/>
      <c r="H134" s="824"/>
      <c r="I134" s="718"/>
      <c r="J134" s="718"/>
      <c r="K134" s="718"/>
      <c r="L134" s="718"/>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667</v>
      </c>
      <c r="B135" s="826"/>
      <c r="C135" s="829"/>
      <c r="D135" s="717"/>
      <c r="E135" s="831"/>
      <c r="F135" s="718"/>
      <c r="G135" s="718"/>
      <c r="H135" s="824"/>
      <c r="I135" s="718"/>
      <c r="J135" s="718"/>
      <c r="K135" s="718"/>
      <c r="L135" s="718"/>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668</v>
      </c>
      <c r="B136" s="826"/>
      <c r="C136" s="829"/>
      <c r="D136" s="717"/>
      <c r="E136" s="831"/>
      <c r="F136" s="718"/>
      <c r="G136" s="718"/>
      <c r="H136" s="824"/>
      <c r="I136" s="718"/>
      <c r="J136" s="718"/>
      <c r="K136" s="718"/>
      <c r="L136" s="718"/>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669</v>
      </c>
      <c r="B137" s="826"/>
      <c r="C137" s="829"/>
      <c r="D137" s="717"/>
      <c r="E137" s="831"/>
      <c r="F137" s="718"/>
      <c r="G137" s="718"/>
      <c r="H137" s="824"/>
      <c r="I137" s="718"/>
      <c r="J137" s="718"/>
      <c r="K137" s="718"/>
      <c r="L137" s="718"/>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670</v>
      </c>
      <c r="B138" s="827"/>
      <c r="C138" s="829"/>
      <c r="D138" s="717"/>
      <c r="E138" s="831"/>
      <c r="F138" s="718"/>
      <c r="G138" s="718"/>
      <c r="H138" s="719"/>
      <c r="I138" s="718"/>
      <c r="J138" s="718"/>
      <c r="K138" s="718"/>
      <c r="L138" s="718"/>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671</v>
      </c>
      <c r="B139" s="825"/>
      <c r="C139" s="828" t="str">
        <f>IFERROR(INDEX('Riesgos de Corrupción'!$B$11:$BN$100,MATCH('Mapa Riesgo Corrupción'!B139,'Riesgos de Corrupción'!$B$11:$B$100,0),2),"")</f>
        <v/>
      </c>
      <c r="D139" s="716" t="str">
        <f>IFERROR(INDEX('Riesgos de Corrupción'!$B$11:$BN$100,MATCH('Mapa Riesgo Corrupción'!B139,'Riesgos de Corrupción'!$B$11:$B$100,0),4),"")</f>
        <v/>
      </c>
      <c r="E139" s="830" t="str">
        <f>IFERROR(INDEX('Riesgos de Corrupción'!$B$11:$BN$100,MATCH('Mapa Riesgo Corrupción'!B139,'Riesgos de Corrupción'!$B$11:$B$100,0),5),"")</f>
        <v/>
      </c>
      <c r="F139" s="720" t="str">
        <f>IFERROR(INDEX('Riesgos de Corrupción'!$B$11:$BN$100,MATCH('Mapa Riesgo Corrupción'!B139,'Riesgos de Corrupción'!$B$11:$B$100,0),18),"")</f>
        <v/>
      </c>
      <c r="G139" s="720" t="str">
        <f>IFERROR(INDEX('Riesgos de Corrupción'!$B$11:$BN$100,MATCH('Mapa Riesgo Corrupción'!B139,'Riesgos de Corrupción'!$B$11:$B$100,0),63),"")</f>
        <v/>
      </c>
      <c r="H139" s="823" t="str">
        <f>IFERROR(INDEX('Riesgos de Corrupción'!$B$11:$BN$100,MATCH('Mapa Riesgo Corrupción'!B139,'Riesgos de Corrupción'!$B$11:$B$100,0),64),"")</f>
        <v/>
      </c>
      <c r="I139" s="720" t="str">
        <f>IFERROR(INDEX('Controles de Corrupción'!$C$10:$AZ$251,MATCH('Mapa Riesgo Corrupción'!B139,'Controles de Corrupción'!$C$10:$C$251,0),33),"")</f>
        <v/>
      </c>
      <c r="J139" s="720" t="str">
        <f>IFERROR(INDEX('Controles de Corrupción'!$C$10:$AZ$251,MATCH('Mapa Riesgo Corrupción'!B139,'Controles de Corrupción'!$C$10:$C$251,0),36),"")</f>
        <v/>
      </c>
      <c r="K139" s="720" t="str">
        <f>IFERROR(INDEX('Controles de Corrupción'!$C$10:$AZ$251,MATCH('Mapa Riesgo Corrupción'!B139,'Controles de Corrupción'!$C$10:$C$251,0),37),"")</f>
        <v/>
      </c>
      <c r="L139" s="720"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672</v>
      </c>
      <c r="B140" s="826"/>
      <c r="C140" s="829"/>
      <c r="D140" s="717"/>
      <c r="E140" s="831"/>
      <c r="F140" s="718"/>
      <c r="G140" s="718"/>
      <c r="H140" s="824"/>
      <c r="I140" s="718"/>
      <c r="J140" s="718"/>
      <c r="K140" s="718"/>
      <c r="L140" s="718"/>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673</v>
      </c>
      <c r="B141" s="826"/>
      <c r="C141" s="829"/>
      <c r="D141" s="717"/>
      <c r="E141" s="831"/>
      <c r="F141" s="718"/>
      <c r="G141" s="718"/>
      <c r="H141" s="824"/>
      <c r="I141" s="718"/>
      <c r="J141" s="718"/>
      <c r="K141" s="718"/>
      <c r="L141" s="718"/>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674</v>
      </c>
      <c r="B142" s="826"/>
      <c r="C142" s="829"/>
      <c r="D142" s="717"/>
      <c r="E142" s="831"/>
      <c r="F142" s="718"/>
      <c r="G142" s="718"/>
      <c r="H142" s="824"/>
      <c r="I142" s="718"/>
      <c r="J142" s="718"/>
      <c r="K142" s="718"/>
      <c r="L142" s="718"/>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675</v>
      </c>
      <c r="B143" s="826"/>
      <c r="C143" s="829"/>
      <c r="D143" s="717"/>
      <c r="E143" s="831"/>
      <c r="F143" s="718"/>
      <c r="G143" s="718"/>
      <c r="H143" s="824"/>
      <c r="I143" s="718"/>
      <c r="J143" s="718"/>
      <c r="K143" s="718"/>
      <c r="L143" s="718"/>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676</v>
      </c>
      <c r="B144" s="827"/>
      <c r="C144" s="829"/>
      <c r="D144" s="717"/>
      <c r="E144" s="831"/>
      <c r="F144" s="718"/>
      <c r="G144" s="718"/>
      <c r="H144" s="719"/>
      <c r="I144" s="718"/>
      <c r="J144" s="718"/>
      <c r="K144" s="718"/>
      <c r="L144" s="718"/>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677</v>
      </c>
      <c r="B145" s="825"/>
      <c r="C145" s="828" t="str">
        <f>IFERROR(INDEX('Riesgos de Corrupción'!$B$11:$BN$100,MATCH('Mapa Riesgo Corrupción'!B145,'Riesgos de Corrupción'!$B$11:$B$100,0),2),"")</f>
        <v/>
      </c>
      <c r="D145" s="716" t="str">
        <f>IFERROR(INDEX('Riesgos de Corrupción'!$B$11:$BN$100,MATCH('Mapa Riesgo Corrupción'!B145,'Riesgos de Corrupción'!$B$11:$B$100,0),4),"")</f>
        <v/>
      </c>
      <c r="E145" s="830" t="str">
        <f>IFERROR(INDEX('Riesgos de Corrupción'!$B$11:$BN$100,MATCH('Mapa Riesgo Corrupción'!B145,'Riesgos de Corrupción'!$B$11:$B$100,0),5),"")</f>
        <v/>
      </c>
      <c r="F145" s="720" t="str">
        <f>IFERROR(INDEX('Riesgos de Corrupción'!$B$11:$BN$100,MATCH('Mapa Riesgo Corrupción'!B145,'Riesgos de Corrupción'!$B$11:$B$100,0),18),"")</f>
        <v/>
      </c>
      <c r="G145" s="720" t="str">
        <f>IFERROR(INDEX('Riesgos de Corrupción'!$B$11:$BN$100,MATCH('Mapa Riesgo Corrupción'!B145,'Riesgos de Corrupción'!$B$11:$B$100,0),63),"")</f>
        <v/>
      </c>
      <c r="H145" s="823" t="str">
        <f>IFERROR(INDEX('Riesgos de Corrupción'!$B$11:$BN$100,MATCH('Mapa Riesgo Corrupción'!B145,'Riesgos de Corrupción'!$B$11:$B$100,0),64),"")</f>
        <v/>
      </c>
      <c r="I145" s="720" t="str">
        <f>IFERROR(INDEX('Controles de Corrupción'!$C$10:$AZ$251,MATCH('Mapa Riesgo Corrupción'!B145,'Controles de Corrupción'!$C$10:$C$251,0),33),"")</f>
        <v/>
      </c>
      <c r="J145" s="720" t="str">
        <f>IFERROR(INDEX('Controles de Corrupción'!$C$10:$AZ$251,MATCH('Mapa Riesgo Corrupción'!B145,'Controles de Corrupción'!$C$10:$C$251,0),36),"")</f>
        <v/>
      </c>
      <c r="K145" s="720" t="str">
        <f>IFERROR(INDEX('Controles de Corrupción'!$C$10:$AZ$251,MATCH('Mapa Riesgo Corrupción'!B145,'Controles de Corrupción'!$C$10:$C$251,0),37),"")</f>
        <v/>
      </c>
      <c r="L145" s="720"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678</v>
      </c>
      <c r="B146" s="826"/>
      <c r="C146" s="829"/>
      <c r="D146" s="717"/>
      <c r="E146" s="831"/>
      <c r="F146" s="718"/>
      <c r="G146" s="718"/>
      <c r="H146" s="824"/>
      <c r="I146" s="718"/>
      <c r="J146" s="718"/>
      <c r="K146" s="718"/>
      <c r="L146" s="718"/>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679</v>
      </c>
      <c r="B147" s="826"/>
      <c r="C147" s="829"/>
      <c r="D147" s="717"/>
      <c r="E147" s="831"/>
      <c r="F147" s="718"/>
      <c r="G147" s="718"/>
      <c r="H147" s="824"/>
      <c r="I147" s="718"/>
      <c r="J147" s="718"/>
      <c r="K147" s="718"/>
      <c r="L147" s="718"/>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680</v>
      </c>
      <c r="B148" s="826"/>
      <c r="C148" s="829"/>
      <c r="D148" s="717"/>
      <c r="E148" s="831"/>
      <c r="F148" s="718"/>
      <c r="G148" s="718"/>
      <c r="H148" s="824"/>
      <c r="I148" s="718"/>
      <c r="J148" s="718"/>
      <c r="K148" s="718"/>
      <c r="L148" s="718"/>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681</v>
      </c>
      <c r="B149" s="826"/>
      <c r="C149" s="829"/>
      <c r="D149" s="717"/>
      <c r="E149" s="831"/>
      <c r="F149" s="718"/>
      <c r="G149" s="718"/>
      <c r="H149" s="824"/>
      <c r="I149" s="718"/>
      <c r="J149" s="718"/>
      <c r="K149" s="718"/>
      <c r="L149" s="718"/>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682</v>
      </c>
      <c r="B150" s="827"/>
      <c r="C150" s="829"/>
      <c r="D150" s="717"/>
      <c r="E150" s="831"/>
      <c r="F150" s="718"/>
      <c r="G150" s="718"/>
      <c r="H150" s="719"/>
      <c r="I150" s="718"/>
      <c r="J150" s="718"/>
      <c r="K150" s="718"/>
      <c r="L150" s="718"/>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683</v>
      </c>
      <c r="B151" s="825"/>
      <c r="C151" s="828" t="str">
        <f>IFERROR(INDEX('Riesgos de Corrupción'!$B$11:$BN$100,MATCH('Mapa Riesgo Corrupción'!B151,'Riesgos de Corrupción'!$B$11:$B$100,0),2),"")</f>
        <v/>
      </c>
      <c r="D151" s="716" t="str">
        <f>IFERROR(INDEX('Riesgos de Corrupción'!$B$11:$BN$100,MATCH('Mapa Riesgo Corrupción'!B151,'Riesgos de Corrupción'!$B$11:$B$100,0),4),"")</f>
        <v/>
      </c>
      <c r="E151" s="830" t="str">
        <f>IFERROR(INDEX('Riesgos de Corrupción'!$B$11:$BN$100,MATCH('Mapa Riesgo Corrupción'!B151,'Riesgos de Corrupción'!$B$11:$B$100,0),5),"")</f>
        <v/>
      </c>
      <c r="F151" s="720" t="str">
        <f>IFERROR(INDEX('Riesgos de Corrupción'!$B$11:$BN$100,MATCH('Mapa Riesgo Corrupción'!B151,'Riesgos de Corrupción'!$B$11:$B$100,0),18),"")</f>
        <v/>
      </c>
      <c r="G151" s="720" t="str">
        <f>IFERROR(INDEX('Riesgos de Corrupción'!$B$11:$BN$100,MATCH('Mapa Riesgo Corrupción'!B151,'Riesgos de Corrupción'!$B$11:$B$100,0),63),"")</f>
        <v/>
      </c>
      <c r="H151" s="823" t="str">
        <f>IFERROR(INDEX('Riesgos de Corrupción'!$B$11:$BN$100,MATCH('Mapa Riesgo Corrupción'!B151,'Riesgos de Corrupción'!$B$11:$B$100,0),64),"")</f>
        <v/>
      </c>
      <c r="I151" s="720" t="str">
        <f>IFERROR(INDEX('Controles de Corrupción'!$C$10:$AZ$251,MATCH('Mapa Riesgo Corrupción'!B151,'Controles de Corrupción'!$C$10:$C$251,0),33),"")</f>
        <v/>
      </c>
      <c r="J151" s="720" t="str">
        <f>IFERROR(INDEX('Controles de Corrupción'!$C$10:$AZ$251,MATCH('Mapa Riesgo Corrupción'!B151,'Controles de Corrupción'!$C$10:$C$251,0),36),"")</f>
        <v/>
      </c>
      <c r="K151" s="720" t="str">
        <f>IFERROR(INDEX('Controles de Corrupción'!$C$10:$AZ$251,MATCH('Mapa Riesgo Corrupción'!B151,'Controles de Corrupción'!$C$10:$C$251,0),37),"")</f>
        <v/>
      </c>
      <c r="L151" s="720"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684</v>
      </c>
      <c r="B152" s="826"/>
      <c r="C152" s="829"/>
      <c r="D152" s="717"/>
      <c r="E152" s="831"/>
      <c r="F152" s="718"/>
      <c r="G152" s="718"/>
      <c r="H152" s="824"/>
      <c r="I152" s="718"/>
      <c r="J152" s="718"/>
      <c r="K152" s="718"/>
      <c r="L152" s="718"/>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685</v>
      </c>
      <c r="B153" s="826"/>
      <c r="C153" s="829"/>
      <c r="D153" s="717"/>
      <c r="E153" s="831"/>
      <c r="F153" s="718"/>
      <c r="G153" s="718"/>
      <c r="H153" s="824"/>
      <c r="I153" s="718"/>
      <c r="J153" s="718"/>
      <c r="K153" s="718"/>
      <c r="L153" s="718"/>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686</v>
      </c>
      <c r="B154" s="826"/>
      <c r="C154" s="829"/>
      <c r="D154" s="717"/>
      <c r="E154" s="831"/>
      <c r="F154" s="718"/>
      <c r="G154" s="718"/>
      <c r="H154" s="824"/>
      <c r="I154" s="718"/>
      <c r="J154" s="718"/>
      <c r="K154" s="718"/>
      <c r="L154" s="718"/>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687</v>
      </c>
      <c r="B155" s="826"/>
      <c r="C155" s="829"/>
      <c r="D155" s="717"/>
      <c r="E155" s="831"/>
      <c r="F155" s="718"/>
      <c r="G155" s="718"/>
      <c r="H155" s="824"/>
      <c r="I155" s="718"/>
      <c r="J155" s="718"/>
      <c r="K155" s="718"/>
      <c r="L155" s="718"/>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688</v>
      </c>
      <c r="B156" s="827"/>
      <c r="C156" s="829"/>
      <c r="D156" s="717"/>
      <c r="E156" s="831"/>
      <c r="F156" s="718"/>
      <c r="G156" s="718"/>
      <c r="H156" s="719"/>
      <c r="I156" s="718"/>
      <c r="J156" s="718"/>
      <c r="K156" s="718"/>
      <c r="L156" s="718"/>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689</v>
      </c>
      <c r="B157" s="825"/>
      <c r="C157" s="828" t="str">
        <f>IFERROR(INDEX('Riesgos de Corrupción'!$B$11:$BN$100,MATCH('Mapa Riesgo Corrupción'!B157,'Riesgos de Corrupción'!$B$11:$B$100,0),2),"")</f>
        <v/>
      </c>
      <c r="D157" s="716" t="str">
        <f>IFERROR(INDEX('Riesgos de Corrupción'!$B$11:$BN$100,MATCH('Mapa Riesgo Corrupción'!B157,'Riesgos de Corrupción'!$B$11:$B$100,0),4),"")</f>
        <v/>
      </c>
      <c r="E157" s="830" t="str">
        <f>IFERROR(INDEX('Riesgos de Corrupción'!$B$11:$BN$100,MATCH('Mapa Riesgo Corrupción'!B157,'Riesgos de Corrupción'!$B$11:$B$100,0),5),"")</f>
        <v/>
      </c>
      <c r="F157" s="720" t="str">
        <f>IFERROR(INDEX('Riesgos de Corrupción'!$B$11:$BN$100,MATCH('Mapa Riesgo Corrupción'!B157,'Riesgos de Corrupción'!$B$11:$B$100,0),18),"")</f>
        <v/>
      </c>
      <c r="G157" s="720" t="str">
        <f>IFERROR(INDEX('Riesgos de Corrupción'!$B$11:$BN$100,MATCH('Mapa Riesgo Corrupción'!B157,'Riesgos de Corrupción'!$B$11:$B$100,0),63),"")</f>
        <v/>
      </c>
      <c r="H157" s="823" t="str">
        <f>IFERROR(INDEX('Riesgos de Corrupción'!$B$11:$BN$100,MATCH('Mapa Riesgo Corrupción'!B157,'Riesgos de Corrupción'!$B$11:$B$100,0),64),"")</f>
        <v/>
      </c>
      <c r="I157" s="720" t="str">
        <f>IFERROR(INDEX('Controles de Corrupción'!$C$10:$AZ$251,MATCH('Mapa Riesgo Corrupción'!B157,'Controles de Corrupción'!$C$10:$C$251,0),33),"")</f>
        <v/>
      </c>
      <c r="J157" s="720" t="str">
        <f>IFERROR(INDEX('Controles de Corrupción'!$C$10:$AZ$251,MATCH('Mapa Riesgo Corrupción'!B157,'Controles de Corrupción'!$C$10:$C$251,0),36),"")</f>
        <v/>
      </c>
      <c r="K157" s="720" t="str">
        <f>IFERROR(INDEX('Controles de Corrupción'!$C$10:$AZ$251,MATCH('Mapa Riesgo Corrupción'!B157,'Controles de Corrupción'!$C$10:$C$251,0),37),"")</f>
        <v/>
      </c>
      <c r="L157" s="720"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690</v>
      </c>
      <c r="B158" s="826"/>
      <c r="C158" s="829"/>
      <c r="D158" s="717"/>
      <c r="E158" s="831"/>
      <c r="F158" s="718"/>
      <c r="G158" s="718"/>
      <c r="H158" s="824"/>
      <c r="I158" s="718"/>
      <c r="J158" s="718"/>
      <c r="K158" s="718"/>
      <c r="L158" s="718"/>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691</v>
      </c>
      <c r="B159" s="826"/>
      <c r="C159" s="829"/>
      <c r="D159" s="717"/>
      <c r="E159" s="831"/>
      <c r="F159" s="718"/>
      <c r="G159" s="718"/>
      <c r="H159" s="824"/>
      <c r="I159" s="718"/>
      <c r="J159" s="718"/>
      <c r="K159" s="718"/>
      <c r="L159" s="718"/>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692</v>
      </c>
      <c r="B160" s="826"/>
      <c r="C160" s="829"/>
      <c r="D160" s="717"/>
      <c r="E160" s="831"/>
      <c r="F160" s="718"/>
      <c r="G160" s="718"/>
      <c r="H160" s="824"/>
      <c r="I160" s="718"/>
      <c r="J160" s="718"/>
      <c r="K160" s="718"/>
      <c r="L160" s="718"/>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693</v>
      </c>
      <c r="B161" s="826"/>
      <c r="C161" s="829"/>
      <c r="D161" s="717"/>
      <c r="E161" s="831"/>
      <c r="F161" s="718"/>
      <c r="G161" s="718"/>
      <c r="H161" s="824"/>
      <c r="I161" s="718"/>
      <c r="J161" s="718"/>
      <c r="K161" s="718"/>
      <c r="L161" s="718"/>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694</v>
      </c>
      <c r="B162" s="827"/>
      <c r="C162" s="829"/>
      <c r="D162" s="717"/>
      <c r="E162" s="831"/>
      <c r="F162" s="718"/>
      <c r="G162" s="718"/>
      <c r="H162" s="719"/>
      <c r="I162" s="718"/>
      <c r="J162" s="718"/>
      <c r="K162" s="718"/>
      <c r="L162" s="718"/>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695</v>
      </c>
      <c r="B163" s="825"/>
      <c r="C163" s="828" t="str">
        <f>IFERROR(INDEX('Riesgos de Corrupción'!$B$11:$BN$100,MATCH('Mapa Riesgo Corrupción'!B163,'Riesgos de Corrupción'!$B$11:$B$100,0),2),"")</f>
        <v/>
      </c>
      <c r="D163" s="716" t="str">
        <f>IFERROR(INDEX('Riesgos de Corrupción'!$B$11:$BN$100,MATCH('Mapa Riesgo Corrupción'!B163,'Riesgos de Corrupción'!$B$11:$B$100,0),4),"")</f>
        <v/>
      </c>
      <c r="E163" s="830" t="str">
        <f>IFERROR(INDEX('Riesgos de Corrupción'!$B$11:$BN$100,MATCH('Mapa Riesgo Corrupción'!B163,'Riesgos de Corrupción'!$B$11:$B$100,0),5),"")</f>
        <v/>
      </c>
      <c r="F163" s="720" t="str">
        <f>IFERROR(INDEX('Riesgos de Corrupción'!$B$11:$BN$100,MATCH('Mapa Riesgo Corrupción'!B163,'Riesgos de Corrupción'!$B$11:$B$100,0),18),"")</f>
        <v/>
      </c>
      <c r="G163" s="720" t="str">
        <f>IFERROR(INDEX('Riesgos de Corrupción'!$B$11:$BN$100,MATCH('Mapa Riesgo Corrupción'!B163,'Riesgos de Corrupción'!$B$11:$B$100,0),63),"")</f>
        <v/>
      </c>
      <c r="H163" s="823" t="str">
        <f>IFERROR(INDEX('Riesgos de Corrupción'!$B$11:$BN$100,MATCH('Mapa Riesgo Corrupción'!B163,'Riesgos de Corrupción'!$B$11:$B$100,0),64),"")</f>
        <v/>
      </c>
      <c r="I163" s="720" t="str">
        <f>IFERROR(INDEX('Controles de Corrupción'!$C$10:$AZ$251,MATCH('Mapa Riesgo Corrupción'!B163,'Controles de Corrupción'!$C$10:$C$251,0),33),"")</f>
        <v/>
      </c>
      <c r="J163" s="720" t="str">
        <f>IFERROR(INDEX('Controles de Corrupción'!$C$10:$AZ$251,MATCH('Mapa Riesgo Corrupción'!B163,'Controles de Corrupción'!$C$10:$C$251,0),36),"")</f>
        <v/>
      </c>
      <c r="K163" s="720" t="str">
        <f>IFERROR(INDEX('Controles de Corrupción'!$C$10:$AZ$251,MATCH('Mapa Riesgo Corrupción'!B163,'Controles de Corrupción'!$C$10:$C$251,0),37),"")</f>
        <v/>
      </c>
      <c r="L163" s="720"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696</v>
      </c>
      <c r="B164" s="826"/>
      <c r="C164" s="829"/>
      <c r="D164" s="717"/>
      <c r="E164" s="831"/>
      <c r="F164" s="718"/>
      <c r="G164" s="718"/>
      <c r="H164" s="824"/>
      <c r="I164" s="718"/>
      <c r="J164" s="718"/>
      <c r="K164" s="718"/>
      <c r="L164" s="718"/>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697</v>
      </c>
      <c r="B165" s="826"/>
      <c r="C165" s="829"/>
      <c r="D165" s="717"/>
      <c r="E165" s="831"/>
      <c r="F165" s="718"/>
      <c r="G165" s="718"/>
      <c r="H165" s="824"/>
      <c r="I165" s="718"/>
      <c r="J165" s="718"/>
      <c r="K165" s="718"/>
      <c r="L165" s="718"/>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698</v>
      </c>
      <c r="B166" s="826"/>
      <c r="C166" s="829"/>
      <c r="D166" s="717"/>
      <c r="E166" s="831"/>
      <c r="F166" s="718"/>
      <c r="G166" s="718"/>
      <c r="H166" s="824"/>
      <c r="I166" s="718"/>
      <c r="J166" s="718"/>
      <c r="K166" s="718"/>
      <c r="L166" s="718"/>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699</v>
      </c>
      <c r="B167" s="826"/>
      <c r="C167" s="829"/>
      <c r="D167" s="717"/>
      <c r="E167" s="831"/>
      <c r="F167" s="718"/>
      <c r="G167" s="718"/>
      <c r="H167" s="824"/>
      <c r="I167" s="718"/>
      <c r="J167" s="718"/>
      <c r="K167" s="718"/>
      <c r="L167" s="718"/>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700</v>
      </c>
      <c r="B168" s="827"/>
      <c r="C168" s="829"/>
      <c r="D168" s="717"/>
      <c r="E168" s="831"/>
      <c r="F168" s="718"/>
      <c r="G168" s="718"/>
      <c r="H168" s="719"/>
      <c r="I168" s="718"/>
      <c r="J168" s="718"/>
      <c r="K168" s="718"/>
      <c r="L168" s="718"/>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701</v>
      </c>
      <c r="B169" s="825"/>
      <c r="C169" s="828" t="str">
        <f>IFERROR(INDEX('Riesgos de Corrupción'!$B$11:$BN$100,MATCH('Mapa Riesgo Corrupción'!B169,'Riesgos de Corrupción'!$B$11:$B$100,0),2),"")</f>
        <v/>
      </c>
      <c r="D169" s="716" t="str">
        <f>IFERROR(INDEX('Riesgos de Corrupción'!$B$11:$BN$100,MATCH('Mapa Riesgo Corrupción'!B169,'Riesgos de Corrupción'!$B$11:$B$100,0),4),"")</f>
        <v/>
      </c>
      <c r="E169" s="830" t="str">
        <f>IFERROR(INDEX('Riesgos de Corrupción'!$B$11:$BN$100,MATCH('Mapa Riesgo Corrupción'!B169,'Riesgos de Corrupción'!$B$11:$B$100,0),5),"")</f>
        <v/>
      </c>
      <c r="F169" s="720" t="str">
        <f>IFERROR(INDEX('Riesgos de Corrupción'!$B$11:$BN$100,MATCH('Mapa Riesgo Corrupción'!B169,'Riesgos de Corrupción'!$B$11:$B$100,0),18),"")</f>
        <v/>
      </c>
      <c r="G169" s="720" t="str">
        <f>IFERROR(INDEX('Riesgos de Corrupción'!$B$11:$BN$100,MATCH('Mapa Riesgo Corrupción'!B169,'Riesgos de Corrupción'!$B$11:$B$100,0),63),"")</f>
        <v/>
      </c>
      <c r="H169" s="823" t="str">
        <f>IFERROR(INDEX('Riesgos de Corrupción'!$B$11:$BN$100,MATCH('Mapa Riesgo Corrupción'!B169,'Riesgos de Corrupción'!$B$11:$B$100,0),64),"")</f>
        <v/>
      </c>
      <c r="I169" s="720" t="str">
        <f>IFERROR(INDEX('Controles de Corrupción'!$C$10:$AZ$251,MATCH('Mapa Riesgo Corrupción'!B169,'Controles de Corrupción'!$C$10:$C$251,0),33),"")</f>
        <v/>
      </c>
      <c r="J169" s="720" t="str">
        <f>IFERROR(INDEX('Controles de Corrupción'!$C$10:$AZ$251,MATCH('Mapa Riesgo Corrupción'!B169,'Controles de Corrupción'!$C$10:$C$251,0),36),"")</f>
        <v/>
      </c>
      <c r="K169" s="720" t="str">
        <f>IFERROR(INDEX('Controles de Corrupción'!$C$10:$AZ$251,MATCH('Mapa Riesgo Corrupción'!B169,'Controles de Corrupción'!$C$10:$C$251,0),37),"")</f>
        <v/>
      </c>
      <c r="L169" s="720"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702</v>
      </c>
      <c r="B170" s="826"/>
      <c r="C170" s="829"/>
      <c r="D170" s="717"/>
      <c r="E170" s="831"/>
      <c r="F170" s="718"/>
      <c r="G170" s="718"/>
      <c r="H170" s="824"/>
      <c r="I170" s="718"/>
      <c r="J170" s="718"/>
      <c r="K170" s="718"/>
      <c r="L170" s="718"/>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703</v>
      </c>
      <c r="B171" s="826"/>
      <c r="C171" s="829"/>
      <c r="D171" s="717"/>
      <c r="E171" s="831"/>
      <c r="F171" s="718"/>
      <c r="G171" s="718"/>
      <c r="H171" s="824"/>
      <c r="I171" s="718"/>
      <c r="J171" s="718"/>
      <c r="K171" s="718"/>
      <c r="L171" s="718"/>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704</v>
      </c>
      <c r="B172" s="826"/>
      <c r="C172" s="829"/>
      <c r="D172" s="717"/>
      <c r="E172" s="831"/>
      <c r="F172" s="718"/>
      <c r="G172" s="718"/>
      <c r="H172" s="824"/>
      <c r="I172" s="718"/>
      <c r="J172" s="718"/>
      <c r="K172" s="718"/>
      <c r="L172" s="718"/>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705</v>
      </c>
      <c r="B173" s="826"/>
      <c r="C173" s="829"/>
      <c r="D173" s="717"/>
      <c r="E173" s="831"/>
      <c r="F173" s="718"/>
      <c r="G173" s="718"/>
      <c r="H173" s="824"/>
      <c r="I173" s="718"/>
      <c r="J173" s="718"/>
      <c r="K173" s="718"/>
      <c r="L173" s="718"/>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706</v>
      </c>
      <c r="B174" s="827"/>
      <c r="C174" s="829"/>
      <c r="D174" s="717"/>
      <c r="E174" s="831"/>
      <c r="F174" s="718"/>
      <c r="G174" s="718"/>
      <c r="H174" s="719"/>
      <c r="I174" s="718"/>
      <c r="J174" s="718"/>
      <c r="K174" s="718"/>
      <c r="L174" s="718"/>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707</v>
      </c>
      <c r="B175" s="825"/>
      <c r="C175" s="828" t="str">
        <f>IFERROR(INDEX('Riesgos de Corrupción'!$B$11:$BN$100,MATCH('Mapa Riesgo Corrupción'!B175,'Riesgos de Corrupción'!$B$11:$B$100,0),2),"")</f>
        <v/>
      </c>
      <c r="D175" s="716" t="str">
        <f>IFERROR(INDEX('Riesgos de Corrupción'!$B$11:$BN$100,MATCH('Mapa Riesgo Corrupción'!B175,'Riesgos de Corrupción'!$B$11:$B$100,0),4),"")</f>
        <v/>
      </c>
      <c r="E175" s="830" t="str">
        <f>IFERROR(INDEX('Riesgos de Corrupción'!$B$11:$BN$100,MATCH('Mapa Riesgo Corrupción'!B175,'Riesgos de Corrupción'!$B$11:$B$100,0),5),"")</f>
        <v/>
      </c>
      <c r="F175" s="720" t="str">
        <f>IFERROR(INDEX('Riesgos de Corrupción'!$B$11:$BN$100,MATCH('Mapa Riesgo Corrupción'!B175,'Riesgos de Corrupción'!$B$11:$B$100,0),18),"")</f>
        <v/>
      </c>
      <c r="G175" s="720" t="str">
        <f>IFERROR(INDEX('Riesgos de Corrupción'!$B$11:$BN$100,MATCH('Mapa Riesgo Corrupción'!B175,'Riesgos de Corrupción'!$B$11:$B$100,0),63),"")</f>
        <v/>
      </c>
      <c r="H175" s="823" t="str">
        <f>IFERROR(INDEX('Riesgos de Corrupción'!$B$11:$BN$100,MATCH('Mapa Riesgo Corrupción'!B175,'Riesgos de Corrupción'!$B$11:$B$100,0),64),"")</f>
        <v/>
      </c>
      <c r="I175" s="720" t="str">
        <f>IFERROR(INDEX('Controles de Corrupción'!$C$10:$AZ$251,MATCH('Mapa Riesgo Corrupción'!B175,'Controles de Corrupción'!$C$10:$C$251,0),33),"")</f>
        <v/>
      </c>
      <c r="J175" s="720" t="str">
        <f>IFERROR(INDEX('Controles de Corrupción'!$C$10:$AZ$251,MATCH('Mapa Riesgo Corrupción'!B175,'Controles de Corrupción'!$C$10:$C$251,0),36),"")</f>
        <v/>
      </c>
      <c r="K175" s="720" t="str">
        <f>IFERROR(INDEX('Controles de Corrupción'!$C$10:$AZ$251,MATCH('Mapa Riesgo Corrupción'!B175,'Controles de Corrupción'!$C$10:$C$251,0),37),"")</f>
        <v/>
      </c>
      <c r="L175" s="720"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708</v>
      </c>
      <c r="B176" s="826"/>
      <c r="C176" s="829"/>
      <c r="D176" s="717"/>
      <c r="E176" s="831"/>
      <c r="F176" s="718"/>
      <c r="G176" s="718"/>
      <c r="H176" s="824"/>
      <c r="I176" s="718"/>
      <c r="J176" s="718"/>
      <c r="K176" s="718"/>
      <c r="L176" s="718"/>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709</v>
      </c>
      <c r="B177" s="826"/>
      <c r="C177" s="829"/>
      <c r="D177" s="717"/>
      <c r="E177" s="831"/>
      <c r="F177" s="718"/>
      <c r="G177" s="718"/>
      <c r="H177" s="824"/>
      <c r="I177" s="718"/>
      <c r="J177" s="718"/>
      <c r="K177" s="718"/>
      <c r="L177" s="718"/>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710</v>
      </c>
      <c r="B178" s="826"/>
      <c r="C178" s="829"/>
      <c r="D178" s="717"/>
      <c r="E178" s="831"/>
      <c r="F178" s="718"/>
      <c r="G178" s="718"/>
      <c r="H178" s="824"/>
      <c r="I178" s="718"/>
      <c r="J178" s="718"/>
      <c r="K178" s="718"/>
      <c r="L178" s="718"/>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711</v>
      </c>
      <c r="B179" s="826"/>
      <c r="C179" s="829"/>
      <c r="D179" s="717"/>
      <c r="E179" s="831"/>
      <c r="F179" s="718"/>
      <c r="G179" s="718"/>
      <c r="H179" s="824"/>
      <c r="I179" s="718"/>
      <c r="J179" s="718"/>
      <c r="K179" s="718"/>
      <c r="L179" s="718"/>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712</v>
      </c>
      <c r="B180" s="827"/>
      <c r="C180" s="829"/>
      <c r="D180" s="717"/>
      <c r="E180" s="831"/>
      <c r="F180" s="718"/>
      <c r="G180" s="718"/>
      <c r="H180" s="719"/>
      <c r="I180" s="718"/>
      <c r="J180" s="718"/>
      <c r="K180" s="718"/>
      <c r="L180" s="718"/>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713</v>
      </c>
      <c r="B181" s="825"/>
      <c r="C181" s="828" t="str">
        <f>IFERROR(INDEX('Riesgos de Corrupción'!$B$11:$BN$100,MATCH('Mapa Riesgo Corrupción'!B181,'Riesgos de Corrupción'!$B$11:$B$100,0),2),"")</f>
        <v/>
      </c>
      <c r="D181" s="716" t="str">
        <f>IFERROR(INDEX('Riesgos de Corrupción'!$B$11:$BN$100,MATCH('Mapa Riesgo Corrupción'!B181,'Riesgos de Corrupción'!$B$11:$B$100,0),4),"")</f>
        <v/>
      </c>
      <c r="E181" s="830" t="str">
        <f>IFERROR(INDEX('Riesgos de Corrupción'!$B$11:$BN$100,MATCH('Mapa Riesgo Corrupción'!B181,'Riesgos de Corrupción'!$B$11:$B$100,0),5),"")</f>
        <v/>
      </c>
      <c r="F181" s="720" t="str">
        <f>IFERROR(INDEX('Riesgos de Corrupción'!$B$11:$BN$100,MATCH('Mapa Riesgo Corrupción'!B181,'Riesgos de Corrupción'!$B$11:$B$100,0),18),"")</f>
        <v/>
      </c>
      <c r="G181" s="720" t="str">
        <f>IFERROR(INDEX('Riesgos de Corrupción'!$B$11:$BN$100,MATCH('Mapa Riesgo Corrupción'!B181,'Riesgos de Corrupción'!$B$11:$B$100,0),63),"")</f>
        <v/>
      </c>
      <c r="H181" s="823" t="str">
        <f>IFERROR(INDEX('Riesgos de Corrupción'!$B$11:$BN$100,MATCH('Mapa Riesgo Corrupción'!B181,'Riesgos de Corrupción'!$B$11:$B$100,0),64),"")</f>
        <v/>
      </c>
      <c r="I181" s="720" t="str">
        <f>IFERROR(INDEX('Controles de Corrupción'!$C$10:$AZ$251,MATCH('Mapa Riesgo Corrupción'!B181,'Controles de Corrupción'!$C$10:$C$251,0),33),"")</f>
        <v/>
      </c>
      <c r="J181" s="720" t="str">
        <f>IFERROR(INDEX('Controles de Corrupción'!$C$10:$AZ$251,MATCH('Mapa Riesgo Corrupción'!B181,'Controles de Corrupción'!$C$10:$C$251,0),36),"")</f>
        <v/>
      </c>
      <c r="K181" s="720" t="str">
        <f>IFERROR(INDEX('Controles de Corrupción'!$C$10:$AZ$251,MATCH('Mapa Riesgo Corrupción'!B181,'Controles de Corrupción'!$C$10:$C$251,0),37),"")</f>
        <v/>
      </c>
      <c r="L181" s="720"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714</v>
      </c>
      <c r="B182" s="826"/>
      <c r="C182" s="829"/>
      <c r="D182" s="717"/>
      <c r="E182" s="831"/>
      <c r="F182" s="718"/>
      <c r="G182" s="718"/>
      <c r="H182" s="824"/>
      <c r="I182" s="718"/>
      <c r="J182" s="718"/>
      <c r="K182" s="718"/>
      <c r="L182" s="718"/>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715</v>
      </c>
      <c r="B183" s="826"/>
      <c r="C183" s="829"/>
      <c r="D183" s="717"/>
      <c r="E183" s="831"/>
      <c r="F183" s="718"/>
      <c r="G183" s="718"/>
      <c r="H183" s="824"/>
      <c r="I183" s="718"/>
      <c r="J183" s="718"/>
      <c r="K183" s="718"/>
      <c r="L183" s="718"/>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716</v>
      </c>
      <c r="B184" s="826"/>
      <c r="C184" s="829"/>
      <c r="D184" s="717"/>
      <c r="E184" s="831"/>
      <c r="F184" s="718"/>
      <c r="G184" s="718"/>
      <c r="H184" s="824"/>
      <c r="I184" s="718"/>
      <c r="J184" s="718"/>
      <c r="K184" s="718"/>
      <c r="L184" s="718"/>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717</v>
      </c>
      <c r="B185" s="826"/>
      <c r="C185" s="829"/>
      <c r="D185" s="717"/>
      <c r="E185" s="831"/>
      <c r="F185" s="718"/>
      <c r="G185" s="718"/>
      <c r="H185" s="824"/>
      <c r="I185" s="718"/>
      <c r="J185" s="718"/>
      <c r="K185" s="718"/>
      <c r="L185" s="718"/>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718</v>
      </c>
      <c r="B186" s="827"/>
      <c r="C186" s="829"/>
      <c r="D186" s="717"/>
      <c r="E186" s="831"/>
      <c r="F186" s="718"/>
      <c r="G186" s="718"/>
      <c r="H186" s="719"/>
      <c r="I186" s="718"/>
      <c r="J186" s="718"/>
      <c r="K186" s="718"/>
      <c r="L186" s="718"/>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719</v>
      </c>
      <c r="B187" s="825"/>
      <c r="C187" s="828" t="str">
        <f>IFERROR(INDEX('Riesgos de Corrupción'!$B$11:$BN$100,MATCH('Mapa Riesgo Corrupción'!B187,'Riesgos de Corrupción'!$B$11:$B$100,0),2),"")</f>
        <v/>
      </c>
      <c r="D187" s="716" t="str">
        <f>IFERROR(INDEX('Riesgos de Corrupción'!$B$11:$BN$100,MATCH('Mapa Riesgo Corrupción'!B187,'Riesgos de Corrupción'!$B$11:$B$100,0),4),"")</f>
        <v/>
      </c>
      <c r="E187" s="830" t="str">
        <f>IFERROR(INDEX('Riesgos de Corrupción'!$B$11:$BN$100,MATCH('Mapa Riesgo Corrupción'!B187,'Riesgos de Corrupción'!$B$11:$B$100,0),5),"")</f>
        <v/>
      </c>
      <c r="F187" s="720" t="str">
        <f>IFERROR(INDEX('Riesgos de Corrupción'!$B$11:$BN$100,MATCH('Mapa Riesgo Corrupción'!B187,'Riesgos de Corrupción'!$B$11:$B$100,0),18),"")</f>
        <v/>
      </c>
      <c r="G187" s="720" t="str">
        <f>IFERROR(INDEX('Riesgos de Corrupción'!$B$11:$BN$100,MATCH('Mapa Riesgo Corrupción'!B187,'Riesgos de Corrupción'!$B$11:$B$100,0),63),"")</f>
        <v/>
      </c>
      <c r="H187" s="823" t="str">
        <f>IFERROR(INDEX('Riesgos de Corrupción'!$B$11:$BN$100,MATCH('Mapa Riesgo Corrupción'!B187,'Riesgos de Corrupción'!$B$11:$B$100,0),64),"")</f>
        <v/>
      </c>
      <c r="I187" s="720" t="str">
        <f>IFERROR(INDEX('Controles de Corrupción'!$C$10:$AZ$251,MATCH('Mapa Riesgo Corrupción'!B187,'Controles de Corrupción'!$C$10:$C$251,0),33),"")</f>
        <v/>
      </c>
      <c r="J187" s="720" t="str">
        <f>IFERROR(INDEX('Controles de Corrupción'!$C$10:$AZ$251,MATCH('Mapa Riesgo Corrupción'!B187,'Controles de Corrupción'!$C$10:$C$251,0),36),"")</f>
        <v/>
      </c>
      <c r="K187" s="720" t="str">
        <f>IFERROR(INDEX('Controles de Corrupción'!$C$10:$AZ$251,MATCH('Mapa Riesgo Corrupción'!B187,'Controles de Corrupción'!$C$10:$C$251,0),37),"")</f>
        <v/>
      </c>
      <c r="L187" s="720"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720</v>
      </c>
      <c r="B188" s="826"/>
      <c r="C188" s="829"/>
      <c r="D188" s="717"/>
      <c r="E188" s="831"/>
      <c r="F188" s="718"/>
      <c r="G188" s="718"/>
      <c r="H188" s="824"/>
      <c r="I188" s="718"/>
      <c r="J188" s="718"/>
      <c r="K188" s="718"/>
      <c r="L188" s="718"/>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721</v>
      </c>
      <c r="B189" s="826"/>
      <c r="C189" s="829"/>
      <c r="D189" s="717"/>
      <c r="E189" s="831"/>
      <c r="F189" s="718"/>
      <c r="G189" s="718"/>
      <c r="H189" s="824"/>
      <c r="I189" s="718"/>
      <c r="J189" s="718"/>
      <c r="K189" s="718"/>
      <c r="L189" s="718"/>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722</v>
      </c>
      <c r="B190" s="826"/>
      <c r="C190" s="829"/>
      <c r="D190" s="717"/>
      <c r="E190" s="831"/>
      <c r="F190" s="718"/>
      <c r="G190" s="718"/>
      <c r="H190" s="824"/>
      <c r="I190" s="718"/>
      <c r="J190" s="718"/>
      <c r="K190" s="718"/>
      <c r="L190" s="718"/>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723</v>
      </c>
      <c r="B191" s="826"/>
      <c r="C191" s="829"/>
      <c r="D191" s="717"/>
      <c r="E191" s="831"/>
      <c r="F191" s="718"/>
      <c r="G191" s="718"/>
      <c r="H191" s="824"/>
      <c r="I191" s="718"/>
      <c r="J191" s="718"/>
      <c r="K191" s="718"/>
      <c r="L191" s="718"/>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724</v>
      </c>
      <c r="B192" s="827"/>
      <c r="C192" s="829"/>
      <c r="D192" s="717"/>
      <c r="E192" s="831"/>
      <c r="F192" s="718"/>
      <c r="G192" s="718"/>
      <c r="H192" s="719"/>
      <c r="I192" s="718"/>
      <c r="J192" s="718"/>
      <c r="K192" s="718"/>
      <c r="L192" s="718"/>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725</v>
      </c>
      <c r="B193" s="825"/>
      <c r="C193" s="828" t="str">
        <f>IFERROR(INDEX('Riesgos de Corrupción'!$B$11:$BN$100,MATCH('Mapa Riesgo Corrupción'!B193,'Riesgos de Corrupción'!$B$11:$B$100,0),2),"")</f>
        <v/>
      </c>
      <c r="D193" s="716" t="str">
        <f>IFERROR(INDEX('Riesgos de Corrupción'!$B$11:$BN$100,MATCH('Mapa Riesgo Corrupción'!B193,'Riesgos de Corrupción'!$B$11:$B$100,0),4),"")</f>
        <v/>
      </c>
      <c r="E193" s="830" t="str">
        <f>IFERROR(INDEX('Riesgos de Corrupción'!$B$11:$BN$100,MATCH('Mapa Riesgo Corrupción'!B193,'Riesgos de Corrupción'!$B$11:$B$100,0),5),"")</f>
        <v/>
      </c>
      <c r="F193" s="720" t="str">
        <f>IFERROR(INDEX('Riesgos de Corrupción'!$B$11:$BN$100,MATCH('Mapa Riesgo Corrupción'!B193,'Riesgos de Corrupción'!$B$11:$B$100,0),18),"")</f>
        <v/>
      </c>
      <c r="G193" s="720" t="str">
        <f>IFERROR(INDEX('Riesgos de Corrupción'!$B$11:$BN$100,MATCH('Mapa Riesgo Corrupción'!B193,'Riesgos de Corrupción'!$B$11:$B$100,0),63),"")</f>
        <v/>
      </c>
      <c r="H193" s="823" t="str">
        <f>IFERROR(INDEX('Riesgos de Corrupción'!$B$11:$BN$100,MATCH('Mapa Riesgo Corrupción'!B193,'Riesgos de Corrupción'!$B$11:$B$100,0),64),"")</f>
        <v/>
      </c>
      <c r="I193" s="720" t="str">
        <f>IFERROR(INDEX('Controles de Corrupción'!$C$10:$AZ$251,MATCH('Mapa Riesgo Corrupción'!B193,'Controles de Corrupción'!$C$10:$C$251,0),33),"")</f>
        <v/>
      </c>
      <c r="J193" s="720" t="str">
        <f>IFERROR(INDEX('Controles de Corrupción'!$C$10:$AZ$251,MATCH('Mapa Riesgo Corrupción'!B193,'Controles de Corrupción'!$C$10:$C$251,0),36),"")</f>
        <v/>
      </c>
      <c r="K193" s="720" t="str">
        <f>IFERROR(INDEX('Controles de Corrupción'!$C$10:$AZ$251,MATCH('Mapa Riesgo Corrupción'!B193,'Controles de Corrupción'!$C$10:$C$251,0),37),"")</f>
        <v/>
      </c>
      <c r="L193" s="720"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726</v>
      </c>
      <c r="B194" s="826"/>
      <c r="C194" s="829"/>
      <c r="D194" s="717"/>
      <c r="E194" s="831"/>
      <c r="F194" s="718"/>
      <c r="G194" s="718"/>
      <c r="H194" s="824"/>
      <c r="I194" s="718"/>
      <c r="J194" s="718"/>
      <c r="K194" s="718"/>
      <c r="L194" s="718"/>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727</v>
      </c>
      <c r="B195" s="826"/>
      <c r="C195" s="829"/>
      <c r="D195" s="717"/>
      <c r="E195" s="831"/>
      <c r="F195" s="718"/>
      <c r="G195" s="718"/>
      <c r="H195" s="824"/>
      <c r="I195" s="718"/>
      <c r="J195" s="718"/>
      <c r="K195" s="718"/>
      <c r="L195" s="718"/>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728</v>
      </c>
      <c r="B196" s="826"/>
      <c r="C196" s="829"/>
      <c r="D196" s="717"/>
      <c r="E196" s="831"/>
      <c r="F196" s="718"/>
      <c r="G196" s="718"/>
      <c r="H196" s="824"/>
      <c r="I196" s="718"/>
      <c r="J196" s="718"/>
      <c r="K196" s="718"/>
      <c r="L196" s="718"/>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729</v>
      </c>
      <c r="B197" s="826"/>
      <c r="C197" s="829"/>
      <c r="D197" s="717"/>
      <c r="E197" s="831"/>
      <c r="F197" s="718"/>
      <c r="G197" s="718"/>
      <c r="H197" s="824"/>
      <c r="I197" s="718"/>
      <c r="J197" s="718"/>
      <c r="K197" s="718"/>
      <c r="L197" s="718"/>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730</v>
      </c>
      <c r="B198" s="827"/>
      <c r="C198" s="829"/>
      <c r="D198" s="717"/>
      <c r="E198" s="831"/>
      <c r="F198" s="718"/>
      <c r="G198" s="718"/>
      <c r="H198" s="719"/>
      <c r="I198" s="718"/>
      <c r="J198" s="718"/>
      <c r="K198" s="718"/>
      <c r="L198" s="718"/>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731</v>
      </c>
      <c r="B199" s="825"/>
      <c r="C199" s="828" t="str">
        <f>IFERROR(INDEX('Riesgos de Corrupción'!$B$11:$BN$100,MATCH('Mapa Riesgo Corrupción'!B199,'Riesgos de Corrupción'!$B$11:$B$100,0),2),"")</f>
        <v/>
      </c>
      <c r="D199" s="716" t="str">
        <f>IFERROR(INDEX('Riesgos de Corrupción'!$B$11:$BN$100,MATCH('Mapa Riesgo Corrupción'!B199,'Riesgos de Corrupción'!$B$11:$B$100,0),4),"")</f>
        <v/>
      </c>
      <c r="E199" s="830" t="str">
        <f>IFERROR(INDEX('Riesgos de Corrupción'!$B$11:$BN$100,MATCH('Mapa Riesgo Corrupción'!B199,'Riesgos de Corrupción'!$B$11:$B$100,0),5),"")</f>
        <v/>
      </c>
      <c r="F199" s="720" t="str">
        <f>IFERROR(INDEX('Riesgos de Corrupción'!$B$11:$BN$100,MATCH('Mapa Riesgo Corrupción'!B199,'Riesgos de Corrupción'!$B$11:$B$100,0),18),"")</f>
        <v/>
      </c>
      <c r="G199" s="720" t="str">
        <f>IFERROR(INDEX('Riesgos de Corrupción'!$B$11:$BN$100,MATCH('Mapa Riesgo Corrupción'!B199,'Riesgos de Corrupción'!$B$11:$B$100,0),63),"")</f>
        <v/>
      </c>
      <c r="H199" s="823" t="str">
        <f>IFERROR(INDEX('Riesgos de Corrupción'!$B$11:$BN$100,MATCH('Mapa Riesgo Corrupción'!B199,'Riesgos de Corrupción'!$B$11:$B$100,0),64),"")</f>
        <v/>
      </c>
      <c r="I199" s="720" t="str">
        <f>IFERROR(INDEX('Controles de Corrupción'!$C$10:$AZ$251,MATCH('Mapa Riesgo Corrupción'!B199,'Controles de Corrupción'!$C$10:$C$251,0),33),"")</f>
        <v/>
      </c>
      <c r="J199" s="720" t="str">
        <f>IFERROR(INDEX('Controles de Corrupción'!$C$10:$AZ$251,MATCH('Mapa Riesgo Corrupción'!B199,'Controles de Corrupción'!$C$10:$C$251,0),36),"")</f>
        <v/>
      </c>
      <c r="K199" s="720" t="str">
        <f>IFERROR(INDEX('Controles de Corrupción'!$C$10:$AZ$251,MATCH('Mapa Riesgo Corrupción'!B199,'Controles de Corrupción'!$C$10:$C$251,0),37),"")</f>
        <v/>
      </c>
      <c r="L199" s="720"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732</v>
      </c>
      <c r="B200" s="826"/>
      <c r="C200" s="829"/>
      <c r="D200" s="717"/>
      <c r="E200" s="831"/>
      <c r="F200" s="718"/>
      <c r="G200" s="718"/>
      <c r="H200" s="824"/>
      <c r="I200" s="718"/>
      <c r="J200" s="718"/>
      <c r="K200" s="718"/>
      <c r="L200" s="718"/>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733</v>
      </c>
      <c r="B201" s="826"/>
      <c r="C201" s="829"/>
      <c r="D201" s="717"/>
      <c r="E201" s="831"/>
      <c r="F201" s="718"/>
      <c r="G201" s="718"/>
      <c r="H201" s="824"/>
      <c r="I201" s="718"/>
      <c r="J201" s="718"/>
      <c r="K201" s="718"/>
      <c r="L201" s="718"/>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734</v>
      </c>
      <c r="B202" s="826"/>
      <c r="C202" s="829"/>
      <c r="D202" s="717"/>
      <c r="E202" s="831"/>
      <c r="F202" s="718"/>
      <c r="G202" s="718"/>
      <c r="H202" s="824"/>
      <c r="I202" s="718"/>
      <c r="J202" s="718"/>
      <c r="K202" s="718"/>
      <c r="L202" s="718"/>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735</v>
      </c>
      <c r="B203" s="826"/>
      <c r="C203" s="829"/>
      <c r="D203" s="717"/>
      <c r="E203" s="831"/>
      <c r="F203" s="718"/>
      <c r="G203" s="718"/>
      <c r="H203" s="824"/>
      <c r="I203" s="718"/>
      <c r="J203" s="718"/>
      <c r="K203" s="718"/>
      <c r="L203" s="718"/>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736</v>
      </c>
      <c r="B204" s="827"/>
      <c r="C204" s="829"/>
      <c r="D204" s="717"/>
      <c r="E204" s="831"/>
      <c r="F204" s="718"/>
      <c r="G204" s="718"/>
      <c r="H204" s="719"/>
      <c r="I204" s="718"/>
      <c r="J204" s="718"/>
      <c r="K204" s="718"/>
      <c r="L204" s="718"/>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737</v>
      </c>
      <c r="B205" s="825"/>
      <c r="C205" s="828" t="str">
        <f>IFERROR(INDEX('Riesgos de Corrupción'!$B$11:$BN$100,MATCH('Mapa Riesgo Corrupción'!B205,'Riesgos de Corrupción'!$B$11:$B$100,0),2),"")</f>
        <v/>
      </c>
      <c r="D205" s="716" t="str">
        <f>IFERROR(INDEX('Riesgos de Corrupción'!$B$11:$BN$100,MATCH('Mapa Riesgo Corrupción'!B205,'Riesgos de Corrupción'!$B$11:$B$100,0),4),"")</f>
        <v/>
      </c>
      <c r="E205" s="830" t="str">
        <f>IFERROR(INDEX('Riesgos de Corrupción'!$B$11:$BN$100,MATCH('Mapa Riesgo Corrupción'!B205,'Riesgos de Corrupción'!$B$11:$B$100,0),5),"")</f>
        <v/>
      </c>
      <c r="F205" s="720" t="str">
        <f>IFERROR(INDEX('Riesgos de Corrupción'!$B$11:$BN$100,MATCH('Mapa Riesgo Corrupción'!B205,'Riesgos de Corrupción'!$B$11:$B$100,0),18),"")</f>
        <v/>
      </c>
      <c r="G205" s="720" t="str">
        <f>IFERROR(INDEX('Riesgos de Corrupción'!$B$11:$BN$100,MATCH('Mapa Riesgo Corrupción'!B205,'Riesgos de Corrupción'!$B$11:$B$100,0),63),"")</f>
        <v/>
      </c>
      <c r="H205" s="823" t="str">
        <f>IFERROR(INDEX('Riesgos de Corrupción'!$B$11:$BN$100,MATCH('Mapa Riesgo Corrupción'!B205,'Riesgos de Corrupción'!$B$11:$B$100,0),64),"")</f>
        <v/>
      </c>
      <c r="I205" s="720" t="str">
        <f>IFERROR(INDEX('Controles de Corrupción'!$C$10:$AZ$251,MATCH('Mapa Riesgo Corrupción'!B205,'Controles de Corrupción'!$C$10:$C$251,0),33),"")</f>
        <v/>
      </c>
      <c r="J205" s="720" t="str">
        <f>IFERROR(INDEX('Controles de Corrupción'!$C$10:$AZ$251,MATCH('Mapa Riesgo Corrupción'!B205,'Controles de Corrupción'!$C$10:$C$251,0),36),"")</f>
        <v/>
      </c>
      <c r="K205" s="720" t="str">
        <f>IFERROR(INDEX('Controles de Corrupción'!$C$10:$AZ$251,MATCH('Mapa Riesgo Corrupción'!B205,'Controles de Corrupción'!$C$10:$C$251,0),37),"")</f>
        <v/>
      </c>
      <c r="L205" s="720"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738</v>
      </c>
      <c r="B206" s="826"/>
      <c r="C206" s="829"/>
      <c r="D206" s="717"/>
      <c r="E206" s="831"/>
      <c r="F206" s="718"/>
      <c r="G206" s="718"/>
      <c r="H206" s="824"/>
      <c r="I206" s="718"/>
      <c r="J206" s="718"/>
      <c r="K206" s="718"/>
      <c r="L206" s="718"/>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739</v>
      </c>
      <c r="B207" s="826"/>
      <c r="C207" s="829"/>
      <c r="D207" s="717"/>
      <c r="E207" s="831"/>
      <c r="F207" s="718"/>
      <c r="G207" s="718"/>
      <c r="H207" s="824"/>
      <c r="I207" s="718"/>
      <c r="J207" s="718"/>
      <c r="K207" s="718"/>
      <c r="L207" s="718"/>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740</v>
      </c>
      <c r="B208" s="826"/>
      <c r="C208" s="829"/>
      <c r="D208" s="717"/>
      <c r="E208" s="831"/>
      <c r="F208" s="718"/>
      <c r="G208" s="718"/>
      <c r="H208" s="824"/>
      <c r="I208" s="718"/>
      <c r="J208" s="718"/>
      <c r="K208" s="718"/>
      <c r="L208" s="718"/>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741</v>
      </c>
      <c r="B209" s="826"/>
      <c r="C209" s="829"/>
      <c r="D209" s="717"/>
      <c r="E209" s="831"/>
      <c r="F209" s="718"/>
      <c r="G209" s="718"/>
      <c r="H209" s="824"/>
      <c r="I209" s="718"/>
      <c r="J209" s="718"/>
      <c r="K209" s="718"/>
      <c r="L209" s="718"/>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742</v>
      </c>
      <c r="B210" s="827"/>
      <c r="C210" s="829"/>
      <c r="D210" s="717"/>
      <c r="E210" s="831"/>
      <c r="F210" s="718"/>
      <c r="G210" s="718"/>
      <c r="H210" s="719"/>
      <c r="I210" s="718"/>
      <c r="J210" s="718"/>
      <c r="K210" s="718"/>
      <c r="L210" s="718"/>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743</v>
      </c>
      <c r="B211" s="825"/>
      <c r="C211" s="828" t="str">
        <f>IFERROR(INDEX('Riesgos de Corrupción'!$B$11:$BN$100,MATCH('Mapa Riesgo Corrupción'!B211,'Riesgos de Corrupción'!$B$11:$B$100,0),2),"")</f>
        <v/>
      </c>
      <c r="D211" s="716" t="str">
        <f>IFERROR(INDEX('Riesgos de Corrupción'!$B$11:$BN$100,MATCH('Mapa Riesgo Corrupción'!B211,'Riesgos de Corrupción'!$B$11:$B$100,0),4),"")</f>
        <v/>
      </c>
      <c r="E211" s="830" t="str">
        <f>IFERROR(INDEX('Riesgos de Corrupción'!$B$11:$BN$100,MATCH('Mapa Riesgo Corrupción'!B211,'Riesgos de Corrupción'!$B$11:$B$100,0),5),"")</f>
        <v/>
      </c>
      <c r="F211" s="720" t="str">
        <f>IFERROR(INDEX('Riesgos de Corrupción'!$B$11:$BN$100,MATCH('Mapa Riesgo Corrupción'!B211,'Riesgos de Corrupción'!$B$11:$B$100,0),18),"")</f>
        <v/>
      </c>
      <c r="G211" s="720" t="str">
        <f>IFERROR(INDEX('Riesgos de Corrupción'!$B$11:$BN$100,MATCH('Mapa Riesgo Corrupción'!B211,'Riesgos de Corrupción'!$B$11:$B$100,0),63),"")</f>
        <v/>
      </c>
      <c r="H211" s="823" t="str">
        <f>IFERROR(INDEX('Riesgos de Corrupción'!$B$11:$BN$100,MATCH('Mapa Riesgo Corrupción'!B211,'Riesgos de Corrupción'!$B$11:$B$100,0),64),"")</f>
        <v/>
      </c>
      <c r="I211" s="720" t="str">
        <f>IFERROR(INDEX('Controles de Corrupción'!$C$10:$AZ$251,MATCH('Mapa Riesgo Corrupción'!B211,'Controles de Corrupción'!$C$10:$C$251,0),33),"")</f>
        <v/>
      </c>
      <c r="J211" s="720" t="str">
        <f>IFERROR(INDEX('Controles de Corrupción'!$C$10:$AZ$251,MATCH('Mapa Riesgo Corrupción'!B211,'Controles de Corrupción'!$C$10:$C$251,0),36),"")</f>
        <v/>
      </c>
      <c r="K211" s="720" t="str">
        <f>IFERROR(INDEX('Controles de Corrupción'!$C$10:$AZ$251,MATCH('Mapa Riesgo Corrupción'!B211,'Controles de Corrupción'!$C$10:$C$251,0),37),"")</f>
        <v/>
      </c>
      <c r="L211" s="720"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744</v>
      </c>
      <c r="B212" s="826"/>
      <c r="C212" s="829"/>
      <c r="D212" s="717"/>
      <c r="E212" s="831"/>
      <c r="F212" s="718"/>
      <c r="G212" s="718"/>
      <c r="H212" s="824"/>
      <c r="I212" s="718"/>
      <c r="J212" s="718"/>
      <c r="K212" s="718"/>
      <c r="L212" s="718"/>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745</v>
      </c>
      <c r="B213" s="826"/>
      <c r="C213" s="829"/>
      <c r="D213" s="717"/>
      <c r="E213" s="831"/>
      <c r="F213" s="718"/>
      <c r="G213" s="718"/>
      <c r="H213" s="824"/>
      <c r="I213" s="718"/>
      <c r="J213" s="718"/>
      <c r="K213" s="718"/>
      <c r="L213" s="718"/>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746</v>
      </c>
      <c r="B214" s="826"/>
      <c r="C214" s="829"/>
      <c r="D214" s="717"/>
      <c r="E214" s="831"/>
      <c r="F214" s="718"/>
      <c r="G214" s="718"/>
      <c r="H214" s="824"/>
      <c r="I214" s="718"/>
      <c r="J214" s="718"/>
      <c r="K214" s="718"/>
      <c r="L214" s="718"/>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747</v>
      </c>
      <c r="B215" s="826"/>
      <c r="C215" s="829"/>
      <c r="D215" s="717"/>
      <c r="E215" s="831"/>
      <c r="F215" s="718"/>
      <c r="G215" s="718"/>
      <c r="H215" s="824"/>
      <c r="I215" s="718"/>
      <c r="J215" s="718"/>
      <c r="K215" s="718"/>
      <c r="L215" s="718"/>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748</v>
      </c>
      <c r="B216" s="827"/>
      <c r="C216" s="829"/>
      <c r="D216" s="717"/>
      <c r="E216" s="831"/>
      <c r="F216" s="718"/>
      <c r="G216" s="718"/>
      <c r="H216" s="719"/>
      <c r="I216" s="718"/>
      <c r="J216" s="718"/>
      <c r="K216" s="718"/>
      <c r="L216" s="718"/>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749</v>
      </c>
      <c r="B217" s="825"/>
      <c r="C217" s="828" t="str">
        <f>IFERROR(INDEX('Riesgos de Corrupción'!$B$11:$BN$100,MATCH('Mapa Riesgo Corrupción'!B217,'Riesgos de Corrupción'!$B$11:$B$100,0),2),"")</f>
        <v/>
      </c>
      <c r="D217" s="716" t="str">
        <f>IFERROR(INDEX('Riesgos de Corrupción'!$B$11:$BN$100,MATCH('Mapa Riesgo Corrupción'!B217,'Riesgos de Corrupción'!$B$11:$B$100,0),4),"")</f>
        <v/>
      </c>
      <c r="E217" s="830" t="str">
        <f>IFERROR(INDEX('Riesgos de Corrupción'!$B$11:$BN$100,MATCH('Mapa Riesgo Corrupción'!B217,'Riesgos de Corrupción'!$B$11:$B$100,0),5),"")</f>
        <v/>
      </c>
      <c r="F217" s="720" t="str">
        <f>IFERROR(INDEX('Riesgos de Corrupción'!$B$11:$BN$100,MATCH('Mapa Riesgo Corrupción'!B217,'Riesgos de Corrupción'!$B$11:$B$100,0),18),"")</f>
        <v/>
      </c>
      <c r="G217" s="720" t="str">
        <f>IFERROR(INDEX('Riesgos de Corrupción'!$B$11:$BN$100,MATCH('Mapa Riesgo Corrupción'!B217,'Riesgos de Corrupción'!$B$11:$B$100,0),63),"")</f>
        <v/>
      </c>
      <c r="H217" s="823" t="str">
        <f>IFERROR(INDEX('Riesgos de Corrupción'!$B$11:$BN$100,MATCH('Mapa Riesgo Corrupción'!B217,'Riesgos de Corrupción'!$B$11:$B$100,0),64),"")</f>
        <v/>
      </c>
      <c r="I217" s="720" t="str">
        <f>IFERROR(INDEX('Controles de Corrupción'!$C$10:$AZ$251,MATCH('Mapa Riesgo Corrupción'!B217,'Controles de Corrupción'!$C$10:$C$251,0),33),"")</f>
        <v/>
      </c>
      <c r="J217" s="720" t="str">
        <f>IFERROR(INDEX('Controles de Corrupción'!$C$10:$AZ$251,MATCH('Mapa Riesgo Corrupción'!B217,'Controles de Corrupción'!$C$10:$C$251,0),36),"")</f>
        <v/>
      </c>
      <c r="K217" s="720" t="str">
        <f>IFERROR(INDEX('Controles de Corrupción'!$C$10:$AZ$251,MATCH('Mapa Riesgo Corrupción'!B217,'Controles de Corrupción'!$C$10:$C$251,0),37),"")</f>
        <v/>
      </c>
      <c r="L217" s="720"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750</v>
      </c>
      <c r="B218" s="826"/>
      <c r="C218" s="829"/>
      <c r="D218" s="717"/>
      <c r="E218" s="831"/>
      <c r="F218" s="718"/>
      <c r="G218" s="718"/>
      <c r="H218" s="824"/>
      <c r="I218" s="718"/>
      <c r="J218" s="718"/>
      <c r="K218" s="718"/>
      <c r="L218" s="718"/>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751</v>
      </c>
      <c r="B219" s="826"/>
      <c r="C219" s="829"/>
      <c r="D219" s="717"/>
      <c r="E219" s="831"/>
      <c r="F219" s="718"/>
      <c r="G219" s="718"/>
      <c r="H219" s="824"/>
      <c r="I219" s="718"/>
      <c r="J219" s="718"/>
      <c r="K219" s="718"/>
      <c r="L219" s="718"/>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752</v>
      </c>
      <c r="B220" s="826"/>
      <c r="C220" s="829"/>
      <c r="D220" s="717"/>
      <c r="E220" s="831"/>
      <c r="F220" s="718"/>
      <c r="G220" s="718"/>
      <c r="H220" s="824"/>
      <c r="I220" s="718"/>
      <c r="J220" s="718"/>
      <c r="K220" s="718"/>
      <c r="L220" s="718"/>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753</v>
      </c>
      <c r="B221" s="826"/>
      <c r="C221" s="829"/>
      <c r="D221" s="717"/>
      <c r="E221" s="831"/>
      <c r="F221" s="718"/>
      <c r="G221" s="718"/>
      <c r="H221" s="824"/>
      <c r="I221" s="718"/>
      <c r="J221" s="718"/>
      <c r="K221" s="718"/>
      <c r="L221" s="718"/>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754</v>
      </c>
      <c r="B222" s="827"/>
      <c r="C222" s="829"/>
      <c r="D222" s="717"/>
      <c r="E222" s="831"/>
      <c r="F222" s="718"/>
      <c r="G222" s="718"/>
      <c r="H222" s="719"/>
      <c r="I222" s="718"/>
      <c r="J222" s="718"/>
      <c r="K222" s="718"/>
      <c r="L222" s="718"/>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755</v>
      </c>
      <c r="B223" s="825"/>
      <c r="C223" s="828" t="str">
        <f>IFERROR(INDEX('Riesgos de Corrupción'!$B$11:$BN$100,MATCH('Mapa Riesgo Corrupción'!B223,'Riesgos de Corrupción'!$B$11:$B$100,0),2),"")</f>
        <v/>
      </c>
      <c r="D223" s="716" t="str">
        <f>IFERROR(INDEX('Riesgos de Corrupción'!$B$11:$BN$100,MATCH('Mapa Riesgo Corrupción'!B223,'Riesgos de Corrupción'!$B$11:$B$100,0),4),"")</f>
        <v/>
      </c>
      <c r="E223" s="830" t="str">
        <f>IFERROR(INDEX('Riesgos de Corrupción'!$B$11:$BN$100,MATCH('Mapa Riesgo Corrupción'!B223,'Riesgos de Corrupción'!$B$11:$B$100,0),5),"")</f>
        <v/>
      </c>
      <c r="F223" s="720" t="str">
        <f>IFERROR(INDEX('Riesgos de Corrupción'!$B$11:$BN$100,MATCH('Mapa Riesgo Corrupción'!B223,'Riesgos de Corrupción'!$B$11:$B$100,0),18),"")</f>
        <v/>
      </c>
      <c r="G223" s="720" t="str">
        <f>IFERROR(INDEX('Riesgos de Corrupción'!$B$11:$BN$100,MATCH('Mapa Riesgo Corrupción'!B223,'Riesgos de Corrupción'!$B$11:$B$100,0),63),"")</f>
        <v/>
      </c>
      <c r="H223" s="823" t="str">
        <f>IFERROR(INDEX('Riesgos de Corrupción'!$B$11:$BN$100,MATCH('Mapa Riesgo Corrupción'!B223,'Riesgos de Corrupción'!$B$11:$B$100,0),64),"")</f>
        <v/>
      </c>
      <c r="I223" s="720" t="str">
        <f>IFERROR(INDEX('Controles de Corrupción'!$C$10:$AZ$251,MATCH('Mapa Riesgo Corrupción'!B223,'Controles de Corrupción'!$C$10:$C$251,0),33),"")</f>
        <v/>
      </c>
      <c r="J223" s="720" t="str">
        <f>IFERROR(INDEX('Controles de Corrupción'!$C$10:$AZ$251,MATCH('Mapa Riesgo Corrupción'!B223,'Controles de Corrupción'!$C$10:$C$251,0),36),"")</f>
        <v/>
      </c>
      <c r="K223" s="720" t="str">
        <f>IFERROR(INDEX('Controles de Corrupción'!$C$10:$AZ$251,MATCH('Mapa Riesgo Corrupción'!B223,'Controles de Corrupción'!$C$10:$C$251,0),37),"")</f>
        <v/>
      </c>
      <c r="L223" s="720"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756</v>
      </c>
      <c r="B224" s="826"/>
      <c r="C224" s="829"/>
      <c r="D224" s="717"/>
      <c r="E224" s="831"/>
      <c r="F224" s="718"/>
      <c r="G224" s="718"/>
      <c r="H224" s="824"/>
      <c r="I224" s="718"/>
      <c r="J224" s="718"/>
      <c r="K224" s="718"/>
      <c r="L224" s="718"/>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757</v>
      </c>
      <c r="B225" s="826"/>
      <c r="C225" s="829"/>
      <c r="D225" s="717"/>
      <c r="E225" s="831"/>
      <c r="F225" s="718"/>
      <c r="G225" s="718"/>
      <c r="H225" s="824"/>
      <c r="I225" s="718"/>
      <c r="J225" s="718"/>
      <c r="K225" s="718"/>
      <c r="L225" s="718"/>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758</v>
      </c>
      <c r="B226" s="826"/>
      <c r="C226" s="829"/>
      <c r="D226" s="717"/>
      <c r="E226" s="831"/>
      <c r="F226" s="718"/>
      <c r="G226" s="718"/>
      <c r="H226" s="824"/>
      <c r="I226" s="718"/>
      <c r="J226" s="718"/>
      <c r="K226" s="718"/>
      <c r="L226" s="718"/>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759</v>
      </c>
      <c r="B227" s="826"/>
      <c r="C227" s="829"/>
      <c r="D227" s="717"/>
      <c r="E227" s="831"/>
      <c r="F227" s="718"/>
      <c r="G227" s="718"/>
      <c r="H227" s="824"/>
      <c r="I227" s="718"/>
      <c r="J227" s="718"/>
      <c r="K227" s="718"/>
      <c r="L227" s="718"/>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760</v>
      </c>
      <c r="B228" s="827"/>
      <c r="C228" s="829"/>
      <c r="D228" s="717"/>
      <c r="E228" s="831"/>
      <c r="F228" s="718"/>
      <c r="G228" s="718"/>
      <c r="H228" s="719"/>
      <c r="I228" s="718"/>
      <c r="J228" s="718"/>
      <c r="K228" s="718"/>
      <c r="L228" s="718"/>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761</v>
      </c>
      <c r="B229" s="825"/>
      <c r="C229" s="828" t="str">
        <f>IFERROR(INDEX('Riesgos de Corrupción'!$B$11:$BN$100,MATCH('Mapa Riesgo Corrupción'!B229,'Riesgos de Corrupción'!$B$11:$B$100,0),2),"")</f>
        <v/>
      </c>
      <c r="D229" s="716" t="str">
        <f>IFERROR(INDEX('Riesgos de Corrupción'!$B$11:$BN$100,MATCH('Mapa Riesgo Corrupción'!B229,'Riesgos de Corrupción'!$B$11:$B$100,0),4),"")</f>
        <v/>
      </c>
      <c r="E229" s="830" t="str">
        <f>IFERROR(INDEX('Riesgos de Corrupción'!$B$11:$BN$100,MATCH('Mapa Riesgo Corrupción'!B229,'Riesgos de Corrupción'!$B$11:$B$100,0),5),"")</f>
        <v/>
      </c>
      <c r="F229" s="720" t="str">
        <f>IFERROR(INDEX('Riesgos de Corrupción'!$B$11:$BN$100,MATCH('Mapa Riesgo Corrupción'!B229,'Riesgos de Corrupción'!$B$11:$B$100,0),18),"")</f>
        <v/>
      </c>
      <c r="G229" s="720" t="str">
        <f>IFERROR(INDEX('Riesgos de Corrupción'!$B$11:$BN$100,MATCH('Mapa Riesgo Corrupción'!B229,'Riesgos de Corrupción'!$B$11:$B$100,0),63),"")</f>
        <v/>
      </c>
      <c r="H229" s="823" t="str">
        <f>IFERROR(INDEX('Riesgos de Corrupción'!$B$11:$BN$100,MATCH('Mapa Riesgo Corrupción'!B229,'Riesgos de Corrupción'!$B$11:$B$100,0),64),"")</f>
        <v/>
      </c>
      <c r="I229" s="720" t="str">
        <f>IFERROR(INDEX('Controles de Corrupción'!$C$10:$AZ$251,MATCH('Mapa Riesgo Corrupción'!B229,'Controles de Corrupción'!$C$10:$C$251,0),33),"")</f>
        <v/>
      </c>
      <c r="J229" s="720" t="str">
        <f>IFERROR(INDEX('Controles de Corrupción'!$C$10:$AZ$251,MATCH('Mapa Riesgo Corrupción'!B229,'Controles de Corrupción'!$C$10:$C$251,0),36),"")</f>
        <v/>
      </c>
      <c r="K229" s="720" t="str">
        <f>IFERROR(INDEX('Controles de Corrupción'!$C$10:$AZ$251,MATCH('Mapa Riesgo Corrupción'!B229,'Controles de Corrupción'!$C$10:$C$251,0),37),"")</f>
        <v/>
      </c>
      <c r="L229" s="720"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762</v>
      </c>
      <c r="B230" s="826"/>
      <c r="C230" s="829"/>
      <c r="D230" s="717"/>
      <c r="E230" s="831"/>
      <c r="F230" s="718"/>
      <c r="G230" s="718"/>
      <c r="H230" s="824"/>
      <c r="I230" s="718"/>
      <c r="J230" s="718"/>
      <c r="K230" s="718"/>
      <c r="L230" s="718"/>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763</v>
      </c>
      <c r="B231" s="826"/>
      <c r="C231" s="829"/>
      <c r="D231" s="717"/>
      <c r="E231" s="831"/>
      <c r="F231" s="718"/>
      <c r="G231" s="718"/>
      <c r="H231" s="824"/>
      <c r="I231" s="718"/>
      <c r="J231" s="718"/>
      <c r="K231" s="718"/>
      <c r="L231" s="718"/>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764</v>
      </c>
      <c r="B232" s="826"/>
      <c r="C232" s="829"/>
      <c r="D232" s="717"/>
      <c r="E232" s="831"/>
      <c r="F232" s="718"/>
      <c r="G232" s="718"/>
      <c r="H232" s="824"/>
      <c r="I232" s="718"/>
      <c r="J232" s="718"/>
      <c r="K232" s="718"/>
      <c r="L232" s="718"/>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765</v>
      </c>
      <c r="B233" s="826"/>
      <c r="C233" s="829"/>
      <c r="D233" s="717"/>
      <c r="E233" s="831"/>
      <c r="F233" s="718"/>
      <c r="G233" s="718"/>
      <c r="H233" s="824"/>
      <c r="I233" s="718"/>
      <c r="J233" s="718"/>
      <c r="K233" s="718"/>
      <c r="L233" s="718"/>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766</v>
      </c>
      <c r="B234" s="827"/>
      <c r="C234" s="829"/>
      <c r="D234" s="717"/>
      <c r="E234" s="831"/>
      <c r="F234" s="718"/>
      <c r="G234" s="718"/>
      <c r="H234" s="719"/>
      <c r="I234" s="718"/>
      <c r="J234" s="718"/>
      <c r="K234" s="718"/>
      <c r="L234" s="718"/>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767</v>
      </c>
      <c r="B235" s="825"/>
      <c r="C235" s="828" t="str">
        <f>IFERROR(INDEX('Riesgos de Corrupción'!$B$11:$BN$100,MATCH('Mapa Riesgo Corrupción'!B235,'Riesgos de Corrupción'!$B$11:$B$100,0),2),"")</f>
        <v/>
      </c>
      <c r="D235" s="716" t="str">
        <f>IFERROR(INDEX('Riesgos de Corrupción'!$B$11:$BN$100,MATCH('Mapa Riesgo Corrupción'!B235,'Riesgos de Corrupción'!$B$11:$B$100,0),4),"")</f>
        <v/>
      </c>
      <c r="E235" s="830" t="str">
        <f>IFERROR(INDEX('Riesgos de Corrupción'!$B$11:$BN$100,MATCH('Mapa Riesgo Corrupción'!B235,'Riesgos de Corrupción'!$B$11:$B$100,0),5),"")</f>
        <v/>
      </c>
      <c r="F235" s="720" t="str">
        <f>IFERROR(INDEX('Riesgos de Corrupción'!$B$11:$BN$100,MATCH('Mapa Riesgo Corrupción'!B235,'Riesgos de Corrupción'!$B$11:$B$100,0),18),"")</f>
        <v/>
      </c>
      <c r="G235" s="720" t="str">
        <f>IFERROR(INDEX('Riesgos de Corrupción'!$B$11:$BN$100,MATCH('Mapa Riesgo Corrupción'!B235,'Riesgos de Corrupción'!$B$11:$B$100,0),63),"")</f>
        <v/>
      </c>
      <c r="H235" s="823" t="str">
        <f>IFERROR(INDEX('Riesgos de Corrupción'!$B$11:$BN$100,MATCH('Mapa Riesgo Corrupción'!B235,'Riesgos de Corrupción'!$B$11:$B$100,0),64),"")</f>
        <v/>
      </c>
      <c r="I235" s="720" t="str">
        <f>IFERROR(INDEX('Controles de Corrupción'!$C$10:$AZ$251,MATCH('Mapa Riesgo Corrupción'!B235,'Controles de Corrupción'!$C$10:$C$251,0),33),"")</f>
        <v/>
      </c>
      <c r="J235" s="720" t="str">
        <f>IFERROR(INDEX('Controles de Corrupción'!$C$10:$AZ$251,MATCH('Mapa Riesgo Corrupción'!B235,'Controles de Corrupción'!$C$10:$C$251,0),36),"")</f>
        <v/>
      </c>
      <c r="K235" s="720" t="str">
        <f>IFERROR(INDEX('Controles de Corrupción'!$C$10:$AZ$251,MATCH('Mapa Riesgo Corrupción'!B235,'Controles de Corrupción'!$C$10:$C$251,0),37),"")</f>
        <v/>
      </c>
      <c r="L235" s="720"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768</v>
      </c>
      <c r="B236" s="826"/>
      <c r="C236" s="829"/>
      <c r="D236" s="717"/>
      <c r="E236" s="831"/>
      <c r="F236" s="718"/>
      <c r="G236" s="718"/>
      <c r="H236" s="824"/>
      <c r="I236" s="718"/>
      <c r="J236" s="718"/>
      <c r="K236" s="718"/>
      <c r="L236" s="718"/>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769</v>
      </c>
      <c r="B237" s="826"/>
      <c r="C237" s="829"/>
      <c r="D237" s="717"/>
      <c r="E237" s="831"/>
      <c r="F237" s="718"/>
      <c r="G237" s="718"/>
      <c r="H237" s="824"/>
      <c r="I237" s="718"/>
      <c r="J237" s="718"/>
      <c r="K237" s="718"/>
      <c r="L237" s="718"/>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770</v>
      </c>
      <c r="B238" s="826"/>
      <c r="C238" s="829"/>
      <c r="D238" s="717"/>
      <c r="E238" s="831"/>
      <c r="F238" s="718"/>
      <c r="G238" s="718"/>
      <c r="H238" s="824"/>
      <c r="I238" s="718"/>
      <c r="J238" s="718"/>
      <c r="K238" s="718"/>
      <c r="L238" s="718"/>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771</v>
      </c>
      <c r="B239" s="826"/>
      <c r="C239" s="829"/>
      <c r="D239" s="717"/>
      <c r="E239" s="831"/>
      <c r="F239" s="718"/>
      <c r="G239" s="718"/>
      <c r="H239" s="824"/>
      <c r="I239" s="718"/>
      <c r="J239" s="718"/>
      <c r="K239" s="718"/>
      <c r="L239" s="718"/>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772</v>
      </c>
      <c r="B240" s="827"/>
      <c r="C240" s="829"/>
      <c r="D240" s="717"/>
      <c r="E240" s="831"/>
      <c r="F240" s="718"/>
      <c r="G240" s="718"/>
      <c r="H240" s="719"/>
      <c r="I240" s="718"/>
      <c r="J240" s="718"/>
      <c r="K240" s="718"/>
      <c r="L240" s="718"/>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773</v>
      </c>
      <c r="B241" s="825"/>
      <c r="C241" s="828" t="str">
        <f>IFERROR(INDEX('Riesgos de Corrupción'!$B$11:$BN$100,MATCH('Mapa Riesgo Corrupción'!B241,'Riesgos de Corrupción'!$B$11:$B$100,0),2),"")</f>
        <v/>
      </c>
      <c r="D241" s="716" t="str">
        <f>IFERROR(INDEX('Riesgos de Corrupción'!$B$11:$BN$100,MATCH('Mapa Riesgo Corrupción'!B241,'Riesgos de Corrupción'!$B$11:$B$100,0),4),"")</f>
        <v/>
      </c>
      <c r="E241" s="830" t="str">
        <f>IFERROR(INDEX('Riesgos de Corrupción'!$B$11:$BN$100,MATCH('Mapa Riesgo Corrupción'!B241,'Riesgos de Corrupción'!$B$11:$B$100,0),5),"")</f>
        <v/>
      </c>
      <c r="F241" s="720" t="str">
        <f>IFERROR(INDEX('Riesgos de Corrupción'!$B$11:$BN$100,MATCH('Mapa Riesgo Corrupción'!B241,'Riesgos de Corrupción'!$B$11:$B$100,0),18),"")</f>
        <v/>
      </c>
      <c r="G241" s="720" t="str">
        <f>IFERROR(INDEX('Riesgos de Corrupción'!$B$11:$BN$100,MATCH('Mapa Riesgo Corrupción'!B241,'Riesgos de Corrupción'!$B$11:$B$100,0),63),"")</f>
        <v/>
      </c>
      <c r="H241" s="823" t="str">
        <f>IFERROR(INDEX('Riesgos de Corrupción'!$B$11:$BN$100,MATCH('Mapa Riesgo Corrupción'!B241,'Riesgos de Corrupción'!$B$11:$B$100,0),64),"")</f>
        <v/>
      </c>
      <c r="I241" s="720" t="str">
        <f>IFERROR(INDEX('Controles de Corrupción'!$C$10:$AZ$251,MATCH('Mapa Riesgo Corrupción'!B241,'Controles de Corrupción'!$C$10:$C$251,0),33),"")</f>
        <v/>
      </c>
      <c r="J241" s="720" t="str">
        <f>IFERROR(INDEX('Controles de Corrupción'!$C$10:$AZ$251,MATCH('Mapa Riesgo Corrupción'!B241,'Controles de Corrupción'!$C$10:$C$251,0),36),"")</f>
        <v/>
      </c>
      <c r="K241" s="720" t="str">
        <f>IFERROR(INDEX('Controles de Corrupción'!$C$10:$AZ$251,MATCH('Mapa Riesgo Corrupción'!B241,'Controles de Corrupción'!$C$10:$C$251,0),37),"")</f>
        <v/>
      </c>
      <c r="L241" s="720"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774</v>
      </c>
      <c r="B242" s="826"/>
      <c r="C242" s="829"/>
      <c r="D242" s="717"/>
      <c r="E242" s="831"/>
      <c r="F242" s="718"/>
      <c r="G242" s="718"/>
      <c r="H242" s="824"/>
      <c r="I242" s="718"/>
      <c r="J242" s="718"/>
      <c r="K242" s="718"/>
      <c r="L242" s="718"/>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775</v>
      </c>
      <c r="B243" s="826"/>
      <c r="C243" s="829"/>
      <c r="D243" s="717"/>
      <c r="E243" s="831"/>
      <c r="F243" s="718"/>
      <c r="G243" s="718"/>
      <c r="H243" s="824"/>
      <c r="I243" s="718"/>
      <c r="J243" s="718"/>
      <c r="K243" s="718"/>
      <c r="L243" s="718"/>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776</v>
      </c>
      <c r="B244" s="826"/>
      <c r="C244" s="829"/>
      <c r="D244" s="717"/>
      <c r="E244" s="831"/>
      <c r="F244" s="718"/>
      <c r="G244" s="718"/>
      <c r="H244" s="824"/>
      <c r="I244" s="718"/>
      <c r="J244" s="718"/>
      <c r="K244" s="718"/>
      <c r="L244" s="718"/>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777</v>
      </c>
      <c r="B245" s="826"/>
      <c r="C245" s="829"/>
      <c r="D245" s="717"/>
      <c r="E245" s="831"/>
      <c r="F245" s="718"/>
      <c r="G245" s="718"/>
      <c r="H245" s="824"/>
      <c r="I245" s="718"/>
      <c r="J245" s="718"/>
      <c r="K245" s="718"/>
      <c r="L245" s="718"/>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778</v>
      </c>
      <c r="B246" s="827"/>
      <c r="C246" s="829"/>
      <c r="D246" s="717"/>
      <c r="E246" s="831"/>
      <c r="F246" s="718"/>
      <c r="G246" s="718"/>
      <c r="H246" s="719"/>
      <c r="I246" s="718"/>
      <c r="J246" s="718"/>
      <c r="K246" s="718"/>
      <c r="L246" s="718"/>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779</v>
      </c>
      <c r="B247" s="825"/>
      <c r="C247" s="828" t="str">
        <f>IFERROR(INDEX('Riesgos de Corrupción'!$B$11:$BN$100,MATCH('Mapa Riesgo Corrupción'!B247,'Riesgos de Corrupción'!$B$11:$B$100,0),2),"")</f>
        <v/>
      </c>
      <c r="D247" s="716" t="str">
        <f>IFERROR(INDEX('Riesgos de Corrupción'!$B$11:$BN$100,MATCH('Mapa Riesgo Corrupción'!B247,'Riesgos de Corrupción'!$B$11:$B$100,0),4),"")</f>
        <v/>
      </c>
      <c r="E247" s="830" t="str">
        <f>IFERROR(INDEX('Riesgos de Corrupción'!$B$11:$BN$100,MATCH('Mapa Riesgo Corrupción'!B247,'Riesgos de Corrupción'!$B$11:$B$100,0),5),"")</f>
        <v/>
      </c>
      <c r="F247" s="720" t="str">
        <f>IFERROR(INDEX('Riesgos de Corrupción'!$B$11:$BN$100,MATCH('Mapa Riesgo Corrupción'!B247,'Riesgos de Corrupción'!$B$11:$B$100,0),18),"")</f>
        <v/>
      </c>
      <c r="G247" s="720" t="str">
        <f>IFERROR(INDEX('Riesgos de Corrupción'!$B$11:$BN$100,MATCH('Mapa Riesgo Corrupción'!B247,'Riesgos de Corrupción'!$B$11:$B$100,0),63),"")</f>
        <v/>
      </c>
      <c r="H247" s="823" t="str">
        <f>IFERROR(INDEX('Riesgos de Corrupción'!$B$11:$BN$100,MATCH('Mapa Riesgo Corrupción'!B247,'Riesgos de Corrupción'!$B$11:$B$100,0),64),"")</f>
        <v/>
      </c>
      <c r="I247" s="720" t="str">
        <f>IFERROR(INDEX('Controles de Corrupción'!$C$10:$AZ$251,MATCH('Mapa Riesgo Corrupción'!B247,'Controles de Corrupción'!$C$10:$C$251,0),33),"")</f>
        <v/>
      </c>
      <c r="J247" s="720" t="str">
        <f>IFERROR(INDEX('Controles de Corrupción'!$C$10:$AZ$251,MATCH('Mapa Riesgo Corrupción'!B247,'Controles de Corrupción'!$C$10:$C$251,0),36),"")</f>
        <v/>
      </c>
      <c r="K247" s="720" t="str">
        <f>IFERROR(INDEX('Controles de Corrupción'!$C$10:$AZ$251,MATCH('Mapa Riesgo Corrupción'!B247,'Controles de Corrupción'!$C$10:$C$251,0),37),"")</f>
        <v/>
      </c>
      <c r="L247" s="720"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780</v>
      </c>
      <c r="B248" s="826"/>
      <c r="C248" s="829"/>
      <c r="D248" s="717"/>
      <c r="E248" s="831"/>
      <c r="F248" s="718"/>
      <c r="G248" s="718"/>
      <c r="H248" s="824"/>
      <c r="I248" s="718"/>
      <c r="J248" s="718"/>
      <c r="K248" s="718"/>
      <c r="L248" s="718"/>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781</v>
      </c>
      <c r="B249" s="826"/>
      <c r="C249" s="829"/>
      <c r="D249" s="717"/>
      <c r="E249" s="831"/>
      <c r="F249" s="718"/>
      <c r="G249" s="718"/>
      <c r="H249" s="824"/>
      <c r="I249" s="718"/>
      <c r="J249" s="718"/>
      <c r="K249" s="718"/>
      <c r="L249" s="718"/>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782</v>
      </c>
      <c r="B250" s="826"/>
      <c r="C250" s="829"/>
      <c r="D250" s="717"/>
      <c r="E250" s="831"/>
      <c r="F250" s="718"/>
      <c r="G250" s="718"/>
      <c r="H250" s="824"/>
      <c r="I250" s="718"/>
      <c r="J250" s="718"/>
      <c r="K250" s="718"/>
      <c r="L250" s="718"/>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783</v>
      </c>
      <c r="B251" s="826"/>
      <c r="C251" s="829"/>
      <c r="D251" s="717"/>
      <c r="E251" s="831"/>
      <c r="F251" s="718"/>
      <c r="G251" s="718"/>
      <c r="H251" s="824"/>
      <c r="I251" s="718"/>
      <c r="J251" s="718"/>
      <c r="K251" s="718"/>
      <c r="L251" s="718"/>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784</v>
      </c>
      <c r="B252" s="827"/>
      <c r="C252" s="829"/>
      <c r="D252" s="717"/>
      <c r="E252" s="831"/>
      <c r="F252" s="718"/>
      <c r="G252" s="718"/>
      <c r="H252" s="719"/>
      <c r="I252" s="718"/>
      <c r="J252" s="718"/>
      <c r="K252" s="718"/>
      <c r="L252" s="718"/>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785</v>
      </c>
      <c r="B253" s="825"/>
      <c r="C253" s="828" t="str">
        <f>IFERROR(INDEX('Riesgos de Corrupción'!$B$11:$BN$100,MATCH('Mapa Riesgo Corrupción'!B253,'Riesgos de Corrupción'!$B$11:$B$100,0),2),"")</f>
        <v/>
      </c>
      <c r="D253" s="716" t="str">
        <f>IFERROR(INDEX('Riesgos de Corrupción'!$B$11:$BN$100,MATCH('Mapa Riesgo Corrupción'!B253,'Riesgos de Corrupción'!$B$11:$B$100,0),4),"")</f>
        <v/>
      </c>
      <c r="E253" s="830" t="str">
        <f>IFERROR(INDEX('Riesgos de Corrupción'!$B$11:$BN$100,MATCH('Mapa Riesgo Corrupción'!B253,'Riesgos de Corrupción'!$B$11:$B$100,0),5),"")</f>
        <v/>
      </c>
      <c r="F253" s="720" t="str">
        <f>IFERROR(INDEX('Riesgos de Corrupción'!$B$11:$BN$100,MATCH('Mapa Riesgo Corrupción'!B253,'Riesgos de Corrupción'!$B$11:$B$100,0),18),"")</f>
        <v/>
      </c>
      <c r="G253" s="720" t="str">
        <f>IFERROR(INDEX('Riesgos de Corrupción'!$B$11:$BN$100,MATCH('Mapa Riesgo Corrupción'!B253,'Riesgos de Corrupción'!$B$11:$B$100,0),63),"")</f>
        <v/>
      </c>
      <c r="H253" s="823" t="str">
        <f>IFERROR(INDEX('Riesgos de Corrupción'!$B$11:$BN$100,MATCH('Mapa Riesgo Corrupción'!B253,'Riesgos de Corrupción'!$B$11:$B$100,0),64),"")</f>
        <v/>
      </c>
      <c r="I253" s="720" t="str">
        <f>IFERROR(INDEX('Controles de Corrupción'!$C$10:$AZ$251,MATCH('Mapa Riesgo Corrupción'!B253,'Controles de Corrupción'!$C$10:$C$251,0),33),"")</f>
        <v/>
      </c>
      <c r="J253" s="720" t="str">
        <f>IFERROR(INDEX('Controles de Corrupción'!$C$10:$AZ$251,MATCH('Mapa Riesgo Corrupción'!B253,'Controles de Corrupción'!$C$10:$C$251,0),36),"")</f>
        <v/>
      </c>
      <c r="K253" s="720" t="str">
        <f>IFERROR(INDEX('Controles de Corrupción'!$C$10:$AZ$251,MATCH('Mapa Riesgo Corrupción'!B253,'Controles de Corrupción'!$C$10:$C$251,0),37),"")</f>
        <v/>
      </c>
      <c r="L253" s="720"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786</v>
      </c>
      <c r="B254" s="826"/>
      <c r="C254" s="829"/>
      <c r="D254" s="717"/>
      <c r="E254" s="831"/>
      <c r="F254" s="718"/>
      <c r="G254" s="718"/>
      <c r="H254" s="824"/>
      <c r="I254" s="718"/>
      <c r="J254" s="718"/>
      <c r="K254" s="718"/>
      <c r="L254" s="718"/>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787</v>
      </c>
      <c r="B255" s="826"/>
      <c r="C255" s="829"/>
      <c r="D255" s="717"/>
      <c r="E255" s="831"/>
      <c r="F255" s="718"/>
      <c r="G255" s="718"/>
      <c r="H255" s="824"/>
      <c r="I255" s="718"/>
      <c r="J255" s="718"/>
      <c r="K255" s="718"/>
      <c r="L255" s="718"/>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788</v>
      </c>
      <c r="B256" s="826"/>
      <c r="C256" s="829"/>
      <c r="D256" s="717"/>
      <c r="E256" s="831"/>
      <c r="F256" s="718"/>
      <c r="G256" s="718"/>
      <c r="H256" s="824"/>
      <c r="I256" s="718"/>
      <c r="J256" s="718"/>
      <c r="K256" s="718"/>
      <c r="L256" s="718"/>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789</v>
      </c>
      <c r="B257" s="826"/>
      <c r="C257" s="829"/>
      <c r="D257" s="717"/>
      <c r="E257" s="831"/>
      <c r="F257" s="718"/>
      <c r="G257" s="718"/>
      <c r="H257" s="824"/>
      <c r="I257" s="718"/>
      <c r="J257" s="718"/>
      <c r="K257" s="718"/>
      <c r="L257" s="718"/>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790</v>
      </c>
      <c r="B258" s="827"/>
      <c r="C258" s="829"/>
      <c r="D258" s="717"/>
      <c r="E258" s="831"/>
      <c r="F258" s="718"/>
      <c r="G258" s="718"/>
      <c r="H258" s="719"/>
      <c r="I258" s="718"/>
      <c r="J258" s="718"/>
      <c r="K258" s="718"/>
      <c r="L258" s="718"/>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791</v>
      </c>
      <c r="B259" s="825"/>
      <c r="C259" s="828" t="str">
        <f>IFERROR(INDEX('Riesgos de Corrupción'!$B$11:$BN$100,MATCH('Mapa Riesgo Corrupción'!B259,'Riesgos de Corrupción'!$B$11:$B$100,0),2),"")</f>
        <v/>
      </c>
      <c r="D259" s="716" t="str">
        <f>IFERROR(INDEX('Riesgos de Corrupción'!$B$11:$BN$100,MATCH('Mapa Riesgo Corrupción'!B259,'Riesgos de Corrupción'!$B$11:$B$100,0),4),"")</f>
        <v/>
      </c>
      <c r="E259" s="830" t="str">
        <f>IFERROR(INDEX('Riesgos de Corrupción'!$B$11:$BN$100,MATCH('Mapa Riesgo Corrupción'!B259,'Riesgos de Corrupción'!$B$11:$B$100,0),5),"")</f>
        <v/>
      </c>
      <c r="F259" s="720" t="str">
        <f>IFERROR(INDEX('Riesgos de Corrupción'!$B$11:$BN$100,MATCH('Mapa Riesgo Corrupción'!B259,'Riesgos de Corrupción'!$B$11:$B$100,0),18),"")</f>
        <v/>
      </c>
      <c r="G259" s="720" t="str">
        <f>IFERROR(INDEX('Riesgos de Corrupción'!$B$11:$BN$100,MATCH('Mapa Riesgo Corrupción'!B259,'Riesgos de Corrupción'!$B$11:$B$100,0),63),"")</f>
        <v/>
      </c>
      <c r="H259" s="823" t="str">
        <f>IFERROR(INDEX('Riesgos de Corrupción'!$B$11:$BN$100,MATCH('Mapa Riesgo Corrupción'!B259,'Riesgos de Corrupción'!$B$11:$B$100,0),64),"")</f>
        <v/>
      </c>
      <c r="I259" s="720" t="str">
        <f>IFERROR(INDEX('Controles de Corrupción'!$C$10:$AZ$251,MATCH('Mapa Riesgo Corrupción'!B259,'Controles de Corrupción'!$C$10:$C$251,0),33),"")</f>
        <v/>
      </c>
      <c r="J259" s="720" t="str">
        <f>IFERROR(INDEX('Controles de Corrupción'!$C$10:$AZ$251,MATCH('Mapa Riesgo Corrupción'!B259,'Controles de Corrupción'!$C$10:$C$251,0),36),"")</f>
        <v/>
      </c>
      <c r="K259" s="720" t="str">
        <f>IFERROR(INDEX('Controles de Corrupción'!$C$10:$AZ$251,MATCH('Mapa Riesgo Corrupción'!B259,'Controles de Corrupción'!$C$10:$C$251,0),37),"")</f>
        <v/>
      </c>
      <c r="L259" s="720"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792</v>
      </c>
      <c r="B260" s="826"/>
      <c r="C260" s="829"/>
      <c r="D260" s="717"/>
      <c r="E260" s="831"/>
      <c r="F260" s="718"/>
      <c r="G260" s="718"/>
      <c r="H260" s="824"/>
      <c r="I260" s="718"/>
      <c r="J260" s="718"/>
      <c r="K260" s="718"/>
      <c r="L260" s="718"/>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793</v>
      </c>
      <c r="B261" s="826"/>
      <c r="C261" s="829"/>
      <c r="D261" s="717"/>
      <c r="E261" s="831"/>
      <c r="F261" s="718"/>
      <c r="G261" s="718"/>
      <c r="H261" s="824"/>
      <c r="I261" s="718"/>
      <c r="J261" s="718"/>
      <c r="K261" s="718"/>
      <c r="L261" s="718"/>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794</v>
      </c>
      <c r="B262" s="826"/>
      <c r="C262" s="829"/>
      <c r="D262" s="717"/>
      <c r="E262" s="831"/>
      <c r="F262" s="718"/>
      <c r="G262" s="718"/>
      <c r="H262" s="824"/>
      <c r="I262" s="718"/>
      <c r="J262" s="718"/>
      <c r="K262" s="718"/>
      <c r="L262" s="718"/>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795</v>
      </c>
      <c r="B263" s="826"/>
      <c r="C263" s="829"/>
      <c r="D263" s="717"/>
      <c r="E263" s="831"/>
      <c r="F263" s="718"/>
      <c r="G263" s="718"/>
      <c r="H263" s="824"/>
      <c r="I263" s="718"/>
      <c r="J263" s="718"/>
      <c r="K263" s="718"/>
      <c r="L263" s="718"/>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796</v>
      </c>
      <c r="B264" s="827"/>
      <c r="C264" s="829"/>
      <c r="D264" s="717"/>
      <c r="E264" s="831"/>
      <c r="F264" s="718"/>
      <c r="G264" s="718"/>
      <c r="H264" s="719"/>
      <c r="I264" s="718"/>
      <c r="J264" s="718"/>
      <c r="K264" s="718"/>
      <c r="L264" s="718"/>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797</v>
      </c>
      <c r="B265" s="825"/>
      <c r="C265" s="828" t="str">
        <f>IFERROR(INDEX('Riesgos de Corrupción'!$B$11:$BN$100,MATCH('Mapa Riesgo Corrupción'!B265,'Riesgos de Corrupción'!$B$11:$B$100,0),2),"")</f>
        <v/>
      </c>
      <c r="D265" s="716" t="str">
        <f>IFERROR(INDEX('Riesgos de Corrupción'!$B$11:$BN$100,MATCH('Mapa Riesgo Corrupción'!B265,'Riesgos de Corrupción'!$B$11:$B$100,0),4),"")</f>
        <v/>
      </c>
      <c r="E265" s="830" t="str">
        <f>IFERROR(INDEX('Riesgos de Corrupción'!$B$11:$BN$100,MATCH('Mapa Riesgo Corrupción'!B265,'Riesgos de Corrupción'!$B$11:$B$100,0),5),"")</f>
        <v/>
      </c>
      <c r="F265" s="720" t="str">
        <f>IFERROR(INDEX('Riesgos de Corrupción'!$B$11:$BN$100,MATCH('Mapa Riesgo Corrupción'!B265,'Riesgos de Corrupción'!$B$11:$B$100,0),18),"")</f>
        <v/>
      </c>
      <c r="G265" s="720" t="str">
        <f>IFERROR(INDEX('Riesgos de Corrupción'!$B$11:$BN$100,MATCH('Mapa Riesgo Corrupción'!B265,'Riesgos de Corrupción'!$B$11:$B$100,0),63),"")</f>
        <v/>
      </c>
      <c r="H265" s="823" t="str">
        <f>IFERROR(INDEX('Riesgos de Corrupción'!$B$11:$BN$100,MATCH('Mapa Riesgo Corrupción'!B265,'Riesgos de Corrupción'!$B$11:$B$100,0),64),"")</f>
        <v/>
      </c>
      <c r="I265" s="720" t="str">
        <f>IFERROR(INDEX('Controles de Corrupción'!$C$10:$AZ$251,MATCH('Mapa Riesgo Corrupción'!B265,'Controles de Corrupción'!$C$10:$C$251,0),33),"")</f>
        <v/>
      </c>
      <c r="J265" s="720" t="str">
        <f>IFERROR(INDEX('Controles de Corrupción'!$C$10:$AZ$251,MATCH('Mapa Riesgo Corrupción'!B265,'Controles de Corrupción'!$C$10:$C$251,0),36),"")</f>
        <v/>
      </c>
      <c r="K265" s="720" t="str">
        <f>IFERROR(INDEX('Controles de Corrupción'!$C$10:$AZ$251,MATCH('Mapa Riesgo Corrupción'!B265,'Controles de Corrupción'!$C$10:$C$251,0),37),"")</f>
        <v/>
      </c>
      <c r="L265" s="720"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798</v>
      </c>
      <c r="B266" s="826"/>
      <c r="C266" s="829"/>
      <c r="D266" s="717"/>
      <c r="E266" s="831"/>
      <c r="F266" s="718"/>
      <c r="G266" s="718"/>
      <c r="H266" s="824"/>
      <c r="I266" s="718"/>
      <c r="J266" s="718"/>
      <c r="K266" s="718"/>
      <c r="L266" s="718"/>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799</v>
      </c>
      <c r="B267" s="826"/>
      <c r="C267" s="829"/>
      <c r="D267" s="717"/>
      <c r="E267" s="831"/>
      <c r="F267" s="718"/>
      <c r="G267" s="718"/>
      <c r="H267" s="824"/>
      <c r="I267" s="718"/>
      <c r="J267" s="718"/>
      <c r="K267" s="718"/>
      <c r="L267" s="718"/>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800</v>
      </c>
      <c r="B268" s="826"/>
      <c r="C268" s="829"/>
      <c r="D268" s="717"/>
      <c r="E268" s="831"/>
      <c r="F268" s="718"/>
      <c r="G268" s="718"/>
      <c r="H268" s="824"/>
      <c r="I268" s="718"/>
      <c r="J268" s="718"/>
      <c r="K268" s="718"/>
      <c r="L268" s="718"/>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801</v>
      </c>
      <c r="B269" s="826"/>
      <c r="C269" s="829"/>
      <c r="D269" s="717"/>
      <c r="E269" s="831"/>
      <c r="F269" s="718"/>
      <c r="G269" s="718"/>
      <c r="H269" s="824"/>
      <c r="I269" s="718"/>
      <c r="J269" s="718"/>
      <c r="K269" s="718"/>
      <c r="L269" s="718"/>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802</v>
      </c>
      <c r="B270" s="827"/>
      <c r="C270" s="829"/>
      <c r="D270" s="717"/>
      <c r="E270" s="831"/>
      <c r="F270" s="718"/>
      <c r="G270" s="718"/>
      <c r="H270" s="719"/>
      <c r="I270" s="718"/>
      <c r="J270" s="718"/>
      <c r="K270" s="718"/>
      <c r="L270" s="718"/>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803</v>
      </c>
      <c r="B271" s="825"/>
      <c r="C271" s="828" t="str">
        <f>IFERROR(INDEX('Riesgos de Corrupción'!$B$11:$BN$100,MATCH('Mapa Riesgo Corrupción'!B271,'Riesgos de Corrupción'!$B$11:$B$100,0),2),"")</f>
        <v/>
      </c>
      <c r="D271" s="716" t="str">
        <f>IFERROR(INDEX('Riesgos de Corrupción'!$B$11:$BN$100,MATCH('Mapa Riesgo Corrupción'!B271,'Riesgos de Corrupción'!$B$11:$B$100,0),4),"")</f>
        <v/>
      </c>
      <c r="E271" s="830" t="str">
        <f>IFERROR(INDEX('Riesgos de Corrupción'!$B$11:$BN$100,MATCH('Mapa Riesgo Corrupción'!B271,'Riesgos de Corrupción'!$B$11:$B$100,0),5),"")</f>
        <v/>
      </c>
      <c r="F271" s="720" t="str">
        <f>IFERROR(INDEX('Riesgos de Corrupción'!$B$11:$BN$100,MATCH('Mapa Riesgo Corrupción'!B271,'Riesgos de Corrupción'!$B$11:$B$100,0),18),"")</f>
        <v/>
      </c>
      <c r="G271" s="720" t="str">
        <f>IFERROR(INDEX('Riesgos de Corrupción'!$B$11:$BN$100,MATCH('Mapa Riesgo Corrupción'!B271,'Riesgos de Corrupción'!$B$11:$B$100,0),63),"")</f>
        <v/>
      </c>
      <c r="H271" s="823" t="str">
        <f>IFERROR(INDEX('Riesgos de Corrupción'!$B$11:$BN$100,MATCH('Mapa Riesgo Corrupción'!B271,'Riesgos de Corrupción'!$B$11:$B$100,0),64),"")</f>
        <v/>
      </c>
      <c r="I271" s="720" t="str">
        <f>IFERROR(INDEX('Controles de Corrupción'!$C$10:$AZ$251,MATCH('Mapa Riesgo Corrupción'!B271,'Controles de Corrupción'!$C$10:$C$251,0),33),"")</f>
        <v/>
      </c>
      <c r="J271" s="720" t="str">
        <f>IFERROR(INDEX('Controles de Corrupción'!$C$10:$AZ$251,MATCH('Mapa Riesgo Corrupción'!B271,'Controles de Corrupción'!$C$10:$C$251,0),36),"")</f>
        <v/>
      </c>
      <c r="K271" s="720" t="str">
        <f>IFERROR(INDEX('Controles de Corrupción'!$C$10:$AZ$251,MATCH('Mapa Riesgo Corrupción'!B271,'Controles de Corrupción'!$C$10:$C$251,0),37),"")</f>
        <v/>
      </c>
      <c r="L271" s="720"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804</v>
      </c>
      <c r="B272" s="826"/>
      <c r="C272" s="829"/>
      <c r="D272" s="717"/>
      <c r="E272" s="831"/>
      <c r="F272" s="718"/>
      <c r="G272" s="718"/>
      <c r="H272" s="824"/>
      <c r="I272" s="718"/>
      <c r="J272" s="718"/>
      <c r="K272" s="718"/>
      <c r="L272" s="718"/>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805</v>
      </c>
      <c r="B273" s="826"/>
      <c r="C273" s="829"/>
      <c r="D273" s="717"/>
      <c r="E273" s="831"/>
      <c r="F273" s="718"/>
      <c r="G273" s="718"/>
      <c r="H273" s="824"/>
      <c r="I273" s="718"/>
      <c r="J273" s="718"/>
      <c r="K273" s="718"/>
      <c r="L273" s="718"/>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806</v>
      </c>
      <c r="B274" s="826"/>
      <c r="C274" s="829"/>
      <c r="D274" s="717"/>
      <c r="E274" s="831"/>
      <c r="F274" s="718"/>
      <c r="G274" s="718"/>
      <c r="H274" s="824"/>
      <c r="I274" s="718"/>
      <c r="J274" s="718"/>
      <c r="K274" s="718"/>
      <c r="L274" s="718"/>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807</v>
      </c>
      <c r="B275" s="826"/>
      <c r="C275" s="829"/>
      <c r="D275" s="717"/>
      <c r="E275" s="831"/>
      <c r="F275" s="718"/>
      <c r="G275" s="718"/>
      <c r="H275" s="824"/>
      <c r="I275" s="718"/>
      <c r="J275" s="718"/>
      <c r="K275" s="718"/>
      <c r="L275" s="718"/>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808</v>
      </c>
      <c r="B276" s="827"/>
      <c r="C276" s="829"/>
      <c r="D276" s="717"/>
      <c r="E276" s="831"/>
      <c r="F276" s="718"/>
      <c r="G276" s="718"/>
      <c r="H276" s="719"/>
      <c r="I276" s="718"/>
      <c r="J276" s="718"/>
      <c r="K276" s="718"/>
      <c r="L276" s="718"/>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809</v>
      </c>
      <c r="B277" s="825"/>
      <c r="C277" s="828" t="str">
        <f>IFERROR(INDEX('Riesgos de Corrupción'!$B$11:$BN$100,MATCH('Mapa Riesgo Corrupción'!B277,'Riesgos de Corrupción'!$B$11:$B$100,0),2),"")</f>
        <v/>
      </c>
      <c r="D277" s="716" t="str">
        <f>IFERROR(INDEX('Riesgos de Corrupción'!$B$11:$BN$100,MATCH('Mapa Riesgo Corrupción'!B277,'Riesgos de Corrupción'!$B$11:$B$100,0),4),"")</f>
        <v/>
      </c>
      <c r="E277" s="830" t="str">
        <f>IFERROR(INDEX('Riesgos de Corrupción'!$B$11:$BN$100,MATCH('Mapa Riesgo Corrupción'!B277,'Riesgos de Corrupción'!$B$11:$B$100,0),5),"")</f>
        <v/>
      </c>
      <c r="F277" s="720" t="str">
        <f>IFERROR(INDEX('Riesgos de Corrupción'!$B$11:$BN$100,MATCH('Mapa Riesgo Corrupción'!B277,'Riesgos de Corrupción'!$B$11:$B$100,0),18),"")</f>
        <v/>
      </c>
      <c r="G277" s="720" t="str">
        <f>IFERROR(INDEX('Riesgos de Corrupción'!$B$11:$BN$100,MATCH('Mapa Riesgo Corrupción'!B277,'Riesgos de Corrupción'!$B$11:$B$100,0),63),"")</f>
        <v/>
      </c>
      <c r="H277" s="823" t="str">
        <f>IFERROR(INDEX('Riesgos de Corrupción'!$B$11:$BN$100,MATCH('Mapa Riesgo Corrupción'!B277,'Riesgos de Corrupción'!$B$11:$B$100,0),64),"")</f>
        <v/>
      </c>
      <c r="I277" s="720" t="str">
        <f>IFERROR(INDEX('Controles de Corrupción'!$C$10:$AZ$251,MATCH('Mapa Riesgo Corrupción'!B277,'Controles de Corrupción'!$C$10:$C$251,0),33),"")</f>
        <v/>
      </c>
      <c r="J277" s="720" t="str">
        <f>IFERROR(INDEX('Controles de Corrupción'!$C$10:$AZ$251,MATCH('Mapa Riesgo Corrupción'!B277,'Controles de Corrupción'!$C$10:$C$251,0),36),"")</f>
        <v/>
      </c>
      <c r="K277" s="720" t="str">
        <f>IFERROR(INDEX('Controles de Corrupción'!$C$10:$AZ$251,MATCH('Mapa Riesgo Corrupción'!B277,'Controles de Corrupción'!$C$10:$C$251,0),37),"")</f>
        <v/>
      </c>
      <c r="L277" s="720"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810</v>
      </c>
      <c r="B278" s="826"/>
      <c r="C278" s="829"/>
      <c r="D278" s="717"/>
      <c r="E278" s="831"/>
      <c r="F278" s="718"/>
      <c r="G278" s="718"/>
      <c r="H278" s="824"/>
      <c r="I278" s="718"/>
      <c r="J278" s="718"/>
      <c r="K278" s="718"/>
      <c r="L278" s="718"/>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811</v>
      </c>
      <c r="B279" s="826"/>
      <c r="C279" s="829"/>
      <c r="D279" s="717"/>
      <c r="E279" s="831"/>
      <c r="F279" s="718"/>
      <c r="G279" s="718"/>
      <c r="H279" s="824"/>
      <c r="I279" s="718"/>
      <c r="J279" s="718"/>
      <c r="K279" s="718"/>
      <c r="L279" s="718"/>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812</v>
      </c>
      <c r="B280" s="826"/>
      <c r="C280" s="829"/>
      <c r="D280" s="717"/>
      <c r="E280" s="831"/>
      <c r="F280" s="718"/>
      <c r="G280" s="718"/>
      <c r="H280" s="824"/>
      <c r="I280" s="718"/>
      <c r="J280" s="718"/>
      <c r="K280" s="718"/>
      <c r="L280" s="718"/>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813</v>
      </c>
      <c r="B281" s="826"/>
      <c r="C281" s="829"/>
      <c r="D281" s="717"/>
      <c r="E281" s="831"/>
      <c r="F281" s="718"/>
      <c r="G281" s="718"/>
      <c r="H281" s="824"/>
      <c r="I281" s="718"/>
      <c r="J281" s="718"/>
      <c r="K281" s="718"/>
      <c r="L281" s="718"/>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814</v>
      </c>
      <c r="B282" s="827"/>
      <c r="C282" s="829"/>
      <c r="D282" s="717"/>
      <c r="E282" s="831"/>
      <c r="F282" s="718"/>
      <c r="G282" s="718"/>
      <c r="H282" s="719"/>
      <c r="I282" s="718"/>
      <c r="J282" s="718"/>
      <c r="K282" s="718"/>
      <c r="L282" s="718"/>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815</v>
      </c>
      <c r="B283" s="825"/>
      <c r="C283" s="828" t="str">
        <f>IFERROR(INDEX('Riesgos de Corrupción'!$B$11:$BN$100,MATCH('Mapa Riesgo Corrupción'!B283,'Riesgos de Corrupción'!$B$11:$B$100,0),2),"")</f>
        <v/>
      </c>
      <c r="D283" s="716" t="str">
        <f>IFERROR(INDEX('Riesgos de Corrupción'!$B$11:$BN$100,MATCH('Mapa Riesgo Corrupción'!B283,'Riesgos de Corrupción'!$B$11:$B$100,0),4),"")</f>
        <v/>
      </c>
      <c r="E283" s="830" t="str">
        <f>IFERROR(INDEX('Riesgos de Corrupción'!$B$11:$BN$100,MATCH('Mapa Riesgo Corrupción'!B283,'Riesgos de Corrupción'!$B$11:$B$100,0),5),"")</f>
        <v/>
      </c>
      <c r="F283" s="720" t="str">
        <f>IFERROR(INDEX('Riesgos de Corrupción'!$B$11:$BN$100,MATCH('Mapa Riesgo Corrupción'!B283,'Riesgos de Corrupción'!$B$11:$B$100,0),18),"")</f>
        <v/>
      </c>
      <c r="G283" s="720" t="str">
        <f>IFERROR(INDEX('Riesgos de Corrupción'!$B$11:$BN$100,MATCH('Mapa Riesgo Corrupción'!B283,'Riesgos de Corrupción'!$B$11:$B$100,0),63),"")</f>
        <v/>
      </c>
      <c r="H283" s="823" t="str">
        <f>IFERROR(INDEX('Riesgos de Corrupción'!$B$11:$BN$100,MATCH('Mapa Riesgo Corrupción'!B283,'Riesgos de Corrupción'!$B$11:$B$100,0),64),"")</f>
        <v/>
      </c>
      <c r="I283" s="720" t="str">
        <f>IFERROR(INDEX('Controles de Corrupción'!$C$10:$AZ$251,MATCH('Mapa Riesgo Corrupción'!B283,'Controles de Corrupción'!$C$10:$C$251,0),33),"")</f>
        <v/>
      </c>
      <c r="J283" s="720" t="str">
        <f>IFERROR(INDEX('Controles de Corrupción'!$C$10:$AZ$251,MATCH('Mapa Riesgo Corrupción'!B283,'Controles de Corrupción'!$C$10:$C$251,0),36),"")</f>
        <v/>
      </c>
      <c r="K283" s="720" t="str">
        <f>IFERROR(INDEX('Controles de Corrupción'!$C$10:$AZ$251,MATCH('Mapa Riesgo Corrupción'!B283,'Controles de Corrupción'!$C$10:$C$251,0),37),"")</f>
        <v/>
      </c>
      <c r="L283" s="720"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816</v>
      </c>
      <c r="B284" s="826"/>
      <c r="C284" s="829"/>
      <c r="D284" s="717"/>
      <c r="E284" s="831"/>
      <c r="F284" s="718"/>
      <c r="G284" s="718"/>
      <c r="H284" s="824"/>
      <c r="I284" s="718"/>
      <c r="J284" s="718"/>
      <c r="K284" s="718"/>
      <c r="L284" s="718"/>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817</v>
      </c>
      <c r="B285" s="826"/>
      <c r="C285" s="829"/>
      <c r="D285" s="717"/>
      <c r="E285" s="831"/>
      <c r="F285" s="718"/>
      <c r="G285" s="718"/>
      <c r="H285" s="824"/>
      <c r="I285" s="718"/>
      <c r="J285" s="718"/>
      <c r="K285" s="718"/>
      <c r="L285" s="718"/>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818</v>
      </c>
      <c r="B286" s="826"/>
      <c r="C286" s="829"/>
      <c r="D286" s="717"/>
      <c r="E286" s="831"/>
      <c r="F286" s="718"/>
      <c r="G286" s="718"/>
      <c r="H286" s="824"/>
      <c r="I286" s="718"/>
      <c r="J286" s="718"/>
      <c r="K286" s="718"/>
      <c r="L286" s="718"/>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819</v>
      </c>
      <c r="B287" s="826"/>
      <c r="C287" s="829"/>
      <c r="D287" s="717"/>
      <c r="E287" s="831"/>
      <c r="F287" s="718"/>
      <c r="G287" s="718"/>
      <c r="H287" s="824"/>
      <c r="I287" s="718"/>
      <c r="J287" s="718"/>
      <c r="K287" s="718"/>
      <c r="L287" s="718"/>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820</v>
      </c>
      <c r="B288" s="827"/>
      <c r="C288" s="829"/>
      <c r="D288" s="717"/>
      <c r="E288" s="831"/>
      <c r="F288" s="718"/>
      <c r="G288" s="718"/>
      <c r="H288" s="719"/>
      <c r="I288" s="718"/>
      <c r="J288" s="718"/>
      <c r="K288" s="718"/>
      <c r="L288" s="718"/>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821</v>
      </c>
      <c r="B289" s="825"/>
      <c r="C289" s="828" t="str">
        <f>IFERROR(INDEX('Riesgos de Corrupción'!$B$11:$BN$100,MATCH('Mapa Riesgo Corrupción'!B289,'Riesgos de Corrupción'!$B$11:$B$100,0),2),"")</f>
        <v/>
      </c>
      <c r="D289" s="716" t="str">
        <f>IFERROR(INDEX('Riesgos de Corrupción'!$B$11:$BN$100,MATCH('Mapa Riesgo Corrupción'!B289,'Riesgos de Corrupción'!$B$11:$B$100,0),4),"")</f>
        <v/>
      </c>
      <c r="E289" s="830" t="str">
        <f>IFERROR(INDEX('Riesgos de Corrupción'!$B$11:$BN$100,MATCH('Mapa Riesgo Corrupción'!B289,'Riesgos de Corrupción'!$B$11:$B$100,0),5),"")</f>
        <v/>
      </c>
      <c r="F289" s="720" t="str">
        <f>IFERROR(INDEX('Riesgos de Corrupción'!$B$11:$BN$100,MATCH('Mapa Riesgo Corrupción'!B289,'Riesgos de Corrupción'!$B$11:$B$100,0),18),"")</f>
        <v/>
      </c>
      <c r="G289" s="720" t="str">
        <f>IFERROR(INDEX('Riesgos de Corrupción'!$B$11:$BN$100,MATCH('Mapa Riesgo Corrupción'!B289,'Riesgos de Corrupción'!$B$11:$B$100,0),63),"")</f>
        <v/>
      </c>
      <c r="H289" s="823" t="str">
        <f>IFERROR(INDEX('Riesgos de Corrupción'!$B$11:$BN$100,MATCH('Mapa Riesgo Corrupción'!B289,'Riesgos de Corrupción'!$B$11:$B$100,0),64),"")</f>
        <v/>
      </c>
      <c r="I289" s="720" t="str">
        <f>IFERROR(INDEX('Controles de Corrupción'!$C$10:$AZ$251,MATCH('Mapa Riesgo Corrupción'!B289,'Controles de Corrupción'!$C$10:$C$251,0),33),"")</f>
        <v/>
      </c>
      <c r="J289" s="720" t="str">
        <f>IFERROR(INDEX('Controles de Corrupción'!$C$10:$AZ$251,MATCH('Mapa Riesgo Corrupción'!B289,'Controles de Corrupción'!$C$10:$C$251,0),36),"")</f>
        <v/>
      </c>
      <c r="K289" s="720" t="str">
        <f>IFERROR(INDEX('Controles de Corrupción'!$C$10:$AZ$251,MATCH('Mapa Riesgo Corrupción'!B289,'Controles de Corrupción'!$C$10:$C$251,0),37),"")</f>
        <v/>
      </c>
      <c r="L289" s="720"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822</v>
      </c>
      <c r="B290" s="826"/>
      <c r="C290" s="829"/>
      <c r="D290" s="717"/>
      <c r="E290" s="831"/>
      <c r="F290" s="718"/>
      <c r="G290" s="718"/>
      <c r="H290" s="824"/>
      <c r="I290" s="718"/>
      <c r="J290" s="718"/>
      <c r="K290" s="718"/>
      <c r="L290" s="718"/>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823</v>
      </c>
      <c r="B291" s="826"/>
      <c r="C291" s="829"/>
      <c r="D291" s="717"/>
      <c r="E291" s="831"/>
      <c r="F291" s="718"/>
      <c r="G291" s="718"/>
      <c r="H291" s="824"/>
      <c r="I291" s="718"/>
      <c r="J291" s="718"/>
      <c r="K291" s="718"/>
      <c r="L291" s="718"/>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824</v>
      </c>
      <c r="B292" s="826"/>
      <c r="C292" s="829"/>
      <c r="D292" s="717"/>
      <c r="E292" s="831"/>
      <c r="F292" s="718"/>
      <c r="G292" s="718"/>
      <c r="H292" s="824"/>
      <c r="I292" s="718"/>
      <c r="J292" s="718"/>
      <c r="K292" s="718"/>
      <c r="L292" s="718"/>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825</v>
      </c>
      <c r="B293" s="826"/>
      <c r="C293" s="829"/>
      <c r="D293" s="717"/>
      <c r="E293" s="831"/>
      <c r="F293" s="718"/>
      <c r="G293" s="718"/>
      <c r="H293" s="824"/>
      <c r="I293" s="718"/>
      <c r="J293" s="718"/>
      <c r="K293" s="718"/>
      <c r="L293" s="718"/>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826</v>
      </c>
      <c r="B294" s="827"/>
      <c r="C294" s="829"/>
      <c r="D294" s="717"/>
      <c r="E294" s="831"/>
      <c r="F294" s="718"/>
      <c r="G294" s="718"/>
      <c r="H294" s="719"/>
      <c r="I294" s="718"/>
      <c r="J294" s="718"/>
      <c r="K294" s="718"/>
      <c r="L294" s="718"/>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827</v>
      </c>
      <c r="B295" s="825"/>
      <c r="C295" s="828" t="str">
        <f>IFERROR(INDEX('Riesgos de Corrupción'!$B$11:$BN$100,MATCH('Mapa Riesgo Corrupción'!B295,'Riesgos de Corrupción'!$B$11:$B$100,0),2),"")</f>
        <v/>
      </c>
      <c r="D295" s="716" t="str">
        <f>IFERROR(INDEX('Riesgos de Corrupción'!$B$11:$BN$100,MATCH('Mapa Riesgo Corrupción'!B295,'Riesgos de Corrupción'!$B$11:$B$100,0),4),"")</f>
        <v/>
      </c>
      <c r="E295" s="830" t="str">
        <f>IFERROR(INDEX('Riesgos de Corrupción'!$B$11:$BN$100,MATCH('Mapa Riesgo Corrupción'!B295,'Riesgos de Corrupción'!$B$11:$B$100,0),5),"")</f>
        <v/>
      </c>
      <c r="F295" s="720" t="str">
        <f>IFERROR(INDEX('Riesgos de Corrupción'!$B$11:$BN$100,MATCH('Mapa Riesgo Corrupción'!B295,'Riesgos de Corrupción'!$B$11:$B$100,0),18),"")</f>
        <v/>
      </c>
      <c r="G295" s="720" t="str">
        <f>IFERROR(INDEX('Riesgos de Corrupción'!$B$11:$BN$100,MATCH('Mapa Riesgo Corrupción'!B295,'Riesgos de Corrupción'!$B$11:$B$100,0),63),"")</f>
        <v/>
      </c>
      <c r="H295" s="823" t="str">
        <f>IFERROR(INDEX('Riesgos de Corrupción'!$B$11:$BN$100,MATCH('Mapa Riesgo Corrupción'!B295,'Riesgos de Corrupción'!$B$11:$B$100,0),64),"")</f>
        <v/>
      </c>
      <c r="I295" s="720" t="str">
        <f>IFERROR(INDEX('Controles de Corrupción'!$C$10:$AZ$251,MATCH('Mapa Riesgo Corrupción'!B295,'Controles de Corrupción'!$C$10:$C$251,0),33),"")</f>
        <v/>
      </c>
      <c r="J295" s="720" t="str">
        <f>IFERROR(INDEX('Controles de Corrupción'!$C$10:$AZ$251,MATCH('Mapa Riesgo Corrupción'!B295,'Controles de Corrupción'!$C$10:$C$251,0),36),"")</f>
        <v/>
      </c>
      <c r="K295" s="720" t="str">
        <f>IFERROR(INDEX('Controles de Corrupción'!$C$10:$AZ$251,MATCH('Mapa Riesgo Corrupción'!B295,'Controles de Corrupción'!$C$10:$C$251,0),37),"")</f>
        <v/>
      </c>
      <c r="L295" s="720"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828</v>
      </c>
      <c r="B296" s="826"/>
      <c r="C296" s="829"/>
      <c r="D296" s="717"/>
      <c r="E296" s="831"/>
      <c r="F296" s="718"/>
      <c r="G296" s="718"/>
      <c r="H296" s="824"/>
      <c r="I296" s="718"/>
      <c r="J296" s="718"/>
      <c r="K296" s="718"/>
      <c r="L296" s="718"/>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829</v>
      </c>
      <c r="B297" s="826"/>
      <c r="C297" s="829"/>
      <c r="D297" s="717"/>
      <c r="E297" s="831"/>
      <c r="F297" s="718"/>
      <c r="G297" s="718"/>
      <c r="H297" s="824"/>
      <c r="I297" s="718"/>
      <c r="J297" s="718"/>
      <c r="K297" s="718"/>
      <c r="L297" s="718"/>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830</v>
      </c>
      <c r="B298" s="826"/>
      <c r="C298" s="829"/>
      <c r="D298" s="717"/>
      <c r="E298" s="831"/>
      <c r="F298" s="718"/>
      <c r="G298" s="718"/>
      <c r="H298" s="824"/>
      <c r="I298" s="718"/>
      <c r="J298" s="718"/>
      <c r="K298" s="718"/>
      <c r="L298" s="718"/>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831</v>
      </c>
      <c r="B299" s="826"/>
      <c r="C299" s="829"/>
      <c r="D299" s="717"/>
      <c r="E299" s="831"/>
      <c r="F299" s="718"/>
      <c r="G299" s="718"/>
      <c r="H299" s="824"/>
      <c r="I299" s="718"/>
      <c r="J299" s="718"/>
      <c r="K299" s="718"/>
      <c r="L299" s="718"/>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832</v>
      </c>
      <c r="B300" s="827"/>
      <c r="C300" s="829"/>
      <c r="D300" s="717"/>
      <c r="E300" s="831"/>
      <c r="F300" s="718"/>
      <c r="G300" s="718"/>
      <c r="H300" s="719"/>
      <c r="I300" s="718"/>
      <c r="J300" s="718"/>
      <c r="K300" s="718"/>
      <c r="L300" s="718"/>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833</v>
      </c>
      <c r="B301" s="825"/>
      <c r="C301" s="828" t="str">
        <f>IFERROR(INDEX('Riesgos de Corrupción'!$B$11:$BN$100,MATCH('Mapa Riesgo Corrupción'!B301,'Riesgos de Corrupción'!$B$11:$B$100,0),2),"")</f>
        <v/>
      </c>
      <c r="D301" s="716" t="str">
        <f>IFERROR(INDEX('Riesgos de Corrupción'!$B$11:$BN$100,MATCH('Mapa Riesgo Corrupción'!B301,'Riesgos de Corrupción'!$B$11:$B$100,0),4),"")</f>
        <v/>
      </c>
      <c r="E301" s="830" t="str">
        <f>IFERROR(INDEX('Riesgos de Corrupción'!$B$11:$BN$100,MATCH('Mapa Riesgo Corrupción'!B301,'Riesgos de Corrupción'!$B$11:$B$100,0),5),"")</f>
        <v/>
      </c>
      <c r="F301" s="720" t="str">
        <f>IFERROR(INDEX('Riesgos de Corrupción'!$B$11:$BN$100,MATCH('Mapa Riesgo Corrupción'!B301,'Riesgos de Corrupción'!$B$11:$B$100,0),18),"")</f>
        <v/>
      </c>
      <c r="G301" s="720" t="str">
        <f>IFERROR(INDEX('Riesgos de Corrupción'!$B$11:$BN$100,MATCH('Mapa Riesgo Corrupción'!B301,'Riesgos de Corrupción'!$B$11:$B$100,0),63),"")</f>
        <v/>
      </c>
      <c r="H301" s="823" t="str">
        <f>IFERROR(INDEX('Riesgos de Corrupción'!$B$11:$BN$100,MATCH('Mapa Riesgo Corrupción'!B301,'Riesgos de Corrupción'!$B$11:$B$100,0),64),"")</f>
        <v/>
      </c>
      <c r="I301" s="720" t="str">
        <f>IFERROR(INDEX('Controles de Corrupción'!$C$10:$AZ$251,MATCH('Mapa Riesgo Corrupción'!B301,'Controles de Corrupción'!$C$10:$C$251,0),33),"")</f>
        <v/>
      </c>
      <c r="J301" s="720" t="str">
        <f>IFERROR(INDEX('Controles de Corrupción'!$C$10:$AZ$251,MATCH('Mapa Riesgo Corrupción'!B301,'Controles de Corrupción'!$C$10:$C$251,0),36),"")</f>
        <v/>
      </c>
      <c r="K301" s="720" t="str">
        <f>IFERROR(INDEX('Controles de Corrupción'!$C$10:$AZ$251,MATCH('Mapa Riesgo Corrupción'!B301,'Controles de Corrupción'!$C$10:$C$251,0),37),"")</f>
        <v/>
      </c>
      <c r="L301" s="720"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834</v>
      </c>
      <c r="B302" s="826"/>
      <c r="C302" s="829"/>
      <c r="D302" s="717"/>
      <c r="E302" s="831"/>
      <c r="F302" s="718"/>
      <c r="G302" s="718"/>
      <c r="H302" s="824"/>
      <c r="I302" s="718"/>
      <c r="J302" s="718"/>
      <c r="K302" s="718"/>
      <c r="L302" s="718"/>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835</v>
      </c>
      <c r="B303" s="826"/>
      <c r="C303" s="829"/>
      <c r="D303" s="717"/>
      <c r="E303" s="831"/>
      <c r="F303" s="718"/>
      <c r="G303" s="718"/>
      <c r="H303" s="824"/>
      <c r="I303" s="718"/>
      <c r="J303" s="718"/>
      <c r="K303" s="718"/>
      <c r="L303" s="718"/>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836</v>
      </c>
      <c r="B304" s="826"/>
      <c r="C304" s="829"/>
      <c r="D304" s="717"/>
      <c r="E304" s="831"/>
      <c r="F304" s="718"/>
      <c r="G304" s="718"/>
      <c r="H304" s="824"/>
      <c r="I304" s="718"/>
      <c r="J304" s="718"/>
      <c r="K304" s="718"/>
      <c r="L304" s="718"/>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837</v>
      </c>
      <c r="B305" s="826"/>
      <c r="C305" s="829"/>
      <c r="D305" s="717"/>
      <c r="E305" s="831"/>
      <c r="F305" s="718"/>
      <c r="G305" s="718"/>
      <c r="H305" s="824"/>
      <c r="I305" s="718"/>
      <c r="J305" s="718"/>
      <c r="K305" s="718"/>
      <c r="L305" s="718"/>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838</v>
      </c>
      <c r="B306" s="827"/>
      <c r="C306" s="829"/>
      <c r="D306" s="717"/>
      <c r="E306" s="831"/>
      <c r="F306" s="718"/>
      <c r="G306" s="718"/>
      <c r="H306" s="719"/>
      <c r="I306" s="718"/>
      <c r="J306" s="718"/>
      <c r="K306" s="718"/>
      <c r="L306" s="718"/>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839</v>
      </c>
      <c r="B307" s="825"/>
      <c r="C307" s="828" t="str">
        <f>IFERROR(INDEX('Riesgos de Corrupción'!$B$11:$BN$100,MATCH('Mapa Riesgo Corrupción'!B307,'Riesgos de Corrupción'!$B$11:$B$100,0),2),"")</f>
        <v/>
      </c>
      <c r="D307" s="716" t="str">
        <f>IFERROR(INDEX('Riesgos de Corrupción'!$B$11:$BN$100,MATCH('Mapa Riesgo Corrupción'!B307,'Riesgos de Corrupción'!$B$11:$B$100,0),4),"")</f>
        <v/>
      </c>
      <c r="E307" s="830" t="str">
        <f>IFERROR(INDEX('Riesgos de Corrupción'!$B$11:$BN$100,MATCH('Mapa Riesgo Corrupción'!B307,'Riesgos de Corrupción'!$B$11:$B$100,0),5),"")</f>
        <v/>
      </c>
      <c r="F307" s="720" t="str">
        <f>IFERROR(INDEX('Riesgos de Corrupción'!$B$11:$BN$100,MATCH('Mapa Riesgo Corrupción'!B307,'Riesgos de Corrupción'!$B$11:$B$100,0),18),"")</f>
        <v/>
      </c>
      <c r="G307" s="720" t="str">
        <f>IFERROR(INDEX('Riesgos de Corrupción'!$B$11:$BN$100,MATCH('Mapa Riesgo Corrupción'!B307,'Riesgos de Corrupción'!$B$11:$B$100,0),63),"")</f>
        <v/>
      </c>
      <c r="H307" s="823" t="str">
        <f>IFERROR(INDEX('Riesgos de Corrupción'!$B$11:$BN$100,MATCH('Mapa Riesgo Corrupción'!B307,'Riesgos de Corrupción'!$B$11:$B$100,0),64),"")</f>
        <v/>
      </c>
      <c r="I307" s="720" t="str">
        <f>IFERROR(INDEX('Controles de Corrupción'!$C$10:$AZ$251,MATCH('Mapa Riesgo Corrupción'!B307,'Controles de Corrupción'!$C$10:$C$251,0),33),"")</f>
        <v/>
      </c>
      <c r="J307" s="720" t="str">
        <f>IFERROR(INDEX('Controles de Corrupción'!$C$10:$AZ$251,MATCH('Mapa Riesgo Corrupción'!B307,'Controles de Corrupción'!$C$10:$C$251,0),36),"")</f>
        <v/>
      </c>
      <c r="K307" s="720" t="str">
        <f>IFERROR(INDEX('Controles de Corrupción'!$C$10:$AZ$251,MATCH('Mapa Riesgo Corrupción'!B307,'Controles de Corrupción'!$C$10:$C$251,0),37),"")</f>
        <v/>
      </c>
      <c r="L307" s="720"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840</v>
      </c>
      <c r="B308" s="826"/>
      <c r="C308" s="829"/>
      <c r="D308" s="717"/>
      <c r="E308" s="831"/>
      <c r="F308" s="718"/>
      <c r="G308" s="718"/>
      <c r="H308" s="824"/>
      <c r="I308" s="718"/>
      <c r="J308" s="718"/>
      <c r="K308" s="718"/>
      <c r="L308" s="718"/>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841</v>
      </c>
      <c r="B309" s="826"/>
      <c r="C309" s="829"/>
      <c r="D309" s="717"/>
      <c r="E309" s="831"/>
      <c r="F309" s="718"/>
      <c r="G309" s="718"/>
      <c r="H309" s="824"/>
      <c r="I309" s="718"/>
      <c r="J309" s="718"/>
      <c r="K309" s="718"/>
      <c r="L309" s="718"/>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842</v>
      </c>
      <c r="B310" s="826"/>
      <c r="C310" s="829"/>
      <c r="D310" s="717"/>
      <c r="E310" s="831"/>
      <c r="F310" s="718"/>
      <c r="G310" s="718"/>
      <c r="H310" s="824"/>
      <c r="I310" s="718"/>
      <c r="J310" s="718"/>
      <c r="K310" s="718"/>
      <c r="L310" s="718"/>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843</v>
      </c>
      <c r="B311" s="826"/>
      <c r="C311" s="829"/>
      <c r="D311" s="717"/>
      <c r="E311" s="831"/>
      <c r="F311" s="718"/>
      <c r="G311" s="718"/>
      <c r="H311" s="824"/>
      <c r="I311" s="718"/>
      <c r="J311" s="718"/>
      <c r="K311" s="718"/>
      <c r="L311" s="718"/>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844</v>
      </c>
      <c r="B312" s="827"/>
      <c r="C312" s="829"/>
      <c r="D312" s="717"/>
      <c r="E312" s="831"/>
      <c r="F312" s="718"/>
      <c r="G312" s="718"/>
      <c r="H312" s="719"/>
      <c r="I312" s="718"/>
      <c r="J312" s="718"/>
      <c r="K312" s="718"/>
      <c r="L312" s="718"/>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845</v>
      </c>
      <c r="B313" s="825"/>
      <c r="C313" s="828" t="str">
        <f>IFERROR(INDEX('Riesgos de Corrupción'!$B$11:$BN$100,MATCH('Mapa Riesgo Corrupción'!B313,'Riesgos de Corrupción'!$B$11:$B$100,0),2),"")</f>
        <v/>
      </c>
      <c r="D313" s="716" t="str">
        <f>IFERROR(INDEX('Riesgos de Corrupción'!$B$11:$BN$100,MATCH('Mapa Riesgo Corrupción'!B313,'Riesgos de Corrupción'!$B$11:$B$100,0),4),"")</f>
        <v/>
      </c>
      <c r="E313" s="830" t="str">
        <f>IFERROR(INDEX('Riesgos de Corrupción'!$B$11:$BN$100,MATCH('Mapa Riesgo Corrupción'!B313,'Riesgos de Corrupción'!$B$11:$B$100,0),5),"")</f>
        <v/>
      </c>
      <c r="F313" s="720" t="str">
        <f>IFERROR(INDEX('Riesgos de Corrupción'!$B$11:$BN$100,MATCH('Mapa Riesgo Corrupción'!B313,'Riesgos de Corrupción'!$B$11:$B$100,0),18),"")</f>
        <v/>
      </c>
      <c r="G313" s="720" t="str">
        <f>IFERROR(INDEX('Riesgos de Corrupción'!$B$11:$BN$100,MATCH('Mapa Riesgo Corrupción'!B313,'Riesgos de Corrupción'!$B$11:$B$100,0),63),"")</f>
        <v/>
      </c>
      <c r="H313" s="823" t="str">
        <f>IFERROR(INDEX('Riesgos de Corrupción'!$B$11:$BN$100,MATCH('Mapa Riesgo Corrupción'!B313,'Riesgos de Corrupción'!$B$11:$B$100,0),64),"")</f>
        <v/>
      </c>
      <c r="I313" s="720" t="str">
        <f>IFERROR(INDEX('Controles de Corrupción'!$C$10:$AZ$251,MATCH('Mapa Riesgo Corrupción'!B313,'Controles de Corrupción'!$C$10:$C$251,0),33),"")</f>
        <v/>
      </c>
      <c r="J313" s="720" t="str">
        <f>IFERROR(INDEX('Controles de Corrupción'!$C$10:$AZ$251,MATCH('Mapa Riesgo Corrupción'!B313,'Controles de Corrupción'!$C$10:$C$251,0),36),"")</f>
        <v/>
      </c>
      <c r="K313" s="720" t="str">
        <f>IFERROR(INDEX('Controles de Corrupción'!$C$10:$AZ$251,MATCH('Mapa Riesgo Corrupción'!B313,'Controles de Corrupción'!$C$10:$C$251,0),37),"")</f>
        <v/>
      </c>
      <c r="L313" s="720"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846</v>
      </c>
      <c r="B314" s="826"/>
      <c r="C314" s="829"/>
      <c r="D314" s="717"/>
      <c r="E314" s="831"/>
      <c r="F314" s="718"/>
      <c r="G314" s="718"/>
      <c r="H314" s="824"/>
      <c r="I314" s="718"/>
      <c r="J314" s="718"/>
      <c r="K314" s="718"/>
      <c r="L314" s="718"/>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847</v>
      </c>
      <c r="B315" s="826"/>
      <c r="C315" s="829"/>
      <c r="D315" s="717"/>
      <c r="E315" s="831"/>
      <c r="F315" s="718"/>
      <c r="G315" s="718"/>
      <c r="H315" s="824"/>
      <c r="I315" s="718"/>
      <c r="J315" s="718"/>
      <c r="K315" s="718"/>
      <c r="L315" s="718"/>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848</v>
      </c>
      <c r="B316" s="826"/>
      <c r="C316" s="829"/>
      <c r="D316" s="717"/>
      <c r="E316" s="831"/>
      <c r="F316" s="718"/>
      <c r="G316" s="718"/>
      <c r="H316" s="824"/>
      <c r="I316" s="718"/>
      <c r="J316" s="718"/>
      <c r="K316" s="718"/>
      <c r="L316" s="718"/>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849</v>
      </c>
      <c r="B317" s="826"/>
      <c r="C317" s="829"/>
      <c r="D317" s="717"/>
      <c r="E317" s="831"/>
      <c r="F317" s="718"/>
      <c r="G317" s="718"/>
      <c r="H317" s="824"/>
      <c r="I317" s="718"/>
      <c r="J317" s="718"/>
      <c r="K317" s="718"/>
      <c r="L317" s="718"/>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850</v>
      </c>
      <c r="B318" s="827"/>
      <c r="C318" s="829"/>
      <c r="D318" s="717"/>
      <c r="E318" s="831"/>
      <c r="F318" s="718"/>
      <c r="G318" s="718"/>
      <c r="H318" s="719"/>
      <c r="I318" s="718"/>
      <c r="J318" s="718"/>
      <c r="K318" s="718"/>
      <c r="L318" s="718"/>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851</v>
      </c>
      <c r="B319" s="825"/>
      <c r="C319" s="828" t="str">
        <f>IFERROR(INDEX('Riesgos de Corrupción'!$B$11:$BN$100,MATCH('Mapa Riesgo Corrupción'!B319,'Riesgos de Corrupción'!$B$11:$B$100,0),2),"")</f>
        <v/>
      </c>
      <c r="D319" s="716" t="str">
        <f>IFERROR(INDEX('Riesgos de Corrupción'!$B$11:$BN$100,MATCH('Mapa Riesgo Corrupción'!B319,'Riesgos de Corrupción'!$B$11:$B$100,0),4),"")</f>
        <v/>
      </c>
      <c r="E319" s="830" t="str">
        <f>IFERROR(INDEX('Riesgos de Corrupción'!$B$11:$BN$100,MATCH('Mapa Riesgo Corrupción'!B319,'Riesgos de Corrupción'!$B$11:$B$100,0),5),"")</f>
        <v/>
      </c>
      <c r="F319" s="720" t="str">
        <f>IFERROR(INDEX('Riesgos de Corrupción'!$B$11:$BN$100,MATCH('Mapa Riesgo Corrupción'!B319,'Riesgos de Corrupción'!$B$11:$B$100,0),18),"")</f>
        <v/>
      </c>
      <c r="G319" s="720" t="str">
        <f>IFERROR(INDEX('Riesgos de Corrupción'!$B$11:$BN$100,MATCH('Mapa Riesgo Corrupción'!B319,'Riesgos de Corrupción'!$B$11:$B$100,0),63),"")</f>
        <v/>
      </c>
      <c r="H319" s="823" t="str">
        <f>IFERROR(INDEX('Riesgos de Corrupción'!$B$11:$BN$100,MATCH('Mapa Riesgo Corrupción'!B319,'Riesgos de Corrupción'!$B$11:$B$100,0),64),"")</f>
        <v/>
      </c>
      <c r="I319" s="720" t="str">
        <f>IFERROR(INDEX('Controles de Corrupción'!$C$10:$AZ$251,MATCH('Mapa Riesgo Corrupción'!B319,'Controles de Corrupción'!$C$10:$C$251,0),33),"")</f>
        <v/>
      </c>
      <c r="J319" s="720" t="str">
        <f>IFERROR(INDEX('Controles de Corrupción'!$C$10:$AZ$251,MATCH('Mapa Riesgo Corrupción'!B319,'Controles de Corrupción'!$C$10:$C$251,0),36),"")</f>
        <v/>
      </c>
      <c r="K319" s="720" t="str">
        <f>IFERROR(INDEX('Controles de Corrupción'!$C$10:$AZ$251,MATCH('Mapa Riesgo Corrupción'!B319,'Controles de Corrupción'!$C$10:$C$251,0),37),"")</f>
        <v/>
      </c>
      <c r="L319" s="720"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852</v>
      </c>
      <c r="B320" s="826"/>
      <c r="C320" s="829"/>
      <c r="D320" s="717"/>
      <c r="E320" s="831"/>
      <c r="F320" s="718"/>
      <c r="G320" s="718"/>
      <c r="H320" s="824"/>
      <c r="I320" s="718"/>
      <c r="J320" s="718"/>
      <c r="K320" s="718"/>
      <c r="L320" s="718"/>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853</v>
      </c>
      <c r="B321" s="826"/>
      <c r="C321" s="829"/>
      <c r="D321" s="717"/>
      <c r="E321" s="831"/>
      <c r="F321" s="718"/>
      <c r="G321" s="718"/>
      <c r="H321" s="824"/>
      <c r="I321" s="718"/>
      <c r="J321" s="718"/>
      <c r="K321" s="718"/>
      <c r="L321" s="718"/>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854</v>
      </c>
      <c r="B322" s="826"/>
      <c r="C322" s="829"/>
      <c r="D322" s="717"/>
      <c r="E322" s="831"/>
      <c r="F322" s="718"/>
      <c r="G322" s="718"/>
      <c r="H322" s="824"/>
      <c r="I322" s="718"/>
      <c r="J322" s="718"/>
      <c r="K322" s="718"/>
      <c r="L322" s="718"/>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855</v>
      </c>
      <c r="B323" s="826"/>
      <c r="C323" s="829"/>
      <c r="D323" s="717"/>
      <c r="E323" s="831"/>
      <c r="F323" s="718"/>
      <c r="G323" s="718"/>
      <c r="H323" s="824"/>
      <c r="I323" s="718"/>
      <c r="J323" s="718"/>
      <c r="K323" s="718"/>
      <c r="L323" s="718"/>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856</v>
      </c>
      <c r="B324" s="827"/>
      <c r="C324" s="829"/>
      <c r="D324" s="717"/>
      <c r="E324" s="831"/>
      <c r="F324" s="718"/>
      <c r="G324" s="718"/>
      <c r="H324" s="719"/>
      <c r="I324" s="718"/>
      <c r="J324" s="718"/>
      <c r="K324" s="718"/>
      <c r="L324" s="718"/>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857</v>
      </c>
      <c r="B325" s="825"/>
      <c r="C325" s="828" t="str">
        <f>IFERROR(INDEX('Riesgos de Corrupción'!$B$11:$BN$100,MATCH('Mapa Riesgo Corrupción'!B325,'Riesgos de Corrupción'!$B$11:$B$100,0),2),"")</f>
        <v/>
      </c>
      <c r="D325" s="716" t="str">
        <f>IFERROR(INDEX('Riesgos de Corrupción'!$B$11:$BN$100,MATCH('Mapa Riesgo Corrupción'!B325,'Riesgos de Corrupción'!$B$11:$B$100,0),4),"")</f>
        <v/>
      </c>
      <c r="E325" s="830" t="str">
        <f>IFERROR(INDEX('Riesgos de Corrupción'!$B$11:$BN$100,MATCH('Mapa Riesgo Corrupción'!B325,'Riesgos de Corrupción'!$B$11:$B$100,0),5),"")</f>
        <v/>
      </c>
      <c r="F325" s="720" t="str">
        <f>IFERROR(INDEX('Riesgos de Corrupción'!$B$11:$BN$100,MATCH('Mapa Riesgo Corrupción'!B325,'Riesgos de Corrupción'!$B$11:$B$100,0),18),"")</f>
        <v/>
      </c>
      <c r="G325" s="720" t="str">
        <f>IFERROR(INDEX('Riesgos de Corrupción'!$B$11:$BN$100,MATCH('Mapa Riesgo Corrupción'!B325,'Riesgos de Corrupción'!$B$11:$B$100,0),63),"")</f>
        <v/>
      </c>
      <c r="H325" s="823" t="str">
        <f>IFERROR(INDEX('Riesgos de Corrupción'!$B$11:$BN$100,MATCH('Mapa Riesgo Corrupción'!B325,'Riesgos de Corrupción'!$B$11:$B$100,0),64),"")</f>
        <v/>
      </c>
      <c r="I325" s="720" t="str">
        <f>IFERROR(INDEX('Controles de Corrupción'!$C$10:$AZ$251,MATCH('Mapa Riesgo Corrupción'!B325,'Controles de Corrupción'!$C$10:$C$251,0),33),"")</f>
        <v/>
      </c>
      <c r="J325" s="720" t="str">
        <f>IFERROR(INDEX('Controles de Corrupción'!$C$10:$AZ$251,MATCH('Mapa Riesgo Corrupción'!B325,'Controles de Corrupción'!$C$10:$C$251,0),36),"")</f>
        <v/>
      </c>
      <c r="K325" s="720" t="str">
        <f>IFERROR(INDEX('Controles de Corrupción'!$C$10:$AZ$251,MATCH('Mapa Riesgo Corrupción'!B325,'Controles de Corrupción'!$C$10:$C$251,0),37),"")</f>
        <v/>
      </c>
      <c r="L325" s="720"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858</v>
      </c>
      <c r="B326" s="826"/>
      <c r="C326" s="829"/>
      <c r="D326" s="717"/>
      <c r="E326" s="831"/>
      <c r="F326" s="718"/>
      <c r="G326" s="718"/>
      <c r="H326" s="824"/>
      <c r="I326" s="718"/>
      <c r="J326" s="718"/>
      <c r="K326" s="718"/>
      <c r="L326" s="718"/>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859</v>
      </c>
      <c r="B327" s="826"/>
      <c r="C327" s="829"/>
      <c r="D327" s="717"/>
      <c r="E327" s="831"/>
      <c r="F327" s="718"/>
      <c r="G327" s="718"/>
      <c r="H327" s="824"/>
      <c r="I327" s="718"/>
      <c r="J327" s="718"/>
      <c r="K327" s="718"/>
      <c r="L327" s="718"/>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860</v>
      </c>
      <c r="B328" s="826"/>
      <c r="C328" s="829"/>
      <c r="D328" s="717"/>
      <c r="E328" s="831"/>
      <c r="F328" s="718"/>
      <c r="G328" s="718"/>
      <c r="H328" s="824"/>
      <c r="I328" s="718"/>
      <c r="J328" s="718"/>
      <c r="K328" s="718"/>
      <c r="L328" s="718"/>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861</v>
      </c>
      <c r="B329" s="826"/>
      <c r="C329" s="829"/>
      <c r="D329" s="717"/>
      <c r="E329" s="831"/>
      <c r="F329" s="718"/>
      <c r="G329" s="718"/>
      <c r="H329" s="824"/>
      <c r="I329" s="718"/>
      <c r="J329" s="718"/>
      <c r="K329" s="718"/>
      <c r="L329" s="718"/>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862</v>
      </c>
      <c r="B330" s="827"/>
      <c r="C330" s="829"/>
      <c r="D330" s="717"/>
      <c r="E330" s="831"/>
      <c r="F330" s="718"/>
      <c r="G330" s="718"/>
      <c r="H330" s="719"/>
      <c r="I330" s="718"/>
      <c r="J330" s="718"/>
      <c r="K330" s="718"/>
      <c r="L330" s="718"/>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863</v>
      </c>
      <c r="B331" s="825"/>
      <c r="C331" s="828" t="str">
        <f>IFERROR(INDEX('Riesgos de Corrupción'!$B$11:$BN$100,MATCH('Mapa Riesgo Corrupción'!B331,'Riesgos de Corrupción'!$B$11:$B$100,0),2),"")</f>
        <v/>
      </c>
      <c r="D331" s="716" t="str">
        <f>IFERROR(INDEX('Riesgos de Corrupción'!$B$11:$BN$100,MATCH('Mapa Riesgo Corrupción'!B331,'Riesgos de Corrupción'!$B$11:$B$100,0),4),"")</f>
        <v/>
      </c>
      <c r="E331" s="830" t="str">
        <f>IFERROR(INDEX('Riesgos de Corrupción'!$B$11:$BN$100,MATCH('Mapa Riesgo Corrupción'!B331,'Riesgos de Corrupción'!$B$11:$B$100,0),5),"")</f>
        <v/>
      </c>
      <c r="F331" s="720" t="str">
        <f>IFERROR(INDEX('Riesgos de Corrupción'!$B$11:$BN$100,MATCH('Mapa Riesgo Corrupción'!B331,'Riesgos de Corrupción'!$B$11:$B$100,0),18),"")</f>
        <v/>
      </c>
      <c r="G331" s="720" t="str">
        <f>IFERROR(INDEX('Riesgos de Corrupción'!$B$11:$BN$100,MATCH('Mapa Riesgo Corrupción'!B331,'Riesgos de Corrupción'!$B$11:$B$100,0),63),"")</f>
        <v/>
      </c>
      <c r="H331" s="823" t="str">
        <f>IFERROR(INDEX('Riesgos de Corrupción'!$B$11:$BN$100,MATCH('Mapa Riesgo Corrupción'!B331,'Riesgos de Corrupción'!$B$11:$B$100,0),64),"")</f>
        <v/>
      </c>
      <c r="I331" s="720" t="str">
        <f>IFERROR(INDEX('Controles de Corrupción'!$C$10:$AZ$251,MATCH('Mapa Riesgo Corrupción'!B331,'Controles de Corrupción'!$C$10:$C$251,0),33),"")</f>
        <v/>
      </c>
      <c r="J331" s="720" t="str">
        <f>IFERROR(INDEX('Controles de Corrupción'!$C$10:$AZ$251,MATCH('Mapa Riesgo Corrupción'!B331,'Controles de Corrupción'!$C$10:$C$251,0),36),"")</f>
        <v/>
      </c>
      <c r="K331" s="720" t="str">
        <f>IFERROR(INDEX('Controles de Corrupción'!$C$10:$AZ$251,MATCH('Mapa Riesgo Corrupción'!B331,'Controles de Corrupción'!$C$10:$C$251,0),37),"")</f>
        <v/>
      </c>
      <c r="L331" s="720"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864</v>
      </c>
      <c r="B332" s="826"/>
      <c r="C332" s="829"/>
      <c r="D332" s="717"/>
      <c r="E332" s="831"/>
      <c r="F332" s="718"/>
      <c r="G332" s="718"/>
      <c r="H332" s="824"/>
      <c r="I332" s="718"/>
      <c r="J332" s="718"/>
      <c r="K332" s="718"/>
      <c r="L332" s="718"/>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865</v>
      </c>
      <c r="B333" s="826"/>
      <c r="C333" s="829"/>
      <c r="D333" s="717"/>
      <c r="E333" s="831"/>
      <c r="F333" s="718"/>
      <c r="G333" s="718"/>
      <c r="H333" s="824"/>
      <c r="I333" s="718"/>
      <c r="J333" s="718"/>
      <c r="K333" s="718"/>
      <c r="L333" s="718"/>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866</v>
      </c>
      <c r="B334" s="826"/>
      <c r="C334" s="829"/>
      <c r="D334" s="717"/>
      <c r="E334" s="831"/>
      <c r="F334" s="718"/>
      <c r="G334" s="718"/>
      <c r="H334" s="824"/>
      <c r="I334" s="718"/>
      <c r="J334" s="718"/>
      <c r="K334" s="718"/>
      <c r="L334" s="718"/>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867</v>
      </c>
      <c r="B335" s="826"/>
      <c r="C335" s="829"/>
      <c r="D335" s="717"/>
      <c r="E335" s="831"/>
      <c r="F335" s="718"/>
      <c r="G335" s="718"/>
      <c r="H335" s="824"/>
      <c r="I335" s="718"/>
      <c r="J335" s="718"/>
      <c r="K335" s="718"/>
      <c r="L335" s="718"/>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868</v>
      </c>
      <c r="B336" s="827"/>
      <c r="C336" s="829"/>
      <c r="D336" s="717"/>
      <c r="E336" s="831"/>
      <c r="F336" s="718"/>
      <c r="G336" s="718"/>
      <c r="H336" s="719"/>
      <c r="I336" s="718"/>
      <c r="J336" s="718"/>
      <c r="K336" s="718"/>
      <c r="L336" s="718"/>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869</v>
      </c>
      <c r="B337" s="825"/>
      <c r="C337" s="828" t="str">
        <f>IFERROR(INDEX('Riesgos de Corrupción'!$B$11:$BN$100,MATCH('Mapa Riesgo Corrupción'!B337,'Riesgos de Corrupción'!$B$11:$B$100,0),2),"")</f>
        <v/>
      </c>
      <c r="D337" s="716" t="str">
        <f>IFERROR(INDEX('Riesgos de Corrupción'!$B$11:$BN$100,MATCH('Mapa Riesgo Corrupción'!B337,'Riesgos de Corrupción'!$B$11:$B$100,0),4),"")</f>
        <v/>
      </c>
      <c r="E337" s="830" t="str">
        <f>IFERROR(INDEX('Riesgos de Corrupción'!$B$11:$BN$100,MATCH('Mapa Riesgo Corrupción'!B337,'Riesgos de Corrupción'!$B$11:$B$100,0),5),"")</f>
        <v/>
      </c>
      <c r="F337" s="720" t="str">
        <f>IFERROR(INDEX('Riesgos de Corrupción'!$B$11:$BN$100,MATCH('Mapa Riesgo Corrupción'!B337,'Riesgos de Corrupción'!$B$11:$B$100,0),18),"")</f>
        <v/>
      </c>
      <c r="G337" s="720" t="str">
        <f>IFERROR(INDEX('Riesgos de Corrupción'!$B$11:$BN$100,MATCH('Mapa Riesgo Corrupción'!B337,'Riesgos de Corrupción'!$B$11:$B$100,0),63),"")</f>
        <v/>
      </c>
      <c r="H337" s="823" t="str">
        <f>IFERROR(INDEX('Riesgos de Corrupción'!$B$11:$BN$100,MATCH('Mapa Riesgo Corrupción'!B337,'Riesgos de Corrupción'!$B$11:$B$100,0),64),"")</f>
        <v/>
      </c>
      <c r="I337" s="720" t="str">
        <f>IFERROR(INDEX('Controles de Corrupción'!$C$10:$AZ$251,MATCH('Mapa Riesgo Corrupción'!B337,'Controles de Corrupción'!$C$10:$C$251,0),33),"")</f>
        <v/>
      </c>
      <c r="J337" s="720" t="str">
        <f>IFERROR(INDEX('Controles de Corrupción'!$C$10:$AZ$251,MATCH('Mapa Riesgo Corrupción'!B337,'Controles de Corrupción'!$C$10:$C$251,0),36),"")</f>
        <v/>
      </c>
      <c r="K337" s="720" t="str">
        <f>IFERROR(INDEX('Controles de Corrupción'!$C$10:$AZ$251,MATCH('Mapa Riesgo Corrupción'!B337,'Controles de Corrupción'!$C$10:$C$251,0),37),"")</f>
        <v/>
      </c>
      <c r="L337" s="720"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870</v>
      </c>
      <c r="B338" s="826"/>
      <c r="C338" s="829"/>
      <c r="D338" s="717"/>
      <c r="E338" s="831"/>
      <c r="F338" s="718"/>
      <c r="G338" s="718"/>
      <c r="H338" s="824"/>
      <c r="I338" s="718"/>
      <c r="J338" s="718"/>
      <c r="K338" s="718"/>
      <c r="L338" s="718"/>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871</v>
      </c>
      <c r="B339" s="826"/>
      <c r="C339" s="829"/>
      <c r="D339" s="717"/>
      <c r="E339" s="831"/>
      <c r="F339" s="718"/>
      <c r="G339" s="718"/>
      <c r="H339" s="824"/>
      <c r="I339" s="718"/>
      <c r="J339" s="718"/>
      <c r="K339" s="718"/>
      <c r="L339" s="718"/>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872</v>
      </c>
      <c r="B340" s="826"/>
      <c r="C340" s="829"/>
      <c r="D340" s="717"/>
      <c r="E340" s="831"/>
      <c r="F340" s="718"/>
      <c r="G340" s="718"/>
      <c r="H340" s="824"/>
      <c r="I340" s="718"/>
      <c r="J340" s="718"/>
      <c r="K340" s="718"/>
      <c r="L340" s="718"/>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873</v>
      </c>
      <c r="B341" s="826"/>
      <c r="C341" s="829"/>
      <c r="D341" s="717"/>
      <c r="E341" s="831"/>
      <c r="F341" s="718"/>
      <c r="G341" s="718"/>
      <c r="H341" s="824"/>
      <c r="I341" s="718"/>
      <c r="J341" s="718"/>
      <c r="K341" s="718"/>
      <c r="L341" s="718"/>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874</v>
      </c>
      <c r="B342" s="827"/>
      <c r="C342" s="829"/>
      <c r="D342" s="717"/>
      <c r="E342" s="831"/>
      <c r="F342" s="718"/>
      <c r="G342" s="718"/>
      <c r="H342" s="719"/>
      <c r="I342" s="718"/>
      <c r="J342" s="718"/>
      <c r="K342" s="718"/>
      <c r="L342" s="718"/>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875</v>
      </c>
      <c r="B343" s="825"/>
      <c r="C343" s="828" t="str">
        <f>IFERROR(INDEX('Riesgos de Corrupción'!$B$11:$BN$100,MATCH('Mapa Riesgo Corrupción'!B343,'Riesgos de Corrupción'!$B$11:$B$100,0),2),"")</f>
        <v/>
      </c>
      <c r="D343" s="716" t="str">
        <f>IFERROR(INDEX('Riesgos de Corrupción'!$B$11:$BN$100,MATCH('Mapa Riesgo Corrupción'!B343,'Riesgos de Corrupción'!$B$11:$B$100,0),4),"")</f>
        <v/>
      </c>
      <c r="E343" s="830" t="str">
        <f>IFERROR(INDEX('Riesgos de Corrupción'!$B$11:$BN$100,MATCH('Mapa Riesgo Corrupción'!B343,'Riesgos de Corrupción'!$B$11:$B$100,0),5),"")</f>
        <v/>
      </c>
      <c r="F343" s="720" t="str">
        <f>IFERROR(INDEX('Riesgos de Corrupción'!$B$11:$BN$100,MATCH('Mapa Riesgo Corrupción'!B343,'Riesgos de Corrupción'!$B$11:$B$100,0),18),"")</f>
        <v/>
      </c>
      <c r="G343" s="720" t="str">
        <f>IFERROR(INDEX('Riesgos de Corrupción'!$B$11:$BN$100,MATCH('Mapa Riesgo Corrupción'!B343,'Riesgos de Corrupción'!$B$11:$B$100,0),63),"")</f>
        <v/>
      </c>
      <c r="H343" s="823" t="str">
        <f>IFERROR(INDEX('Riesgos de Corrupción'!$B$11:$BN$100,MATCH('Mapa Riesgo Corrupción'!B343,'Riesgos de Corrupción'!$B$11:$B$100,0),64),"")</f>
        <v/>
      </c>
      <c r="I343" s="720" t="str">
        <f>IFERROR(INDEX('Controles de Corrupción'!$C$10:$AZ$251,MATCH('Mapa Riesgo Corrupción'!B343,'Controles de Corrupción'!$C$10:$C$251,0),33),"")</f>
        <v/>
      </c>
      <c r="J343" s="720" t="str">
        <f>IFERROR(INDEX('Controles de Corrupción'!$C$10:$AZ$251,MATCH('Mapa Riesgo Corrupción'!B343,'Controles de Corrupción'!$C$10:$C$251,0),36),"")</f>
        <v/>
      </c>
      <c r="K343" s="720" t="str">
        <f>IFERROR(INDEX('Controles de Corrupción'!$C$10:$AZ$251,MATCH('Mapa Riesgo Corrupción'!B343,'Controles de Corrupción'!$C$10:$C$251,0),37),"")</f>
        <v/>
      </c>
      <c r="L343" s="720"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876</v>
      </c>
      <c r="B344" s="826"/>
      <c r="C344" s="829"/>
      <c r="D344" s="717"/>
      <c r="E344" s="831"/>
      <c r="F344" s="718"/>
      <c r="G344" s="718"/>
      <c r="H344" s="824"/>
      <c r="I344" s="718"/>
      <c r="J344" s="718"/>
      <c r="K344" s="718"/>
      <c r="L344" s="718"/>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877</v>
      </c>
      <c r="B345" s="826"/>
      <c r="C345" s="829"/>
      <c r="D345" s="717"/>
      <c r="E345" s="831"/>
      <c r="F345" s="718"/>
      <c r="G345" s="718"/>
      <c r="H345" s="824"/>
      <c r="I345" s="718"/>
      <c r="J345" s="718"/>
      <c r="K345" s="718"/>
      <c r="L345" s="718"/>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878</v>
      </c>
      <c r="B346" s="826"/>
      <c r="C346" s="829"/>
      <c r="D346" s="717"/>
      <c r="E346" s="831"/>
      <c r="F346" s="718"/>
      <c r="G346" s="718"/>
      <c r="H346" s="824"/>
      <c r="I346" s="718"/>
      <c r="J346" s="718"/>
      <c r="K346" s="718"/>
      <c r="L346" s="718"/>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879</v>
      </c>
      <c r="B347" s="826"/>
      <c r="C347" s="829"/>
      <c r="D347" s="717"/>
      <c r="E347" s="831"/>
      <c r="F347" s="718"/>
      <c r="G347" s="718"/>
      <c r="H347" s="824"/>
      <c r="I347" s="718"/>
      <c r="J347" s="718"/>
      <c r="K347" s="718"/>
      <c r="L347" s="718"/>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880</v>
      </c>
      <c r="B348" s="827"/>
      <c r="C348" s="829"/>
      <c r="D348" s="717"/>
      <c r="E348" s="831"/>
      <c r="F348" s="718"/>
      <c r="G348" s="718"/>
      <c r="H348" s="719"/>
      <c r="I348" s="718"/>
      <c r="J348" s="718"/>
      <c r="K348" s="718"/>
      <c r="L348" s="718"/>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881</v>
      </c>
      <c r="B349" s="825"/>
      <c r="C349" s="828" t="str">
        <f>IFERROR(INDEX('Riesgos de Corrupción'!$B$11:$BN$100,MATCH('Mapa Riesgo Corrupción'!B349,'Riesgos de Corrupción'!$B$11:$B$100,0),2),"")</f>
        <v/>
      </c>
      <c r="D349" s="716" t="str">
        <f>IFERROR(INDEX('Riesgos de Corrupción'!$B$11:$BN$100,MATCH('Mapa Riesgo Corrupción'!B349,'Riesgos de Corrupción'!$B$11:$B$100,0),4),"")</f>
        <v/>
      </c>
      <c r="E349" s="830" t="str">
        <f>IFERROR(INDEX('Riesgos de Corrupción'!$B$11:$BN$100,MATCH('Mapa Riesgo Corrupción'!B349,'Riesgos de Corrupción'!$B$11:$B$100,0),5),"")</f>
        <v/>
      </c>
      <c r="F349" s="720" t="str">
        <f>IFERROR(INDEX('Riesgos de Corrupción'!$B$11:$BN$100,MATCH('Mapa Riesgo Corrupción'!B349,'Riesgos de Corrupción'!$B$11:$B$100,0),18),"")</f>
        <v/>
      </c>
      <c r="G349" s="720" t="str">
        <f>IFERROR(INDEX('Riesgos de Corrupción'!$B$11:$BN$100,MATCH('Mapa Riesgo Corrupción'!B349,'Riesgos de Corrupción'!$B$11:$B$100,0),63),"")</f>
        <v/>
      </c>
      <c r="H349" s="823" t="str">
        <f>IFERROR(INDEX('Riesgos de Corrupción'!$B$11:$BN$100,MATCH('Mapa Riesgo Corrupción'!B349,'Riesgos de Corrupción'!$B$11:$B$100,0),64),"")</f>
        <v/>
      </c>
      <c r="I349" s="720" t="str">
        <f>IFERROR(INDEX('Controles de Corrupción'!$C$10:$AZ$251,MATCH('Mapa Riesgo Corrupción'!B349,'Controles de Corrupción'!$C$10:$C$251,0),33),"")</f>
        <v/>
      </c>
      <c r="J349" s="720" t="str">
        <f>IFERROR(INDEX('Controles de Corrupción'!$C$10:$AZ$251,MATCH('Mapa Riesgo Corrupción'!B349,'Controles de Corrupción'!$C$10:$C$251,0),36),"")</f>
        <v/>
      </c>
      <c r="K349" s="720" t="str">
        <f>IFERROR(INDEX('Controles de Corrupción'!$C$10:$AZ$251,MATCH('Mapa Riesgo Corrupción'!B349,'Controles de Corrupción'!$C$10:$C$251,0),37),"")</f>
        <v/>
      </c>
      <c r="L349" s="720"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882</v>
      </c>
      <c r="B350" s="826"/>
      <c r="C350" s="829"/>
      <c r="D350" s="717"/>
      <c r="E350" s="831"/>
      <c r="F350" s="718"/>
      <c r="G350" s="718"/>
      <c r="H350" s="824"/>
      <c r="I350" s="718"/>
      <c r="J350" s="718"/>
      <c r="K350" s="718"/>
      <c r="L350" s="718"/>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883</v>
      </c>
      <c r="B351" s="826"/>
      <c r="C351" s="829"/>
      <c r="D351" s="717"/>
      <c r="E351" s="831"/>
      <c r="F351" s="718"/>
      <c r="G351" s="718"/>
      <c r="H351" s="824"/>
      <c r="I351" s="718"/>
      <c r="J351" s="718"/>
      <c r="K351" s="718"/>
      <c r="L351" s="718"/>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884</v>
      </c>
      <c r="B352" s="826"/>
      <c r="C352" s="829"/>
      <c r="D352" s="717"/>
      <c r="E352" s="831"/>
      <c r="F352" s="718"/>
      <c r="G352" s="718"/>
      <c r="H352" s="824"/>
      <c r="I352" s="718"/>
      <c r="J352" s="718"/>
      <c r="K352" s="718"/>
      <c r="L352" s="718"/>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885</v>
      </c>
      <c r="B353" s="826"/>
      <c r="C353" s="829"/>
      <c r="D353" s="717"/>
      <c r="E353" s="831"/>
      <c r="F353" s="718"/>
      <c r="G353" s="718"/>
      <c r="H353" s="824"/>
      <c r="I353" s="718"/>
      <c r="J353" s="718"/>
      <c r="K353" s="718"/>
      <c r="L353" s="718"/>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886</v>
      </c>
      <c r="B354" s="827"/>
      <c r="C354" s="829"/>
      <c r="D354" s="717"/>
      <c r="E354" s="831"/>
      <c r="F354" s="718"/>
      <c r="G354" s="718"/>
      <c r="H354" s="719"/>
      <c r="I354" s="718"/>
      <c r="J354" s="718"/>
      <c r="K354" s="718"/>
      <c r="L354" s="718"/>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887</v>
      </c>
      <c r="B355" s="825"/>
      <c r="C355" s="828" t="str">
        <f>IFERROR(INDEX('Riesgos de Corrupción'!$B$11:$BN$100,MATCH('Mapa Riesgo Corrupción'!B355,'Riesgos de Corrupción'!$B$11:$B$100,0),2),"")</f>
        <v/>
      </c>
      <c r="D355" s="716" t="str">
        <f>IFERROR(INDEX('Riesgos de Corrupción'!$B$11:$BN$100,MATCH('Mapa Riesgo Corrupción'!B355,'Riesgos de Corrupción'!$B$11:$B$100,0),4),"")</f>
        <v/>
      </c>
      <c r="E355" s="830" t="str">
        <f>IFERROR(INDEX('Riesgos de Corrupción'!$B$11:$BN$100,MATCH('Mapa Riesgo Corrupción'!B355,'Riesgos de Corrupción'!$B$11:$B$100,0),5),"")</f>
        <v/>
      </c>
      <c r="F355" s="720" t="str">
        <f>IFERROR(INDEX('Riesgos de Corrupción'!$B$11:$BN$100,MATCH('Mapa Riesgo Corrupción'!B355,'Riesgos de Corrupción'!$B$11:$B$100,0),18),"")</f>
        <v/>
      </c>
      <c r="G355" s="720" t="str">
        <f>IFERROR(INDEX('Riesgos de Corrupción'!$B$11:$BN$100,MATCH('Mapa Riesgo Corrupción'!B355,'Riesgos de Corrupción'!$B$11:$B$100,0),63),"")</f>
        <v/>
      </c>
      <c r="H355" s="823" t="str">
        <f>IFERROR(INDEX('Riesgos de Corrupción'!$B$11:$BN$100,MATCH('Mapa Riesgo Corrupción'!B355,'Riesgos de Corrupción'!$B$11:$B$100,0),64),"")</f>
        <v/>
      </c>
      <c r="I355" s="720" t="str">
        <f>IFERROR(INDEX('Controles de Corrupción'!$C$10:$AZ$251,MATCH('Mapa Riesgo Corrupción'!B355,'Controles de Corrupción'!$C$10:$C$251,0),33),"")</f>
        <v/>
      </c>
      <c r="J355" s="720" t="str">
        <f>IFERROR(INDEX('Controles de Corrupción'!$C$10:$AZ$251,MATCH('Mapa Riesgo Corrupción'!B355,'Controles de Corrupción'!$C$10:$C$251,0),36),"")</f>
        <v/>
      </c>
      <c r="K355" s="720" t="str">
        <f>IFERROR(INDEX('Controles de Corrupción'!$C$10:$AZ$251,MATCH('Mapa Riesgo Corrupción'!B355,'Controles de Corrupción'!$C$10:$C$251,0),37),"")</f>
        <v/>
      </c>
      <c r="L355" s="720"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888</v>
      </c>
      <c r="B356" s="826"/>
      <c r="C356" s="829"/>
      <c r="D356" s="717"/>
      <c r="E356" s="831"/>
      <c r="F356" s="718"/>
      <c r="G356" s="718"/>
      <c r="H356" s="824"/>
      <c r="I356" s="718"/>
      <c r="J356" s="718"/>
      <c r="K356" s="718"/>
      <c r="L356" s="718"/>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889</v>
      </c>
      <c r="B357" s="826"/>
      <c r="C357" s="829"/>
      <c r="D357" s="717"/>
      <c r="E357" s="831"/>
      <c r="F357" s="718"/>
      <c r="G357" s="718"/>
      <c r="H357" s="824"/>
      <c r="I357" s="718"/>
      <c r="J357" s="718"/>
      <c r="K357" s="718"/>
      <c r="L357" s="718"/>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890</v>
      </c>
      <c r="B358" s="826"/>
      <c r="C358" s="829"/>
      <c r="D358" s="717"/>
      <c r="E358" s="831"/>
      <c r="F358" s="718"/>
      <c r="G358" s="718"/>
      <c r="H358" s="824"/>
      <c r="I358" s="718"/>
      <c r="J358" s="718"/>
      <c r="K358" s="718"/>
      <c r="L358" s="718"/>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891</v>
      </c>
      <c r="B359" s="826"/>
      <c r="C359" s="829"/>
      <c r="D359" s="717"/>
      <c r="E359" s="831"/>
      <c r="F359" s="718"/>
      <c r="G359" s="718"/>
      <c r="H359" s="824"/>
      <c r="I359" s="718"/>
      <c r="J359" s="718"/>
      <c r="K359" s="718"/>
      <c r="L359" s="718"/>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892</v>
      </c>
      <c r="B360" s="827"/>
      <c r="C360" s="829"/>
      <c r="D360" s="717"/>
      <c r="E360" s="831"/>
      <c r="F360" s="718"/>
      <c r="G360" s="718"/>
      <c r="H360" s="719"/>
      <c r="I360" s="718"/>
      <c r="J360" s="718"/>
      <c r="K360" s="718"/>
      <c r="L360" s="718"/>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893</v>
      </c>
      <c r="B361" s="825"/>
      <c r="C361" s="828" t="str">
        <f>IFERROR(INDEX('Riesgos de Corrupción'!$B$11:$BN$100,MATCH('Mapa Riesgo Corrupción'!B361,'Riesgos de Corrupción'!$B$11:$B$100,0),2),"")</f>
        <v/>
      </c>
      <c r="D361" s="716" t="str">
        <f>IFERROR(INDEX('Riesgos de Corrupción'!$B$11:$BN$100,MATCH('Mapa Riesgo Corrupción'!B361,'Riesgos de Corrupción'!$B$11:$B$100,0),4),"")</f>
        <v/>
      </c>
      <c r="E361" s="830" t="str">
        <f>IFERROR(INDEX('Riesgos de Corrupción'!$B$11:$BN$100,MATCH('Mapa Riesgo Corrupción'!B361,'Riesgos de Corrupción'!$B$11:$B$100,0),5),"")</f>
        <v/>
      </c>
      <c r="F361" s="720" t="str">
        <f>IFERROR(INDEX('Riesgos de Corrupción'!$B$11:$BN$100,MATCH('Mapa Riesgo Corrupción'!B361,'Riesgos de Corrupción'!$B$11:$B$100,0),18),"")</f>
        <v/>
      </c>
      <c r="G361" s="720" t="str">
        <f>IFERROR(INDEX('Riesgos de Corrupción'!$B$11:$BN$100,MATCH('Mapa Riesgo Corrupción'!B361,'Riesgos de Corrupción'!$B$11:$B$100,0),63),"")</f>
        <v/>
      </c>
      <c r="H361" s="823" t="str">
        <f>IFERROR(INDEX('Riesgos de Corrupción'!$B$11:$BN$100,MATCH('Mapa Riesgo Corrupción'!B361,'Riesgos de Corrupción'!$B$11:$B$100,0),64),"")</f>
        <v/>
      </c>
      <c r="I361" s="720" t="str">
        <f>IFERROR(INDEX('Controles de Corrupción'!$C$10:$AZ$251,MATCH('Mapa Riesgo Corrupción'!B361,'Controles de Corrupción'!$C$10:$C$251,0),33),"")</f>
        <v/>
      </c>
      <c r="J361" s="720" t="str">
        <f>IFERROR(INDEX('Controles de Corrupción'!$C$10:$AZ$251,MATCH('Mapa Riesgo Corrupción'!B361,'Controles de Corrupción'!$C$10:$C$251,0),36),"")</f>
        <v/>
      </c>
      <c r="K361" s="720" t="str">
        <f>IFERROR(INDEX('Controles de Corrupción'!$C$10:$AZ$251,MATCH('Mapa Riesgo Corrupción'!B361,'Controles de Corrupción'!$C$10:$C$251,0),37),"")</f>
        <v/>
      </c>
      <c r="L361" s="720"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894</v>
      </c>
      <c r="B362" s="826"/>
      <c r="C362" s="829"/>
      <c r="D362" s="717"/>
      <c r="E362" s="831"/>
      <c r="F362" s="718"/>
      <c r="G362" s="718"/>
      <c r="H362" s="824"/>
      <c r="I362" s="718"/>
      <c r="J362" s="718"/>
      <c r="K362" s="718"/>
      <c r="L362" s="718"/>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895</v>
      </c>
      <c r="B363" s="826"/>
      <c r="C363" s="829"/>
      <c r="D363" s="717"/>
      <c r="E363" s="831"/>
      <c r="F363" s="718"/>
      <c r="G363" s="718"/>
      <c r="H363" s="824"/>
      <c r="I363" s="718"/>
      <c r="J363" s="718"/>
      <c r="K363" s="718"/>
      <c r="L363" s="718"/>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896</v>
      </c>
      <c r="B364" s="826"/>
      <c r="C364" s="829"/>
      <c r="D364" s="717"/>
      <c r="E364" s="831"/>
      <c r="F364" s="718"/>
      <c r="G364" s="718"/>
      <c r="H364" s="824"/>
      <c r="I364" s="718"/>
      <c r="J364" s="718"/>
      <c r="K364" s="718"/>
      <c r="L364" s="718"/>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897</v>
      </c>
      <c r="B365" s="826"/>
      <c r="C365" s="829"/>
      <c r="D365" s="717"/>
      <c r="E365" s="831"/>
      <c r="F365" s="718"/>
      <c r="G365" s="718"/>
      <c r="H365" s="824"/>
      <c r="I365" s="718"/>
      <c r="J365" s="718"/>
      <c r="K365" s="718"/>
      <c r="L365" s="718"/>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898</v>
      </c>
      <c r="B366" s="827"/>
      <c r="C366" s="829"/>
      <c r="D366" s="717"/>
      <c r="E366" s="831"/>
      <c r="F366" s="718"/>
      <c r="G366" s="718"/>
      <c r="H366" s="719"/>
      <c r="I366" s="718"/>
      <c r="J366" s="718"/>
      <c r="K366" s="718"/>
      <c r="L366" s="718"/>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899</v>
      </c>
      <c r="B367" s="825"/>
      <c r="C367" s="828" t="str">
        <f>IFERROR(INDEX('Riesgos de Corrupción'!$B$11:$BN$100,MATCH('Mapa Riesgo Corrupción'!B367,'Riesgos de Corrupción'!$B$11:$B$100,0),2),"")</f>
        <v/>
      </c>
      <c r="D367" s="716" t="str">
        <f>IFERROR(INDEX('Riesgos de Corrupción'!$B$11:$BN$100,MATCH('Mapa Riesgo Corrupción'!B367,'Riesgos de Corrupción'!$B$11:$B$100,0),4),"")</f>
        <v/>
      </c>
      <c r="E367" s="830" t="str">
        <f>IFERROR(INDEX('Riesgos de Corrupción'!$B$11:$BN$100,MATCH('Mapa Riesgo Corrupción'!B367,'Riesgos de Corrupción'!$B$11:$B$100,0),5),"")</f>
        <v/>
      </c>
      <c r="F367" s="720" t="str">
        <f>IFERROR(INDEX('Riesgos de Corrupción'!$B$11:$BN$100,MATCH('Mapa Riesgo Corrupción'!B367,'Riesgos de Corrupción'!$B$11:$B$100,0),18),"")</f>
        <v/>
      </c>
      <c r="G367" s="720" t="str">
        <f>IFERROR(INDEX('Riesgos de Corrupción'!$B$11:$BN$100,MATCH('Mapa Riesgo Corrupción'!B367,'Riesgos de Corrupción'!$B$11:$B$100,0),63),"")</f>
        <v/>
      </c>
      <c r="H367" s="823" t="str">
        <f>IFERROR(INDEX('Riesgos de Corrupción'!$B$11:$BN$100,MATCH('Mapa Riesgo Corrupción'!B367,'Riesgos de Corrupción'!$B$11:$B$100,0),64),"")</f>
        <v/>
      </c>
      <c r="I367" s="720" t="str">
        <f>IFERROR(INDEX('Controles de Corrupción'!$C$10:$AZ$251,MATCH('Mapa Riesgo Corrupción'!B367,'Controles de Corrupción'!$C$10:$C$251,0),33),"")</f>
        <v/>
      </c>
      <c r="J367" s="720" t="str">
        <f>IFERROR(INDEX('Controles de Corrupción'!$C$10:$AZ$251,MATCH('Mapa Riesgo Corrupción'!B367,'Controles de Corrupción'!$C$10:$C$251,0),36),"")</f>
        <v/>
      </c>
      <c r="K367" s="720" t="str">
        <f>IFERROR(INDEX('Controles de Corrupción'!$C$10:$AZ$251,MATCH('Mapa Riesgo Corrupción'!B367,'Controles de Corrupción'!$C$10:$C$251,0),37),"")</f>
        <v/>
      </c>
      <c r="L367" s="720"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900</v>
      </c>
      <c r="B368" s="826"/>
      <c r="C368" s="829"/>
      <c r="D368" s="717"/>
      <c r="E368" s="831"/>
      <c r="F368" s="718"/>
      <c r="G368" s="718"/>
      <c r="H368" s="824"/>
      <c r="I368" s="718"/>
      <c r="J368" s="718"/>
      <c r="K368" s="718"/>
      <c r="L368" s="718"/>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901</v>
      </c>
      <c r="B369" s="826"/>
      <c r="C369" s="829"/>
      <c r="D369" s="717"/>
      <c r="E369" s="831"/>
      <c r="F369" s="718"/>
      <c r="G369" s="718"/>
      <c r="H369" s="824"/>
      <c r="I369" s="718"/>
      <c r="J369" s="718"/>
      <c r="K369" s="718"/>
      <c r="L369" s="718"/>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902</v>
      </c>
      <c r="B370" s="826"/>
      <c r="C370" s="829"/>
      <c r="D370" s="717"/>
      <c r="E370" s="831"/>
      <c r="F370" s="718"/>
      <c r="G370" s="718"/>
      <c r="H370" s="824"/>
      <c r="I370" s="718"/>
      <c r="J370" s="718"/>
      <c r="K370" s="718"/>
      <c r="L370" s="718"/>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903</v>
      </c>
      <c r="B371" s="826"/>
      <c r="C371" s="829"/>
      <c r="D371" s="717"/>
      <c r="E371" s="831"/>
      <c r="F371" s="718"/>
      <c r="G371" s="718"/>
      <c r="H371" s="824"/>
      <c r="I371" s="718"/>
      <c r="J371" s="718"/>
      <c r="K371" s="718"/>
      <c r="L371" s="718"/>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904</v>
      </c>
      <c r="B372" s="827"/>
      <c r="C372" s="829"/>
      <c r="D372" s="717"/>
      <c r="E372" s="831"/>
      <c r="F372" s="718"/>
      <c r="G372" s="718"/>
      <c r="H372" s="719"/>
      <c r="I372" s="718"/>
      <c r="J372" s="718"/>
      <c r="K372" s="718"/>
      <c r="L372" s="718"/>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905</v>
      </c>
      <c r="B373" s="825"/>
      <c r="C373" s="828" t="str">
        <f>IFERROR(INDEX('Riesgos de Corrupción'!$B$11:$BN$100,MATCH('Mapa Riesgo Corrupción'!B373,'Riesgos de Corrupción'!$B$11:$B$100,0),2),"")</f>
        <v/>
      </c>
      <c r="D373" s="716" t="str">
        <f>IFERROR(INDEX('Riesgos de Corrupción'!$B$11:$BN$100,MATCH('Mapa Riesgo Corrupción'!B373,'Riesgos de Corrupción'!$B$11:$B$100,0),4),"")</f>
        <v/>
      </c>
      <c r="E373" s="830" t="str">
        <f>IFERROR(INDEX('Riesgos de Corrupción'!$B$11:$BN$100,MATCH('Mapa Riesgo Corrupción'!B373,'Riesgos de Corrupción'!$B$11:$B$100,0),5),"")</f>
        <v/>
      </c>
      <c r="F373" s="720" t="str">
        <f>IFERROR(INDEX('Riesgos de Corrupción'!$B$11:$BN$100,MATCH('Mapa Riesgo Corrupción'!B373,'Riesgos de Corrupción'!$B$11:$B$100,0),18),"")</f>
        <v/>
      </c>
      <c r="G373" s="720" t="str">
        <f>IFERROR(INDEX('Riesgos de Corrupción'!$B$11:$BN$100,MATCH('Mapa Riesgo Corrupción'!B373,'Riesgos de Corrupción'!$B$11:$B$100,0),63),"")</f>
        <v/>
      </c>
      <c r="H373" s="823" t="str">
        <f>IFERROR(INDEX('Riesgos de Corrupción'!$B$11:$BN$100,MATCH('Mapa Riesgo Corrupción'!B373,'Riesgos de Corrupción'!$B$11:$B$100,0),64),"")</f>
        <v/>
      </c>
      <c r="I373" s="720" t="str">
        <f>IFERROR(INDEX('Controles de Corrupción'!$C$10:$AZ$251,MATCH('Mapa Riesgo Corrupción'!B373,'Controles de Corrupción'!$C$10:$C$251,0),33),"")</f>
        <v/>
      </c>
      <c r="J373" s="720" t="str">
        <f>IFERROR(INDEX('Controles de Corrupción'!$C$10:$AZ$251,MATCH('Mapa Riesgo Corrupción'!B373,'Controles de Corrupción'!$C$10:$C$251,0),36),"")</f>
        <v/>
      </c>
      <c r="K373" s="720" t="str">
        <f>IFERROR(INDEX('Controles de Corrupción'!$C$10:$AZ$251,MATCH('Mapa Riesgo Corrupción'!B373,'Controles de Corrupción'!$C$10:$C$251,0),37),"")</f>
        <v/>
      </c>
      <c r="L373" s="720"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906</v>
      </c>
      <c r="B374" s="826"/>
      <c r="C374" s="829"/>
      <c r="D374" s="717"/>
      <c r="E374" s="831"/>
      <c r="F374" s="718"/>
      <c r="G374" s="718"/>
      <c r="H374" s="824"/>
      <c r="I374" s="718"/>
      <c r="J374" s="718"/>
      <c r="K374" s="718"/>
      <c r="L374" s="718"/>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907</v>
      </c>
      <c r="B375" s="826"/>
      <c r="C375" s="829"/>
      <c r="D375" s="717"/>
      <c r="E375" s="831"/>
      <c r="F375" s="718"/>
      <c r="G375" s="718"/>
      <c r="H375" s="824"/>
      <c r="I375" s="718"/>
      <c r="J375" s="718"/>
      <c r="K375" s="718"/>
      <c r="L375" s="718"/>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908</v>
      </c>
      <c r="B376" s="826"/>
      <c r="C376" s="829"/>
      <c r="D376" s="717"/>
      <c r="E376" s="831"/>
      <c r="F376" s="718"/>
      <c r="G376" s="718"/>
      <c r="H376" s="824"/>
      <c r="I376" s="718"/>
      <c r="J376" s="718"/>
      <c r="K376" s="718"/>
      <c r="L376" s="718"/>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909</v>
      </c>
      <c r="B377" s="826"/>
      <c r="C377" s="829"/>
      <c r="D377" s="717"/>
      <c r="E377" s="831"/>
      <c r="F377" s="718"/>
      <c r="G377" s="718"/>
      <c r="H377" s="824"/>
      <c r="I377" s="718"/>
      <c r="J377" s="718"/>
      <c r="K377" s="718"/>
      <c r="L377" s="718"/>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910</v>
      </c>
      <c r="B378" s="827"/>
      <c r="C378" s="829"/>
      <c r="D378" s="717"/>
      <c r="E378" s="831"/>
      <c r="F378" s="718"/>
      <c r="G378" s="718"/>
      <c r="H378" s="719"/>
      <c r="I378" s="718"/>
      <c r="J378" s="718"/>
      <c r="K378" s="718"/>
      <c r="L378" s="718"/>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911</v>
      </c>
      <c r="B379" s="825"/>
      <c r="C379" s="828" t="str">
        <f>IFERROR(INDEX('Riesgos de Corrupción'!$B$11:$BN$100,MATCH('Mapa Riesgo Corrupción'!B379,'Riesgos de Corrupción'!$B$11:$B$100,0),2),"")</f>
        <v/>
      </c>
      <c r="D379" s="716" t="str">
        <f>IFERROR(INDEX('Riesgos de Corrupción'!$B$11:$BN$100,MATCH('Mapa Riesgo Corrupción'!B379,'Riesgos de Corrupción'!$B$11:$B$100,0),4),"")</f>
        <v/>
      </c>
      <c r="E379" s="830" t="str">
        <f>IFERROR(INDEX('Riesgos de Corrupción'!$B$11:$BN$100,MATCH('Mapa Riesgo Corrupción'!B379,'Riesgos de Corrupción'!$B$11:$B$100,0),5),"")</f>
        <v/>
      </c>
      <c r="F379" s="720" t="str">
        <f>IFERROR(INDEX('Riesgos de Corrupción'!$B$11:$BN$100,MATCH('Mapa Riesgo Corrupción'!B379,'Riesgos de Corrupción'!$B$11:$B$100,0),18),"")</f>
        <v/>
      </c>
      <c r="G379" s="720" t="str">
        <f>IFERROR(INDEX('Riesgos de Corrupción'!$B$11:$BN$100,MATCH('Mapa Riesgo Corrupción'!B379,'Riesgos de Corrupción'!$B$11:$B$100,0),63),"")</f>
        <v/>
      </c>
      <c r="H379" s="823" t="str">
        <f>IFERROR(INDEX('Riesgos de Corrupción'!$B$11:$BN$100,MATCH('Mapa Riesgo Corrupción'!B379,'Riesgos de Corrupción'!$B$11:$B$100,0),64),"")</f>
        <v/>
      </c>
      <c r="I379" s="720" t="str">
        <f>IFERROR(INDEX('Controles de Corrupción'!$C$10:$AZ$251,MATCH('Mapa Riesgo Corrupción'!B379,'Controles de Corrupción'!$C$10:$C$251,0),33),"")</f>
        <v/>
      </c>
      <c r="J379" s="720" t="str">
        <f>IFERROR(INDEX('Controles de Corrupción'!$C$10:$AZ$251,MATCH('Mapa Riesgo Corrupción'!B379,'Controles de Corrupción'!$C$10:$C$251,0),36),"")</f>
        <v/>
      </c>
      <c r="K379" s="720" t="str">
        <f>IFERROR(INDEX('Controles de Corrupción'!$C$10:$AZ$251,MATCH('Mapa Riesgo Corrupción'!B379,'Controles de Corrupción'!$C$10:$C$251,0),37),"")</f>
        <v/>
      </c>
      <c r="L379" s="720"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912</v>
      </c>
      <c r="B380" s="826"/>
      <c r="C380" s="829"/>
      <c r="D380" s="717"/>
      <c r="E380" s="831"/>
      <c r="F380" s="718"/>
      <c r="G380" s="718"/>
      <c r="H380" s="824"/>
      <c r="I380" s="718"/>
      <c r="J380" s="718"/>
      <c r="K380" s="718"/>
      <c r="L380" s="718"/>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913</v>
      </c>
      <c r="B381" s="826"/>
      <c r="C381" s="829"/>
      <c r="D381" s="717"/>
      <c r="E381" s="831"/>
      <c r="F381" s="718"/>
      <c r="G381" s="718"/>
      <c r="H381" s="824"/>
      <c r="I381" s="718"/>
      <c r="J381" s="718"/>
      <c r="K381" s="718"/>
      <c r="L381" s="718"/>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914</v>
      </c>
      <c r="B382" s="826"/>
      <c r="C382" s="829"/>
      <c r="D382" s="717"/>
      <c r="E382" s="831"/>
      <c r="F382" s="718"/>
      <c r="G382" s="718"/>
      <c r="H382" s="824"/>
      <c r="I382" s="718"/>
      <c r="J382" s="718"/>
      <c r="K382" s="718"/>
      <c r="L382" s="718"/>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915</v>
      </c>
      <c r="B383" s="826"/>
      <c r="C383" s="829"/>
      <c r="D383" s="717"/>
      <c r="E383" s="831"/>
      <c r="F383" s="718"/>
      <c r="G383" s="718"/>
      <c r="H383" s="824"/>
      <c r="I383" s="718"/>
      <c r="J383" s="718"/>
      <c r="K383" s="718"/>
      <c r="L383" s="718"/>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916</v>
      </c>
      <c r="B384" s="827"/>
      <c r="C384" s="829"/>
      <c r="D384" s="717"/>
      <c r="E384" s="831"/>
      <c r="F384" s="718"/>
      <c r="G384" s="718"/>
      <c r="H384" s="719"/>
      <c r="I384" s="718"/>
      <c r="J384" s="718"/>
      <c r="K384" s="718"/>
      <c r="L384" s="718"/>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917</v>
      </c>
      <c r="B385" s="825"/>
      <c r="C385" s="828" t="str">
        <f>IFERROR(INDEX('Riesgos de Corrupción'!$B$11:$BN$100,MATCH('Mapa Riesgo Corrupción'!B385,'Riesgos de Corrupción'!$B$11:$B$100,0),2),"")</f>
        <v/>
      </c>
      <c r="D385" s="716" t="str">
        <f>IFERROR(INDEX('Riesgos de Corrupción'!$B$11:$BN$100,MATCH('Mapa Riesgo Corrupción'!B385,'Riesgos de Corrupción'!$B$11:$B$100,0),4),"")</f>
        <v/>
      </c>
      <c r="E385" s="830" t="str">
        <f>IFERROR(INDEX('Riesgos de Corrupción'!$B$11:$BN$100,MATCH('Mapa Riesgo Corrupción'!B385,'Riesgos de Corrupción'!$B$11:$B$100,0),5),"")</f>
        <v/>
      </c>
      <c r="F385" s="720" t="str">
        <f>IFERROR(INDEX('Riesgos de Corrupción'!$B$11:$BN$100,MATCH('Mapa Riesgo Corrupción'!B385,'Riesgos de Corrupción'!$B$11:$B$100,0),18),"")</f>
        <v/>
      </c>
      <c r="G385" s="720" t="str">
        <f>IFERROR(INDEX('Riesgos de Corrupción'!$B$11:$BN$100,MATCH('Mapa Riesgo Corrupción'!B385,'Riesgos de Corrupción'!$B$11:$B$100,0),63),"")</f>
        <v/>
      </c>
      <c r="H385" s="823" t="str">
        <f>IFERROR(INDEX('Riesgos de Corrupción'!$B$11:$BN$100,MATCH('Mapa Riesgo Corrupción'!B385,'Riesgos de Corrupción'!$B$11:$B$100,0),64),"")</f>
        <v/>
      </c>
      <c r="I385" s="720" t="str">
        <f>IFERROR(INDEX('Controles de Corrupción'!$C$10:$AZ$251,MATCH('Mapa Riesgo Corrupción'!B385,'Controles de Corrupción'!$C$10:$C$251,0),33),"")</f>
        <v/>
      </c>
      <c r="J385" s="720" t="str">
        <f>IFERROR(INDEX('Controles de Corrupción'!$C$10:$AZ$251,MATCH('Mapa Riesgo Corrupción'!B385,'Controles de Corrupción'!$C$10:$C$251,0),36),"")</f>
        <v/>
      </c>
      <c r="K385" s="720" t="str">
        <f>IFERROR(INDEX('Controles de Corrupción'!$C$10:$AZ$251,MATCH('Mapa Riesgo Corrupción'!B385,'Controles de Corrupción'!$C$10:$C$251,0),37),"")</f>
        <v/>
      </c>
      <c r="L385" s="720"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918</v>
      </c>
      <c r="B386" s="826"/>
      <c r="C386" s="829"/>
      <c r="D386" s="717"/>
      <c r="E386" s="831"/>
      <c r="F386" s="718"/>
      <c r="G386" s="718"/>
      <c r="H386" s="824"/>
      <c r="I386" s="718"/>
      <c r="J386" s="718"/>
      <c r="K386" s="718"/>
      <c r="L386" s="718"/>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919</v>
      </c>
      <c r="B387" s="826"/>
      <c r="C387" s="829"/>
      <c r="D387" s="717"/>
      <c r="E387" s="831"/>
      <c r="F387" s="718"/>
      <c r="G387" s="718"/>
      <c r="H387" s="824"/>
      <c r="I387" s="718"/>
      <c r="J387" s="718"/>
      <c r="K387" s="718"/>
      <c r="L387" s="718"/>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920</v>
      </c>
      <c r="B388" s="826"/>
      <c r="C388" s="829"/>
      <c r="D388" s="717"/>
      <c r="E388" s="831"/>
      <c r="F388" s="718"/>
      <c r="G388" s="718"/>
      <c r="H388" s="824"/>
      <c r="I388" s="718"/>
      <c r="J388" s="718"/>
      <c r="K388" s="718"/>
      <c r="L388" s="718"/>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921</v>
      </c>
      <c r="B389" s="826"/>
      <c r="C389" s="829"/>
      <c r="D389" s="717"/>
      <c r="E389" s="831"/>
      <c r="F389" s="718"/>
      <c r="G389" s="718"/>
      <c r="H389" s="824"/>
      <c r="I389" s="718"/>
      <c r="J389" s="718"/>
      <c r="K389" s="718"/>
      <c r="L389" s="718"/>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922</v>
      </c>
      <c r="B390" s="827"/>
      <c r="C390" s="829"/>
      <c r="D390" s="717"/>
      <c r="E390" s="831"/>
      <c r="F390" s="718"/>
      <c r="G390" s="718"/>
      <c r="H390" s="719"/>
      <c r="I390" s="718"/>
      <c r="J390" s="718"/>
      <c r="K390" s="718"/>
      <c r="L390" s="718"/>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923</v>
      </c>
      <c r="B391" s="825"/>
      <c r="C391" s="828" t="str">
        <f>IFERROR(INDEX('Riesgos de Corrupción'!$B$11:$BN$100,MATCH('Mapa Riesgo Corrupción'!B391,'Riesgos de Corrupción'!$B$11:$B$100,0),2),"")</f>
        <v/>
      </c>
      <c r="D391" s="716" t="str">
        <f>IFERROR(INDEX('Riesgos de Corrupción'!$B$11:$BN$100,MATCH('Mapa Riesgo Corrupción'!B391,'Riesgos de Corrupción'!$B$11:$B$100,0),4),"")</f>
        <v/>
      </c>
      <c r="E391" s="830" t="str">
        <f>IFERROR(INDEX('Riesgos de Corrupción'!$B$11:$BN$100,MATCH('Mapa Riesgo Corrupción'!B391,'Riesgos de Corrupción'!$B$11:$B$100,0),5),"")</f>
        <v/>
      </c>
      <c r="F391" s="720" t="str">
        <f>IFERROR(INDEX('Riesgos de Corrupción'!$B$11:$BN$100,MATCH('Mapa Riesgo Corrupción'!B391,'Riesgos de Corrupción'!$B$11:$B$100,0),18),"")</f>
        <v/>
      </c>
      <c r="G391" s="720" t="str">
        <f>IFERROR(INDEX('Riesgos de Corrupción'!$B$11:$BN$100,MATCH('Mapa Riesgo Corrupción'!B391,'Riesgos de Corrupción'!$B$11:$B$100,0),63),"")</f>
        <v/>
      </c>
      <c r="H391" s="823" t="str">
        <f>IFERROR(INDEX('Riesgos de Corrupción'!$B$11:$BN$100,MATCH('Mapa Riesgo Corrupción'!B391,'Riesgos de Corrupción'!$B$11:$B$100,0),64),"")</f>
        <v/>
      </c>
      <c r="I391" s="720" t="str">
        <f>IFERROR(INDEX('Controles de Corrupción'!$C$10:$AZ$251,MATCH('Mapa Riesgo Corrupción'!B391,'Controles de Corrupción'!$C$10:$C$251,0),33),"")</f>
        <v/>
      </c>
      <c r="J391" s="720" t="str">
        <f>IFERROR(INDEX('Controles de Corrupción'!$C$10:$AZ$251,MATCH('Mapa Riesgo Corrupción'!B391,'Controles de Corrupción'!$C$10:$C$251,0),36),"")</f>
        <v/>
      </c>
      <c r="K391" s="720" t="str">
        <f>IFERROR(INDEX('Controles de Corrupción'!$C$10:$AZ$251,MATCH('Mapa Riesgo Corrupción'!B391,'Controles de Corrupción'!$C$10:$C$251,0),37),"")</f>
        <v/>
      </c>
      <c r="L391" s="720"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924</v>
      </c>
      <c r="B392" s="826"/>
      <c r="C392" s="829"/>
      <c r="D392" s="717"/>
      <c r="E392" s="831"/>
      <c r="F392" s="718"/>
      <c r="G392" s="718"/>
      <c r="H392" s="824"/>
      <c r="I392" s="718"/>
      <c r="J392" s="718"/>
      <c r="K392" s="718"/>
      <c r="L392" s="718"/>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925</v>
      </c>
      <c r="B393" s="826"/>
      <c r="C393" s="829"/>
      <c r="D393" s="717"/>
      <c r="E393" s="831"/>
      <c r="F393" s="718"/>
      <c r="G393" s="718"/>
      <c r="H393" s="824"/>
      <c r="I393" s="718"/>
      <c r="J393" s="718"/>
      <c r="K393" s="718"/>
      <c r="L393" s="718"/>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926</v>
      </c>
      <c r="B394" s="826"/>
      <c r="C394" s="829"/>
      <c r="D394" s="717"/>
      <c r="E394" s="831"/>
      <c r="F394" s="718"/>
      <c r="G394" s="718"/>
      <c r="H394" s="824"/>
      <c r="I394" s="718"/>
      <c r="J394" s="718"/>
      <c r="K394" s="718"/>
      <c r="L394" s="718"/>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927</v>
      </c>
      <c r="B395" s="826"/>
      <c r="C395" s="829"/>
      <c r="D395" s="717"/>
      <c r="E395" s="831"/>
      <c r="F395" s="718"/>
      <c r="G395" s="718"/>
      <c r="H395" s="824"/>
      <c r="I395" s="718"/>
      <c r="J395" s="718"/>
      <c r="K395" s="718"/>
      <c r="L395" s="718"/>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928</v>
      </c>
      <c r="B396" s="827"/>
      <c r="C396" s="829"/>
      <c r="D396" s="717"/>
      <c r="E396" s="831"/>
      <c r="F396" s="718"/>
      <c r="G396" s="718"/>
      <c r="H396" s="719"/>
      <c r="I396" s="718"/>
      <c r="J396" s="718"/>
      <c r="K396" s="718"/>
      <c r="L396" s="718"/>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929</v>
      </c>
      <c r="B397" s="825"/>
      <c r="C397" s="828" t="str">
        <f>IFERROR(INDEX('Riesgos de Corrupción'!$B$11:$BN$100,MATCH('Mapa Riesgo Corrupción'!B397,'Riesgos de Corrupción'!$B$11:$B$100,0),2),"")</f>
        <v/>
      </c>
      <c r="D397" s="716" t="str">
        <f>IFERROR(INDEX('Riesgos de Corrupción'!$B$11:$BN$100,MATCH('Mapa Riesgo Corrupción'!B397,'Riesgos de Corrupción'!$B$11:$B$100,0),4),"")</f>
        <v/>
      </c>
      <c r="E397" s="830" t="str">
        <f>IFERROR(INDEX('Riesgos de Corrupción'!$B$11:$BN$100,MATCH('Mapa Riesgo Corrupción'!B397,'Riesgos de Corrupción'!$B$11:$B$100,0),5),"")</f>
        <v/>
      </c>
      <c r="F397" s="720" t="str">
        <f>IFERROR(INDEX('Riesgos de Corrupción'!$B$11:$BN$100,MATCH('Mapa Riesgo Corrupción'!B397,'Riesgos de Corrupción'!$B$11:$B$100,0),18),"")</f>
        <v/>
      </c>
      <c r="G397" s="720" t="str">
        <f>IFERROR(INDEX('Riesgos de Corrupción'!$B$11:$BN$100,MATCH('Mapa Riesgo Corrupción'!B397,'Riesgos de Corrupción'!$B$11:$B$100,0),63),"")</f>
        <v/>
      </c>
      <c r="H397" s="823" t="str">
        <f>IFERROR(INDEX('Riesgos de Corrupción'!$B$11:$BN$100,MATCH('Mapa Riesgo Corrupción'!B397,'Riesgos de Corrupción'!$B$11:$B$100,0),64),"")</f>
        <v/>
      </c>
      <c r="I397" s="720" t="str">
        <f>IFERROR(INDEX('Controles de Corrupción'!$C$10:$AZ$251,MATCH('Mapa Riesgo Corrupción'!B397,'Controles de Corrupción'!$C$10:$C$251,0),33),"")</f>
        <v/>
      </c>
      <c r="J397" s="720" t="str">
        <f>IFERROR(INDEX('Controles de Corrupción'!$C$10:$AZ$251,MATCH('Mapa Riesgo Corrupción'!B397,'Controles de Corrupción'!$C$10:$C$251,0),36),"")</f>
        <v/>
      </c>
      <c r="K397" s="720" t="str">
        <f>IFERROR(INDEX('Controles de Corrupción'!$C$10:$AZ$251,MATCH('Mapa Riesgo Corrupción'!B397,'Controles de Corrupción'!$C$10:$C$251,0),37),"")</f>
        <v/>
      </c>
      <c r="L397" s="720"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930</v>
      </c>
      <c r="B398" s="826"/>
      <c r="C398" s="829"/>
      <c r="D398" s="717"/>
      <c r="E398" s="831"/>
      <c r="F398" s="718"/>
      <c r="G398" s="718"/>
      <c r="H398" s="824"/>
      <c r="I398" s="718"/>
      <c r="J398" s="718"/>
      <c r="K398" s="718"/>
      <c r="L398" s="718"/>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931</v>
      </c>
      <c r="B399" s="826"/>
      <c r="C399" s="829"/>
      <c r="D399" s="717"/>
      <c r="E399" s="831"/>
      <c r="F399" s="718"/>
      <c r="G399" s="718"/>
      <c r="H399" s="824"/>
      <c r="I399" s="718"/>
      <c r="J399" s="718"/>
      <c r="K399" s="718"/>
      <c r="L399" s="718"/>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932</v>
      </c>
      <c r="B400" s="826"/>
      <c r="C400" s="829"/>
      <c r="D400" s="717"/>
      <c r="E400" s="831"/>
      <c r="F400" s="718"/>
      <c r="G400" s="718"/>
      <c r="H400" s="824"/>
      <c r="I400" s="718"/>
      <c r="J400" s="718"/>
      <c r="K400" s="718"/>
      <c r="L400" s="718"/>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933</v>
      </c>
      <c r="B401" s="826"/>
      <c r="C401" s="829"/>
      <c r="D401" s="717"/>
      <c r="E401" s="831"/>
      <c r="F401" s="718"/>
      <c r="G401" s="718"/>
      <c r="H401" s="824"/>
      <c r="I401" s="718"/>
      <c r="J401" s="718"/>
      <c r="K401" s="718"/>
      <c r="L401" s="718"/>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934</v>
      </c>
      <c r="B402" s="827"/>
      <c r="C402" s="829"/>
      <c r="D402" s="717"/>
      <c r="E402" s="831"/>
      <c r="F402" s="718"/>
      <c r="G402" s="718"/>
      <c r="H402" s="719"/>
      <c r="I402" s="718"/>
      <c r="J402" s="718"/>
      <c r="K402" s="718"/>
      <c r="L402" s="718"/>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935</v>
      </c>
      <c r="B403" s="825"/>
      <c r="C403" s="828" t="str">
        <f>IFERROR(INDEX('Riesgos de Corrupción'!$B$11:$BN$100,MATCH('Mapa Riesgo Corrupción'!B403,'Riesgos de Corrupción'!$B$11:$B$100,0),2),"")</f>
        <v/>
      </c>
      <c r="D403" s="716" t="str">
        <f>IFERROR(INDEX('Riesgos de Corrupción'!$B$11:$BN$100,MATCH('Mapa Riesgo Corrupción'!B403,'Riesgos de Corrupción'!$B$11:$B$100,0),4),"")</f>
        <v/>
      </c>
      <c r="E403" s="830" t="str">
        <f>IFERROR(INDEX('Riesgos de Corrupción'!$B$11:$BN$100,MATCH('Mapa Riesgo Corrupción'!B403,'Riesgos de Corrupción'!$B$11:$B$100,0),5),"")</f>
        <v/>
      </c>
      <c r="F403" s="720" t="str">
        <f>IFERROR(INDEX('Riesgos de Corrupción'!$B$11:$BN$100,MATCH('Mapa Riesgo Corrupción'!B403,'Riesgos de Corrupción'!$B$11:$B$100,0),18),"")</f>
        <v/>
      </c>
      <c r="G403" s="720" t="str">
        <f>IFERROR(INDEX('Riesgos de Corrupción'!$B$11:$BN$100,MATCH('Mapa Riesgo Corrupción'!B403,'Riesgos de Corrupción'!$B$11:$B$100,0),63),"")</f>
        <v/>
      </c>
      <c r="H403" s="823" t="str">
        <f>IFERROR(INDEX('Riesgos de Corrupción'!$B$11:$BN$100,MATCH('Mapa Riesgo Corrupción'!B403,'Riesgos de Corrupción'!$B$11:$B$100,0),64),"")</f>
        <v/>
      </c>
      <c r="I403" s="720" t="str">
        <f>IFERROR(INDEX('Controles de Corrupción'!$C$10:$AZ$251,MATCH('Mapa Riesgo Corrupción'!B403,'Controles de Corrupción'!$C$10:$C$251,0),33),"")</f>
        <v/>
      </c>
      <c r="J403" s="720" t="str">
        <f>IFERROR(INDEX('Controles de Corrupción'!$C$10:$AZ$251,MATCH('Mapa Riesgo Corrupción'!B403,'Controles de Corrupción'!$C$10:$C$251,0),36),"")</f>
        <v/>
      </c>
      <c r="K403" s="720" t="str">
        <f>IFERROR(INDEX('Controles de Corrupción'!$C$10:$AZ$251,MATCH('Mapa Riesgo Corrupción'!B403,'Controles de Corrupción'!$C$10:$C$251,0),37),"")</f>
        <v/>
      </c>
      <c r="L403" s="720"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936</v>
      </c>
      <c r="B404" s="826"/>
      <c r="C404" s="829"/>
      <c r="D404" s="717"/>
      <c r="E404" s="831"/>
      <c r="F404" s="718"/>
      <c r="G404" s="718"/>
      <c r="H404" s="824"/>
      <c r="I404" s="718"/>
      <c r="J404" s="718"/>
      <c r="K404" s="718"/>
      <c r="L404" s="718"/>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937</v>
      </c>
      <c r="B405" s="826"/>
      <c r="C405" s="829"/>
      <c r="D405" s="717"/>
      <c r="E405" s="831"/>
      <c r="F405" s="718"/>
      <c r="G405" s="718"/>
      <c r="H405" s="824"/>
      <c r="I405" s="718"/>
      <c r="J405" s="718"/>
      <c r="K405" s="718"/>
      <c r="L405" s="718"/>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938</v>
      </c>
      <c r="B406" s="826"/>
      <c r="C406" s="829"/>
      <c r="D406" s="717"/>
      <c r="E406" s="831"/>
      <c r="F406" s="718"/>
      <c r="G406" s="718"/>
      <c r="H406" s="824"/>
      <c r="I406" s="718"/>
      <c r="J406" s="718"/>
      <c r="K406" s="718"/>
      <c r="L406" s="718"/>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939</v>
      </c>
      <c r="B407" s="826"/>
      <c r="C407" s="829"/>
      <c r="D407" s="717"/>
      <c r="E407" s="831"/>
      <c r="F407" s="718"/>
      <c r="G407" s="718"/>
      <c r="H407" s="824"/>
      <c r="I407" s="718"/>
      <c r="J407" s="718"/>
      <c r="K407" s="718"/>
      <c r="L407" s="718"/>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940</v>
      </c>
      <c r="B408" s="827"/>
      <c r="C408" s="829"/>
      <c r="D408" s="717"/>
      <c r="E408" s="831"/>
      <c r="F408" s="718"/>
      <c r="G408" s="718"/>
      <c r="H408" s="719"/>
      <c r="I408" s="718"/>
      <c r="J408" s="718"/>
      <c r="K408" s="718"/>
      <c r="L408" s="718"/>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941</v>
      </c>
      <c r="B409" s="825"/>
      <c r="C409" s="828" t="str">
        <f>IFERROR(INDEX('Riesgos de Corrupción'!$B$11:$BN$100,MATCH('Mapa Riesgo Corrupción'!B409,'Riesgos de Corrupción'!$B$11:$B$100,0),2),"")</f>
        <v/>
      </c>
      <c r="D409" s="716" t="str">
        <f>IFERROR(INDEX('Riesgos de Corrupción'!$B$11:$BN$100,MATCH('Mapa Riesgo Corrupción'!B409,'Riesgos de Corrupción'!$B$11:$B$100,0),4),"")</f>
        <v/>
      </c>
      <c r="E409" s="830" t="str">
        <f>IFERROR(INDEX('Riesgos de Corrupción'!$B$11:$BN$100,MATCH('Mapa Riesgo Corrupción'!B409,'Riesgos de Corrupción'!$B$11:$B$100,0),5),"")</f>
        <v/>
      </c>
      <c r="F409" s="720" t="str">
        <f>IFERROR(INDEX('Riesgos de Corrupción'!$B$11:$BN$100,MATCH('Mapa Riesgo Corrupción'!B409,'Riesgos de Corrupción'!$B$11:$B$100,0),18),"")</f>
        <v/>
      </c>
      <c r="G409" s="720" t="str">
        <f>IFERROR(INDEX('Riesgos de Corrupción'!$B$11:$BN$100,MATCH('Mapa Riesgo Corrupción'!B409,'Riesgos de Corrupción'!$B$11:$B$100,0),63),"")</f>
        <v/>
      </c>
      <c r="H409" s="823" t="str">
        <f>IFERROR(INDEX('Riesgos de Corrupción'!$B$11:$BN$100,MATCH('Mapa Riesgo Corrupción'!B409,'Riesgos de Corrupción'!$B$11:$B$100,0),64),"")</f>
        <v/>
      </c>
      <c r="I409" s="720" t="str">
        <f>IFERROR(INDEX('Controles de Corrupción'!$C$10:$AZ$251,MATCH('Mapa Riesgo Corrupción'!B409,'Controles de Corrupción'!$C$10:$C$251,0),33),"")</f>
        <v/>
      </c>
      <c r="J409" s="720" t="str">
        <f>IFERROR(INDEX('Controles de Corrupción'!$C$10:$AZ$251,MATCH('Mapa Riesgo Corrupción'!B409,'Controles de Corrupción'!$C$10:$C$251,0),36),"")</f>
        <v/>
      </c>
      <c r="K409" s="720" t="str">
        <f>IFERROR(INDEX('Controles de Corrupción'!$C$10:$AZ$251,MATCH('Mapa Riesgo Corrupción'!B409,'Controles de Corrupción'!$C$10:$C$251,0),37),"")</f>
        <v/>
      </c>
      <c r="L409" s="720"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942</v>
      </c>
      <c r="B410" s="826"/>
      <c r="C410" s="829"/>
      <c r="D410" s="717"/>
      <c r="E410" s="831"/>
      <c r="F410" s="718"/>
      <c r="G410" s="718"/>
      <c r="H410" s="824"/>
      <c r="I410" s="718"/>
      <c r="J410" s="718"/>
      <c r="K410" s="718"/>
      <c r="L410" s="718"/>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943</v>
      </c>
      <c r="B411" s="826"/>
      <c r="C411" s="829"/>
      <c r="D411" s="717"/>
      <c r="E411" s="831"/>
      <c r="F411" s="718"/>
      <c r="G411" s="718"/>
      <c r="H411" s="824"/>
      <c r="I411" s="718"/>
      <c r="J411" s="718"/>
      <c r="K411" s="718"/>
      <c r="L411" s="718"/>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944</v>
      </c>
      <c r="B412" s="826"/>
      <c r="C412" s="829"/>
      <c r="D412" s="717"/>
      <c r="E412" s="831"/>
      <c r="F412" s="718"/>
      <c r="G412" s="718"/>
      <c r="H412" s="824"/>
      <c r="I412" s="718"/>
      <c r="J412" s="718"/>
      <c r="K412" s="718"/>
      <c r="L412" s="718"/>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945</v>
      </c>
      <c r="B413" s="826"/>
      <c r="C413" s="829"/>
      <c r="D413" s="717"/>
      <c r="E413" s="831"/>
      <c r="F413" s="718"/>
      <c r="G413" s="718"/>
      <c r="H413" s="824"/>
      <c r="I413" s="718"/>
      <c r="J413" s="718"/>
      <c r="K413" s="718"/>
      <c r="L413" s="718"/>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946</v>
      </c>
      <c r="B414" s="827"/>
      <c r="C414" s="829"/>
      <c r="D414" s="717"/>
      <c r="E414" s="831"/>
      <c r="F414" s="718"/>
      <c r="G414" s="718"/>
      <c r="H414" s="719"/>
      <c r="I414" s="718"/>
      <c r="J414" s="718"/>
      <c r="K414" s="718"/>
      <c r="L414" s="718"/>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947</v>
      </c>
      <c r="B415" s="825"/>
      <c r="C415" s="828" t="str">
        <f>IFERROR(INDEX('Riesgos de Corrupción'!$B$11:$BN$100,MATCH('Mapa Riesgo Corrupción'!B415,'Riesgos de Corrupción'!$B$11:$B$100,0),2),"")</f>
        <v/>
      </c>
      <c r="D415" s="716" t="str">
        <f>IFERROR(INDEX('Riesgos de Corrupción'!$B$11:$BN$100,MATCH('Mapa Riesgo Corrupción'!B415,'Riesgos de Corrupción'!$B$11:$B$100,0),4),"")</f>
        <v/>
      </c>
      <c r="E415" s="830" t="str">
        <f>IFERROR(INDEX('Riesgos de Corrupción'!$B$11:$BN$100,MATCH('Mapa Riesgo Corrupción'!B415,'Riesgos de Corrupción'!$B$11:$B$100,0),5),"")</f>
        <v/>
      </c>
      <c r="F415" s="720" t="str">
        <f>IFERROR(INDEX('Riesgos de Corrupción'!$B$11:$BN$100,MATCH('Mapa Riesgo Corrupción'!B415,'Riesgos de Corrupción'!$B$11:$B$100,0),18),"")</f>
        <v/>
      </c>
      <c r="G415" s="720" t="str">
        <f>IFERROR(INDEX('Riesgos de Corrupción'!$B$11:$BN$100,MATCH('Mapa Riesgo Corrupción'!B415,'Riesgos de Corrupción'!$B$11:$B$100,0),63),"")</f>
        <v/>
      </c>
      <c r="H415" s="823" t="str">
        <f>IFERROR(INDEX('Riesgos de Corrupción'!$B$11:$BN$100,MATCH('Mapa Riesgo Corrupción'!B415,'Riesgos de Corrupción'!$B$11:$B$100,0),64),"")</f>
        <v/>
      </c>
      <c r="I415" s="720" t="str">
        <f>IFERROR(INDEX('Controles de Corrupción'!$C$10:$AZ$251,MATCH('Mapa Riesgo Corrupción'!B415,'Controles de Corrupción'!$C$10:$C$251,0),33),"")</f>
        <v/>
      </c>
      <c r="J415" s="720" t="str">
        <f>IFERROR(INDEX('Controles de Corrupción'!$C$10:$AZ$251,MATCH('Mapa Riesgo Corrupción'!B415,'Controles de Corrupción'!$C$10:$C$251,0),36),"")</f>
        <v/>
      </c>
      <c r="K415" s="720" t="str">
        <f>IFERROR(INDEX('Controles de Corrupción'!$C$10:$AZ$251,MATCH('Mapa Riesgo Corrupción'!B415,'Controles de Corrupción'!$C$10:$C$251,0),37),"")</f>
        <v/>
      </c>
      <c r="L415" s="720"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948</v>
      </c>
      <c r="B416" s="826"/>
      <c r="C416" s="829"/>
      <c r="D416" s="717"/>
      <c r="E416" s="831"/>
      <c r="F416" s="718"/>
      <c r="G416" s="718"/>
      <c r="H416" s="824"/>
      <c r="I416" s="718"/>
      <c r="J416" s="718"/>
      <c r="K416" s="718"/>
      <c r="L416" s="718"/>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949</v>
      </c>
      <c r="B417" s="826"/>
      <c r="C417" s="829"/>
      <c r="D417" s="717"/>
      <c r="E417" s="831"/>
      <c r="F417" s="718"/>
      <c r="G417" s="718"/>
      <c r="H417" s="824"/>
      <c r="I417" s="718"/>
      <c r="J417" s="718"/>
      <c r="K417" s="718"/>
      <c r="L417" s="718"/>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950</v>
      </c>
      <c r="B418" s="826"/>
      <c r="C418" s="829"/>
      <c r="D418" s="717"/>
      <c r="E418" s="831"/>
      <c r="F418" s="718"/>
      <c r="G418" s="718"/>
      <c r="H418" s="824"/>
      <c r="I418" s="718"/>
      <c r="J418" s="718"/>
      <c r="K418" s="718"/>
      <c r="L418" s="718"/>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951</v>
      </c>
      <c r="B419" s="826"/>
      <c r="C419" s="829"/>
      <c r="D419" s="717"/>
      <c r="E419" s="831"/>
      <c r="F419" s="718"/>
      <c r="G419" s="718"/>
      <c r="H419" s="824"/>
      <c r="I419" s="718"/>
      <c r="J419" s="718"/>
      <c r="K419" s="718"/>
      <c r="L419" s="718"/>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952</v>
      </c>
      <c r="B420" s="827"/>
      <c r="C420" s="829"/>
      <c r="D420" s="717"/>
      <c r="E420" s="831"/>
      <c r="F420" s="718"/>
      <c r="G420" s="718"/>
      <c r="H420" s="719"/>
      <c r="I420" s="718"/>
      <c r="J420" s="718"/>
      <c r="K420" s="718"/>
      <c r="L420" s="718"/>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953</v>
      </c>
      <c r="B421" s="825"/>
      <c r="C421" s="828" t="str">
        <f>IFERROR(INDEX('Riesgos de Corrupción'!$B$11:$BN$100,MATCH('Mapa Riesgo Corrupción'!B421,'Riesgos de Corrupción'!$B$11:$B$100,0),2),"")</f>
        <v/>
      </c>
      <c r="D421" s="716" t="str">
        <f>IFERROR(INDEX('Riesgos de Corrupción'!$B$11:$BN$100,MATCH('Mapa Riesgo Corrupción'!B421,'Riesgos de Corrupción'!$B$11:$B$100,0),4),"")</f>
        <v/>
      </c>
      <c r="E421" s="830" t="str">
        <f>IFERROR(INDEX('Riesgos de Corrupción'!$B$11:$BN$100,MATCH('Mapa Riesgo Corrupción'!B421,'Riesgos de Corrupción'!$B$11:$B$100,0),5),"")</f>
        <v/>
      </c>
      <c r="F421" s="720" t="str">
        <f>IFERROR(INDEX('Riesgos de Corrupción'!$B$11:$BN$100,MATCH('Mapa Riesgo Corrupción'!B421,'Riesgos de Corrupción'!$B$11:$B$100,0),18),"")</f>
        <v/>
      </c>
      <c r="G421" s="720" t="str">
        <f>IFERROR(INDEX('Riesgos de Corrupción'!$B$11:$BN$100,MATCH('Mapa Riesgo Corrupción'!B421,'Riesgos de Corrupción'!$B$11:$B$100,0),63),"")</f>
        <v/>
      </c>
      <c r="H421" s="823" t="str">
        <f>IFERROR(INDEX('Riesgos de Corrupción'!$B$11:$BN$100,MATCH('Mapa Riesgo Corrupción'!B421,'Riesgos de Corrupción'!$B$11:$B$100,0),64),"")</f>
        <v/>
      </c>
      <c r="I421" s="720" t="str">
        <f>IFERROR(INDEX('Controles de Corrupción'!$C$10:$AZ$251,MATCH('Mapa Riesgo Corrupción'!B421,'Controles de Corrupción'!$C$10:$C$251,0),33),"")</f>
        <v/>
      </c>
      <c r="J421" s="720" t="str">
        <f>IFERROR(INDEX('Controles de Corrupción'!$C$10:$AZ$251,MATCH('Mapa Riesgo Corrupción'!B421,'Controles de Corrupción'!$C$10:$C$251,0),36),"")</f>
        <v/>
      </c>
      <c r="K421" s="720" t="str">
        <f>IFERROR(INDEX('Controles de Corrupción'!$C$10:$AZ$251,MATCH('Mapa Riesgo Corrupción'!B421,'Controles de Corrupción'!$C$10:$C$251,0),37),"")</f>
        <v/>
      </c>
      <c r="L421" s="720"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954</v>
      </c>
      <c r="B422" s="826"/>
      <c r="C422" s="829"/>
      <c r="D422" s="717"/>
      <c r="E422" s="831"/>
      <c r="F422" s="718"/>
      <c r="G422" s="718"/>
      <c r="H422" s="824"/>
      <c r="I422" s="718"/>
      <c r="J422" s="718"/>
      <c r="K422" s="718"/>
      <c r="L422" s="718"/>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955</v>
      </c>
      <c r="B423" s="826"/>
      <c r="C423" s="829"/>
      <c r="D423" s="717"/>
      <c r="E423" s="831"/>
      <c r="F423" s="718"/>
      <c r="G423" s="718"/>
      <c r="H423" s="824"/>
      <c r="I423" s="718"/>
      <c r="J423" s="718"/>
      <c r="K423" s="718"/>
      <c r="L423" s="718"/>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956</v>
      </c>
      <c r="B424" s="826"/>
      <c r="C424" s="829"/>
      <c r="D424" s="717"/>
      <c r="E424" s="831"/>
      <c r="F424" s="718"/>
      <c r="G424" s="718"/>
      <c r="H424" s="824"/>
      <c r="I424" s="718"/>
      <c r="J424" s="718"/>
      <c r="K424" s="718"/>
      <c r="L424" s="718"/>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957</v>
      </c>
      <c r="B425" s="826"/>
      <c r="C425" s="829"/>
      <c r="D425" s="717"/>
      <c r="E425" s="831"/>
      <c r="F425" s="718"/>
      <c r="G425" s="718"/>
      <c r="H425" s="824"/>
      <c r="I425" s="718"/>
      <c r="J425" s="718"/>
      <c r="K425" s="718"/>
      <c r="L425" s="718"/>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958</v>
      </c>
      <c r="B426" s="827"/>
      <c r="C426" s="829"/>
      <c r="D426" s="717"/>
      <c r="E426" s="831"/>
      <c r="F426" s="718"/>
      <c r="G426" s="718"/>
      <c r="H426" s="719"/>
      <c r="I426" s="718"/>
      <c r="J426" s="718"/>
      <c r="K426" s="718"/>
      <c r="L426" s="718"/>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eW5eK42phMAbjJ7zqUiWsGIO3lf8quu4tKmvQYyyDWh3UmpP2gUFrbl2bMpWDgNxfoydKlm1Pu13348aAQGRQ==" saltValue="6IVkIr8x7BdsR56DN+wVSg==" spinCount="100000" sheet="1" formatCells="0" formatColumns="0" formatRows="0"/>
  <mergeCells count="776">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BT72"/>
  <sheetViews>
    <sheetView zoomScale="55" zoomScaleNormal="55" workbookViewId="0">
      <selection activeCell="AC11" sqref="AC11"/>
    </sheetView>
  </sheetViews>
  <sheetFormatPr baseColWidth="10" defaultRowHeight="16.5" x14ac:dyDescent="0.3"/>
  <cols>
    <col min="1" max="1" width="4" style="247" bestFit="1" customWidth="1"/>
    <col min="2" max="3" width="15.85546875" style="247" customWidth="1"/>
    <col min="4" max="4" width="14.140625" style="247" customWidth="1"/>
    <col min="5" max="5" width="13.140625" style="247" customWidth="1"/>
    <col min="6" max="6" width="16.140625" style="247" customWidth="1"/>
    <col min="7" max="7" width="32.42578125" style="221" customWidth="1"/>
    <col min="8" max="9" width="19" style="248" customWidth="1"/>
    <col min="10" max="10" width="25" style="248" customWidth="1"/>
    <col min="11" max="11" width="17.85546875" style="221" customWidth="1"/>
    <col min="12" max="12" width="16.5703125" style="221" customWidth="1"/>
    <col min="13" max="13" width="6.28515625" style="221" bestFit="1" customWidth="1"/>
    <col min="14" max="14" width="27.28515625" style="221" bestFit="1" customWidth="1"/>
    <col min="15" max="15" width="30.5703125" style="221" hidden="1" customWidth="1"/>
    <col min="16" max="16" width="17.5703125" style="221" customWidth="1"/>
    <col min="17" max="17" width="6.28515625" style="221" bestFit="1" customWidth="1"/>
    <col min="18" max="18" width="16" style="221" customWidth="1"/>
    <col min="19" max="19" width="5.85546875" style="221" customWidth="1"/>
    <col min="20" max="20" width="31" style="221" customWidth="1"/>
    <col min="21" max="21" width="15.140625" style="221" bestFit="1" customWidth="1"/>
    <col min="22" max="22" width="6.85546875" style="221" customWidth="1"/>
    <col min="23" max="23" width="5" style="221" customWidth="1"/>
    <col min="24" max="24" width="5.5703125" style="221" customWidth="1"/>
    <col min="25" max="25" width="7.140625" style="221" customWidth="1"/>
    <col min="26" max="26" width="6.7109375" style="221" customWidth="1"/>
    <col min="27" max="27" width="7.5703125" style="221" customWidth="1"/>
    <col min="28" max="28" width="38.28515625" style="221" hidden="1" customWidth="1"/>
    <col min="29" max="29" width="8.7109375" style="221" customWidth="1"/>
    <col min="30" max="30" width="10.42578125" style="221" customWidth="1"/>
    <col min="31" max="31" width="9.28515625" style="221" customWidth="1"/>
    <col min="32" max="32" width="9.140625" style="221" customWidth="1"/>
    <col min="33" max="33" width="8.42578125" style="221" customWidth="1"/>
    <col min="34" max="34" width="7.28515625" style="221" customWidth="1"/>
    <col min="35" max="35" width="23" style="221" customWidth="1"/>
    <col min="36" max="36" width="18.85546875" style="221" customWidth="1"/>
    <col min="37" max="37" width="16.85546875" style="221" customWidth="1"/>
    <col min="38" max="38" width="14.85546875" style="221" customWidth="1"/>
    <col min="39" max="39" width="18.5703125" style="221" customWidth="1"/>
    <col min="40" max="40" width="21" style="221" customWidth="1"/>
    <col min="41" max="41" width="26" style="221" customWidth="1"/>
    <col min="42" max="42" width="28.5703125" style="221" customWidth="1"/>
    <col min="43" max="43" width="26.7109375" style="221" customWidth="1"/>
    <col min="44" max="44" width="31.85546875" style="221" customWidth="1"/>
    <col min="45" max="16384" width="11.42578125" style="221"/>
  </cols>
  <sheetData>
    <row r="1" spans="1:72" s="220" customFormat="1" ht="134.25" customHeight="1" x14ac:dyDescent="0.3">
      <c r="A1" s="844"/>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6"/>
    </row>
    <row r="2" spans="1:72" s="220" customFormat="1" ht="24" customHeight="1" x14ac:dyDescent="0.3">
      <c r="A2" s="847"/>
      <c r="B2" s="848"/>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c r="AO2" s="848"/>
      <c r="AP2" s="848"/>
      <c r="AQ2" s="849"/>
    </row>
    <row r="3" spans="1:72" x14ac:dyDescent="0.3">
      <c r="A3" s="222"/>
      <c r="B3" s="222"/>
      <c r="C3" s="222"/>
      <c r="D3" s="223"/>
      <c r="E3" s="222"/>
      <c r="F3" s="222"/>
      <c r="G3" s="220"/>
      <c r="H3" s="224"/>
      <c r="I3" s="224"/>
      <c r="J3" s="224"/>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row>
    <row r="4" spans="1:72" ht="26.25" customHeight="1" x14ac:dyDescent="0.3">
      <c r="A4" s="564" t="s">
        <v>1024</v>
      </c>
      <c r="B4" s="572"/>
      <c r="C4" s="572"/>
      <c r="D4" s="565"/>
      <c r="E4" s="855" t="s">
        <v>1192</v>
      </c>
      <c r="F4" s="856"/>
      <c r="G4" s="856"/>
      <c r="H4" s="856"/>
      <c r="I4" s="856"/>
      <c r="J4" s="856"/>
      <c r="K4" s="856"/>
      <c r="L4" s="856"/>
      <c r="M4" s="856"/>
      <c r="N4" s="856"/>
      <c r="O4" s="856"/>
      <c r="P4" s="856"/>
      <c r="Q4" s="856"/>
      <c r="R4" s="857"/>
      <c r="S4" s="858"/>
      <c r="T4" s="858"/>
      <c r="U4" s="858"/>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row>
    <row r="5" spans="1:72" ht="50.25" customHeight="1" x14ac:dyDescent="0.3">
      <c r="A5" s="564" t="s">
        <v>1025</v>
      </c>
      <c r="B5" s="572"/>
      <c r="C5" s="572"/>
      <c r="D5" s="572"/>
      <c r="E5" s="841" t="str">
        <f>IFERROR(INDEX(Tabla10[],MATCH(E4,Tabla10[PROCESOS],0),2)," ")</f>
        <v>Administrar y satisfacer las necesidades de bienes, servicios e impactos y aspectos ambientales que permitan la continuidad de la operación y funcionamiento de la entidad en cumplimiento de la normatividad vigente.</v>
      </c>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3"/>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row>
    <row r="6" spans="1:72" ht="49.5" customHeight="1" x14ac:dyDescent="0.3">
      <c r="A6" s="564" t="s">
        <v>1026</v>
      </c>
      <c r="B6" s="572"/>
      <c r="C6" s="572"/>
      <c r="D6" s="572"/>
      <c r="E6" s="841" t="str">
        <f>IFERROR(INDEX(Tabla10[],MATCH(E4,Tabla10[PROCESOS],0),3),"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F6" s="842"/>
      <c r="G6" s="842"/>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3"/>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row>
    <row r="7" spans="1:72" x14ac:dyDescent="0.3">
      <c r="A7" s="850" t="s">
        <v>1027</v>
      </c>
      <c r="B7" s="851"/>
      <c r="C7" s="851"/>
      <c r="D7" s="851"/>
      <c r="E7" s="852"/>
      <c r="F7" s="852"/>
      <c r="G7" s="852"/>
      <c r="H7" s="852"/>
      <c r="I7" s="852"/>
      <c r="J7" s="852"/>
      <c r="K7" s="853"/>
      <c r="L7" s="854" t="s">
        <v>1028</v>
      </c>
      <c r="M7" s="852"/>
      <c r="N7" s="852"/>
      <c r="O7" s="852"/>
      <c r="P7" s="852"/>
      <c r="Q7" s="852"/>
      <c r="R7" s="853"/>
      <c r="S7" s="854" t="s">
        <v>1029</v>
      </c>
      <c r="T7" s="852"/>
      <c r="U7" s="852"/>
      <c r="V7" s="852"/>
      <c r="W7" s="852"/>
      <c r="X7" s="852"/>
      <c r="Y7" s="852"/>
      <c r="Z7" s="852"/>
      <c r="AA7" s="853"/>
      <c r="AB7" s="854" t="s">
        <v>1030</v>
      </c>
      <c r="AC7" s="852"/>
      <c r="AD7" s="852"/>
      <c r="AE7" s="852"/>
      <c r="AF7" s="852"/>
      <c r="AG7" s="852"/>
      <c r="AH7" s="853"/>
      <c r="AI7" s="854" t="s">
        <v>1031</v>
      </c>
      <c r="AJ7" s="852"/>
      <c r="AK7" s="852"/>
      <c r="AL7" s="852"/>
      <c r="AM7" s="852"/>
      <c r="AN7" s="852"/>
      <c r="AO7" s="836" t="s">
        <v>153</v>
      </c>
      <c r="AP7" s="837"/>
      <c r="AQ7" s="838"/>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row>
    <row r="8" spans="1:72" ht="16.5" customHeight="1" x14ac:dyDescent="0.3">
      <c r="A8" s="865" t="s">
        <v>1032</v>
      </c>
      <c r="B8" s="867" t="s">
        <v>25</v>
      </c>
      <c r="C8" s="867" t="s">
        <v>1167</v>
      </c>
      <c r="D8" s="867" t="s">
        <v>5</v>
      </c>
      <c r="E8" s="839" t="s">
        <v>999</v>
      </c>
      <c r="F8" s="839" t="s">
        <v>1001</v>
      </c>
      <c r="G8" s="868" t="s">
        <v>184</v>
      </c>
      <c r="H8" s="859" t="s">
        <v>27</v>
      </c>
      <c r="I8" s="859" t="s">
        <v>1178</v>
      </c>
      <c r="J8" s="859" t="s">
        <v>1179</v>
      </c>
      <c r="K8" s="839" t="s">
        <v>1033</v>
      </c>
      <c r="L8" s="869" t="s">
        <v>1034</v>
      </c>
      <c r="M8" s="861" t="s">
        <v>1035</v>
      </c>
      <c r="N8" s="859" t="s">
        <v>1036</v>
      </c>
      <c r="O8" s="859" t="s">
        <v>1037</v>
      </c>
      <c r="P8" s="860" t="s">
        <v>1038</v>
      </c>
      <c r="Q8" s="861" t="s">
        <v>1035</v>
      </c>
      <c r="R8" s="839" t="s">
        <v>157</v>
      </c>
      <c r="S8" s="863" t="s">
        <v>1039</v>
      </c>
      <c r="T8" s="862" t="s">
        <v>1010</v>
      </c>
      <c r="U8" s="859" t="s">
        <v>1011</v>
      </c>
      <c r="V8" s="862" t="s">
        <v>1040</v>
      </c>
      <c r="W8" s="862"/>
      <c r="X8" s="862"/>
      <c r="Y8" s="862"/>
      <c r="Z8" s="862"/>
      <c r="AA8" s="862"/>
      <c r="AB8" s="870" t="s">
        <v>1041</v>
      </c>
      <c r="AC8" s="870" t="s">
        <v>1042</v>
      </c>
      <c r="AD8" s="870" t="s">
        <v>1035</v>
      </c>
      <c r="AE8" s="870" t="s">
        <v>1043</v>
      </c>
      <c r="AF8" s="870" t="s">
        <v>1035</v>
      </c>
      <c r="AG8" s="870" t="s">
        <v>1044</v>
      </c>
      <c r="AH8" s="863" t="s">
        <v>77</v>
      </c>
      <c r="AI8" s="862" t="s">
        <v>1031</v>
      </c>
      <c r="AJ8" s="862" t="s">
        <v>0</v>
      </c>
      <c r="AK8" s="862" t="s">
        <v>1045</v>
      </c>
      <c r="AL8" s="862" t="s">
        <v>1046</v>
      </c>
      <c r="AM8" s="862" t="s">
        <v>153</v>
      </c>
      <c r="AN8" s="862" t="s">
        <v>1022</v>
      </c>
      <c r="AO8" s="839" t="s">
        <v>1261</v>
      </c>
      <c r="AP8" s="839" t="s">
        <v>1262</v>
      </c>
      <c r="AQ8" s="839" t="s">
        <v>1263</v>
      </c>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row>
    <row r="9" spans="1:72" s="227" customFormat="1" ht="94.5" customHeight="1" x14ac:dyDescent="0.25">
      <c r="A9" s="866"/>
      <c r="B9" s="867" t="s">
        <v>25</v>
      </c>
      <c r="C9" s="867"/>
      <c r="D9" s="867"/>
      <c r="E9" s="862"/>
      <c r="F9" s="862"/>
      <c r="G9" s="867"/>
      <c r="H9" s="839"/>
      <c r="I9" s="839" t="s">
        <v>1177</v>
      </c>
      <c r="J9" s="839"/>
      <c r="K9" s="862"/>
      <c r="L9" s="839"/>
      <c r="M9" s="854"/>
      <c r="N9" s="839"/>
      <c r="O9" s="839"/>
      <c r="P9" s="854"/>
      <c r="Q9" s="854"/>
      <c r="R9" s="862"/>
      <c r="S9" s="864"/>
      <c r="T9" s="862"/>
      <c r="U9" s="839"/>
      <c r="V9" s="225" t="s">
        <v>27</v>
      </c>
      <c r="W9" s="225" t="s">
        <v>1047</v>
      </c>
      <c r="X9" s="225" t="s">
        <v>1048</v>
      </c>
      <c r="Y9" s="225" t="s">
        <v>1049</v>
      </c>
      <c r="Z9" s="225" t="s">
        <v>154</v>
      </c>
      <c r="AA9" s="225" t="s">
        <v>1050</v>
      </c>
      <c r="AB9" s="870"/>
      <c r="AC9" s="870"/>
      <c r="AD9" s="870"/>
      <c r="AE9" s="870"/>
      <c r="AF9" s="870"/>
      <c r="AG9" s="870"/>
      <c r="AH9" s="864"/>
      <c r="AI9" s="862"/>
      <c r="AJ9" s="862"/>
      <c r="AK9" s="862"/>
      <c r="AL9" s="862"/>
      <c r="AM9" s="862"/>
      <c r="AN9" s="862"/>
      <c r="AO9" s="840"/>
      <c r="AP9" s="840"/>
      <c r="AQ9" s="840"/>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row>
    <row r="10" spans="1:72" s="242" customFormat="1" ht="120.75" customHeight="1" x14ac:dyDescent="0.25">
      <c r="A10" s="895">
        <v>1</v>
      </c>
      <c r="B10" s="895"/>
      <c r="C10" s="895"/>
      <c r="D10" s="880"/>
      <c r="E10" s="880"/>
      <c r="F10" s="880"/>
      <c r="G10" s="883"/>
      <c r="H10" s="880"/>
      <c r="I10" s="880"/>
      <c r="J10" s="336"/>
      <c r="K10" s="886"/>
      <c r="L10" s="889" t="str">
        <f>IF(K10&lt;=0,"",IF(K10&lt;=2,"Muy Baja",IF(K10&lt;=24,"Baja",IF(K10&lt;=500,"Media",IF(K10&lt;=5000,"Alta","Muy Alta")))))</f>
        <v/>
      </c>
      <c r="M10" s="874" t="str">
        <f>IF(L10="","",IF(L10="Muy Baja",0.2,IF(L10="Baja",0.4,IF(L10="Media",0.6,IF(L10="Alta",0.8,IF(L10="Muy Alta",1,))))))</f>
        <v/>
      </c>
      <c r="N10" s="892"/>
      <c r="O10" s="874">
        <f>IF(NOT(ISERROR(MATCH(N10,'Tabla Impacto'!$B$221:$B$223,0))),'Tabla Impacto'!$F$223&amp;"Por favor no seleccionar los criterios de impacto(Afectación Económica o presupuestal y Pérdida Reputacional)",N10)</f>
        <v>0</v>
      </c>
      <c r="P10" s="889" t="str">
        <f>IF(OR(O10='Tabla Impacto'!$C$11,O10='Tabla Impacto'!$D$11),"Leve",IF(OR(O10='Tabla Impacto'!$C$12,O10='Tabla Impacto'!$D$12),"Menor",IF(OR(O10='Tabla Impacto'!$C$13,O10='Tabla Impacto'!$D$13),"Moderado",IF(OR(O10='Tabla Impacto'!$C$14,O10='Tabla Impacto'!$D$14),"Mayor",IF(OR(O10='Tabla Impacto'!$C$15,O10='Tabla Impacto'!$D$15),"Catastrófico","")))))</f>
        <v/>
      </c>
      <c r="Q10" s="874" t="str">
        <f>IF(P10="","",IF(P10="Leve",0.2,IF(P10="Menor",0.4,IF(P10="Moderado",0.6,IF(P10="Mayor",0.8,IF(P10="Catastrófico",1,))))))</f>
        <v/>
      </c>
      <c r="R10" s="87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3">
        <v>1</v>
      </c>
      <c r="T10" s="229"/>
      <c r="U10" s="230" t="str">
        <f t="shared" ref="U10:U41" si="0">IF(OR(V10="Preventivo",V10="Detectivo"),"Probabilidad",IF(V10="Correctivo","Impacto",""))</f>
        <v/>
      </c>
      <c r="V10" s="231"/>
      <c r="W10" s="231"/>
      <c r="X10" s="232" t="str">
        <f t="shared" ref="X10:X41" si="1">IF(AND(V10="Preventivo",W10="Automático"),"50%",IF(AND(V10="Preventivo",W10="Manual"),"40%",IF(AND(V10="Detectivo",W10="Automático"),"40%",IF(AND(V10="Detectivo",W10="Manual"),"30%",IF(AND(V10="Correctivo",W10="Automático"),"35%",IF(AND(V10="Correctivo",W10="Manual"),"25%",""))))))</f>
        <v/>
      </c>
      <c r="Y10" s="231"/>
      <c r="Z10" s="231"/>
      <c r="AA10" s="231"/>
      <c r="AB10" s="233" t="str">
        <f>IFERROR(IF(U10="Probabilidad",(M10-(+M10*X10)),IF(U10="Impacto",M10,"")),"")</f>
        <v/>
      </c>
      <c r="AC10" s="234" t="str">
        <f>IFERROR(IF(AB10="","",IF(AB10&lt;=0.2,"Muy Baja",IF(AB10&lt;=0.4,"Baja",IF(AB10&lt;=0.6,"Media",IF(AB10&lt;=0.8,"Alta","Muy Alta"))))),"")</f>
        <v/>
      </c>
      <c r="AD10" s="235" t="str">
        <f t="shared" ref="AD10:AD41" si="2">+AB10</f>
        <v/>
      </c>
      <c r="AE10" s="234" t="str">
        <f>IFERROR(IF(AF10="","",IF(AF10&lt;=0.2,"Leve",IF(AF10&lt;=0.4,"Menor",IF(AF10&lt;=0.6,"Moderado",IF(AF10&lt;=0.8,"Mayor","Catastrófico"))))),"")</f>
        <v/>
      </c>
      <c r="AF10" s="235" t="str">
        <f>IFERROR(IF(U10="Impacto",(Q10-(+Q10*X10)),IF(U10="Probabilidad",Q10,"")),"")</f>
        <v/>
      </c>
      <c r="AG10" s="236"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37"/>
      <c r="AI10" s="238"/>
      <c r="AJ10" s="239"/>
      <c r="AK10" s="240"/>
      <c r="AL10" s="240"/>
      <c r="AM10" s="238"/>
      <c r="AN10" s="361"/>
      <c r="AO10" s="362"/>
      <c r="AP10" s="362"/>
      <c r="AQ10" s="362"/>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row>
    <row r="11" spans="1:72" ht="151.5" customHeight="1" x14ac:dyDescent="0.3">
      <c r="A11" s="896"/>
      <c r="B11" s="896"/>
      <c r="C11" s="896"/>
      <c r="D11" s="881"/>
      <c r="E11" s="881"/>
      <c r="F11" s="881"/>
      <c r="G11" s="884"/>
      <c r="H11" s="881"/>
      <c r="I11" s="881"/>
      <c r="J11" s="337"/>
      <c r="K11" s="887"/>
      <c r="L11" s="890"/>
      <c r="M11" s="875"/>
      <c r="N11" s="893"/>
      <c r="O11" s="875">
        <f>IF(NOT(ISERROR(MATCH(N11,_xlfn.ANCHORARRAY(G22),0))),M24&amp;"Por favor no seleccionar los criterios de impacto",N11)</f>
        <v>0</v>
      </c>
      <c r="P11" s="890"/>
      <c r="Q11" s="875"/>
      <c r="R11" s="872"/>
      <c r="S11" s="228">
        <v>2</v>
      </c>
      <c r="T11" s="229"/>
      <c r="U11" s="230" t="str">
        <f t="shared" si="0"/>
        <v/>
      </c>
      <c r="V11" s="231"/>
      <c r="W11" s="231"/>
      <c r="X11" s="232" t="str">
        <f t="shared" si="1"/>
        <v/>
      </c>
      <c r="Y11" s="231"/>
      <c r="Z11" s="231"/>
      <c r="AA11" s="231"/>
      <c r="AB11" s="233" t="str">
        <f>IFERROR(IF(AND(U10="Probabilidad",U11="Probabilidad"),(AD10-(+AD10*X11)),IF(U11="Probabilidad",(M10-(+M10*X11)),IF(U11="Impacto",AD10,""))),"")</f>
        <v/>
      </c>
      <c r="AC11" s="234" t="str">
        <f t="shared" ref="AC11:AC69" si="4">IFERROR(IF(AB11="","",IF(AB11&lt;=0.2,"Muy Baja",IF(AB11&lt;=0.4,"Baja",IF(AB11&lt;=0.6,"Media",IF(AB11&lt;=0.8,"Alta","Muy Alta"))))),"")</f>
        <v/>
      </c>
      <c r="AD11" s="235" t="str">
        <f t="shared" si="2"/>
        <v/>
      </c>
      <c r="AE11" s="234" t="str">
        <f t="shared" ref="AE11:AE69" si="5">IFERROR(IF(AF11="","",IF(AF11&lt;=0.2,"Leve",IF(AF11&lt;=0.4,"Menor",IF(AF11&lt;=0.6,"Moderado",IF(AF11&lt;=0.8,"Mayor","Catastrófico"))))),"")</f>
        <v/>
      </c>
      <c r="AF11" s="235" t="str">
        <f>IFERROR(IF(AND(U10="Impacto",U11="Impacto"),(AF10-(+AF10*X11)),IF(U11="Impacto",(Q10-(+Q10*X11)),IF(U11="Probabilidad",AF10,""))),"")</f>
        <v/>
      </c>
      <c r="AG11" s="236" t="str">
        <f t="shared" si="3"/>
        <v/>
      </c>
      <c r="AH11" s="237"/>
      <c r="AI11" s="238"/>
      <c r="AJ11" s="239"/>
      <c r="AK11" s="240"/>
      <c r="AL11" s="240"/>
      <c r="AM11" s="238"/>
      <c r="AN11" s="361"/>
      <c r="AO11" s="363"/>
      <c r="AP11" s="363"/>
      <c r="AQ11" s="363"/>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row>
    <row r="12" spans="1:72" ht="151.5" customHeight="1" x14ac:dyDescent="0.3">
      <c r="A12" s="896"/>
      <c r="B12" s="896"/>
      <c r="C12" s="896"/>
      <c r="D12" s="881"/>
      <c r="E12" s="881"/>
      <c r="F12" s="881"/>
      <c r="G12" s="884"/>
      <c r="H12" s="881"/>
      <c r="I12" s="881"/>
      <c r="J12" s="337"/>
      <c r="K12" s="887"/>
      <c r="L12" s="890"/>
      <c r="M12" s="875"/>
      <c r="N12" s="893"/>
      <c r="O12" s="875">
        <f>IF(NOT(ISERROR(MATCH(N12,_xlfn.ANCHORARRAY(G23),0))),M25&amp;"Por favor no seleccionar los criterios de impacto",N12)</f>
        <v>0</v>
      </c>
      <c r="P12" s="890"/>
      <c r="Q12" s="875"/>
      <c r="R12" s="872"/>
      <c r="S12" s="228">
        <v>3</v>
      </c>
      <c r="T12" s="243"/>
      <c r="U12" s="230" t="str">
        <f t="shared" si="0"/>
        <v/>
      </c>
      <c r="V12" s="231"/>
      <c r="W12" s="231"/>
      <c r="X12" s="232" t="str">
        <f t="shared" si="1"/>
        <v/>
      </c>
      <c r="Y12" s="231"/>
      <c r="Z12" s="231"/>
      <c r="AA12" s="231"/>
      <c r="AB12" s="233" t="str">
        <f>IFERROR(IF(AND(U11="Probabilidad",U12="Probabilidad"),(AD11-(+AD11*X12)),IF(AND(U11="Impacto",U12="Probabilidad"),(AD10-(+AD10*X12)),IF(U12="Impacto",AD11,""))),"")</f>
        <v/>
      </c>
      <c r="AC12" s="234" t="str">
        <f t="shared" si="4"/>
        <v/>
      </c>
      <c r="AD12" s="235" t="str">
        <f t="shared" si="2"/>
        <v/>
      </c>
      <c r="AE12" s="234" t="str">
        <f t="shared" si="5"/>
        <v/>
      </c>
      <c r="AF12" s="235" t="str">
        <f>IFERROR(IF(AND(U11="Impacto",U12="Impacto"),(AF11-(+AF11*X12)),IF(AND(U11="Probabilidad",U12="Impacto"),(AF10-(+AF10*X12)),IF(U12="Probabilidad",AF11,""))),"")</f>
        <v/>
      </c>
      <c r="AG12" s="236" t="str">
        <f t="shared" si="3"/>
        <v/>
      </c>
      <c r="AH12" s="237"/>
      <c r="AI12" s="238"/>
      <c r="AJ12" s="239"/>
      <c r="AK12" s="240"/>
      <c r="AL12" s="240"/>
      <c r="AM12" s="238"/>
      <c r="AN12" s="361"/>
      <c r="AO12" s="363"/>
      <c r="AP12" s="363"/>
      <c r="AQ12" s="363"/>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row>
    <row r="13" spans="1:72" ht="151.5" customHeight="1" x14ac:dyDescent="0.3">
      <c r="A13" s="896"/>
      <c r="B13" s="896"/>
      <c r="C13" s="896"/>
      <c r="D13" s="881"/>
      <c r="E13" s="881"/>
      <c r="F13" s="881"/>
      <c r="G13" s="884"/>
      <c r="H13" s="881"/>
      <c r="I13" s="881"/>
      <c r="J13" s="337"/>
      <c r="K13" s="887"/>
      <c r="L13" s="890"/>
      <c r="M13" s="875"/>
      <c r="N13" s="893"/>
      <c r="O13" s="875">
        <f>IF(NOT(ISERROR(MATCH(N13,_xlfn.ANCHORARRAY(G24),0))),M26&amp;"Por favor no seleccionar los criterios de impacto",N13)</f>
        <v>0</v>
      </c>
      <c r="P13" s="890"/>
      <c r="Q13" s="875"/>
      <c r="R13" s="872"/>
      <c r="S13" s="228">
        <v>4</v>
      </c>
      <c r="T13" s="229"/>
      <c r="U13" s="230" t="str">
        <f t="shared" si="0"/>
        <v/>
      </c>
      <c r="V13" s="231"/>
      <c r="W13" s="231"/>
      <c r="X13" s="232" t="str">
        <f t="shared" si="1"/>
        <v/>
      </c>
      <c r="Y13" s="231"/>
      <c r="Z13" s="231"/>
      <c r="AA13" s="231"/>
      <c r="AB13" s="233" t="str">
        <f>IFERROR(IF(AND(U12="Probabilidad",U13="Probabilidad"),(AD12-(+AD12*X13)),IF(AND(U12="Impacto",U13="Probabilidad"),(AD11-(+AD11*X13)),IF(U13="Impacto",AD12,""))),"")</f>
        <v/>
      </c>
      <c r="AC13" s="234" t="str">
        <f t="shared" si="4"/>
        <v/>
      </c>
      <c r="AD13" s="235" t="str">
        <f t="shared" si="2"/>
        <v/>
      </c>
      <c r="AE13" s="234" t="str">
        <f t="shared" si="5"/>
        <v/>
      </c>
      <c r="AF13" s="235" t="str">
        <f>IFERROR(IF(AND(U12="Impacto",U13="Impacto"),(AF12-(+AF12*X13)),IF(AND(U12="Probabilidad",U13="Impacto"),(AF11-(+AF11*X13)),IF(U13="Probabilidad",AF12,""))),"")</f>
        <v/>
      </c>
      <c r="AG13" s="236" t="str">
        <f t="shared" si="3"/>
        <v/>
      </c>
      <c r="AH13" s="237"/>
      <c r="AI13" s="238"/>
      <c r="AJ13" s="239"/>
      <c r="AK13" s="240"/>
      <c r="AL13" s="240"/>
      <c r="AM13" s="238"/>
      <c r="AN13" s="361"/>
      <c r="AO13" s="363"/>
      <c r="AP13" s="363"/>
      <c r="AQ13" s="363"/>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row>
    <row r="14" spans="1:72" ht="151.5" customHeight="1" x14ac:dyDescent="0.3">
      <c r="A14" s="896"/>
      <c r="B14" s="896"/>
      <c r="C14" s="896"/>
      <c r="D14" s="881"/>
      <c r="E14" s="881"/>
      <c r="F14" s="881"/>
      <c r="G14" s="884"/>
      <c r="H14" s="881"/>
      <c r="I14" s="881"/>
      <c r="J14" s="337"/>
      <c r="K14" s="887"/>
      <c r="L14" s="890"/>
      <c r="M14" s="875"/>
      <c r="N14" s="893"/>
      <c r="O14" s="875">
        <f>IF(NOT(ISERROR(MATCH(N14,_xlfn.ANCHORARRAY(G25),0))),M27&amp;"Por favor no seleccionar los criterios de impacto",N14)</f>
        <v>0</v>
      </c>
      <c r="P14" s="890"/>
      <c r="Q14" s="875"/>
      <c r="R14" s="872"/>
      <c r="S14" s="228">
        <v>5</v>
      </c>
      <c r="T14" s="229"/>
      <c r="U14" s="230" t="str">
        <f t="shared" si="0"/>
        <v/>
      </c>
      <c r="V14" s="231"/>
      <c r="W14" s="231"/>
      <c r="X14" s="232" t="str">
        <f t="shared" si="1"/>
        <v/>
      </c>
      <c r="Y14" s="231"/>
      <c r="Z14" s="231"/>
      <c r="AA14" s="231"/>
      <c r="AB14" s="233" t="str">
        <f>IFERROR(IF(AND(U13="Probabilidad",U14="Probabilidad"),(AD13-(+AD13*X14)),IF(AND(U13="Impacto",U14="Probabilidad"),(AD12-(+AD12*X14)),IF(U14="Impacto",AD13,""))),"")</f>
        <v/>
      </c>
      <c r="AC14" s="234" t="str">
        <f t="shared" si="4"/>
        <v/>
      </c>
      <c r="AD14" s="235" t="str">
        <f t="shared" si="2"/>
        <v/>
      </c>
      <c r="AE14" s="234" t="str">
        <f t="shared" si="5"/>
        <v/>
      </c>
      <c r="AF14" s="235" t="str">
        <f>IFERROR(IF(AND(U13="Impacto",U14="Impacto"),(AF13-(+AF13*X14)),IF(AND(U13="Probabilidad",U14="Impacto"),(AF12-(+AF12*X14)),IF(U14="Probabilidad",AF13,""))),"")</f>
        <v/>
      </c>
      <c r="AG14" s="236" t="str">
        <f t="shared" si="3"/>
        <v/>
      </c>
      <c r="AH14" s="237"/>
      <c r="AI14" s="238"/>
      <c r="AJ14" s="239"/>
      <c r="AK14" s="240"/>
      <c r="AL14" s="240"/>
      <c r="AM14" s="238"/>
      <c r="AN14" s="361"/>
      <c r="AO14" s="363"/>
      <c r="AP14" s="363"/>
      <c r="AQ14" s="363"/>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row>
    <row r="15" spans="1:72" ht="151.5" customHeight="1" x14ac:dyDescent="0.3">
      <c r="A15" s="897"/>
      <c r="B15" s="897"/>
      <c r="C15" s="897"/>
      <c r="D15" s="882"/>
      <c r="E15" s="882"/>
      <c r="F15" s="882"/>
      <c r="G15" s="885"/>
      <c r="H15" s="882"/>
      <c r="I15" s="882"/>
      <c r="J15" s="338"/>
      <c r="K15" s="888"/>
      <c r="L15" s="891"/>
      <c r="M15" s="876"/>
      <c r="N15" s="894"/>
      <c r="O15" s="876">
        <f>IF(NOT(ISERROR(MATCH(N15,_xlfn.ANCHORARRAY(G26),0))),M28&amp;"Por favor no seleccionar los criterios de impacto",N15)</f>
        <v>0</v>
      </c>
      <c r="P15" s="891"/>
      <c r="Q15" s="876"/>
      <c r="R15" s="873"/>
      <c r="S15" s="228">
        <v>6</v>
      </c>
      <c r="T15" s="229"/>
      <c r="U15" s="230" t="str">
        <f t="shared" si="0"/>
        <v/>
      </c>
      <c r="V15" s="231"/>
      <c r="W15" s="231"/>
      <c r="X15" s="232" t="str">
        <f t="shared" si="1"/>
        <v/>
      </c>
      <c r="Y15" s="231"/>
      <c r="Z15" s="231"/>
      <c r="AA15" s="231"/>
      <c r="AB15" s="233" t="str">
        <f>IFERROR(IF(AND(U14="Probabilidad",U15="Probabilidad"),(AD14-(+AD14*X15)),IF(AND(U14="Impacto",U15="Probabilidad"),(AD13-(+AD13*X15)),IF(U15="Impacto",AD14,""))),"")</f>
        <v/>
      </c>
      <c r="AC15" s="234" t="str">
        <f t="shared" si="4"/>
        <v/>
      </c>
      <c r="AD15" s="235" t="str">
        <f t="shared" si="2"/>
        <v/>
      </c>
      <c r="AE15" s="234" t="str">
        <f t="shared" si="5"/>
        <v/>
      </c>
      <c r="AF15" s="235" t="str">
        <f>IFERROR(IF(AND(U14="Impacto",U15="Impacto"),(AF14-(+AF14*X15)),IF(AND(U14="Probabilidad",U15="Impacto"),(AF13-(+AF13*X15)),IF(U15="Probabilidad",AF14,""))),"")</f>
        <v/>
      </c>
      <c r="AG15" s="236" t="str">
        <f t="shared" si="3"/>
        <v/>
      </c>
      <c r="AH15" s="237"/>
      <c r="AI15" s="238"/>
      <c r="AJ15" s="239"/>
      <c r="AK15" s="240"/>
      <c r="AL15" s="240"/>
      <c r="AM15" s="238"/>
      <c r="AN15" s="361"/>
      <c r="AO15" s="363"/>
      <c r="AP15" s="363"/>
      <c r="AQ15" s="363"/>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row>
    <row r="16" spans="1:72" ht="151.5" customHeight="1" x14ac:dyDescent="0.3">
      <c r="A16" s="877">
        <v>2</v>
      </c>
      <c r="B16" s="895"/>
      <c r="C16" s="895"/>
      <c r="D16" s="880"/>
      <c r="E16" s="880"/>
      <c r="F16" s="880"/>
      <c r="G16" s="883"/>
      <c r="H16" s="880"/>
      <c r="I16" s="880"/>
      <c r="J16" s="336"/>
      <c r="K16" s="886"/>
      <c r="L16" s="889" t="str">
        <f>IF(K16&lt;=0,"",IF(K16&lt;=2,"Muy Baja",IF(K16&lt;=24,"Baja",IF(K16&lt;=500,"Media",IF(K16&lt;=5000,"Alta","Muy Alta")))))</f>
        <v/>
      </c>
      <c r="M16" s="874" t="str">
        <f>IF(L16="","",IF(L16="Muy Baja",0.2,IF(L16="Baja",0.4,IF(L16="Media",0.6,IF(L16="Alta",0.8,IF(L16="Muy Alta",1,))))))</f>
        <v/>
      </c>
      <c r="N16" s="892"/>
      <c r="O16" s="874">
        <f>IF(NOT(ISERROR(MATCH(N16,'Tabla Impacto'!$B$221:$B$223,0))),'Tabla Impacto'!$F$223&amp;"Por favor no seleccionar los criterios de impacto(Afectación Económica o presupuestal y Pérdida Reputacional)",N16)</f>
        <v>0</v>
      </c>
      <c r="P16" s="889" t="str">
        <f>IF(OR(O16='Tabla Impacto'!$C$11,O16='Tabla Impacto'!$D$11),"Leve",IF(OR(O16='Tabla Impacto'!$C$12,O16='Tabla Impacto'!$D$12),"Menor",IF(OR(O16='Tabla Impacto'!$C$13,O16='Tabla Impacto'!$D$13),"Moderado",IF(OR(O16='Tabla Impacto'!$C$14,O16='Tabla Impacto'!$D$14),"Mayor",IF(OR(O16='Tabla Impacto'!$C$15,O16='Tabla Impacto'!$D$15),"Catastrófico","")))))</f>
        <v/>
      </c>
      <c r="Q16" s="874" t="str">
        <f>IF(P16="","",IF(P16="Leve",0.2,IF(P16="Menor",0.4,IF(P16="Moderado",0.6,IF(P16="Mayor",0.8,IF(P16="Catastrófico",1,))))))</f>
        <v/>
      </c>
      <c r="R16" s="87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8">
        <v>1</v>
      </c>
      <c r="T16" s="229"/>
      <c r="U16" s="230" t="str">
        <f t="shared" si="0"/>
        <v/>
      </c>
      <c r="V16" s="231"/>
      <c r="W16" s="231"/>
      <c r="X16" s="232" t="str">
        <f t="shared" si="1"/>
        <v/>
      </c>
      <c r="Y16" s="231"/>
      <c r="Z16" s="231"/>
      <c r="AA16" s="231"/>
      <c r="AB16" s="233" t="str">
        <f>IFERROR(IF(U16="Probabilidad",(M16-(+M16*X16)),IF(U16="Impacto",M16,"")),"")</f>
        <v/>
      </c>
      <c r="AC16" s="234" t="str">
        <f>IFERROR(IF(AB16="","",IF(AB16&lt;=0.2,"Muy Baja",IF(AB16&lt;=0.4,"Baja",IF(AB16&lt;=0.6,"Media",IF(AB16&lt;=0.8,"Alta","Muy Alta"))))),"")</f>
        <v/>
      </c>
      <c r="AD16" s="235" t="str">
        <f t="shared" si="2"/>
        <v/>
      </c>
      <c r="AE16" s="234" t="str">
        <f>IFERROR(IF(AF16="","",IF(AF16&lt;=0.2,"Leve",IF(AF16&lt;=0.4,"Menor",IF(AF16&lt;=0.6,"Moderado",IF(AF16&lt;=0.8,"Mayor","Catastrófico"))))),"")</f>
        <v/>
      </c>
      <c r="AF16" s="235" t="str">
        <f>IFERROR(IF(U16="Impacto",(Q16-(+Q16*X16)),IF(U16="Probabilidad",Q16,"")),"")</f>
        <v/>
      </c>
      <c r="AG16" s="236" t="str">
        <f t="shared" si="3"/>
        <v/>
      </c>
      <c r="AH16" s="237"/>
      <c r="AI16" s="238"/>
      <c r="AJ16" s="239"/>
      <c r="AK16" s="240"/>
      <c r="AL16" s="240"/>
      <c r="AM16" s="238"/>
      <c r="AN16" s="361"/>
      <c r="AO16" s="363"/>
      <c r="AP16" s="363"/>
      <c r="AQ16" s="363"/>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row>
    <row r="17" spans="1:72" ht="151.5" customHeight="1" x14ac:dyDescent="0.3">
      <c r="A17" s="878"/>
      <c r="B17" s="896"/>
      <c r="C17" s="896"/>
      <c r="D17" s="881"/>
      <c r="E17" s="881"/>
      <c r="F17" s="881"/>
      <c r="G17" s="884"/>
      <c r="H17" s="881"/>
      <c r="I17" s="881"/>
      <c r="J17" s="337"/>
      <c r="K17" s="887"/>
      <c r="L17" s="890"/>
      <c r="M17" s="875"/>
      <c r="N17" s="893"/>
      <c r="O17" s="875">
        <f>IF(NOT(ISERROR(MATCH(N17,_xlfn.ANCHORARRAY(G28),0))),M30&amp;"Por favor no seleccionar los criterios de impacto",N17)</f>
        <v>0</v>
      </c>
      <c r="P17" s="890"/>
      <c r="Q17" s="875"/>
      <c r="R17" s="872"/>
      <c r="S17" s="228">
        <v>2</v>
      </c>
      <c r="T17" s="229"/>
      <c r="U17" s="230" t="str">
        <f t="shared" si="0"/>
        <v/>
      </c>
      <c r="V17" s="231"/>
      <c r="W17" s="231"/>
      <c r="X17" s="232" t="str">
        <f t="shared" si="1"/>
        <v/>
      </c>
      <c r="Y17" s="231"/>
      <c r="Z17" s="231"/>
      <c r="AA17" s="231"/>
      <c r="AB17" s="233" t="str">
        <f>IFERROR(IF(AND(U16="Probabilidad",U17="Probabilidad"),(AD16-(+AD16*X17)),IF(U17="Probabilidad",(M16-(+M16*X17)),IF(U17="Impacto",AD16,""))),"")</f>
        <v/>
      </c>
      <c r="AC17" s="234" t="str">
        <f t="shared" si="4"/>
        <v/>
      </c>
      <c r="AD17" s="235" t="str">
        <f t="shared" si="2"/>
        <v/>
      </c>
      <c r="AE17" s="234" t="str">
        <f t="shared" si="5"/>
        <v/>
      </c>
      <c r="AF17" s="235" t="str">
        <f>IFERROR(IF(AND(U16="Impacto",U17="Impacto"),(AF16-(+AF16*X17)),IF(U17="Impacto",(Q16-(+Q16*X17)),IF(U17="Probabilidad",AF16,""))),"")</f>
        <v/>
      </c>
      <c r="AG17" s="236" t="str">
        <f t="shared" si="3"/>
        <v/>
      </c>
      <c r="AH17" s="237"/>
      <c r="AI17" s="238"/>
      <c r="AJ17" s="239"/>
      <c r="AK17" s="240"/>
      <c r="AL17" s="240"/>
      <c r="AM17" s="238"/>
      <c r="AN17" s="361"/>
      <c r="AO17" s="363"/>
      <c r="AP17" s="363"/>
      <c r="AQ17" s="363"/>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row>
    <row r="18" spans="1:72" ht="151.5" customHeight="1" x14ac:dyDescent="0.3">
      <c r="A18" s="878"/>
      <c r="B18" s="896"/>
      <c r="C18" s="896"/>
      <c r="D18" s="881"/>
      <c r="E18" s="881"/>
      <c r="F18" s="881"/>
      <c r="G18" s="884"/>
      <c r="H18" s="881"/>
      <c r="I18" s="881"/>
      <c r="J18" s="337"/>
      <c r="K18" s="887"/>
      <c r="L18" s="890"/>
      <c r="M18" s="875"/>
      <c r="N18" s="893"/>
      <c r="O18" s="875">
        <f>IF(NOT(ISERROR(MATCH(N18,_xlfn.ANCHORARRAY(G29),0))),M31&amp;"Por favor no seleccionar los criterios de impacto",N18)</f>
        <v>0</v>
      </c>
      <c r="P18" s="890"/>
      <c r="Q18" s="875"/>
      <c r="R18" s="872"/>
      <c r="S18" s="228">
        <v>3</v>
      </c>
      <c r="T18" s="243"/>
      <c r="U18" s="230" t="str">
        <f t="shared" si="0"/>
        <v/>
      </c>
      <c r="V18" s="231"/>
      <c r="W18" s="231"/>
      <c r="X18" s="232" t="str">
        <f t="shared" si="1"/>
        <v/>
      </c>
      <c r="Y18" s="231"/>
      <c r="Z18" s="231"/>
      <c r="AA18" s="231"/>
      <c r="AB18" s="233" t="str">
        <f>IFERROR(IF(AND(U17="Probabilidad",U18="Probabilidad"),(AD17-(+AD17*X18)),IF(AND(U17="Impacto",U18="Probabilidad"),(AD16-(+AD16*X18)),IF(U18="Impacto",AD17,""))),"")</f>
        <v/>
      </c>
      <c r="AC18" s="234" t="str">
        <f t="shared" si="4"/>
        <v/>
      </c>
      <c r="AD18" s="235" t="str">
        <f t="shared" si="2"/>
        <v/>
      </c>
      <c r="AE18" s="234" t="str">
        <f t="shared" si="5"/>
        <v/>
      </c>
      <c r="AF18" s="235" t="str">
        <f>IFERROR(IF(AND(U17="Impacto",U18="Impacto"),(AF17-(+AF17*X18)),IF(AND(U17="Probabilidad",U18="Impacto"),(AF16-(+AF16*X18)),IF(U18="Probabilidad",AF17,""))),"")</f>
        <v/>
      </c>
      <c r="AG18" s="236" t="str">
        <f t="shared" si="3"/>
        <v/>
      </c>
      <c r="AH18" s="237"/>
      <c r="AI18" s="238"/>
      <c r="AJ18" s="239"/>
      <c r="AK18" s="240"/>
      <c r="AL18" s="240"/>
      <c r="AM18" s="238"/>
      <c r="AN18" s="361"/>
      <c r="AO18" s="363"/>
      <c r="AP18" s="363"/>
      <c r="AQ18" s="363"/>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row>
    <row r="19" spans="1:72" ht="151.5" customHeight="1" x14ac:dyDescent="0.3">
      <c r="A19" s="878"/>
      <c r="B19" s="896"/>
      <c r="C19" s="896"/>
      <c r="D19" s="881"/>
      <c r="E19" s="881"/>
      <c r="F19" s="881"/>
      <c r="G19" s="884"/>
      <c r="H19" s="881"/>
      <c r="I19" s="881"/>
      <c r="J19" s="337"/>
      <c r="K19" s="887"/>
      <c r="L19" s="890"/>
      <c r="M19" s="875"/>
      <c r="N19" s="893"/>
      <c r="O19" s="875">
        <f>IF(NOT(ISERROR(MATCH(N19,_xlfn.ANCHORARRAY(G30),0))),M32&amp;"Por favor no seleccionar los criterios de impacto",N19)</f>
        <v>0</v>
      </c>
      <c r="P19" s="890"/>
      <c r="Q19" s="875"/>
      <c r="R19" s="872"/>
      <c r="S19" s="228">
        <v>4</v>
      </c>
      <c r="T19" s="229"/>
      <c r="U19" s="230" t="str">
        <f t="shared" si="0"/>
        <v/>
      </c>
      <c r="V19" s="231"/>
      <c r="W19" s="231"/>
      <c r="X19" s="232" t="str">
        <f t="shared" si="1"/>
        <v/>
      </c>
      <c r="Y19" s="231"/>
      <c r="Z19" s="231"/>
      <c r="AA19" s="231"/>
      <c r="AB19" s="233" t="str">
        <f>IFERROR(IF(AND(U18="Probabilidad",U19="Probabilidad"),(AD18-(+AD18*X19)),IF(AND(U18="Impacto",U19="Probabilidad"),(AD17-(+AD17*X19)),IF(U19="Impacto",AD18,""))),"")</f>
        <v/>
      </c>
      <c r="AC19" s="234" t="str">
        <f t="shared" si="4"/>
        <v/>
      </c>
      <c r="AD19" s="235" t="str">
        <f t="shared" si="2"/>
        <v/>
      </c>
      <c r="AE19" s="234" t="str">
        <f t="shared" si="5"/>
        <v/>
      </c>
      <c r="AF19" s="235" t="str">
        <f>IFERROR(IF(AND(U18="Impacto",U19="Impacto"),(AF18-(+AF18*X19)),IF(AND(U18="Probabilidad",U19="Impacto"),(AF17-(+AF17*X19)),IF(U19="Probabilidad",AF18,""))),"")</f>
        <v/>
      </c>
      <c r="AG19" s="236" t="str">
        <f t="shared" si="3"/>
        <v/>
      </c>
      <c r="AH19" s="237"/>
      <c r="AI19" s="238"/>
      <c r="AJ19" s="239"/>
      <c r="AK19" s="240"/>
      <c r="AL19" s="240"/>
      <c r="AM19" s="238"/>
      <c r="AN19" s="361"/>
      <c r="AO19" s="363"/>
      <c r="AP19" s="363"/>
      <c r="AQ19" s="363"/>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row>
    <row r="20" spans="1:72" ht="151.5" customHeight="1" x14ac:dyDescent="0.3">
      <c r="A20" s="878"/>
      <c r="B20" s="896"/>
      <c r="C20" s="896"/>
      <c r="D20" s="881"/>
      <c r="E20" s="881"/>
      <c r="F20" s="881"/>
      <c r="G20" s="884"/>
      <c r="H20" s="881"/>
      <c r="I20" s="881"/>
      <c r="J20" s="337"/>
      <c r="K20" s="887"/>
      <c r="L20" s="890"/>
      <c r="M20" s="875"/>
      <c r="N20" s="893"/>
      <c r="O20" s="875">
        <f>IF(NOT(ISERROR(MATCH(N20,_xlfn.ANCHORARRAY(G31),0))),M33&amp;"Por favor no seleccionar los criterios de impacto",N20)</f>
        <v>0</v>
      </c>
      <c r="P20" s="890"/>
      <c r="Q20" s="875"/>
      <c r="R20" s="872"/>
      <c r="S20" s="228">
        <v>5</v>
      </c>
      <c r="T20" s="229"/>
      <c r="U20" s="230" t="str">
        <f t="shared" si="0"/>
        <v/>
      </c>
      <c r="V20" s="231"/>
      <c r="W20" s="231"/>
      <c r="X20" s="232" t="str">
        <f t="shared" si="1"/>
        <v/>
      </c>
      <c r="Y20" s="231"/>
      <c r="Z20" s="231"/>
      <c r="AA20" s="231"/>
      <c r="AB20" s="233" t="str">
        <f>IFERROR(IF(AND(U19="Probabilidad",U20="Probabilidad"),(AD19-(+AD19*X20)),IF(AND(U19="Impacto",U20="Probabilidad"),(AD18-(+AD18*X20)),IF(U20="Impacto",AD19,""))),"")</f>
        <v/>
      </c>
      <c r="AC20" s="234" t="str">
        <f t="shared" si="4"/>
        <v/>
      </c>
      <c r="AD20" s="235" t="str">
        <f t="shared" si="2"/>
        <v/>
      </c>
      <c r="AE20" s="234" t="str">
        <f t="shared" si="5"/>
        <v/>
      </c>
      <c r="AF20" s="235" t="str">
        <f>IFERROR(IF(AND(U19="Impacto",U20="Impacto"),(AF19-(+AF19*X20)),IF(AND(U19="Probabilidad",U20="Impacto"),(AF18-(+AF18*X20)),IF(U20="Probabilidad",AF19,""))),"")</f>
        <v/>
      </c>
      <c r="AG20" s="236" t="str">
        <f t="shared" si="3"/>
        <v/>
      </c>
      <c r="AH20" s="237"/>
      <c r="AI20" s="238"/>
      <c r="AJ20" s="239"/>
      <c r="AK20" s="240"/>
      <c r="AL20" s="240"/>
      <c r="AM20" s="238"/>
      <c r="AN20" s="361"/>
      <c r="AO20" s="363"/>
      <c r="AP20" s="363"/>
      <c r="AQ20" s="363"/>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row>
    <row r="21" spans="1:72" ht="151.5" customHeight="1" x14ac:dyDescent="0.3">
      <c r="A21" s="879"/>
      <c r="B21" s="897"/>
      <c r="C21" s="897"/>
      <c r="D21" s="882"/>
      <c r="E21" s="882"/>
      <c r="F21" s="882"/>
      <c r="G21" s="885"/>
      <c r="H21" s="882"/>
      <c r="I21" s="882"/>
      <c r="J21" s="338"/>
      <c r="K21" s="888"/>
      <c r="L21" s="891"/>
      <c r="M21" s="876"/>
      <c r="N21" s="894"/>
      <c r="O21" s="876">
        <f>IF(NOT(ISERROR(MATCH(N21,_xlfn.ANCHORARRAY(G32),0))),M34&amp;"Por favor no seleccionar los criterios de impacto",N21)</f>
        <v>0</v>
      </c>
      <c r="P21" s="891"/>
      <c r="Q21" s="876"/>
      <c r="R21" s="873"/>
      <c r="S21" s="228">
        <v>6</v>
      </c>
      <c r="T21" s="229"/>
      <c r="U21" s="230" t="str">
        <f t="shared" si="0"/>
        <v/>
      </c>
      <c r="V21" s="231"/>
      <c r="W21" s="231"/>
      <c r="X21" s="232" t="str">
        <f t="shared" si="1"/>
        <v/>
      </c>
      <c r="Y21" s="231"/>
      <c r="Z21" s="231"/>
      <c r="AA21" s="231"/>
      <c r="AB21" s="233" t="str">
        <f>IFERROR(IF(AND(U20="Probabilidad",U21="Probabilidad"),(AD20-(+AD20*X21)),IF(AND(U20="Impacto",U21="Probabilidad"),(AD19-(+AD19*X21)),IF(U21="Impacto",AD20,""))),"")</f>
        <v/>
      </c>
      <c r="AC21" s="234" t="str">
        <f t="shared" si="4"/>
        <v/>
      </c>
      <c r="AD21" s="235" t="str">
        <f t="shared" si="2"/>
        <v/>
      </c>
      <c r="AE21" s="234" t="str">
        <f t="shared" si="5"/>
        <v/>
      </c>
      <c r="AF21" s="235" t="str">
        <f>IFERROR(IF(AND(U20="Impacto",U21="Impacto"),(AF20-(+AF20*X21)),IF(AND(U20="Probabilidad",U21="Impacto"),(AF19-(+AF19*X21)),IF(U21="Probabilidad",AF20,""))),"")</f>
        <v/>
      </c>
      <c r="AG21" s="236" t="str">
        <f t="shared" si="3"/>
        <v/>
      </c>
      <c r="AH21" s="237"/>
      <c r="AI21" s="238"/>
      <c r="AJ21" s="239"/>
      <c r="AK21" s="240"/>
      <c r="AL21" s="240"/>
      <c r="AM21" s="238"/>
      <c r="AN21" s="361"/>
      <c r="AO21" s="363"/>
      <c r="AP21" s="363"/>
      <c r="AQ21" s="363"/>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row>
    <row r="22" spans="1:72" ht="151.5" customHeight="1" x14ac:dyDescent="0.3">
      <c r="A22" s="877">
        <v>3</v>
      </c>
      <c r="B22" s="895"/>
      <c r="C22" s="895"/>
      <c r="D22" s="880"/>
      <c r="E22" s="880"/>
      <c r="F22" s="880"/>
      <c r="G22" s="883"/>
      <c r="H22" s="880"/>
      <c r="I22" s="880"/>
      <c r="J22" s="336"/>
      <c r="K22" s="886"/>
      <c r="L22" s="889" t="str">
        <f>IF(K22&lt;=0,"",IF(K22&lt;=2,"Muy Baja",IF(K22&lt;=24,"Baja",IF(K22&lt;=500,"Media",IF(K22&lt;=5000,"Alta","Muy Alta")))))</f>
        <v/>
      </c>
      <c r="M22" s="874" t="str">
        <f>IF(L22="","",IF(L22="Muy Baja",0.2,IF(L22="Baja",0.4,IF(L22="Media",0.6,IF(L22="Alta",0.8,IF(L22="Muy Alta",1,))))))</f>
        <v/>
      </c>
      <c r="N22" s="892"/>
      <c r="O22" s="874">
        <f>IF(NOT(ISERROR(MATCH(N22,'Tabla Impacto'!$B$221:$B$223,0))),'Tabla Impacto'!$F$223&amp;"Por favor no seleccionar los criterios de impacto(Afectación Económica o presupuestal y Pérdida Reputacional)",N22)</f>
        <v>0</v>
      </c>
      <c r="P22" s="889" t="str">
        <f>IF(OR(O22='Tabla Impacto'!$C$11,O22='Tabla Impacto'!$D$11),"Leve",IF(OR(O22='Tabla Impacto'!$C$12,O22='Tabla Impacto'!$D$12),"Menor",IF(OR(O22='Tabla Impacto'!$C$13,O22='Tabla Impacto'!$D$13),"Moderado",IF(OR(O22='Tabla Impacto'!$C$14,O22='Tabla Impacto'!$D$14),"Mayor",IF(OR(O22='Tabla Impacto'!$C$15,O22='Tabla Impacto'!$D$15),"Catastrófico","")))))</f>
        <v/>
      </c>
      <c r="Q22" s="874" t="str">
        <f>IF(P22="","",IF(P22="Leve",0.2,IF(P22="Menor",0.4,IF(P22="Moderado",0.6,IF(P22="Mayor",0.8,IF(P22="Catastrófico",1,))))))</f>
        <v/>
      </c>
      <c r="R22" s="87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8">
        <v>1</v>
      </c>
      <c r="T22" s="229"/>
      <c r="U22" s="230" t="str">
        <f t="shared" si="0"/>
        <v/>
      </c>
      <c r="V22" s="231"/>
      <c r="W22" s="231"/>
      <c r="X22" s="232" t="str">
        <f t="shared" si="1"/>
        <v/>
      </c>
      <c r="Y22" s="231"/>
      <c r="Z22" s="231"/>
      <c r="AA22" s="231"/>
      <c r="AB22" s="233" t="str">
        <f>IFERROR(IF(U22="Probabilidad",(M22-(+M22*X22)),IF(U22="Impacto",M22,"")),"")</f>
        <v/>
      </c>
      <c r="AC22" s="234" t="str">
        <f>IFERROR(IF(AB22="","",IF(AB22&lt;=0.2,"Muy Baja",IF(AB22&lt;=0.4,"Baja",IF(AB22&lt;=0.6,"Media",IF(AB22&lt;=0.8,"Alta","Muy Alta"))))),"")</f>
        <v/>
      </c>
      <c r="AD22" s="235" t="str">
        <f t="shared" si="2"/>
        <v/>
      </c>
      <c r="AE22" s="234" t="str">
        <f>IFERROR(IF(AF22="","",IF(AF22&lt;=0.2,"Leve",IF(AF22&lt;=0.4,"Menor",IF(AF22&lt;=0.6,"Moderado",IF(AF22&lt;=0.8,"Mayor","Catastrófico"))))),"")</f>
        <v/>
      </c>
      <c r="AF22" s="235" t="str">
        <f>IFERROR(IF(U22="Impacto",(Q22-(+Q22*X22)),IF(U22="Probabilidad",Q22,"")),"")</f>
        <v/>
      </c>
      <c r="AG22" s="236" t="str">
        <f t="shared" si="3"/>
        <v/>
      </c>
      <c r="AH22" s="237"/>
      <c r="AI22" s="238"/>
      <c r="AJ22" s="239"/>
      <c r="AK22" s="240"/>
      <c r="AL22" s="240"/>
      <c r="AM22" s="238"/>
      <c r="AN22" s="361"/>
      <c r="AO22" s="363"/>
      <c r="AP22" s="363"/>
      <c r="AQ22" s="363"/>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row>
    <row r="23" spans="1:72" ht="151.5" customHeight="1" x14ac:dyDescent="0.3">
      <c r="A23" s="878"/>
      <c r="B23" s="896"/>
      <c r="C23" s="896"/>
      <c r="D23" s="881"/>
      <c r="E23" s="881"/>
      <c r="F23" s="881"/>
      <c r="G23" s="884"/>
      <c r="H23" s="881"/>
      <c r="I23" s="881"/>
      <c r="J23" s="337"/>
      <c r="K23" s="887"/>
      <c r="L23" s="890"/>
      <c r="M23" s="875"/>
      <c r="N23" s="893"/>
      <c r="O23" s="875">
        <f>IF(NOT(ISERROR(MATCH(N23,_xlfn.ANCHORARRAY(G34),0))),M36&amp;"Por favor no seleccionar los criterios de impacto",N23)</f>
        <v>0</v>
      </c>
      <c r="P23" s="890"/>
      <c r="Q23" s="875"/>
      <c r="R23" s="872"/>
      <c r="S23" s="228">
        <v>2</v>
      </c>
      <c r="T23" s="229"/>
      <c r="U23" s="230" t="str">
        <f t="shared" si="0"/>
        <v/>
      </c>
      <c r="V23" s="231"/>
      <c r="W23" s="231"/>
      <c r="X23" s="232" t="str">
        <f t="shared" si="1"/>
        <v/>
      </c>
      <c r="Y23" s="231"/>
      <c r="Z23" s="231"/>
      <c r="AA23" s="231"/>
      <c r="AB23" s="244" t="str">
        <f>IFERROR(IF(AND(U22="Probabilidad",U23="Probabilidad"),(AD22-(+AD22*X23)),IF(U23="Probabilidad",(M22-(+M22*X23)),IF(U23="Impacto",AD22,""))),"")</f>
        <v/>
      </c>
      <c r="AC23" s="234" t="str">
        <f t="shared" si="4"/>
        <v/>
      </c>
      <c r="AD23" s="235" t="str">
        <f t="shared" si="2"/>
        <v/>
      </c>
      <c r="AE23" s="234" t="str">
        <f t="shared" si="5"/>
        <v/>
      </c>
      <c r="AF23" s="235" t="str">
        <f>IFERROR(IF(AND(U22="Impacto",U23="Impacto"),(AF22-(+AF22*X23)),IF(U23="Impacto",(Q22-(+Q22*X23)),IF(U23="Probabilidad",AF22,""))),"")</f>
        <v/>
      </c>
      <c r="AG23" s="236" t="str">
        <f t="shared" si="3"/>
        <v/>
      </c>
      <c r="AH23" s="237"/>
      <c r="AI23" s="238"/>
      <c r="AJ23" s="239"/>
      <c r="AK23" s="240"/>
      <c r="AL23" s="240"/>
      <c r="AM23" s="238"/>
      <c r="AN23" s="361"/>
      <c r="AO23" s="363"/>
      <c r="AP23" s="363"/>
      <c r="AQ23" s="363"/>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row>
    <row r="24" spans="1:72" ht="151.5" customHeight="1" x14ac:dyDescent="0.3">
      <c r="A24" s="878"/>
      <c r="B24" s="896"/>
      <c r="C24" s="896"/>
      <c r="D24" s="881"/>
      <c r="E24" s="881"/>
      <c r="F24" s="881"/>
      <c r="G24" s="884"/>
      <c r="H24" s="881"/>
      <c r="I24" s="881"/>
      <c r="J24" s="337"/>
      <c r="K24" s="887"/>
      <c r="L24" s="890"/>
      <c r="M24" s="875"/>
      <c r="N24" s="893"/>
      <c r="O24" s="875">
        <f>IF(NOT(ISERROR(MATCH(N24,_xlfn.ANCHORARRAY(G35),0))),M37&amp;"Por favor no seleccionar los criterios de impacto",N24)</f>
        <v>0</v>
      </c>
      <c r="P24" s="890"/>
      <c r="Q24" s="875"/>
      <c r="R24" s="872"/>
      <c r="S24" s="228">
        <v>3</v>
      </c>
      <c r="T24" s="243"/>
      <c r="U24" s="230" t="str">
        <f t="shared" si="0"/>
        <v/>
      </c>
      <c r="V24" s="231"/>
      <c r="W24" s="231"/>
      <c r="X24" s="232" t="str">
        <f t="shared" si="1"/>
        <v/>
      </c>
      <c r="Y24" s="231"/>
      <c r="Z24" s="231"/>
      <c r="AA24" s="231"/>
      <c r="AB24" s="233" t="str">
        <f>IFERROR(IF(AND(U23="Probabilidad",U24="Probabilidad"),(AD23-(+AD23*X24)),IF(AND(U23="Impacto",U24="Probabilidad"),(AD22-(+AD22*X24)),IF(U24="Impacto",AD23,""))),"")</f>
        <v/>
      </c>
      <c r="AC24" s="234" t="str">
        <f t="shared" si="4"/>
        <v/>
      </c>
      <c r="AD24" s="235" t="str">
        <f t="shared" si="2"/>
        <v/>
      </c>
      <c r="AE24" s="234" t="str">
        <f t="shared" si="5"/>
        <v/>
      </c>
      <c r="AF24" s="235" t="str">
        <f>IFERROR(IF(AND(U23="Impacto",U24="Impacto"),(AF23-(+AF23*X24)),IF(AND(U23="Probabilidad",U24="Impacto"),(AF22-(+AF22*X24)),IF(U24="Probabilidad",AF23,""))),"")</f>
        <v/>
      </c>
      <c r="AG24" s="236" t="str">
        <f t="shared" si="3"/>
        <v/>
      </c>
      <c r="AH24" s="237"/>
      <c r="AI24" s="238"/>
      <c r="AJ24" s="239"/>
      <c r="AK24" s="240"/>
      <c r="AL24" s="240"/>
      <c r="AM24" s="238"/>
      <c r="AN24" s="361"/>
      <c r="AO24" s="363"/>
      <c r="AP24" s="363"/>
      <c r="AQ24" s="363"/>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row>
    <row r="25" spans="1:72" ht="151.5" customHeight="1" x14ac:dyDescent="0.3">
      <c r="A25" s="878"/>
      <c r="B25" s="896"/>
      <c r="C25" s="896"/>
      <c r="D25" s="881"/>
      <c r="E25" s="881"/>
      <c r="F25" s="881"/>
      <c r="G25" s="884"/>
      <c r="H25" s="881"/>
      <c r="I25" s="881"/>
      <c r="J25" s="337"/>
      <c r="K25" s="887"/>
      <c r="L25" s="890"/>
      <c r="M25" s="875"/>
      <c r="N25" s="893"/>
      <c r="O25" s="875">
        <f>IF(NOT(ISERROR(MATCH(N25,_xlfn.ANCHORARRAY(G36),0))),M38&amp;"Por favor no seleccionar los criterios de impacto",N25)</f>
        <v>0</v>
      </c>
      <c r="P25" s="890"/>
      <c r="Q25" s="875"/>
      <c r="R25" s="872"/>
      <c r="S25" s="228">
        <v>4</v>
      </c>
      <c r="T25" s="229"/>
      <c r="U25" s="230" t="str">
        <f t="shared" si="0"/>
        <v/>
      </c>
      <c r="V25" s="231"/>
      <c r="W25" s="231"/>
      <c r="X25" s="232" t="str">
        <f t="shared" si="1"/>
        <v/>
      </c>
      <c r="Y25" s="231"/>
      <c r="Z25" s="231"/>
      <c r="AA25" s="231"/>
      <c r="AB25" s="233" t="str">
        <f>IFERROR(IF(AND(U24="Probabilidad",U25="Probabilidad"),(AD24-(+AD24*X25)),IF(AND(U24="Impacto",U25="Probabilidad"),(AD23-(+AD23*X25)),IF(U25="Impacto",AD24,""))),"")</f>
        <v/>
      </c>
      <c r="AC25" s="234" t="str">
        <f t="shared" si="4"/>
        <v/>
      </c>
      <c r="AD25" s="235" t="str">
        <f t="shared" si="2"/>
        <v/>
      </c>
      <c r="AE25" s="234" t="str">
        <f t="shared" si="5"/>
        <v/>
      </c>
      <c r="AF25" s="235" t="str">
        <f>IFERROR(IF(AND(U24="Impacto",U25="Impacto"),(AF24-(+AF24*X25)),IF(AND(U24="Probabilidad",U25="Impacto"),(AF23-(+AF23*X25)),IF(U25="Probabilidad",AF24,""))),"")</f>
        <v/>
      </c>
      <c r="AG25" s="236" t="str">
        <f t="shared" si="3"/>
        <v/>
      </c>
      <c r="AH25" s="237"/>
      <c r="AI25" s="238"/>
      <c r="AJ25" s="239"/>
      <c r="AK25" s="240"/>
      <c r="AL25" s="240"/>
      <c r="AM25" s="238"/>
      <c r="AN25" s="361"/>
      <c r="AO25" s="363"/>
      <c r="AP25" s="363"/>
      <c r="AQ25" s="363"/>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row>
    <row r="26" spans="1:72" ht="151.5" customHeight="1" x14ac:dyDescent="0.3">
      <c r="A26" s="878"/>
      <c r="B26" s="896"/>
      <c r="C26" s="896"/>
      <c r="D26" s="881"/>
      <c r="E26" s="881"/>
      <c r="F26" s="881"/>
      <c r="G26" s="884"/>
      <c r="H26" s="881"/>
      <c r="I26" s="881"/>
      <c r="J26" s="337"/>
      <c r="K26" s="887"/>
      <c r="L26" s="890"/>
      <c r="M26" s="875"/>
      <c r="N26" s="893"/>
      <c r="O26" s="875">
        <f>IF(NOT(ISERROR(MATCH(N26,_xlfn.ANCHORARRAY(G37),0))),M39&amp;"Por favor no seleccionar los criterios de impacto",N26)</f>
        <v>0</v>
      </c>
      <c r="P26" s="890"/>
      <c r="Q26" s="875"/>
      <c r="R26" s="872"/>
      <c r="S26" s="228">
        <v>5</v>
      </c>
      <c r="T26" s="229"/>
      <c r="U26" s="230" t="str">
        <f t="shared" si="0"/>
        <v/>
      </c>
      <c r="V26" s="231"/>
      <c r="W26" s="231"/>
      <c r="X26" s="232" t="str">
        <f t="shared" si="1"/>
        <v/>
      </c>
      <c r="Y26" s="231"/>
      <c r="Z26" s="231"/>
      <c r="AA26" s="231"/>
      <c r="AB26" s="233" t="str">
        <f>IFERROR(IF(AND(U25="Probabilidad",U26="Probabilidad"),(AD25-(+AD25*X26)),IF(AND(U25="Impacto",U26="Probabilidad"),(AD24-(+AD24*X26)),IF(U26="Impacto",AD25,""))),"")</f>
        <v/>
      </c>
      <c r="AC26" s="234" t="str">
        <f t="shared" si="4"/>
        <v/>
      </c>
      <c r="AD26" s="235" t="str">
        <f t="shared" si="2"/>
        <v/>
      </c>
      <c r="AE26" s="234" t="str">
        <f t="shared" si="5"/>
        <v/>
      </c>
      <c r="AF26" s="235" t="str">
        <f>IFERROR(IF(AND(U25="Impacto",U26="Impacto"),(AF25-(+AF25*X26)),IF(AND(U25="Probabilidad",U26="Impacto"),(AF24-(+AF24*X26)),IF(U26="Probabilidad",AF25,""))),"")</f>
        <v/>
      </c>
      <c r="AG26" s="236" t="str">
        <f t="shared" si="3"/>
        <v/>
      </c>
      <c r="AH26" s="237"/>
      <c r="AI26" s="238"/>
      <c r="AJ26" s="239"/>
      <c r="AK26" s="240"/>
      <c r="AL26" s="240"/>
      <c r="AM26" s="238"/>
      <c r="AN26" s="361"/>
      <c r="AO26" s="363"/>
      <c r="AP26" s="363"/>
      <c r="AQ26" s="363"/>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row>
    <row r="27" spans="1:72" ht="151.5" customHeight="1" x14ac:dyDescent="0.3">
      <c r="A27" s="879"/>
      <c r="B27" s="897"/>
      <c r="C27" s="897"/>
      <c r="D27" s="882"/>
      <c r="E27" s="882"/>
      <c r="F27" s="882"/>
      <c r="G27" s="885"/>
      <c r="H27" s="882"/>
      <c r="I27" s="882"/>
      <c r="J27" s="338"/>
      <c r="K27" s="888"/>
      <c r="L27" s="891"/>
      <c r="M27" s="876"/>
      <c r="N27" s="894"/>
      <c r="O27" s="876">
        <f>IF(NOT(ISERROR(MATCH(N27,_xlfn.ANCHORARRAY(G38),0))),M40&amp;"Por favor no seleccionar los criterios de impacto",N27)</f>
        <v>0</v>
      </c>
      <c r="P27" s="891"/>
      <c r="Q27" s="876"/>
      <c r="R27" s="873"/>
      <c r="S27" s="228">
        <v>6</v>
      </c>
      <c r="T27" s="229"/>
      <c r="U27" s="230" t="str">
        <f t="shared" si="0"/>
        <v/>
      </c>
      <c r="V27" s="231"/>
      <c r="W27" s="231"/>
      <c r="X27" s="232" t="str">
        <f t="shared" si="1"/>
        <v/>
      </c>
      <c r="Y27" s="231"/>
      <c r="Z27" s="231"/>
      <c r="AA27" s="231"/>
      <c r="AB27" s="233" t="str">
        <f>IFERROR(IF(AND(U26="Probabilidad",U27="Probabilidad"),(AD26-(+AD26*X27)),IF(AND(U26="Impacto",U27="Probabilidad"),(AD25-(+AD25*X27)),IF(U27="Impacto",AD26,""))),"")</f>
        <v/>
      </c>
      <c r="AC27" s="234" t="str">
        <f t="shared" si="4"/>
        <v/>
      </c>
      <c r="AD27" s="235" t="str">
        <f t="shared" si="2"/>
        <v/>
      </c>
      <c r="AE27" s="234" t="str">
        <f t="shared" si="5"/>
        <v/>
      </c>
      <c r="AF27" s="235" t="str">
        <f>IFERROR(IF(AND(U26="Impacto",U27="Impacto"),(AF26-(+AF26*X27)),IF(AND(U26="Probabilidad",U27="Impacto"),(AF25-(+AF25*X27)),IF(U27="Probabilidad",AF26,""))),"")</f>
        <v/>
      </c>
      <c r="AG27" s="236" t="str">
        <f t="shared" si="3"/>
        <v/>
      </c>
      <c r="AH27" s="237"/>
      <c r="AI27" s="238"/>
      <c r="AJ27" s="239"/>
      <c r="AK27" s="240"/>
      <c r="AL27" s="240"/>
      <c r="AM27" s="238"/>
      <c r="AN27" s="361"/>
      <c r="AO27" s="363"/>
      <c r="AP27" s="363"/>
      <c r="AQ27" s="363"/>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row>
    <row r="28" spans="1:72" ht="151.5" customHeight="1" x14ac:dyDescent="0.3">
      <c r="A28" s="877">
        <v>4</v>
      </c>
      <c r="B28" s="895"/>
      <c r="C28" s="895"/>
      <c r="D28" s="880"/>
      <c r="E28" s="880"/>
      <c r="F28" s="880"/>
      <c r="G28" s="883"/>
      <c r="H28" s="880"/>
      <c r="I28" s="880"/>
      <c r="J28" s="336"/>
      <c r="K28" s="886"/>
      <c r="L28" s="889" t="str">
        <f>IF(K28&lt;=0,"",IF(K28&lt;=2,"Muy Baja",IF(K28&lt;=24,"Baja",IF(K28&lt;=500,"Media",IF(K28&lt;=5000,"Alta","Muy Alta")))))</f>
        <v/>
      </c>
      <c r="M28" s="874" t="str">
        <f>IF(L28="","",IF(L28="Muy Baja",0.2,IF(L28="Baja",0.4,IF(L28="Media",0.6,IF(L28="Alta",0.8,IF(L28="Muy Alta",1,))))))</f>
        <v/>
      </c>
      <c r="N28" s="892"/>
      <c r="O28" s="874">
        <f>IF(NOT(ISERROR(MATCH(N28,'Tabla Impacto'!$B$221:$B$223,0))),'Tabla Impacto'!$F$223&amp;"Por favor no seleccionar los criterios de impacto(Afectación Económica o presupuestal y Pérdida Reputacional)",N28)</f>
        <v>0</v>
      </c>
      <c r="P28" s="889" t="str">
        <f>IF(OR(O28='Tabla Impacto'!$C$11,O28='Tabla Impacto'!$D$11),"Leve",IF(OR(O28='Tabla Impacto'!$C$12,O28='Tabla Impacto'!$D$12),"Menor",IF(OR(O28='Tabla Impacto'!$C$13,O28='Tabla Impacto'!$D$13),"Moderado",IF(OR(O28='Tabla Impacto'!$C$14,O28='Tabla Impacto'!$D$14),"Mayor",IF(OR(O28='Tabla Impacto'!$C$15,O28='Tabla Impacto'!$D$15),"Catastrófico","")))))</f>
        <v/>
      </c>
      <c r="Q28" s="874" t="str">
        <f>IF(P28="","",IF(P28="Leve",0.2,IF(P28="Menor",0.4,IF(P28="Moderado",0.6,IF(P28="Mayor",0.8,IF(P28="Catastrófico",1,))))))</f>
        <v/>
      </c>
      <c r="R28" s="87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8">
        <v>1</v>
      </c>
      <c r="T28" s="229"/>
      <c r="U28" s="230" t="str">
        <f t="shared" si="0"/>
        <v/>
      </c>
      <c r="V28" s="231"/>
      <c r="W28" s="231"/>
      <c r="X28" s="232" t="str">
        <f t="shared" si="1"/>
        <v/>
      </c>
      <c r="Y28" s="231"/>
      <c r="Z28" s="231"/>
      <c r="AA28" s="231"/>
      <c r="AB28" s="233" t="str">
        <f>IFERROR(IF(U28="Probabilidad",(M28-(+M28*X28)),IF(U28="Impacto",M28,"")),"")</f>
        <v/>
      </c>
      <c r="AC28" s="234" t="str">
        <f>IFERROR(IF(AB28="","",IF(AB28&lt;=0.2,"Muy Baja",IF(AB28&lt;=0.4,"Baja",IF(AB28&lt;=0.6,"Media",IF(AB28&lt;=0.8,"Alta","Muy Alta"))))),"")</f>
        <v/>
      </c>
      <c r="AD28" s="235" t="str">
        <f t="shared" si="2"/>
        <v/>
      </c>
      <c r="AE28" s="234" t="str">
        <f>IFERROR(IF(AF28="","",IF(AF28&lt;=0.2,"Leve",IF(AF28&lt;=0.4,"Menor",IF(AF28&lt;=0.6,"Moderado",IF(AF28&lt;=0.8,"Mayor","Catastrófico"))))),"")</f>
        <v/>
      </c>
      <c r="AF28" s="235" t="str">
        <f>IFERROR(IF(U28="Impacto",(Q28-(+Q28*X28)),IF(U28="Probabilidad",Q28,"")),"")</f>
        <v/>
      </c>
      <c r="AG28" s="236" t="str">
        <f t="shared" si="3"/>
        <v/>
      </c>
      <c r="AH28" s="237"/>
      <c r="AI28" s="238"/>
      <c r="AJ28" s="239"/>
      <c r="AK28" s="240"/>
      <c r="AL28" s="240"/>
      <c r="AM28" s="238"/>
      <c r="AN28" s="361"/>
      <c r="AO28" s="363"/>
      <c r="AP28" s="363"/>
      <c r="AQ28" s="363"/>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row>
    <row r="29" spans="1:72" ht="151.5" customHeight="1" x14ac:dyDescent="0.3">
      <c r="A29" s="878"/>
      <c r="B29" s="896"/>
      <c r="C29" s="896"/>
      <c r="D29" s="881"/>
      <c r="E29" s="881"/>
      <c r="F29" s="881"/>
      <c r="G29" s="884"/>
      <c r="H29" s="881"/>
      <c r="I29" s="881"/>
      <c r="J29" s="337"/>
      <c r="K29" s="887"/>
      <c r="L29" s="890"/>
      <c r="M29" s="875"/>
      <c r="N29" s="893"/>
      <c r="O29" s="875">
        <f>IF(NOT(ISERROR(MATCH(N29,_xlfn.ANCHORARRAY(G40),0))),M42&amp;"Por favor no seleccionar los criterios de impacto",N29)</f>
        <v>0</v>
      </c>
      <c r="P29" s="890"/>
      <c r="Q29" s="875"/>
      <c r="R29" s="872"/>
      <c r="S29" s="228">
        <v>2</v>
      </c>
      <c r="T29" s="229"/>
      <c r="U29" s="230" t="str">
        <f t="shared" si="0"/>
        <v/>
      </c>
      <c r="V29" s="231"/>
      <c r="W29" s="231"/>
      <c r="X29" s="232" t="str">
        <f t="shared" si="1"/>
        <v/>
      </c>
      <c r="Y29" s="231"/>
      <c r="Z29" s="231"/>
      <c r="AA29" s="231"/>
      <c r="AB29" s="233" t="str">
        <f>IFERROR(IF(AND(U28="Probabilidad",U29="Probabilidad"),(AD28-(+AD28*X29)),IF(U29="Probabilidad",(M28-(+M28*X29)),IF(U29="Impacto",AD28,""))),"")</f>
        <v/>
      </c>
      <c r="AC29" s="234" t="str">
        <f t="shared" si="4"/>
        <v/>
      </c>
      <c r="AD29" s="235" t="str">
        <f t="shared" si="2"/>
        <v/>
      </c>
      <c r="AE29" s="234" t="str">
        <f t="shared" si="5"/>
        <v/>
      </c>
      <c r="AF29" s="235" t="str">
        <f>IFERROR(IF(AND(U28="Impacto",U29="Impacto"),(AF28-(+AF28*X29)),IF(U29="Impacto",(Q28-(+Q28*X29)),IF(U29="Probabilidad",AF28,""))),"")</f>
        <v/>
      </c>
      <c r="AG29" s="236" t="str">
        <f t="shared" si="3"/>
        <v/>
      </c>
      <c r="AH29" s="237"/>
      <c r="AI29" s="238"/>
      <c r="AJ29" s="239"/>
      <c r="AK29" s="240"/>
      <c r="AL29" s="240"/>
      <c r="AM29" s="238"/>
      <c r="AN29" s="361"/>
      <c r="AO29" s="363"/>
      <c r="AP29" s="363"/>
      <c r="AQ29" s="363"/>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row>
    <row r="30" spans="1:72" ht="151.5" customHeight="1" x14ac:dyDescent="0.3">
      <c r="A30" s="878"/>
      <c r="B30" s="896"/>
      <c r="C30" s="896"/>
      <c r="D30" s="881"/>
      <c r="E30" s="881"/>
      <c r="F30" s="881"/>
      <c r="G30" s="884"/>
      <c r="H30" s="881"/>
      <c r="I30" s="881"/>
      <c r="J30" s="337"/>
      <c r="K30" s="887"/>
      <c r="L30" s="890"/>
      <c r="M30" s="875"/>
      <c r="N30" s="893"/>
      <c r="O30" s="875">
        <f>IF(NOT(ISERROR(MATCH(N30,_xlfn.ANCHORARRAY(G41),0))),M43&amp;"Por favor no seleccionar los criterios de impacto",N30)</f>
        <v>0</v>
      </c>
      <c r="P30" s="890"/>
      <c r="Q30" s="875"/>
      <c r="R30" s="872"/>
      <c r="S30" s="228">
        <v>3</v>
      </c>
      <c r="T30" s="243"/>
      <c r="U30" s="230" t="str">
        <f t="shared" si="0"/>
        <v/>
      </c>
      <c r="V30" s="231"/>
      <c r="W30" s="231"/>
      <c r="X30" s="232" t="str">
        <f t="shared" si="1"/>
        <v/>
      </c>
      <c r="Y30" s="231"/>
      <c r="Z30" s="231"/>
      <c r="AA30" s="231"/>
      <c r="AB30" s="233" t="str">
        <f>IFERROR(IF(AND(U29="Probabilidad",U30="Probabilidad"),(AD29-(+AD29*X30)),IF(AND(U29="Impacto",U30="Probabilidad"),(AD28-(+AD28*X30)),IF(U30="Impacto",AD29,""))),"")</f>
        <v/>
      </c>
      <c r="AC30" s="234" t="str">
        <f t="shared" si="4"/>
        <v/>
      </c>
      <c r="AD30" s="235" t="str">
        <f t="shared" si="2"/>
        <v/>
      </c>
      <c r="AE30" s="234" t="str">
        <f t="shared" si="5"/>
        <v/>
      </c>
      <c r="AF30" s="235" t="str">
        <f>IFERROR(IF(AND(U29="Impacto",U30="Impacto"),(AF29-(+AF29*X30)),IF(AND(U29="Probabilidad",U30="Impacto"),(AF28-(+AF28*X30)),IF(U30="Probabilidad",AF29,""))),"")</f>
        <v/>
      </c>
      <c r="AG30" s="236" t="str">
        <f t="shared" si="3"/>
        <v/>
      </c>
      <c r="AH30" s="237"/>
      <c r="AI30" s="238"/>
      <c r="AJ30" s="239"/>
      <c r="AK30" s="240"/>
      <c r="AL30" s="240"/>
      <c r="AM30" s="238"/>
      <c r="AN30" s="361"/>
      <c r="AO30" s="363"/>
      <c r="AP30" s="363"/>
      <c r="AQ30" s="363"/>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row>
    <row r="31" spans="1:72" ht="151.5" customHeight="1" x14ac:dyDescent="0.3">
      <c r="A31" s="878"/>
      <c r="B31" s="896"/>
      <c r="C31" s="896"/>
      <c r="D31" s="881"/>
      <c r="E31" s="881"/>
      <c r="F31" s="881"/>
      <c r="G31" s="884"/>
      <c r="H31" s="881"/>
      <c r="I31" s="881"/>
      <c r="J31" s="337"/>
      <c r="K31" s="887"/>
      <c r="L31" s="890"/>
      <c r="M31" s="875"/>
      <c r="N31" s="893"/>
      <c r="O31" s="875">
        <f>IF(NOT(ISERROR(MATCH(N31,_xlfn.ANCHORARRAY(G42),0))),M44&amp;"Por favor no seleccionar los criterios de impacto",N31)</f>
        <v>0</v>
      </c>
      <c r="P31" s="890"/>
      <c r="Q31" s="875"/>
      <c r="R31" s="872"/>
      <c r="S31" s="228">
        <v>4</v>
      </c>
      <c r="T31" s="229"/>
      <c r="U31" s="230" t="str">
        <f t="shared" si="0"/>
        <v/>
      </c>
      <c r="V31" s="231"/>
      <c r="W31" s="231"/>
      <c r="X31" s="232" t="str">
        <f t="shared" si="1"/>
        <v/>
      </c>
      <c r="Y31" s="231"/>
      <c r="Z31" s="231"/>
      <c r="AA31" s="231"/>
      <c r="AB31" s="233" t="str">
        <f>IFERROR(IF(AND(U30="Probabilidad",U31="Probabilidad"),(AD30-(+AD30*X31)),IF(AND(U30="Impacto",U31="Probabilidad"),(AD29-(+AD29*X31)),IF(U31="Impacto",AD30,""))),"")</f>
        <v/>
      </c>
      <c r="AC31" s="234" t="str">
        <f t="shared" si="4"/>
        <v/>
      </c>
      <c r="AD31" s="235" t="str">
        <f t="shared" si="2"/>
        <v/>
      </c>
      <c r="AE31" s="234" t="str">
        <f t="shared" si="5"/>
        <v/>
      </c>
      <c r="AF31" s="235" t="str">
        <f>IFERROR(IF(AND(U30="Impacto",U31="Impacto"),(AF30-(+AF30*X31)),IF(AND(U30="Probabilidad",U31="Impacto"),(AF29-(+AF29*X31)),IF(U31="Probabilidad",AF30,""))),"")</f>
        <v/>
      </c>
      <c r="AG31" s="236" t="str">
        <f t="shared" si="3"/>
        <v/>
      </c>
      <c r="AH31" s="237"/>
      <c r="AI31" s="238"/>
      <c r="AJ31" s="239"/>
      <c r="AK31" s="240"/>
      <c r="AL31" s="240"/>
      <c r="AM31" s="238"/>
      <c r="AN31" s="361"/>
      <c r="AO31" s="363"/>
      <c r="AP31" s="363"/>
      <c r="AQ31" s="363"/>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row>
    <row r="32" spans="1:72" ht="151.5" customHeight="1" x14ac:dyDescent="0.3">
      <c r="A32" s="878"/>
      <c r="B32" s="896"/>
      <c r="C32" s="896"/>
      <c r="D32" s="881"/>
      <c r="E32" s="881"/>
      <c r="F32" s="881"/>
      <c r="G32" s="884"/>
      <c r="H32" s="881"/>
      <c r="I32" s="881"/>
      <c r="J32" s="337"/>
      <c r="K32" s="887"/>
      <c r="L32" s="890"/>
      <c r="M32" s="875"/>
      <c r="N32" s="893"/>
      <c r="O32" s="875">
        <f>IF(NOT(ISERROR(MATCH(N32,_xlfn.ANCHORARRAY(G43),0))),M45&amp;"Por favor no seleccionar los criterios de impacto",N32)</f>
        <v>0</v>
      </c>
      <c r="P32" s="890"/>
      <c r="Q32" s="875"/>
      <c r="R32" s="872"/>
      <c r="S32" s="228">
        <v>5</v>
      </c>
      <c r="T32" s="229"/>
      <c r="U32" s="230" t="str">
        <f t="shared" si="0"/>
        <v/>
      </c>
      <c r="V32" s="231"/>
      <c r="W32" s="231"/>
      <c r="X32" s="232" t="str">
        <f t="shared" si="1"/>
        <v/>
      </c>
      <c r="Y32" s="231"/>
      <c r="Z32" s="231"/>
      <c r="AA32" s="231"/>
      <c r="AB32" s="244" t="str">
        <f>IFERROR(IF(AND(U31="Probabilidad",U32="Probabilidad"),(AD31-(+AD31*X32)),IF(AND(U31="Impacto",U32="Probabilidad"),(AD30-(+AD30*X32)),IF(U32="Impacto",AD31,""))),"")</f>
        <v/>
      </c>
      <c r="AC32" s="234" t="str">
        <f>IFERROR(IF(AB32="","",IF(AB32&lt;=0.2,"Muy Baja",IF(AB32&lt;=0.4,"Baja",IF(AB32&lt;=0.6,"Media",IF(AB32&lt;=0.8,"Alta","Muy Alta"))))),"")</f>
        <v/>
      </c>
      <c r="AD32" s="235" t="str">
        <f t="shared" si="2"/>
        <v/>
      </c>
      <c r="AE32" s="234" t="str">
        <f t="shared" si="5"/>
        <v/>
      </c>
      <c r="AF32" s="235" t="str">
        <f>IFERROR(IF(AND(U31="Impacto",U32="Impacto"),(AF31-(+AF31*X32)),IF(AND(U31="Probabilidad",U32="Impacto"),(AF30-(+AF30*X32)),IF(U32="Probabilidad",AF31,""))),"")</f>
        <v/>
      </c>
      <c r="AG32" s="236" t="str">
        <f t="shared" si="3"/>
        <v/>
      </c>
      <c r="AH32" s="237"/>
      <c r="AI32" s="238"/>
      <c r="AJ32" s="239"/>
      <c r="AK32" s="240"/>
      <c r="AL32" s="240"/>
      <c r="AM32" s="238"/>
      <c r="AN32" s="361"/>
      <c r="AO32" s="363"/>
      <c r="AP32" s="363"/>
      <c r="AQ32" s="363"/>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row>
    <row r="33" spans="1:72" ht="151.5" customHeight="1" x14ac:dyDescent="0.3">
      <c r="A33" s="879"/>
      <c r="B33" s="897"/>
      <c r="C33" s="897"/>
      <c r="D33" s="882"/>
      <c r="E33" s="882"/>
      <c r="F33" s="882"/>
      <c r="G33" s="885"/>
      <c r="H33" s="882"/>
      <c r="I33" s="882"/>
      <c r="J33" s="338"/>
      <c r="K33" s="888"/>
      <c r="L33" s="891"/>
      <c r="M33" s="876"/>
      <c r="N33" s="894"/>
      <c r="O33" s="876">
        <f>IF(NOT(ISERROR(MATCH(N33,_xlfn.ANCHORARRAY(G44),0))),M46&amp;"Por favor no seleccionar los criterios de impacto",N33)</f>
        <v>0</v>
      </c>
      <c r="P33" s="891"/>
      <c r="Q33" s="876"/>
      <c r="R33" s="873"/>
      <c r="S33" s="228">
        <v>6</v>
      </c>
      <c r="T33" s="229"/>
      <c r="U33" s="230" t="str">
        <f t="shared" si="0"/>
        <v/>
      </c>
      <c r="V33" s="231"/>
      <c r="W33" s="231"/>
      <c r="X33" s="232" t="str">
        <f t="shared" si="1"/>
        <v/>
      </c>
      <c r="Y33" s="231"/>
      <c r="Z33" s="231"/>
      <c r="AA33" s="231"/>
      <c r="AB33" s="233" t="str">
        <f>IFERROR(IF(AND(U32="Probabilidad",U33="Probabilidad"),(AD32-(+AD32*X33)),IF(AND(U32="Impacto",U33="Probabilidad"),(AD31-(+AD31*X33)),IF(U33="Impacto",AD32,""))),"")</f>
        <v/>
      </c>
      <c r="AC33" s="234" t="str">
        <f t="shared" si="4"/>
        <v/>
      </c>
      <c r="AD33" s="235" t="str">
        <f t="shared" si="2"/>
        <v/>
      </c>
      <c r="AE33" s="234" t="str">
        <f t="shared" si="5"/>
        <v/>
      </c>
      <c r="AF33" s="235" t="str">
        <f>IFERROR(IF(AND(U32="Impacto",U33="Impacto"),(AF32-(+AF32*X33)),IF(AND(U32="Probabilidad",U33="Impacto"),(AF31-(+AF31*X33)),IF(U33="Probabilidad",AF32,""))),"")</f>
        <v/>
      </c>
      <c r="AG33" s="236" t="str">
        <f t="shared" si="3"/>
        <v/>
      </c>
      <c r="AH33" s="237"/>
      <c r="AI33" s="238"/>
      <c r="AJ33" s="239"/>
      <c r="AK33" s="240"/>
      <c r="AL33" s="240"/>
      <c r="AM33" s="238"/>
      <c r="AN33" s="361"/>
      <c r="AO33" s="363"/>
      <c r="AP33" s="363"/>
      <c r="AQ33" s="363"/>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row>
    <row r="34" spans="1:72" ht="151.5" customHeight="1" x14ac:dyDescent="0.3">
      <c r="A34" s="877">
        <v>5</v>
      </c>
      <c r="B34" s="895"/>
      <c r="C34" s="895"/>
      <c r="D34" s="880"/>
      <c r="E34" s="880"/>
      <c r="F34" s="880"/>
      <c r="G34" s="883"/>
      <c r="H34" s="880"/>
      <c r="I34" s="880"/>
      <c r="J34" s="336"/>
      <c r="K34" s="886"/>
      <c r="L34" s="889" t="str">
        <f>IF(K34&lt;=0,"",IF(K34&lt;=2,"Muy Baja",IF(K34&lt;=24,"Baja",IF(K34&lt;=500,"Media",IF(K34&lt;=5000,"Alta","Muy Alta")))))</f>
        <v/>
      </c>
      <c r="M34" s="874" t="str">
        <f>IF(L34="","",IF(L34="Muy Baja",0.2,IF(L34="Baja",0.4,IF(L34="Media",0.6,IF(L34="Alta",0.8,IF(L34="Muy Alta",1,))))))</f>
        <v/>
      </c>
      <c r="N34" s="892"/>
      <c r="O34" s="874">
        <f>IF(NOT(ISERROR(MATCH(N34,'Tabla Impacto'!$B$221:$B$223,0))),'Tabla Impacto'!$F$223&amp;"Por favor no seleccionar los criterios de impacto(Afectación Económica o presupuestal y Pérdida Reputacional)",N34)</f>
        <v>0</v>
      </c>
      <c r="P34" s="889" t="str">
        <f>IF(OR(O34='Tabla Impacto'!$C$11,O34='Tabla Impacto'!$D$11),"Leve",IF(OR(O34='Tabla Impacto'!$C$12,O34='Tabla Impacto'!$D$12),"Menor",IF(OR(O34='Tabla Impacto'!$C$13,O34='Tabla Impacto'!$D$13),"Moderado",IF(OR(O34='Tabla Impacto'!$C$14,O34='Tabla Impacto'!$D$14),"Mayor",IF(OR(O34='Tabla Impacto'!$C$15,O34='Tabla Impacto'!$D$15),"Catastrófico","")))))</f>
        <v/>
      </c>
      <c r="Q34" s="874" t="str">
        <f>IF(P34="","",IF(P34="Leve",0.2,IF(P34="Menor",0.4,IF(P34="Moderado",0.6,IF(P34="Mayor",0.8,IF(P34="Catastrófico",1,))))))</f>
        <v/>
      </c>
      <c r="R34" s="87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8">
        <v>1</v>
      </c>
      <c r="T34" s="229"/>
      <c r="U34" s="230" t="str">
        <f t="shared" si="0"/>
        <v/>
      </c>
      <c r="V34" s="231"/>
      <c r="W34" s="231"/>
      <c r="X34" s="232" t="str">
        <f t="shared" si="1"/>
        <v/>
      </c>
      <c r="Y34" s="231"/>
      <c r="Z34" s="231"/>
      <c r="AA34" s="231"/>
      <c r="AB34" s="233" t="str">
        <f>IFERROR(IF(U34="Probabilidad",(M34-(+M34*X34)),IF(U34="Impacto",M34,"")),"")</f>
        <v/>
      </c>
      <c r="AC34" s="234" t="str">
        <f>IFERROR(IF(AB34="","",IF(AB34&lt;=0.2,"Muy Baja",IF(AB34&lt;=0.4,"Baja",IF(AB34&lt;=0.6,"Media",IF(AB34&lt;=0.8,"Alta","Muy Alta"))))),"")</f>
        <v/>
      </c>
      <c r="AD34" s="235" t="str">
        <f t="shared" si="2"/>
        <v/>
      </c>
      <c r="AE34" s="234" t="str">
        <f>IFERROR(IF(AF34="","",IF(AF34&lt;=0.2,"Leve",IF(AF34&lt;=0.4,"Menor",IF(AF34&lt;=0.6,"Moderado",IF(AF34&lt;=0.8,"Mayor","Catastrófico"))))),"")</f>
        <v/>
      </c>
      <c r="AF34" s="235" t="str">
        <f>IFERROR(IF(U34="Impacto",(Q34-(+Q34*X34)),IF(U34="Probabilidad",Q34,"")),"")</f>
        <v/>
      </c>
      <c r="AG34" s="236" t="str">
        <f t="shared" si="3"/>
        <v/>
      </c>
      <c r="AH34" s="237"/>
      <c r="AI34" s="238"/>
      <c r="AJ34" s="239"/>
      <c r="AK34" s="240"/>
      <c r="AL34" s="240"/>
      <c r="AM34" s="238"/>
      <c r="AN34" s="361"/>
      <c r="AO34" s="363"/>
      <c r="AP34" s="363"/>
      <c r="AQ34" s="363"/>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row>
    <row r="35" spans="1:72" ht="151.5" customHeight="1" x14ac:dyDescent="0.3">
      <c r="A35" s="878"/>
      <c r="B35" s="896"/>
      <c r="C35" s="896"/>
      <c r="D35" s="881"/>
      <c r="E35" s="881"/>
      <c r="F35" s="881"/>
      <c r="G35" s="884"/>
      <c r="H35" s="881"/>
      <c r="I35" s="881"/>
      <c r="J35" s="337"/>
      <c r="K35" s="887"/>
      <c r="L35" s="890"/>
      <c r="M35" s="875"/>
      <c r="N35" s="893"/>
      <c r="O35" s="875">
        <f>IF(NOT(ISERROR(MATCH(N35,_xlfn.ANCHORARRAY(G46),0))),M48&amp;"Por favor no seleccionar los criterios de impacto",N35)</f>
        <v>0</v>
      </c>
      <c r="P35" s="890"/>
      <c r="Q35" s="875"/>
      <c r="R35" s="872"/>
      <c r="S35" s="228">
        <v>2</v>
      </c>
      <c r="T35" s="229"/>
      <c r="U35" s="230" t="str">
        <f t="shared" si="0"/>
        <v/>
      </c>
      <c r="V35" s="231"/>
      <c r="W35" s="231"/>
      <c r="X35" s="232" t="str">
        <f t="shared" si="1"/>
        <v/>
      </c>
      <c r="Y35" s="231"/>
      <c r="Z35" s="231"/>
      <c r="AA35" s="231"/>
      <c r="AB35" s="233" t="str">
        <f>IFERROR(IF(AND(U34="Probabilidad",U35="Probabilidad"),(AD34-(+AD34*X35)),IF(U35="Probabilidad",(M34-(+M34*X35)),IF(U35="Impacto",AD34,""))),"")</f>
        <v/>
      </c>
      <c r="AC35" s="234" t="str">
        <f t="shared" si="4"/>
        <v/>
      </c>
      <c r="AD35" s="235" t="str">
        <f t="shared" si="2"/>
        <v/>
      </c>
      <c r="AE35" s="234" t="str">
        <f t="shared" si="5"/>
        <v/>
      </c>
      <c r="AF35" s="235" t="str">
        <f>IFERROR(IF(AND(U34="Impacto",U35="Impacto"),(AF34-(+AF34*X35)),IF(U35="Impacto",(Q34-(+Q34*X35)),IF(U35="Probabilidad",AF34,""))),"")</f>
        <v/>
      </c>
      <c r="AG35" s="236" t="str">
        <f t="shared" si="3"/>
        <v/>
      </c>
      <c r="AH35" s="237"/>
      <c r="AI35" s="238"/>
      <c r="AJ35" s="239"/>
      <c r="AK35" s="240"/>
      <c r="AL35" s="240"/>
      <c r="AM35" s="238"/>
      <c r="AN35" s="361"/>
      <c r="AO35" s="363"/>
      <c r="AP35" s="363"/>
      <c r="AQ35" s="363"/>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row>
    <row r="36" spans="1:72" ht="151.5" customHeight="1" x14ac:dyDescent="0.3">
      <c r="A36" s="878"/>
      <c r="B36" s="896"/>
      <c r="C36" s="896"/>
      <c r="D36" s="881"/>
      <c r="E36" s="881"/>
      <c r="F36" s="881"/>
      <c r="G36" s="884"/>
      <c r="H36" s="881"/>
      <c r="I36" s="881"/>
      <c r="J36" s="337"/>
      <c r="K36" s="887"/>
      <c r="L36" s="890"/>
      <c r="M36" s="875"/>
      <c r="N36" s="893"/>
      <c r="O36" s="875">
        <f>IF(NOT(ISERROR(MATCH(N36,_xlfn.ANCHORARRAY(G47),0))),M49&amp;"Por favor no seleccionar los criterios de impacto",N36)</f>
        <v>0</v>
      </c>
      <c r="P36" s="890"/>
      <c r="Q36" s="875"/>
      <c r="R36" s="872"/>
      <c r="S36" s="228">
        <v>3</v>
      </c>
      <c r="T36" s="243"/>
      <c r="U36" s="230" t="str">
        <f t="shared" si="0"/>
        <v/>
      </c>
      <c r="V36" s="231"/>
      <c r="W36" s="231"/>
      <c r="X36" s="232" t="str">
        <f t="shared" si="1"/>
        <v/>
      </c>
      <c r="Y36" s="231"/>
      <c r="Z36" s="231"/>
      <c r="AA36" s="231"/>
      <c r="AB36" s="233" t="str">
        <f>IFERROR(IF(AND(U35="Probabilidad",U36="Probabilidad"),(AD35-(+AD35*X36)),IF(AND(U35="Impacto",U36="Probabilidad"),(AD34-(+AD34*X36)),IF(U36="Impacto",AD35,""))),"")</f>
        <v/>
      </c>
      <c r="AC36" s="234" t="str">
        <f t="shared" si="4"/>
        <v/>
      </c>
      <c r="AD36" s="235" t="str">
        <f t="shared" si="2"/>
        <v/>
      </c>
      <c r="AE36" s="234" t="str">
        <f t="shared" si="5"/>
        <v/>
      </c>
      <c r="AF36" s="235" t="str">
        <f>IFERROR(IF(AND(U35="Impacto",U36="Impacto"),(AF35-(+AF35*X36)),IF(AND(U35="Probabilidad",U36="Impacto"),(AF34-(+AF34*X36)),IF(U36="Probabilidad",AF35,""))),"")</f>
        <v/>
      </c>
      <c r="AG36" s="236" t="str">
        <f t="shared" si="3"/>
        <v/>
      </c>
      <c r="AH36" s="237"/>
      <c r="AI36" s="238"/>
      <c r="AJ36" s="239"/>
      <c r="AK36" s="240"/>
      <c r="AL36" s="240"/>
      <c r="AM36" s="238"/>
      <c r="AN36" s="361"/>
      <c r="AO36" s="363"/>
      <c r="AP36" s="363"/>
      <c r="AQ36" s="363"/>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row>
    <row r="37" spans="1:72" ht="151.5" customHeight="1" x14ac:dyDescent="0.3">
      <c r="A37" s="878"/>
      <c r="B37" s="896"/>
      <c r="C37" s="896"/>
      <c r="D37" s="881"/>
      <c r="E37" s="881"/>
      <c r="F37" s="881"/>
      <c r="G37" s="884"/>
      <c r="H37" s="881"/>
      <c r="I37" s="881"/>
      <c r="J37" s="337"/>
      <c r="K37" s="887"/>
      <c r="L37" s="890"/>
      <c r="M37" s="875"/>
      <c r="N37" s="893"/>
      <c r="O37" s="875">
        <f>IF(NOT(ISERROR(MATCH(N37,_xlfn.ANCHORARRAY(G48),0))),M50&amp;"Por favor no seleccionar los criterios de impacto",N37)</f>
        <v>0</v>
      </c>
      <c r="P37" s="890"/>
      <c r="Q37" s="875"/>
      <c r="R37" s="872"/>
      <c r="S37" s="228">
        <v>4</v>
      </c>
      <c r="T37" s="229"/>
      <c r="U37" s="230" t="str">
        <f t="shared" si="0"/>
        <v/>
      </c>
      <c r="V37" s="231"/>
      <c r="W37" s="231"/>
      <c r="X37" s="232" t="str">
        <f t="shared" si="1"/>
        <v/>
      </c>
      <c r="Y37" s="231"/>
      <c r="Z37" s="231"/>
      <c r="AA37" s="231"/>
      <c r="AB37" s="233" t="str">
        <f>IFERROR(IF(AND(U36="Probabilidad",U37="Probabilidad"),(AD36-(+AD36*X37)),IF(AND(U36="Impacto",U37="Probabilidad"),(AD35-(+AD35*X37)),IF(U37="Impacto",AD36,""))),"")</f>
        <v/>
      </c>
      <c r="AC37" s="234" t="str">
        <f t="shared" si="4"/>
        <v/>
      </c>
      <c r="AD37" s="235" t="str">
        <f t="shared" si="2"/>
        <v/>
      </c>
      <c r="AE37" s="234" t="str">
        <f t="shared" si="5"/>
        <v/>
      </c>
      <c r="AF37" s="235" t="str">
        <f>IFERROR(IF(AND(U36="Impacto",U37="Impacto"),(AF36-(+AF36*X37)),IF(AND(U36="Probabilidad",U37="Impacto"),(AF35-(+AF35*X37)),IF(U37="Probabilidad",AF36,""))),"")</f>
        <v/>
      </c>
      <c r="AG37" s="236" t="str">
        <f t="shared" si="3"/>
        <v/>
      </c>
      <c r="AH37" s="237"/>
      <c r="AI37" s="238"/>
      <c r="AJ37" s="239"/>
      <c r="AK37" s="240"/>
      <c r="AL37" s="240"/>
      <c r="AM37" s="238"/>
      <c r="AN37" s="361"/>
      <c r="AO37" s="363"/>
      <c r="AP37" s="363"/>
      <c r="AQ37" s="363"/>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row>
    <row r="38" spans="1:72" ht="151.5" customHeight="1" x14ac:dyDescent="0.3">
      <c r="A38" s="878"/>
      <c r="B38" s="896"/>
      <c r="C38" s="896"/>
      <c r="D38" s="881"/>
      <c r="E38" s="881"/>
      <c r="F38" s="881"/>
      <c r="G38" s="884"/>
      <c r="H38" s="881"/>
      <c r="I38" s="881"/>
      <c r="J38" s="337"/>
      <c r="K38" s="887"/>
      <c r="L38" s="890"/>
      <c r="M38" s="875"/>
      <c r="N38" s="893"/>
      <c r="O38" s="875">
        <f>IF(NOT(ISERROR(MATCH(N38,_xlfn.ANCHORARRAY(G49),0))),M51&amp;"Por favor no seleccionar los criterios de impacto",N38)</f>
        <v>0</v>
      </c>
      <c r="P38" s="890"/>
      <c r="Q38" s="875"/>
      <c r="R38" s="872"/>
      <c r="S38" s="228">
        <v>5</v>
      </c>
      <c r="T38" s="229"/>
      <c r="U38" s="230" t="str">
        <f t="shared" si="0"/>
        <v/>
      </c>
      <c r="V38" s="231"/>
      <c r="W38" s="231"/>
      <c r="X38" s="232" t="str">
        <f t="shared" si="1"/>
        <v/>
      </c>
      <c r="Y38" s="231"/>
      <c r="Z38" s="231"/>
      <c r="AA38" s="231"/>
      <c r="AB38" s="233" t="str">
        <f>IFERROR(IF(AND(U37="Probabilidad",U38="Probabilidad"),(AD37-(+AD37*X38)),IF(AND(U37="Impacto",U38="Probabilidad"),(AD36-(+AD36*X38)),IF(U38="Impacto",AD37,""))),"")</f>
        <v/>
      </c>
      <c r="AC38" s="234" t="str">
        <f t="shared" si="4"/>
        <v/>
      </c>
      <c r="AD38" s="235" t="str">
        <f t="shared" si="2"/>
        <v/>
      </c>
      <c r="AE38" s="234" t="str">
        <f t="shared" si="5"/>
        <v/>
      </c>
      <c r="AF38" s="235" t="str">
        <f>IFERROR(IF(AND(U37="Impacto",U38="Impacto"),(AF37-(+AF37*X38)),IF(AND(U37="Probabilidad",U38="Impacto"),(AF36-(+AF36*X38)),IF(U38="Probabilidad",AF37,""))),"")</f>
        <v/>
      </c>
      <c r="AG38" s="236" t="str">
        <f t="shared" si="3"/>
        <v/>
      </c>
      <c r="AH38" s="237"/>
      <c r="AI38" s="238"/>
      <c r="AJ38" s="239"/>
      <c r="AK38" s="240"/>
      <c r="AL38" s="240"/>
      <c r="AM38" s="238"/>
      <c r="AN38" s="361"/>
      <c r="AO38" s="363"/>
      <c r="AP38" s="363"/>
      <c r="AQ38" s="363"/>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row>
    <row r="39" spans="1:72" ht="151.5" customHeight="1" x14ac:dyDescent="0.3">
      <c r="A39" s="879"/>
      <c r="B39" s="897"/>
      <c r="C39" s="897"/>
      <c r="D39" s="882"/>
      <c r="E39" s="882"/>
      <c r="F39" s="882"/>
      <c r="G39" s="885"/>
      <c r="H39" s="882"/>
      <c r="I39" s="882"/>
      <c r="J39" s="338"/>
      <c r="K39" s="888"/>
      <c r="L39" s="891"/>
      <c r="M39" s="876"/>
      <c r="N39" s="894"/>
      <c r="O39" s="876">
        <f>IF(NOT(ISERROR(MATCH(N39,_xlfn.ANCHORARRAY(G50),0))),M52&amp;"Por favor no seleccionar los criterios de impacto",N39)</f>
        <v>0</v>
      </c>
      <c r="P39" s="891"/>
      <c r="Q39" s="876"/>
      <c r="R39" s="873"/>
      <c r="S39" s="228">
        <v>6</v>
      </c>
      <c r="T39" s="229"/>
      <c r="U39" s="230" t="str">
        <f t="shared" si="0"/>
        <v/>
      </c>
      <c r="V39" s="231"/>
      <c r="W39" s="231"/>
      <c r="X39" s="232" t="str">
        <f t="shared" si="1"/>
        <v/>
      </c>
      <c r="Y39" s="231"/>
      <c r="Z39" s="231"/>
      <c r="AA39" s="231"/>
      <c r="AB39" s="233" t="str">
        <f>IFERROR(IF(AND(U38="Probabilidad",U39="Probabilidad"),(AD38-(+AD38*X39)),IF(AND(U38="Impacto",U39="Probabilidad"),(AD37-(+AD37*X39)),IF(U39="Impacto",AD38,""))),"")</f>
        <v/>
      </c>
      <c r="AC39" s="234" t="str">
        <f t="shared" si="4"/>
        <v/>
      </c>
      <c r="AD39" s="235" t="str">
        <f t="shared" si="2"/>
        <v/>
      </c>
      <c r="AE39" s="234" t="str">
        <f t="shared" si="5"/>
        <v/>
      </c>
      <c r="AF39" s="235" t="str">
        <f>IFERROR(IF(AND(U38="Impacto",U39="Impacto"),(AF38-(+AF38*X39)),IF(AND(U38="Probabilidad",U39="Impacto"),(AF37-(+AF37*X39)),IF(U39="Probabilidad",AF38,""))),"")</f>
        <v/>
      </c>
      <c r="AG39" s="236" t="str">
        <f t="shared" si="3"/>
        <v/>
      </c>
      <c r="AH39" s="237"/>
      <c r="AI39" s="238"/>
      <c r="AJ39" s="239"/>
      <c r="AK39" s="240"/>
      <c r="AL39" s="240"/>
      <c r="AM39" s="238"/>
      <c r="AN39" s="361"/>
      <c r="AO39" s="363"/>
      <c r="AP39" s="363"/>
      <c r="AQ39" s="363"/>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row>
    <row r="40" spans="1:72" ht="151.5" customHeight="1" x14ac:dyDescent="0.3">
      <c r="A40" s="877">
        <v>6</v>
      </c>
      <c r="B40" s="895"/>
      <c r="C40" s="895"/>
      <c r="D40" s="880"/>
      <c r="E40" s="880"/>
      <c r="F40" s="880"/>
      <c r="G40" s="883"/>
      <c r="H40" s="880"/>
      <c r="I40" s="880"/>
      <c r="J40" s="336"/>
      <c r="K40" s="886"/>
      <c r="L40" s="889" t="str">
        <f>IF(K40&lt;=0,"",IF(K40&lt;=2,"Muy Baja",IF(K40&lt;=24,"Baja",IF(K40&lt;=500,"Media",IF(K40&lt;=5000,"Alta","Muy Alta")))))</f>
        <v/>
      </c>
      <c r="M40" s="874" t="str">
        <f>IF(L40="","",IF(L40="Muy Baja",0.2,IF(L40="Baja",0.4,IF(L40="Media",0.6,IF(L40="Alta",0.8,IF(L40="Muy Alta",1,))))))</f>
        <v/>
      </c>
      <c r="N40" s="892"/>
      <c r="O40" s="874">
        <f>IF(NOT(ISERROR(MATCH(N40,'Tabla Impacto'!$B$221:$B$223,0))),'Tabla Impacto'!$F$223&amp;"Por favor no seleccionar los criterios de impacto(Afectación Económica o presupuestal y Pérdida Reputacional)",N40)</f>
        <v>0</v>
      </c>
      <c r="P40" s="889" t="str">
        <f>IF(OR(O40='Tabla Impacto'!$C$11,O40='Tabla Impacto'!$D$11),"Leve",IF(OR(O40='Tabla Impacto'!$C$12,O40='Tabla Impacto'!$D$12),"Menor",IF(OR(O40='Tabla Impacto'!$C$13,O40='Tabla Impacto'!$D$13),"Moderado",IF(OR(O40='Tabla Impacto'!$C$14,O40='Tabla Impacto'!$D$14),"Mayor",IF(OR(O40='Tabla Impacto'!$C$15,O40='Tabla Impacto'!$D$15),"Catastrófico","")))))</f>
        <v/>
      </c>
      <c r="Q40" s="874" t="str">
        <f>IF(P40="","",IF(P40="Leve",0.2,IF(P40="Menor",0.4,IF(P40="Moderado",0.6,IF(P40="Mayor",0.8,IF(P40="Catastrófico",1,))))))</f>
        <v/>
      </c>
      <c r="R40" s="87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8">
        <v>1</v>
      </c>
      <c r="T40" s="229"/>
      <c r="U40" s="230" t="str">
        <f t="shared" si="0"/>
        <v/>
      </c>
      <c r="V40" s="231"/>
      <c r="W40" s="231"/>
      <c r="X40" s="232" t="str">
        <f t="shared" si="1"/>
        <v/>
      </c>
      <c r="Y40" s="231"/>
      <c r="Z40" s="231"/>
      <c r="AA40" s="231"/>
      <c r="AB40" s="233" t="str">
        <f>IFERROR(IF(U40="Probabilidad",(M40-(+M40*X40)),IF(U40="Impacto",M40,"")),"")</f>
        <v/>
      </c>
      <c r="AC40" s="234" t="str">
        <f>IFERROR(IF(AB40="","",IF(AB40&lt;=0.2,"Muy Baja",IF(AB40&lt;=0.4,"Baja",IF(AB40&lt;=0.6,"Media",IF(AB40&lt;=0.8,"Alta","Muy Alta"))))),"")</f>
        <v/>
      </c>
      <c r="AD40" s="235" t="str">
        <f t="shared" si="2"/>
        <v/>
      </c>
      <c r="AE40" s="234" t="str">
        <f>IFERROR(IF(AF40="","",IF(AF40&lt;=0.2,"Leve",IF(AF40&lt;=0.4,"Menor",IF(AF40&lt;=0.6,"Moderado",IF(AF40&lt;=0.8,"Mayor","Catastrófico"))))),"")</f>
        <v/>
      </c>
      <c r="AF40" s="235" t="str">
        <f>IFERROR(IF(U40="Impacto",(Q40-(+Q40*X40)),IF(U40="Probabilidad",Q40,"")),"")</f>
        <v/>
      </c>
      <c r="AG40" s="236" t="str">
        <f t="shared" si="3"/>
        <v/>
      </c>
      <c r="AH40" s="237"/>
      <c r="AI40" s="238"/>
      <c r="AJ40" s="239"/>
      <c r="AK40" s="240"/>
      <c r="AL40" s="240"/>
      <c r="AM40" s="238"/>
      <c r="AN40" s="361"/>
      <c r="AO40" s="363"/>
      <c r="AP40" s="363"/>
      <c r="AQ40" s="363"/>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row>
    <row r="41" spans="1:72" ht="151.5" customHeight="1" x14ac:dyDescent="0.3">
      <c r="A41" s="878"/>
      <c r="B41" s="896"/>
      <c r="C41" s="896"/>
      <c r="D41" s="881"/>
      <c r="E41" s="881"/>
      <c r="F41" s="881"/>
      <c r="G41" s="884"/>
      <c r="H41" s="881"/>
      <c r="I41" s="881"/>
      <c r="J41" s="337"/>
      <c r="K41" s="887"/>
      <c r="L41" s="890"/>
      <c r="M41" s="875"/>
      <c r="N41" s="893"/>
      <c r="O41" s="875">
        <f>IF(NOT(ISERROR(MATCH(N41,_xlfn.ANCHORARRAY(G52),0))),M54&amp;"Por favor no seleccionar los criterios de impacto",N41)</f>
        <v>0</v>
      </c>
      <c r="P41" s="890"/>
      <c r="Q41" s="875"/>
      <c r="R41" s="872"/>
      <c r="S41" s="228">
        <v>2</v>
      </c>
      <c r="T41" s="229"/>
      <c r="U41" s="230" t="str">
        <f t="shared" si="0"/>
        <v/>
      </c>
      <c r="V41" s="231"/>
      <c r="W41" s="231"/>
      <c r="X41" s="232" t="str">
        <f t="shared" si="1"/>
        <v/>
      </c>
      <c r="Y41" s="231"/>
      <c r="Z41" s="231"/>
      <c r="AA41" s="231"/>
      <c r="AB41" s="233" t="str">
        <f>IFERROR(IF(AND(U40="Probabilidad",U41="Probabilidad"),(AD40-(+AD40*X41)),IF(U41="Probabilidad",(M40-(+M40*X41)),IF(U41="Impacto",AD40,""))),"")</f>
        <v/>
      </c>
      <c r="AC41" s="234" t="str">
        <f t="shared" si="4"/>
        <v/>
      </c>
      <c r="AD41" s="235" t="str">
        <f t="shared" si="2"/>
        <v/>
      </c>
      <c r="AE41" s="234" t="str">
        <f t="shared" si="5"/>
        <v/>
      </c>
      <c r="AF41" s="235" t="str">
        <f>IFERROR(IF(AND(U40="Impacto",U41="Impacto"),(AF40-(+AF40*X41)),IF(U41="Impacto",(Q40-(+Q40*X41)),IF(U41="Probabilidad",AF40,""))),"")</f>
        <v/>
      </c>
      <c r="AG41" s="236" t="str">
        <f t="shared" si="3"/>
        <v/>
      </c>
      <c r="AH41" s="237"/>
      <c r="AI41" s="238"/>
      <c r="AJ41" s="239"/>
      <c r="AK41" s="240"/>
      <c r="AL41" s="240"/>
      <c r="AM41" s="238"/>
      <c r="AN41" s="361"/>
      <c r="AO41" s="363"/>
      <c r="AP41" s="363"/>
      <c r="AQ41" s="363"/>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row>
    <row r="42" spans="1:72" ht="151.5" customHeight="1" x14ac:dyDescent="0.3">
      <c r="A42" s="878"/>
      <c r="B42" s="896"/>
      <c r="C42" s="896"/>
      <c r="D42" s="881"/>
      <c r="E42" s="881"/>
      <c r="F42" s="881"/>
      <c r="G42" s="884"/>
      <c r="H42" s="881"/>
      <c r="I42" s="881"/>
      <c r="J42" s="337"/>
      <c r="K42" s="887"/>
      <c r="L42" s="890"/>
      <c r="M42" s="875"/>
      <c r="N42" s="893"/>
      <c r="O42" s="875">
        <f>IF(NOT(ISERROR(MATCH(N42,_xlfn.ANCHORARRAY(G53),0))),M55&amp;"Por favor no seleccionar los criterios de impacto",N42)</f>
        <v>0</v>
      </c>
      <c r="P42" s="890"/>
      <c r="Q42" s="875"/>
      <c r="R42" s="872"/>
      <c r="S42" s="228">
        <v>3</v>
      </c>
      <c r="T42" s="243"/>
      <c r="U42" s="230" t="str">
        <f t="shared" ref="U42:U69" si="6">IF(OR(V42="Preventivo",V42="Detectivo"),"Probabilidad",IF(V42="Correctivo","Impacto",""))</f>
        <v/>
      </c>
      <c r="V42" s="231"/>
      <c r="W42" s="231"/>
      <c r="X42" s="232" t="str">
        <f t="shared" ref="X42:X69" si="7">IF(AND(V42="Preventivo",W42="Automático"),"50%",IF(AND(V42="Preventivo",W42="Manual"),"40%",IF(AND(V42="Detectivo",W42="Automático"),"40%",IF(AND(V42="Detectivo",W42="Manual"),"30%",IF(AND(V42="Correctivo",W42="Automático"),"35%",IF(AND(V42="Correctivo",W42="Manual"),"25%",""))))))</f>
        <v/>
      </c>
      <c r="Y42" s="231"/>
      <c r="Z42" s="231"/>
      <c r="AA42" s="231"/>
      <c r="AB42" s="233" t="str">
        <f>IFERROR(IF(AND(U41="Probabilidad",U42="Probabilidad"),(AD41-(+AD41*X42)),IF(AND(U41="Impacto",U42="Probabilidad"),(AD40-(+AD40*X42)),IF(U42="Impacto",AD41,""))),"")</f>
        <v/>
      </c>
      <c r="AC42" s="234" t="str">
        <f t="shared" si="4"/>
        <v/>
      </c>
      <c r="AD42" s="235" t="str">
        <f t="shared" ref="AD42:AD69" si="8">+AB42</f>
        <v/>
      </c>
      <c r="AE42" s="234" t="str">
        <f t="shared" si="5"/>
        <v/>
      </c>
      <c r="AF42" s="235" t="str">
        <f>IFERROR(IF(AND(U41="Impacto",U42="Impacto"),(AF41-(+AF41*X42)),IF(AND(U41="Probabilidad",U42="Impacto"),(AF40-(+AF40*X42)),IF(U42="Probabilidad",AF41,""))),"")</f>
        <v/>
      </c>
      <c r="AG42" s="236"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7"/>
      <c r="AI42" s="238"/>
      <c r="AJ42" s="239"/>
      <c r="AK42" s="240"/>
      <c r="AL42" s="240"/>
      <c r="AM42" s="238"/>
      <c r="AN42" s="361"/>
      <c r="AO42" s="363"/>
      <c r="AP42" s="363"/>
      <c r="AQ42" s="363"/>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row>
    <row r="43" spans="1:72" ht="151.5" customHeight="1" x14ac:dyDescent="0.3">
      <c r="A43" s="878"/>
      <c r="B43" s="896"/>
      <c r="C43" s="896"/>
      <c r="D43" s="881"/>
      <c r="E43" s="881"/>
      <c r="F43" s="881"/>
      <c r="G43" s="884"/>
      <c r="H43" s="881"/>
      <c r="I43" s="881"/>
      <c r="J43" s="337"/>
      <c r="K43" s="887"/>
      <c r="L43" s="890"/>
      <c r="M43" s="875"/>
      <c r="N43" s="893"/>
      <c r="O43" s="875">
        <f>IF(NOT(ISERROR(MATCH(N43,_xlfn.ANCHORARRAY(G54),0))),M56&amp;"Por favor no seleccionar los criterios de impacto",N43)</f>
        <v>0</v>
      </c>
      <c r="P43" s="890"/>
      <c r="Q43" s="875"/>
      <c r="R43" s="872"/>
      <c r="S43" s="228">
        <v>4</v>
      </c>
      <c r="T43" s="229"/>
      <c r="U43" s="230" t="str">
        <f t="shared" si="6"/>
        <v/>
      </c>
      <c r="V43" s="231"/>
      <c r="W43" s="231"/>
      <c r="X43" s="232" t="str">
        <f t="shared" si="7"/>
        <v/>
      </c>
      <c r="Y43" s="231"/>
      <c r="Z43" s="231"/>
      <c r="AA43" s="231"/>
      <c r="AB43" s="233" t="str">
        <f>IFERROR(IF(AND(U42="Probabilidad",U43="Probabilidad"),(AD42-(+AD42*X43)),IF(AND(U42="Impacto",U43="Probabilidad"),(AD41-(+AD41*X43)),IF(U43="Impacto",AD42,""))),"")</f>
        <v/>
      </c>
      <c r="AC43" s="234" t="str">
        <f t="shared" si="4"/>
        <v/>
      </c>
      <c r="AD43" s="235" t="str">
        <f t="shared" si="8"/>
        <v/>
      </c>
      <c r="AE43" s="234" t="str">
        <f t="shared" si="5"/>
        <v/>
      </c>
      <c r="AF43" s="235" t="str">
        <f>IFERROR(IF(AND(U42="Impacto",U43="Impacto"),(AF42-(+AF42*X43)),IF(AND(U42="Probabilidad",U43="Impacto"),(AF41-(+AF41*X43)),IF(U43="Probabilidad",AF42,""))),"")</f>
        <v/>
      </c>
      <c r="AG43" s="236" t="str">
        <f t="shared" si="9"/>
        <v/>
      </c>
      <c r="AH43" s="237"/>
      <c r="AI43" s="238"/>
      <c r="AJ43" s="239"/>
      <c r="AK43" s="240"/>
      <c r="AL43" s="240"/>
      <c r="AM43" s="238"/>
      <c r="AN43" s="361"/>
      <c r="AO43" s="363"/>
      <c r="AP43" s="363"/>
      <c r="AQ43" s="363"/>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row>
    <row r="44" spans="1:72" ht="151.5" customHeight="1" x14ac:dyDescent="0.3">
      <c r="A44" s="878"/>
      <c r="B44" s="896"/>
      <c r="C44" s="896"/>
      <c r="D44" s="881"/>
      <c r="E44" s="881"/>
      <c r="F44" s="881"/>
      <c r="G44" s="884"/>
      <c r="H44" s="881"/>
      <c r="I44" s="881"/>
      <c r="J44" s="337"/>
      <c r="K44" s="887"/>
      <c r="L44" s="890"/>
      <c r="M44" s="875"/>
      <c r="N44" s="893"/>
      <c r="O44" s="875">
        <f>IF(NOT(ISERROR(MATCH(N44,_xlfn.ANCHORARRAY(G55),0))),M57&amp;"Por favor no seleccionar los criterios de impacto",N44)</f>
        <v>0</v>
      </c>
      <c r="P44" s="890"/>
      <c r="Q44" s="875"/>
      <c r="R44" s="872"/>
      <c r="S44" s="228">
        <v>5</v>
      </c>
      <c r="T44" s="229"/>
      <c r="U44" s="230" t="str">
        <f t="shared" si="6"/>
        <v/>
      </c>
      <c r="V44" s="231"/>
      <c r="W44" s="231"/>
      <c r="X44" s="232" t="str">
        <f t="shared" si="7"/>
        <v/>
      </c>
      <c r="Y44" s="231"/>
      <c r="Z44" s="231"/>
      <c r="AA44" s="231"/>
      <c r="AB44" s="233" t="str">
        <f>IFERROR(IF(AND(U43="Probabilidad",U44="Probabilidad"),(AD43-(+AD43*X44)),IF(AND(U43="Impacto",U44="Probabilidad"),(AD42-(+AD42*X44)),IF(U44="Impacto",AD43,""))),"")</f>
        <v/>
      </c>
      <c r="AC44" s="234" t="str">
        <f t="shared" si="4"/>
        <v/>
      </c>
      <c r="AD44" s="235" t="str">
        <f t="shared" si="8"/>
        <v/>
      </c>
      <c r="AE44" s="234" t="str">
        <f t="shared" si="5"/>
        <v/>
      </c>
      <c r="AF44" s="235" t="str">
        <f>IFERROR(IF(AND(U43="Impacto",U44="Impacto"),(AF43-(+AF43*X44)),IF(AND(U43="Probabilidad",U44="Impacto"),(AF42-(+AF42*X44)),IF(U44="Probabilidad",AF43,""))),"")</f>
        <v/>
      </c>
      <c r="AG44" s="236" t="str">
        <f t="shared" si="9"/>
        <v/>
      </c>
      <c r="AH44" s="237"/>
      <c r="AI44" s="238"/>
      <c r="AJ44" s="239"/>
      <c r="AK44" s="240"/>
      <c r="AL44" s="240"/>
      <c r="AM44" s="238"/>
      <c r="AN44" s="361"/>
      <c r="AO44" s="363"/>
      <c r="AP44" s="363"/>
      <c r="AQ44" s="363"/>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row>
    <row r="45" spans="1:72" ht="151.5" customHeight="1" x14ac:dyDescent="0.3">
      <c r="A45" s="879"/>
      <c r="B45" s="897"/>
      <c r="C45" s="897"/>
      <c r="D45" s="882"/>
      <c r="E45" s="882"/>
      <c r="F45" s="882"/>
      <c r="G45" s="885"/>
      <c r="H45" s="882"/>
      <c r="I45" s="882"/>
      <c r="J45" s="338"/>
      <c r="K45" s="888"/>
      <c r="L45" s="891"/>
      <c r="M45" s="876"/>
      <c r="N45" s="894"/>
      <c r="O45" s="876">
        <f>IF(NOT(ISERROR(MATCH(N45,_xlfn.ANCHORARRAY(G56),0))),M58&amp;"Por favor no seleccionar los criterios de impacto",N45)</f>
        <v>0</v>
      </c>
      <c r="P45" s="891"/>
      <c r="Q45" s="876"/>
      <c r="R45" s="873"/>
      <c r="S45" s="228">
        <v>6</v>
      </c>
      <c r="T45" s="229"/>
      <c r="U45" s="230" t="str">
        <f t="shared" si="6"/>
        <v/>
      </c>
      <c r="V45" s="231"/>
      <c r="W45" s="231"/>
      <c r="X45" s="232" t="str">
        <f t="shared" si="7"/>
        <v/>
      </c>
      <c r="Y45" s="231"/>
      <c r="Z45" s="231"/>
      <c r="AA45" s="231"/>
      <c r="AB45" s="233" t="str">
        <f>IFERROR(IF(AND(U44="Probabilidad",U45="Probabilidad"),(AD44-(+AD44*X45)),IF(AND(U44="Impacto",U45="Probabilidad"),(AD43-(+AD43*X45)),IF(U45="Impacto",AD44,""))),"")</f>
        <v/>
      </c>
      <c r="AC45" s="234" t="str">
        <f t="shared" si="4"/>
        <v/>
      </c>
      <c r="AD45" s="235" t="str">
        <f t="shared" si="8"/>
        <v/>
      </c>
      <c r="AE45" s="234" t="str">
        <f>IFERROR(IF(AF45="","",IF(AF45&lt;=0.2,"Leve",IF(AF45&lt;=0.4,"Menor",IF(AF45&lt;=0.6,"Moderado",IF(AF45&lt;=0.8,"Mayor","Catastrófico"))))),"")</f>
        <v/>
      </c>
      <c r="AF45" s="235" t="str">
        <f>IFERROR(IF(AND(U44="Impacto",U45="Impacto"),(AF44-(+AF44*X45)),IF(AND(U44="Probabilidad",U45="Impacto"),(AF43-(+AF43*X45)),IF(U45="Probabilidad",AF44,""))),"")</f>
        <v/>
      </c>
      <c r="AG45" s="236" t="str">
        <f t="shared" si="9"/>
        <v/>
      </c>
      <c r="AH45" s="237"/>
      <c r="AI45" s="238"/>
      <c r="AJ45" s="239"/>
      <c r="AK45" s="240"/>
      <c r="AL45" s="240"/>
      <c r="AM45" s="238"/>
      <c r="AN45" s="361"/>
      <c r="AO45" s="363"/>
      <c r="AP45" s="363"/>
      <c r="AQ45" s="363"/>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row>
    <row r="46" spans="1:72" ht="151.5" customHeight="1" x14ac:dyDescent="0.3">
      <c r="A46" s="877">
        <v>7</v>
      </c>
      <c r="B46" s="895"/>
      <c r="C46" s="895"/>
      <c r="D46" s="880"/>
      <c r="E46" s="880"/>
      <c r="F46" s="880"/>
      <c r="G46" s="883"/>
      <c r="H46" s="880"/>
      <c r="I46" s="880"/>
      <c r="J46" s="336"/>
      <c r="K46" s="886"/>
      <c r="L46" s="889" t="str">
        <f>IF(K46&lt;=0,"",IF(K46&lt;=2,"Muy Baja",IF(K46&lt;=24,"Baja",IF(K46&lt;=500,"Media",IF(K46&lt;=5000,"Alta","Muy Alta")))))</f>
        <v/>
      </c>
      <c r="M46" s="874" t="str">
        <f>IF(L46="","",IF(L46="Muy Baja",0.2,IF(L46="Baja",0.4,IF(L46="Media",0.6,IF(L46="Alta",0.8,IF(L46="Muy Alta",1,))))))</f>
        <v/>
      </c>
      <c r="N46" s="892"/>
      <c r="O46" s="874">
        <f>IF(NOT(ISERROR(MATCH(N46,'Tabla Impacto'!$B$221:$B$223,0))),'Tabla Impacto'!$F$223&amp;"Por favor no seleccionar los criterios de impacto(Afectación Económica o presupuestal y Pérdida Reputacional)",N46)</f>
        <v>0</v>
      </c>
      <c r="P46" s="889" t="str">
        <f>IF(OR(O46='Tabla Impacto'!$C$11,O46='Tabla Impacto'!$D$11),"Leve",IF(OR(O46='Tabla Impacto'!$C$12,O46='Tabla Impacto'!$D$12),"Menor",IF(OR(O46='Tabla Impacto'!$C$13,O46='Tabla Impacto'!$D$13),"Moderado",IF(OR(O46='Tabla Impacto'!$C$14,O46='Tabla Impacto'!$D$14),"Mayor",IF(OR(O46='Tabla Impacto'!$C$15,O46='Tabla Impacto'!$D$15),"Catastrófico","")))))</f>
        <v/>
      </c>
      <c r="Q46" s="874" t="str">
        <f>IF(P46="","",IF(P46="Leve",0.2,IF(P46="Menor",0.4,IF(P46="Moderado",0.6,IF(P46="Mayor",0.8,IF(P46="Catastrófico",1,))))))</f>
        <v/>
      </c>
      <c r="R46" s="87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8">
        <v>1</v>
      </c>
      <c r="T46" s="229"/>
      <c r="U46" s="230" t="str">
        <f t="shared" si="6"/>
        <v/>
      </c>
      <c r="V46" s="231"/>
      <c r="W46" s="231"/>
      <c r="X46" s="232" t="str">
        <f t="shared" si="7"/>
        <v/>
      </c>
      <c r="Y46" s="231"/>
      <c r="Z46" s="231"/>
      <c r="AA46" s="231"/>
      <c r="AB46" s="233" t="str">
        <f>IFERROR(IF(U46="Probabilidad",(M46-(+M46*X46)),IF(U46="Impacto",M46,"")),"")</f>
        <v/>
      </c>
      <c r="AC46" s="234" t="str">
        <f>IFERROR(IF(AB46="","",IF(AB46&lt;=0.2,"Muy Baja",IF(AB46&lt;=0.4,"Baja",IF(AB46&lt;=0.6,"Media",IF(AB46&lt;=0.8,"Alta","Muy Alta"))))),"")</f>
        <v/>
      </c>
      <c r="AD46" s="235" t="str">
        <f t="shared" si="8"/>
        <v/>
      </c>
      <c r="AE46" s="234" t="str">
        <f>IFERROR(IF(AF46="","",IF(AF46&lt;=0.2,"Leve",IF(AF46&lt;=0.4,"Menor",IF(AF46&lt;=0.6,"Moderado",IF(AF46&lt;=0.8,"Mayor","Catastrófico"))))),"")</f>
        <v/>
      </c>
      <c r="AF46" s="235" t="str">
        <f>IFERROR(IF(U46="Impacto",(Q46-(+Q46*X46)),IF(U46="Probabilidad",Q46,"")),"")</f>
        <v/>
      </c>
      <c r="AG46" s="236" t="str">
        <f t="shared" si="9"/>
        <v/>
      </c>
      <c r="AH46" s="237"/>
      <c r="AI46" s="238"/>
      <c r="AJ46" s="239"/>
      <c r="AK46" s="240"/>
      <c r="AL46" s="240"/>
      <c r="AM46" s="238"/>
      <c r="AN46" s="361"/>
      <c r="AO46" s="363"/>
      <c r="AP46" s="363"/>
      <c r="AQ46" s="363"/>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row>
    <row r="47" spans="1:72" ht="151.5" customHeight="1" x14ac:dyDescent="0.3">
      <c r="A47" s="878"/>
      <c r="B47" s="896"/>
      <c r="C47" s="896"/>
      <c r="D47" s="881"/>
      <c r="E47" s="881"/>
      <c r="F47" s="881"/>
      <c r="G47" s="884"/>
      <c r="H47" s="881"/>
      <c r="I47" s="881"/>
      <c r="J47" s="337"/>
      <c r="K47" s="887"/>
      <c r="L47" s="890"/>
      <c r="M47" s="875"/>
      <c r="N47" s="893"/>
      <c r="O47" s="875">
        <f>IF(NOT(ISERROR(MATCH(N47,_xlfn.ANCHORARRAY(G58),0))),M60&amp;"Por favor no seleccionar los criterios de impacto",N47)</f>
        <v>0</v>
      </c>
      <c r="P47" s="890"/>
      <c r="Q47" s="875"/>
      <c r="R47" s="872"/>
      <c r="S47" s="228">
        <v>2</v>
      </c>
      <c r="T47" s="229"/>
      <c r="U47" s="230" t="str">
        <f t="shared" si="6"/>
        <v/>
      </c>
      <c r="V47" s="231"/>
      <c r="W47" s="231"/>
      <c r="X47" s="232" t="str">
        <f t="shared" si="7"/>
        <v/>
      </c>
      <c r="Y47" s="231"/>
      <c r="Z47" s="231"/>
      <c r="AA47" s="231"/>
      <c r="AB47" s="233" t="str">
        <f>IFERROR(IF(AND(U46="Probabilidad",U47="Probabilidad"),(AD46-(+AD46*X47)),IF(U47="Probabilidad",(M46-(+M46*X47)),IF(U47="Impacto",AD46,""))),"")</f>
        <v/>
      </c>
      <c r="AC47" s="234" t="str">
        <f t="shared" si="4"/>
        <v/>
      </c>
      <c r="AD47" s="235" t="str">
        <f t="shared" si="8"/>
        <v/>
      </c>
      <c r="AE47" s="234" t="str">
        <f t="shared" si="5"/>
        <v/>
      </c>
      <c r="AF47" s="235" t="str">
        <f>IFERROR(IF(AND(U46="Impacto",U47="Impacto"),(AF46-(+AF46*X47)),IF(U47="Impacto",(Q46-(+Q46*X47)),IF(U47="Probabilidad",AF46,""))),"")</f>
        <v/>
      </c>
      <c r="AG47" s="236" t="str">
        <f t="shared" si="9"/>
        <v/>
      </c>
      <c r="AH47" s="237"/>
      <c r="AI47" s="238"/>
      <c r="AJ47" s="239"/>
      <c r="AK47" s="240"/>
      <c r="AL47" s="240"/>
      <c r="AM47" s="238"/>
      <c r="AN47" s="361"/>
      <c r="AO47" s="363"/>
      <c r="AP47" s="363"/>
      <c r="AQ47" s="363"/>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row>
    <row r="48" spans="1:72" ht="151.5" customHeight="1" x14ac:dyDescent="0.3">
      <c r="A48" s="878"/>
      <c r="B48" s="896"/>
      <c r="C48" s="896"/>
      <c r="D48" s="881"/>
      <c r="E48" s="881"/>
      <c r="F48" s="881"/>
      <c r="G48" s="884"/>
      <c r="H48" s="881"/>
      <c r="I48" s="881"/>
      <c r="J48" s="337"/>
      <c r="K48" s="887"/>
      <c r="L48" s="890"/>
      <c r="M48" s="875"/>
      <c r="N48" s="893"/>
      <c r="O48" s="875">
        <f>IF(NOT(ISERROR(MATCH(N48,_xlfn.ANCHORARRAY(G59),0))),M61&amp;"Por favor no seleccionar los criterios de impacto",N48)</f>
        <v>0</v>
      </c>
      <c r="P48" s="890"/>
      <c r="Q48" s="875"/>
      <c r="R48" s="872"/>
      <c r="S48" s="228">
        <v>3</v>
      </c>
      <c r="T48" s="243"/>
      <c r="U48" s="230" t="str">
        <f t="shared" si="6"/>
        <v/>
      </c>
      <c r="V48" s="231"/>
      <c r="W48" s="231"/>
      <c r="X48" s="232" t="str">
        <f t="shared" si="7"/>
        <v/>
      </c>
      <c r="Y48" s="231"/>
      <c r="Z48" s="231"/>
      <c r="AA48" s="231"/>
      <c r="AB48" s="233" t="str">
        <f>IFERROR(IF(AND(U47="Probabilidad",U48="Probabilidad"),(AD47-(+AD47*X48)),IF(AND(U47="Impacto",U48="Probabilidad"),(AD46-(+AD46*X48)),IF(U48="Impacto",AD47,""))),"")</f>
        <v/>
      </c>
      <c r="AC48" s="234" t="str">
        <f t="shared" si="4"/>
        <v/>
      </c>
      <c r="AD48" s="235" t="str">
        <f t="shared" si="8"/>
        <v/>
      </c>
      <c r="AE48" s="234" t="str">
        <f t="shared" si="5"/>
        <v/>
      </c>
      <c r="AF48" s="235" t="str">
        <f>IFERROR(IF(AND(U47="Impacto",U48="Impacto"),(AF47-(+AF47*X48)),IF(AND(U47="Probabilidad",U48="Impacto"),(AF46-(+AF46*X48)),IF(U48="Probabilidad",AF47,""))),"")</f>
        <v/>
      </c>
      <c r="AG48" s="236" t="str">
        <f t="shared" si="9"/>
        <v/>
      </c>
      <c r="AH48" s="237"/>
      <c r="AI48" s="238"/>
      <c r="AJ48" s="239"/>
      <c r="AK48" s="240"/>
      <c r="AL48" s="240"/>
      <c r="AM48" s="238"/>
      <c r="AN48" s="361"/>
      <c r="AO48" s="363"/>
      <c r="AP48" s="363"/>
      <c r="AQ48" s="363"/>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row>
    <row r="49" spans="1:72" ht="151.5" customHeight="1" x14ac:dyDescent="0.3">
      <c r="A49" s="878"/>
      <c r="B49" s="896"/>
      <c r="C49" s="896"/>
      <c r="D49" s="881"/>
      <c r="E49" s="881"/>
      <c r="F49" s="881"/>
      <c r="G49" s="884"/>
      <c r="H49" s="881"/>
      <c r="I49" s="881"/>
      <c r="J49" s="337"/>
      <c r="K49" s="887"/>
      <c r="L49" s="890"/>
      <c r="M49" s="875"/>
      <c r="N49" s="893"/>
      <c r="O49" s="875">
        <f>IF(NOT(ISERROR(MATCH(N49,_xlfn.ANCHORARRAY(G60),0))),M62&amp;"Por favor no seleccionar los criterios de impacto",N49)</f>
        <v>0</v>
      </c>
      <c r="P49" s="890"/>
      <c r="Q49" s="875"/>
      <c r="R49" s="872"/>
      <c r="S49" s="228">
        <v>4</v>
      </c>
      <c r="T49" s="229"/>
      <c r="U49" s="230" t="str">
        <f t="shared" si="6"/>
        <v/>
      </c>
      <c r="V49" s="231"/>
      <c r="W49" s="231"/>
      <c r="X49" s="232" t="str">
        <f t="shared" si="7"/>
        <v/>
      </c>
      <c r="Y49" s="231"/>
      <c r="Z49" s="231"/>
      <c r="AA49" s="231"/>
      <c r="AB49" s="233" t="str">
        <f>IFERROR(IF(AND(U48="Probabilidad",U49="Probabilidad"),(AD48-(+AD48*X49)),IF(AND(U48="Impacto",U49="Probabilidad"),(AD47-(+AD47*X49)),IF(U49="Impacto",AD48,""))),"")</f>
        <v/>
      </c>
      <c r="AC49" s="234" t="str">
        <f t="shared" si="4"/>
        <v/>
      </c>
      <c r="AD49" s="235" t="str">
        <f t="shared" si="8"/>
        <v/>
      </c>
      <c r="AE49" s="234" t="str">
        <f t="shared" si="5"/>
        <v/>
      </c>
      <c r="AF49" s="235" t="str">
        <f>IFERROR(IF(AND(U48="Impacto",U49="Impacto"),(AF48-(+AF48*X49)),IF(AND(U48="Probabilidad",U49="Impacto"),(AF47-(+AF47*X49)),IF(U49="Probabilidad",AF48,""))),"")</f>
        <v/>
      </c>
      <c r="AG49" s="236" t="str">
        <f t="shared" si="9"/>
        <v/>
      </c>
      <c r="AH49" s="237"/>
      <c r="AI49" s="238"/>
      <c r="AJ49" s="239"/>
      <c r="AK49" s="240"/>
      <c r="AL49" s="240"/>
      <c r="AM49" s="238"/>
      <c r="AN49" s="361"/>
      <c r="AO49" s="363"/>
      <c r="AP49" s="363"/>
      <c r="AQ49" s="363"/>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row>
    <row r="50" spans="1:72" ht="151.5" customHeight="1" x14ac:dyDescent="0.3">
      <c r="A50" s="878"/>
      <c r="B50" s="896"/>
      <c r="C50" s="896"/>
      <c r="D50" s="881"/>
      <c r="E50" s="881"/>
      <c r="F50" s="881"/>
      <c r="G50" s="884"/>
      <c r="H50" s="881"/>
      <c r="I50" s="881"/>
      <c r="J50" s="337"/>
      <c r="K50" s="887"/>
      <c r="L50" s="890"/>
      <c r="M50" s="875"/>
      <c r="N50" s="893"/>
      <c r="O50" s="875">
        <f>IF(NOT(ISERROR(MATCH(N50,_xlfn.ANCHORARRAY(G61),0))),M63&amp;"Por favor no seleccionar los criterios de impacto",N50)</f>
        <v>0</v>
      </c>
      <c r="P50" s="890"/>
      <c r="Q50" s="875"/>
      <c r="R50" s="872"/>
      <c r="S50" s="228">
        <v>5</v>
      </c>
      <c r="T50" s="229"/>
      <c r="U50" s="230" t="str">
        <f t="shared" si="6"/>
        <v/>
      </c>
      <c r="V50" s="231"/>
      <c r="W50" s="231"/>
      <c r="X50" s="232" t="str">
        <f t="shared" si="7"/>
        <v/>
      </c>
      <c r="Y50" s="231"/>
      <c r="Z50" s="231"/>
      <c r="AA50" s="231"/>
      <c r="AB50" s="233" t="str">
        <f>IFERROR(IF(AND(U49="Probabilidad",U50="Probabilidad"),(AD49-(+AD49*X50)),IF(AND(U49="Impacto",U50="Probabilidad"),(AD48-(+AD48*X50)),IF(U50="Impacto",AD49,""))),"")</f>
        <v/>
      </c>
      <c r="AC50" s="234" t="str">
        <f t="shared" si="4"/>
        <v/>
      </c>
      <c r="AD50" s="235" t="str">
        <f t="shared" si="8"/>
        <v/>
      </c>
      <c r="AE50" s="234" t="str">
        <f t="shared" si="5"/>
        <v/>
      </c>
      <c r="AF50" s="235" t="str">
        <f>IFERROR(IF(AND(U49="Impacto",U50="Impacto"),(AF49-(+AF49*X50)),IF(AND(U49="Probabilidad",U50="Impacto"),(AF48-(+AF48*X50)),IF(U50="Probabilidad",AF49,""))),"")</f>
        <v/>
      </c>
      <c r="AG50" s="236" t="str">
        <f t="shared" si="9"/>
        <v/>
      </c>
      <c r="AH50" s="237"/>
      <c r="AI50" s="238"/>
      <c r="AJ50" s="239"/>
      <c r="AK50" s="240"/>
      <c r="AL50" s="240"/>
      <c r="AM50" s="238"/>
      <c r="AN50" s="361"/>
      <c r="AO50" s="363"/>
      <c r="AP50" s="363"/>
      <c r="AQ50" s="363"/>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row>
    <row r="51" spans="1:72" ht="151.5" customHeight="1" x14ac:dyDescent="0.3">
      <c r="A51" s="879"/>
      <c r="B51" s="897"/>
      <c r="C51" s="897"/>
      <c r="D51" s="882"/>
      <c r="E51" s="882"/>
      <c r="F51" s="882"/>
      <c r="G51" s="885"/>
      <c r="H51" s="882"/>
      <c r="I51" s="882"/>
      <c r="J51" s="338"/>
      <c r="K51" s="888"/>
      <c r="L51" s="891"/>
      <c r="M51" s="876"/>
      <c r="N51" s="894"/>
      <c r="O51" s="876">
        <f>IF(NOT(ISERROR(MATCH(N51,_xlfn.ANCHORARRAY(G62),0))),M64&amp;"Por favor no seleccionar los criterios de impacto",N51)</f>
        <v>0</v>
      </c>
      <c r="P51" s="891"/>
      <c r="Q51" s="876"/>
      <c r="R51" s="873"/>
      <c r="S51" s="228">
        <v>6</v>
      </c>
      <c r="T51" s="229"/>
      <c r="U51" s="230" t="str">
        <f t="shared" si="6"/>
        <v/>
      </c>
      <c r="V51" s="231"/>
      <c r="W51" s="231"/>
      <c r="X51" s="232" t="str">
        <f t="shared" si="7"/>
        <v/>
      </c>
      <c r="Y51" s="231"/>
      <c r="Z51" s="231"/>
      <c r="AA51" s="231"/>
      <c r="AB51" s="233" t="str">
        <f>IFERROR(IF(AND(U50="Probabilidad",U51="Probabilidad"),(AD50-(+AD50*X51)),IF(AND(U50="Impacto",U51="Probabilidad"),(AD49-(+AD49*X51)),IF(U51="Impacto",AD50,""))),"")</f>
        <v/>
      </c>
      <c r="AC51" s="234" t="str">
        <f t="shared" si="4"/>
        <v/>
      </c>
      <c r="AD51" s="235" t="str">
        <f t="shared" si="8"/>
        <v/>
      </c>
      <c r="AE51" s="234" t="str">
        <f t="shared" si="5"/>
        <v/>
      </c>
      <c r="AF51" s="235" t="str">
        <f>IFERROR(IF(AND(U50="Impacto",U51="Impacto"),(AF50-(+AF50*X51)),IF(AND(U50="Probabilidad",U51="Impacto"),(AF49-(+AF49*X51)),IF(U51="Probabilidad",AF50,""))),"")</f>
        <v/>
      </c>
      <c r="AG51" s="236" t="str">
        <f t="shared" si="9"/>
        <v/>
      </c>
      <c r="AH51" s="237"/>
      <c r="AI51" s="238"/>
      <c r="AJ51" s="239"/>
      <c r="AK51" s="240"/>
      <c r="AL51" s="240"/>
      <c r="AM51" s="238"/>
      <c r="AN51" s="361"/>
      <c r="AO51" s="363"/>
      <c r="AP51" s="363"/>
      <c r="AQ51" s="363"/>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row>
    <row r="52" spans="1:72" ht="151.5" customHeight="1" x14ac:dyDescent="0.3">
      <c r="A52" s="877">
        <v>8</v>
      </c>
      <c r="B52" s="895"/>
      <c r="C52" s="895"/>
      <c r="D52" s="880"/>
      <c r="E52" s="880"/>
      <c r="F52" s="880"/>
      <c r="G52" s="883"/>
      <c r="H52" s="880"/>
      <c r="I52" s="880"/>
      <c r="J52" s="336"/>
      <c r="K52" s="886"/>
      <c r="L52" s="889" t="str">
        <f>IF(K52&lt;=0,"",IF(K52&lt;=2,"Muy Baja",IF(K52&lt;=24,"Baja",IF(K52&lt;=500,"Media",IF(K52&lt;=5000,"Alta","Muy Alta")))))</f>
        <v/>
      </c>
      <c r="M52" s="874" t="str">
        <f>IF(L52="","",IF(L52="Muy Baja",0.2,IF(L52="Baja",0.4,IF(L52="Media",0.6,IF(L52="Alta",0.8,IF(L52="Muy Alta",1,))))))</f>
        <v/>
      </c>
      <c r="N52" s="892"/>
      <c r="O52" s="874">
        <f>IF(NOT(ISERROR(MATCH(N52,'Tabla Impacto'!$B$221:$B$223,0))),'Tabla Impacto'!$F$223&amp;"Por favor no seleccionar los criterios de impacto(Afectación Económica o presupuestal y Pérdida Reputacional)",N52)</f>
        <v>0</v>
      </c>
      <c r="P52" s="889" t="str">
        <f>IF(OR(O52='Tabla Impacto'!$C$11,O52='Tabla Impacto'!$D$11),"Leve",IF(OR(O52='Tabla Impacto'!$C$12,O52='Tabla Impacto'!$D$12),"Menor",IF(OR(O52='Tabla Impacto'!$C$13,O52='Tabla Impacto'!$D$13),"Moderado",IF(OR(O52='Tabla Impacto'!$C$14,O52='Tabla Impacto'!$D$14),"Mayor",IF(OR(O52='Tabla Impacto'!$C$15,O52='Tabla Impacto'!$D$15),"Catastrófico","")))))</f>
        <v/>
      </c>
      <c r="Q52" s="874" t="str">
        <f>IF(P52="","",IF(P52="Leve",0.2,IF(P52="Menor",0.4,IF(P52="Moderado",0.6,IF(P52="Mayor",0.8,IF(P52="Catastrófico",1,))))))</f>
        <v/>
      </c>
      <c r="R52" s="87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8">
        <v>1</v>
      </c>
      <c r="T52" s="229"/>
      <c r="U52" s="230" t="str">
        <f t="shared" si="6"/>
        <v/>
      </c>
      <c r="V52" s="231"/>
      <c r="W52" s="231"/>
      <c r="X52" s="232" t="str">
        <f t="shared" si="7"/>
        <v/>
      </c>
      <c r="Y52" s="231"/>
      <c r="Z52" s="231"/>
      <c r="AA52" s="231"/>
      <c r="AB52" s="233" t="str">
        <f>IFERROR(IF(U52="Probabilidad",(M52-(+M52*X52)),IF(U52="Impacto",M52,"")),"")</f>
        <v/>
      </c>
      <c r="AC52" s="234" t="str">
        <f>IFERROR(IF(AB52="","",IF(AB52&lt;=0.2,"Muy Baja",IF(AB52&lt;=0.4,"Baja",IF(AB52&lt;=0.6,"Media",IF(AB52&lt;=0.8,"Alta","Muy Alta"))))),"")</f>
        <v/>
      </c>
      <c r="AD52" s="235" t="str">
        <f t="shared" si="8"/>
        <v/>
      </c>
      <c r="AE52" s="234" t="str">
        <f>IFERROR(IF(AF52="","",IF(AF52&lt;=0.2,"Leve",IF(AF52&lt;=0.4,"Menor",IF(AF52&lt;=0.6,"Moderado",IF(AF52&lt;=0.8,"Mayor","Catastrófico"))))),"")</f>
        <v/>
      </c>
      <c r="AF52" s="235" t="str">
        <f>IFERROR(IF(U52="Impacto",(Q52-(+Q52*X52)),IF(U52="Probabilidad",Q52,"")),"")</f>
        <v/>
      </c>
      <c r="AG52" s="236" t="str">
        <f t="shared" si="9"/>
        <v/>
      </c>
      <c r="AH52" s="237"/>
      <c r="AI52" s="238"/>
      <c r="AJ52" s="239"/>
      <c r="AK52" s="240"/>
      <c r="AL52" s="240"/>
      <c r="AM52" s="238"/>
      <c r="AN52" s="361"/>
      <c r="AO52" s="363"/>
      <c r="AP52" s="363"/>
      <c r="AQ52" s="363"/>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row>
    <row r="53" spans="1:72" ht="151.5" customHeight="1" x14ac:dyDescent="0.3">
      <c r="A53" s="878"/>
      <c r="B53" s="896"/>
      <c r="C53" s="896"/>
      <c r="D53" s="881"/>
      <c r="E53" s="881"/>
      <c r="F53" s="881"/>
      <c r="G53" s="884"/>
      <c r="H53" s="881"/>
      <c r="I53" s="881"/>
      <c r="J53" s="337"/>
      <c r="K53" s="887"/>
      <c r="L53" s="890"/>
      <c r="M53" s="875"/>
      <c r="N53" s="893"/>
      <c r="O53" s="875">
        <f>IF(NOT(ISERROR(MATCH(N53,_xlfn.ANCHORARRAY(G64),0))),M66&amp;"Por favor no seleccionar los criterios de impacto",N53)</f>
        <v>0</v>
      </c>
      <c r="P53" s="890"/>
      <c r="Q53" s="875"/>
      <c r="R53" s="872"/>
      <c r="S53" s="228">
        <v>2</v>
      </c>
      <c r="T53" s="229"/>
      <c r="U53" s="230" t="str">
        <f t="shared" si="6"/>
        <v/>
      </c>
      <c r="V53" s="231"/>
      <c r="W53" s="231"/>
      <c r="X53" s="232" t="str">
        <f t="shared" si="7"/>
        <v/>
      </c>
      <c r="Y53" s="231"/>
      <c r="Z53" s="231"/>
      <c r="AA53" s="231"/>
      <c r="AB53" s="233" t="str">
        <f>IFERROR(IF(AND(U52="Probabilidad",U53="Probabilidad"),(AD52-(+AD52*X53)),IF(U53="Probabilidad",(M52-(+M52*X53)),IF(U53="Impacto",AD52,""))),"")</f>
        <v/>
      </c>
      <c r="AC53" s="234" t="str">
        <f t="shared" si="4"/>
        <v/>
      </c>
      <c r="AD53" s="235" t="str">
        <f t="shared" si="8"/>
        <v/>
      </c>
      <c r="AE53" s="234" t="str">
        <f t="shared" si="5"/>
        <v/>
      </c>
      <c r="AF53" s="235" t="str">
        <f>IFERROR(IF(AND(U52="Impacto",U53="Impacto"),(AF52-(+AF52*X53)),IF(U53="Impacto",(Q52-(+Q52*X53)),IF(U53="Probabilidad",AF52,""))),"")</f>
        <v/>
      </c>
      <c r="AG53" s="236" t="str">
        <f t="shared" si="9"/>
        <v/>
      </c>
      <c r="AH53" s="237"/>
      <c r="AI53" s="238"/>
      <c r="AJ53" s="239"/>
      <c r="AK53" s="240"/>
      <c r="AL53" s="240"/>
      <c r="AM53" s="238"/>
      <c r="AN53" s="361"/>
      <c r="AO53" s="363"/>
      <c r="AP53" s="363"/>
      <c r="AQ53" s="363"/>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row>
    <row r="54" spans="1:72" ht="151.5" customHeight="1" x14ac:dyDescent="0.3">
      <c r="A54" s="878"/>
      <c r="B54" s="896"/>
      <c r="C54" s="896"/>
      <c r="D54" s="881"/>
      <c r="E54" s="881"/>
      <c r="F54" s="881"/>
      <c r="G54" s="884"/>
      <c r="H54" s="881"/>
      <c r="I54" s="881"/>
      <c r="J54" s="337"/>
      <c r="K54" s="887"/>
      <c r="L54" s="890"/>
      <c r="M54" s="875"/>
      <c r="N54" s="893"/>
      <c r="O54" s="875">
        <f>IF(NOT(ISERROR(MATCH(N54,_xlfn.ANCHORARRAY(G65),0))),M67&amp;"Por favor no seleccionar los criterios de impacto",N54)</f>
        <v>0</v>
      </c>
      <c r="P54" s="890"/>
      <c r="Q54" s="875"/>
      <c r="R54" s="872"/>
      <c r="S54" s="228">
        <v>3</v>
      </c>
      <c r="T54" s="243"/>
      <c r="U54" s="230" t="str">
        <f t="shared" si="6"/>
        <v/>
      </c>
      <c r="V54" s="231"/>
      <c r="W54" s="231"/>
      <c r="X54" s="232" t="str">
        <f t="shared" si="7"/>
        <v/>
      </c>
      <c r="Y54" s="231"/>
      <c r="Z54" s="231"/>
      <c r="AA54" s="231"/>
      <c r="AB54" s="233" t="str">
        <f>IFERROR(IF(AND(U53="Probabilidad",U54="Probabilidad"),(AD53-(+AD53*X54)),IF(AND(U53="Impacto",U54="Probabilidad"),(AD52-(+AD52*X54)),IF(U54="Impacto",AD53,""))),"")</f>
        <v/>
      </c>
      <c r="AC54" s="234" t="str">
        <f t="shared" si="4"/>
        <v/>
      </c>
      <c r="AD54" s="235" t="str">
        <f t="shared" si="8"/>
        <v/>
      </c>
      <c r="AE54" s="234" t="str">
        <f t="shared" si="5"/>
        <v/>
      </c>
      <c r="AF54" s="235" t="str">
        <f>IFERROR(IF(AND(U53="Impacto",U54="Impacto"),(AF53-(+AF53*X54)),IF(AND(U53="Probabilidad",U54="Impacto"),(AF52-(+AF52*X54)),IF(U54="Probabilidad",AF53,""))),"")</f>
        <v/>
      </c>
      <c r="AG54" s="236" t="str">
        <f t="shared" si="9"/>
        <v/>
      </c>
      <c r="AH54" s="237"/>
      <c r="AI54" s="238"/>
      <c r="AJ54" s="239"/>
      <c r="AK54" s="240"/>
      <c r="AL54" s="240"/>
      <c r="AM54" s="238"/>
      <c r="AN54" s="361"/>
      <c r="AO54" s="363"/>
      <c r="AP54" s="363"/>
      <c r="AQ54" s="363"/>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row>
    <row r="55" spans="1:72" ht="151.5" customHeight="1" x14ac:dyDescent="0.3">
      <c r="A55" s="878"/>
      <c r="B55" s="896"/>
      <c r="C55" s="896"/>
      <c r="D55" s="881"/>
      <c r="E55" s="881"/>
      <c r="F55" s="881"/>
      <c r="G55" s="884"/>
      <c r="H55" s="881"/>
      <c r="I55" s="881"/>
      <c r="J55" s="337"/>
      <c r="K55" s="887"/>
      <c r="L55" s="890"/>
      <c r="M55" s="875"/>
      <c r="N55" s="893"/>
      <c r="O55" s="875">
        <f>IF(NOT(ISERROR(MATCH(N55,_xlfn.ANCHORARRAY(G66),0))),M68&amp;"Por favor no seleccionar los criterios de impacto",N55)</f>
        <v>0</v>
      </c>
      <c r="P55" s="890"/>
      <c r="Q55" s="875"/>
      <c r="R55" s="872"/>
      <c r="S55" s="228">
        <v>4</v>
      </c>
      <c r="T55" s="229"/>
      <c r="U55" s="230" t="str">
        <f t="shared" si="6"/>
        <v/>
      </c>
      <c r="V55" s="231"/>
      <c r="W55" s="231"/>
      <c r="X55" s="232" t="str">
        <f t="shared" si="7"/>
        <v/>
      </c>
      <c r="Y55" s="231"/>
      <c r="Z55" s="231"/>
      <c r="AA55" s="231"/>
      <c r="AB55" s="233" t="str">
        <f>IFERROR(IF(AND(U54="Probabilidad",U55="Probabilidad"),(AD54-(+AD54*X55)),IF(AND(U54="Impacto",U55="Probabilidad"),(AD53-(+AD53*X55)),IF(U55="Impacto",AD54,""))),"")</f>
        <v/>
      </c>
      <c r="AC55" s="234" t="str">
        <f t="shared" si="4"/>
        <v/>
      </c>
      <c r="AD55" s="235" t="str">
        <f t="shared" si="8"/>
        <v/>
      </c>
      <c r="AE55" s="234" t="str">
        <f t="shared" si="5"/>
        <v/>
      </c>
      <c r="AF55" s="235" t="str">
        <f>IFERROR(IF(AND(U54="Impacto",U55="Impacto"),(AF54-(+AF54*X55)),IF(AND(U54="Probabilidad",U55="Impacto"),(AF53-(+AF53*X55)),IF(U55="Probabilidad",AF54,""))),"")</f>
        <v/>
      </c>
      <c r="AG55" s="236" t="str">
        <f t="shared" si="9"/>
        <v/>
      </c>
      <c r="AH55" s="237"/>
      <c r="AI55" s="238"/>
      <c r="AJ55" s="239"/>
      <c r="AK55" s="240"/>
      <c r="AL55" s="240"/>
      <c r="AM55" s="238"/>
      <c r="AN55" s="361"/>
      <c r="AO55" s="363"/>
      <c r="AP55" s="363"/>
      <c r="AQ55" s="363"/>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row>
    <row r="56" spans="1:72" ht="151.5" customHeight="1" x14ac:dyDescent="0.3">
      <c r="A56" s="878"/>
      <c r="B56" s="896"/>
      <c r="C56" s="896"/>
      <c r="D56" s="881"/>
      <c r="E56" s="881"/>
      <c r="F56" s="881"/>
      <c r="G56" s="884"/>
      <c r="H56" s="881"/>
      <c r="I56" s="881"/>
      <c r="J56" s="337"/>
      <c r="K56" s="887"/>
      <c r="L56" s="890"/>
      <c r="M56" s="875"/>
      <c r="N56" s="893"/>
      <c r="O56" s="875">
        <f>IF(NOT(ISERROR(MATCH(N56,_xlfn.ANCHORARRAY(G67),0))),M69&amp;"Por favor no seleccionar los criterios de impacto",N56)</f>
        <v>0</v>
      </c>
      <c r="P56" s="890"/>
      <c r="Q56" s="875"/>
      <c r="R56" s="872"/>
      <c r="S56" s="228">
        <v>5</v>
      </c>
      <c r="T56" s="229"/>
      <c r="U56" s="230" t="str">
        <f t="shared" si="6"/>
        <v/>
      </c>
      <c r="V56" s="231"/>
      <c r="W56" s="231"/>
      <c r="X56" s="232" t="str">
        <f t="shared" si="7"/>
        <v/>
      </c>
      <c r="Y56" s="231"/>
      <c r="Z56" s="231"/>
      <c r="AA56" s="231"/>
      <c r="AB56" s="233" t="str">
        <f>IFERROR(IF(AND(U55="Probabilidad",U56="Probabilidad"),(AD55-(+AD55*X56)),IF(AND(U55="Impacto",U56="Probabilidad"),(AD54-(+AD54*X56)),IF(U56="Impacto",AD55,""))),"")</f>
        <v/>
      </c>
      <c r="AC56" s="234" t="str">
        <f t="shared" si="4"/>
        <v/>
      </c>
      <c r="AD56" s="235" t="str">
        <f t="shared" si="8"/>
        <v/>
      </c>
      <c r="AE56" s="234" t="str">
        <f t="shared" si="5"/>
        <v/>
      </c>
      <c r="AF56" s="235" t="str">
        <f>IFERROR(IF(AND(U55="Impacto",U56="Impacto"),(AF55-(+AF55*X56)),IF(AND(U55="Probabilidad",U56="Impacto"),(AF54-(+AF54*X56)),IF(U56="Probabilidad",AF55,""))),"")</f>
        <v/>
      </c>
      <c r="AG56" s="236" t="str">
        <f t="shared" si="9"/>
        <v/>
      </c>
      <c r="AH56" s="237"/>
      <c r="AI56" s="238"/>
      <c r="AJ56" s="239"/>
      <c r="AK56" s="240"/>
      <c r="AL56" s="240"/>
      <c r="AM56" s="238"/>
      <c r="AN56" s="361"/>
      <c r="AO56" s="363"/>
      <c r="AP56" s="363"/>
      <c r="AQ56" s="363"/>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row>
    <row r="57" spans="1:72" ht="151.5" customHeight="1" x14ac:dyDescent="0.3">
      <c r="A57" s="879"/>
      <c r="B57" s="897"/>
      <c r="C57" s="897"/>
      <c r="D57" s="882"/>
      <c r="E57" s="882"/>
      <c r="F57" s="882"/>
      <c r="G57" s="885"/>
      <c r="H57" s="882"/>
      <c r="I57" s="882"/>
      <c r="J57" s="338"/>
      <c r="K57" s="888"/>
      <c r="L57" s="891"/>
      <c r="M57" s="876"/>
      <c r="N57" s="894"/>
      <c r="O57" s="876">
        <f>IF(NOT(ISERROR(MATCH(N57,_xlfn.ANCHORARRAY(G68),0))),M70&amp;"Por favor no seleccionar los criterios de impacto",N57)</f>
        <v>0</v>
      </c>
      <c r="P57" s="891"/>
      <c r="Q57" s="876"/>
      <c r="R57" s="873"/>
      <c r="S57" s="228">
        <v>6</v>
      </c>
      <c r="T57" s="229"/>
      <c r="U57" s="230" t="str">
        <f t="shared" si="6"/>
        <v/>
      </c>
      <c r="V57" s="231"/>
      <c r="W57" s="231"/>
      <c r="X57" s="232" t="str">
        <f t="shared" si="7"/>
        <v/>
      </c>
      <c r="Y57" s="231"/>
      <c r="Z57" s="231"/>
      <c r="AA57" s="231"/>
      <c r="AB57" s="233" t="str">
        <f>IFERROR(IF(AND(U56="Probabilidad",U57="Probabilidad"),(AD56-(+AD56*X57)),IF(AND(U56="Impacto",U57="Probabilidad"),(AD55-(+AD55*X57)),IF(U57="Impacto",AD56,""))),"")</f>
        <v/>
      </c>
      <c r="AC57" s="234" t="str">
        <f t="shared" si="4"/>
        <v/>
      </c>
      <c r="AD57" s="235" t="str">
        <f t="shared" si="8"/>
        <v/>
      </c>
      <c r="AE57" s="234" t="str">
        <f t="shared" si="5"/>
        <v/>
      </c>
      <c r="AF57" s="235" t="str">
        <f>IFERROR(IF(AND(U56="Impacto",U57="Impacto"),(AF56-(+AF56*X57)),IF(AND(U56="Probabilidad",U57="Impacto"),(AF55-(+AF55*X57)),IF(U57="Probabilidad",AF56,""))),"")</f>
        <v/>
      </c>
      <c r="AG57" s="236" t="str">
        <f t="shared" si="9"/>
        <v/>
      </c>
      <c r="AH57" s="237"/>
      <c r="AI57" s="238"/>
      <c r="AJ57" s="239"/>
      <c r="AK57" s="240"/>
      <c r="AL57" s="240"/>
      <c r="AM57" s="238"/>
      <c r="AN57" s="361"/>
      <c r="AO57" s="363"/>
      <c r="AP57" s="363"/>
      <c r="AQ57" s="363"/>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row>
    <row r="58" spans="1:72" ht="151.5" customHeight="1" x14ac:dyDescent="0.3">
      <c r="A58" s="877">
        <v>9</v>
      </c>
      <c r="B58" s="895"/>
      <c r="C58" s="895"/>
      <c r="D58" s="880"/>
      <c r="E58" s="880"/>
      <c r="F58" s="880"/>
      <c r="G58" s="883"/>
      <c r="H58" s="880"/>
      <c r="I58" s="880"/>
      <c r="J58" s="336"/>
      <c r="K58" s="886"/>
      <c r="L58" s="889" t="str">
        <f>IF(K58&lt;=0,"",IF(K58&lt;=2,"Muy Baja",IF(K58&lt;=24,"Baja",IF(K58&lt;=500,"Media",IF(K58&lt;=5000,"Alta","Muy Alta")))))</f>
        <v/>
      </c>
      <c r="M58" s="874" t="str">
        <f>IF(L58="","",IF(L58="Muy Baja",0.2,IF(L58="Baja",0.4,IF(L58="Media",0.6,IF(L58="Alta",0.8,IF(L58="Muy Alta",1,))))))</f>
        <v/>
      </c>
      <c r="N58" s="892"/>
      <c r="O58" s="874">
        <f>IF(NOT(ISERROR(MATCH(N58,'Tabla Impacto'!$B$221:$B$223,0))),'Tabla Impacto'!$F$223&amp;"Por favor no seleccionar los criterios de impacto(Afectación Económica o presupuestal y Pérdida Reputacional)",N58)</f>
        <v>0</v>
      </c>
      <c r="P58" s="889" t="str">
        <f>IF(OR(O58='Tabla Impacto'!$C$11,O58='Tabla Impacto'!$D$11),"Leve",IF(OR(O58='Tabla Impacto'!$C$12,O58='Tabla Impacto'!$D$12),"Menor",IF(OR(O58='Tabla Impacto'!$C$13,O58='Tabla Impacto'!$D$13),"Moderado",IF(OR(O58='Tabla Impacto'!$C$14,O58='Tabla Impacto'!$D$14),"Mayor",IF(OR(O58='Tabla Impacto'!$C$15,O58='Tabla Impacto'!$D$15),"Catastrófico","")))))</f>
        <v/>
      </c>
      <c r="Q58" s="874" t="str">
        <f>IF(P58="","",IF(P58="Leve",0.2,IF(P58="Menor",0.4,IF(P58="Moderado",0.6,IF(P58="Mayor",0.8,IF(P58="Catastrófico",1,))))))</f>
        <v/>
      </c>
      <c r="R58" s="87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8">
        <v>1</v>
      </c>
      <c r="T58" s="229"/>
      <c r="U58" s="230" t="str">
        <f t="shared" si="6"/>
        <v/>
      </c>
      <c r="V58" s="231"/>
      <c r="W58" s="231"/>
      <c r="X58" s="232" t="str">
        <f t="shared" si="7"/>
        <v/>
      </c>
      <c r="Y58" s="231"/>
      <c r="Z58" s="231"/>
      <c r="AA58" s="231"/>
      <c r="AB58" s="233" t="str">
        <f>IFERROR(IF(U58="Probabilidad",(M58-(+M58*X58)),IF(U58="Impacto",M58,"")),"")</f>
        <v/>
      </c>
      <c r="AC58" s="234" t="str">
        <f>IFERROR(IF(AB58="","",IF(AB58&lt;=0.2,"Muy Baja",IF(AB58&lt;=0.4,"Baja",IF(AB58&lt;=0.6,"Media",IF(AB58&lt;=0.8,"Alta","Muy Alta"))))),"")</f>
        <v/>
      </c>
      <c r="AD58" s="235" t="str">
        <f t="shared" si="8"/>
        <v/>
      </c>
      <c r="AE58" s="234" t="str">
        <f>IFERROR(IF(AF58="","",IF(AF58&lt;=0.2,"Leve",IF(AF58&lt;=0.4,"Menor",IF(AF58&lt;=0.6,"Moderado",IF(AF58&lt;=0.8,"Mayor","Catastrófico"))))),"")</f>
        <v/>
      </c>
      <c r="AF58" s="235" t="str">
        <f>IFERROR(IF(U58="Impacto",(Q58-(+Q58*X58)),IF(U58="Probabilidad",Q58,"")),"")</f>
        <v/>
      </c>
      <c r="AG58" s="236" t="str">
        <f t="shared" si="9"/>
        <v/>
      </c>
      <c r="AH58" s="237"/>
      <c r="AI58" s="238"/>
      <c r="AJ58" s="239"/>
      <c r="AK58" s="240"/>
      <c r="AL58" s="240"/>
      <c r="AM58" s="238"/>
      <c r="AN58" s="361"/>
      <c r="AO58" s="363"/>
      <c r="AP58" s="363"/>
      <c r="AQ58" s="363"/>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row>
    <row r="59" spans="1:72" ht="151.5" customHeight="1" x14ac:dyDescent="0.3">
      <c r="A59" s="878"/>
      <c r="B59" s="896"/>
      <c r="C59" s="896"/>
      <c r="D59" s="881"/>
      <c r="E59" s="881"/>
      <c r="F59" s="881"/>
      <c r="G59" s="884"/>
      <c r="H59" s="881"/>
      <c r="I59" s="881"/>
      <c r="J59" s="337"/>
      <c r="K59" s="887"/>
      <c r="L59" s="890"/>
      <c r="M59" s="875"/>
      <c r="N59" s="893"/>
      <c r="O59" s="875">
        <f>IF(NOT(ISERROR(MATCH(N59,_xlfn.ANCHORARRAY(G70),0))),M72&amp;"Por favor no seleccionar los criterios de impacto",N59)</f>
        <v>0</v>
      </c>
      <c r="P59" s="890"/>
      <c r="Q59" s="875"/>
      <c r="R59" s="872"/>
      <c r="S59" s="228">
        <v>2</v>
      </c>
      <c r="T59" s="229"/>
      <c r="U59" s="230" t="str">
        <f t="shared" si="6"/>
        <v/>
      </c>
      <c r="V59" s="231"/>
      <c r="W59" s="231"/>
      <c r="X59" s="232" t="str">
        <f t="shared" si="7"/>
        <v/>
      </c>
      <c r="Y59" s="231"/>
      <c r="Z59" s="231"/>
      <c r="AA59" s="231"/>
      <c r="AB59" s="233" t="str">
        <f>IFERROR(IF(AND(U58="Probabilidad",U59="Probabilidad"),(AD58-(+AD58*X59)),IF(U59="Probabilidad",(M58-(+M58*X59)),IF(U59="Impacto",AD58,""))),"")</f>
        <v/>
      </c>
      <c r="AC59" s="234" t="str">
        <f t="shared" si="4"/>
        <v/>
      </c>
      <c r="AD59" s="235" t="str">
        <f t="shared" si="8"/>
        <v/>
      </c>
      <c r="AE59" s="234" t="str">
        <f t="shared" si="5"/>
        <v/>
      </c>
      <c r="AF59" s="235" t="str">
        <f>IFERROR(IF(AND(U58="Impacto",U59="Impacto"),(AF58-(+AF58*X59)),IF(U59="Impacto",(Q58-(+Q58*X59)),IF(U59="Probabilidad",AF58,""))),"")</f>
        <v/>
      </c>
      <c r="AG59" s="236" t="str">
        <f t="shared" si="9"/>
        <v/>
      </c>
      <c r="AH59" s="237"/>
      <c r="AI59" s="238"/>
      <c r="AJ59" s="239"/>
      <c r="AK59" s="240"/>
      <c r="AL59" s="240"/>
      <c r="AM59" s="238"/>
      <c r="AN59" s="361"/>
      <c r="AO59" s="363"/>
      <c r="AP59" s="363"/>
      <c r="AQ59" s="363"/>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row>
    <row r="60" spans="1:72" ht="151.5" customHeight="1" x14ac:dyDescent="0.3">
      <c r="A60" s="878"/>
      <c r="B60" s="896"/>
      <c r="C60" s="896"/>
      <c r="D60" s="881"/>
      <c r="E60" s="881"/>
      <c r="F60" s="881"/>
      <c r="G60" s="884"/>
      <c r="H60" s="881"/>
      <c r="I60" s="881"/>
      <c r="J60" s="337"/>
      <c r="K60" s="887"/>
      <c r="L60" s="890"/>
      <c r="M60" s="875"/>
      <c r="N60" s="893"/>
      <c r="O60" s="875">
        <f>IF(NOT(ISERROR(MATCH(N60,_xlfn.ANCHORARRAY(G71),0))),M73&amp;"Por favor no seleccionar los criterios de impacto",N60)</f>
        <v>0</v>
      </c>
      <c r="P60" s="890"/>
      <c r="Q60" s="875"/>
      <c r="R60" s="872"/>
      <c r="S60" s="228">
        <v>3</v>
      </c>
      <c r="T60" s="243"/>
      <c r="U60" s="230" t="str">
        <f t="shared" si="6"/>
        <v/>
      </c>
      <c r="V60" s="231"/>
      <c r="W60" s="231"/>
      <c r="X60" s="232" t="str">
        <f t="shared" si="7"/>
        <v/>
      </c>
      <c r="Y60" s="231"/>
      <c r="Z60" s="231"/>
      <c r="AA60" s="231"/>
      <c r="AB60" s="233" t="str">
        <f>IFERROR(IF(AND(U59="Probabilidad",U60="Probabilidad"),(AD59-(+AD59*X60)),IF(AND(U59="Impacto",U60="Probabilidad"),(AD58-(+AD58*X60)),IF(U60="Impacto",AD59,""))),"")</f>
        <v/>
      </c>
      <c r="AC60" s="234" t="str">
        <f t="shared" si="4"/>
        <v/>
      </c>
      <c r="AD60" s="235" t="str">
        <f t="shared" si="8"/>
        <v/>
      </c>
      <c r="AE60" s="234" t="str">
        <f t="shared" si="5"/>
        <v/>
      </c>
      <c r="AF60" s="235" t="str">
        <f>IFERROR(IF(AND(U59="Impacto",U60="Impacto"),(AF59-(+AF59*X60)),IF(AND(U59="Probabilidad",U60="Impacto"),(AF58-(+AF58*X60)),IF(U60="Probabilidad",AF59,""))),"")</f>
        <v/>
      </c>
      <c r="AG60" s="236" t="str">
        <f t="shared" si="9"/>
        <v/>
      </c>
      <c r="AH60" s="237"/>
      <c r="AI60" s="238"/>
      <c r="AJ60" s="239"/>
      <c r="AK60" s="240"/>
      <c r="AL60" s="240"/>
      <c r="AM60" s="238"/>
      <c r="AN60" s="361"/>
      <c r="AO60" s="363"/>
      <c r="AP60" s="363"/>
      <c r="AQ60" s="36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row>
    <row r="61" spans="1:72" ht="151.5" customHeight="1" x14ac:dyDescent="0.3">
      <c r="A61" s="878"/>
      <c r="B61" s="896"/>
      <c r="C61" s="896"/>
      <c r="D61" s="881"/>
      <c r="E61" s="881"/>
      <c r="F61" s="881"/>
      <c r="G61" s="884"/>
      <c r="H61" s="881"/>
      <c r="I61" s="881"/>
      <c r="J61" s="337"/>
      <c r="K61" s="887"/>
      <c r="L61" s="890"/>
      <c r="M61" s="875"/>
      <c r="N61" s="893"/>
      <c r="O61" s="875">
        <f>IF(NOT(ISERROR(MATCH(N61,_xlfn.ANCHORARRAY(G72),0))),M74&amp;"Por favor no seleccionar los criterios de impacto",N61)</f>
        <v>0</v>
      </c>
      <c r="P61" s="890"/>
      <c r="Q61" s="875"/>
      <c r="R61" s="872"/>
      <c r="S61" s="228">
        <v>4</v>
      </c>
      <c r="T61" s="229"/>
      <c r="U61" s="230" t="str">
        <f t="shared" si="6"/>
        <v/>
      </c>
      <c r="V61" s="231"/>
      <c r="W61" s="231"/>
      <c r="X61" s="232" t="str">
        <f t="shared" si="7"/>
        <v/>
      </c>
      <c r="Y61" s="231"/>
      <c r="Z61" s="231"/>
      <c r="AA61" s="231"/>
      <c r="AB61" s="233" t="str">
        <f>IFERROR(IF(AND(U60="Probabilidad",U61="Probabilidad"),(AD60-(+AD60*X61)),IF(AND(U60="Impacto",U61="Probabilidad"),(AD59-(+AD59*X61)),IF(U61="Impacto",AD60,""))),"")</f>
        <v/>
      </c>
      <c r="AC61" s="234" t="str">
        <f t="shared" si="4"/>
        <v/>
      </c>
      <c r="AD61" s="235" t="str">
        <f t="shared" si="8"/>
        <v/>
      </c>
      <c r="AE61" s="234" t="str">
        <f t="shared" si="5"/>
        <v/>
      </c>
      <c r="AF61" s="235" t="str">
        <f>IFERROR(IF(AND(U60="Impacto",U61="Impacto"),(AF60-(+AF60*X61)),IF(AND(U60="Probabilidad",U61="Impacto"),(AF59-(+AF59*X61)),IF(U61="Probabilidad",AF60,""))),"")</f>
        <v/>
      </c>
      <c r="AG61" s="236" t="str">
        <f t="shared" si="9"/>
        <v/>
      </c>
      <c r="AH61" s="237"/>
      <c r="AI61" s="238"/>
      <c r="AJ61" s="239"/>
      <c r="AK61" s="240"/>
      <c r="AL61" s="240"/>
      <c r="AM61" s="238"/>
      <c r="AN61" s="361"/>
      <c r="AO61" s="363"/>
      <c r="AP61" s="363"/>
      <c r="AQ61" s="363"/>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row>
    <row r="62" spans="1:72" ht="151.5" customHeight="1" x14ac:dyDescent="0.3">
      <c r="A62" s="878"/>
      <c r="B62" s="896"/>
      <c r="C62" s="896"/>
      <c r="D62" s="881"/>
      <c r="E62" s="881"/>
      <c r="F62" s="881"/>
      <c r="G62" s="884"/>
      <c r="H62" s="881"/>
      <c r="I62" s="881"/>
      <c r="J62" s="337"/>
      <c r="K62" s="887"/>
      <c r="L62" s="890"/>
      <c r="M62" s="875"/>
      <c r="N62" s="893"/>
      <c r="O62" s="875">
        <f>IF(NOT(ISERROR(MATCH(N62,_xlfn.ANCHORARRAY(G73),0))),M75&amp;"Por favor no seleccionar los criterios de impacto",N62)</f>
        <v>0</v>
      </c>
      <c r="P62" s="890"/>
      <c r="Q62" s="875"/>
      <c r="R62" s="872"/>
      <c r="S62" s="228">
        <v>5</v>
      </c>
      <c r="T62" s="229"/>
      <c r="U62" s="230" t="str">
        <f t="shared" si="6"/>
        <v/>
      </c>
      <c r="V62" s="231"/>
      <c r="W62" s="231"/>
      <c r="X62" s="232" t="str">
        <f t="shared" si="7"/>
        <v/>
      </c>
      <c r="Y62" s="231"/>
      <c r="Z62" s="231"/>
      <c r="AA62" s="231"/>
      <c r="AB62" s="233" t="str">
        <f>IFERROR(IF(AND(U61="Probabilidad",U62="Probabilidad"),(AD61-(+AD61*X62)),IF(AND(U61="Impacto",U62="Probabilidad"),(AD60-(+AD60*X62)),IF(U62="Impacto",AD61,""))),"")</f>
        <v/>
      </c>
      <c r="AC62" s="234" t="str">
        <f t="shared" si="4"/>
        <v/>
      </c>
      <c r="AD62" s="235" t="str">
        <f t="shared" si="8"/>
        <v/>
      </c>
      <c r="AE62" s="234" t="str">
        <f t="shared" si="5"/>
        <v/>
      </c>
      <c r="AF62" s="235" t="str">
        <f>IFERROR(IF(AND(U61="Impacto",U62="Impacto"),(AF61-(+AF61*X62)),IF(AND(U61="Probabilidad",U62="Impacto"),(AF60-(+AF60*X62)),IF(U62="Probabilidad",AF61,""))),"")</f>
        <v/>
      </c>
      <c r="AG62" s="236" t="str">
        <f t="shared" si="9"/>
        <v/>
      </c>
      <c r="AH62" s="237"/>
      <c r="AI62" s="238"/>
      <c r="AJ62" s="239"/>
      <c r="AK62" s="240"/>
      <c r="AL62" s="240"/>
      <c r="AM62" s="238"/>
      <c r="AN62" s="361"/>
      <c r="AO62" s="363"/>
      <c r="AP62" s="363"/>
      <c r="AQ62" s="363"/>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row>
    <row r="63" spans="1:72" ht="151.5" customHeight="1" x14ac:dyDescent="0.3">
      <c r="A63" s="879"/>
      <c r="B63" s="897"/>
      <c r="C63" s="897"/>
      <c r="D63" s="882"/>
      <c r="E63" s="882"/>
      <c r="F63" s="882"/>
      <c r="G63" s="885"/>
      <c r="H63" s="882"/>
      <c r="I63" s="882"/>
      <c r="J63" s="338"/>
      <c r="K63" s="888"/>
      <c r="L63" s="891"/>
      <c r="M63" s="876"/>
      <c r="N63" s="894"/>
      <c r="O63" s="876">
        <f>IF(NOT(ISERROR(MATCH(N63,_xlfn.ANCHORARRAY(G74),0))),M76&amp;"Por favor no seleccionar los criterios de impacto",N63)</f>
        <v>0</v>
      </c>
      <c r="P63" s="891"/>
      <c r="Q63" s="876"/>
      <c r="R63" s="873"/>
      <c r="S63" s="228">
        <v>6</v>
      </c>
      <c r="T63" s="229"/>
      <c r="U63" s="230" t="str">
        <f t="shared" si="6"/>
        <v/>
      </c>
      <c r="V63" s="231"/>
      <c r="W63" s="231"/>
      <c r="X63" s="232" t="str">
        <f t="shared" si="7"/>
        <v/>
      </c>
      <c r="Y63" s="231"/>
      <c r="Z63" s="231"/>
      <c r="AA63" s="231"/>
      <c r="AB63" s="233" t="str">
        <f>IFERROR(IF(AND(U62="Probabilidad",U63="Probabilidad"),(AD62-(+AD62*X63)),IF(AND(U62="Impacto",U63="Probabilidad"),(AD61-(+AD61*X63)),IF(U63="Impacto",AD62,""))),"")</f>
        <v/>
      </c>
      <c r="AC63" s="234" t="str">
        <f t="shared" si="4"/>
        <v/>
      </c>
      <c r="AD63" s="235" t="str">
        <f t="shared" si="8"/>
        <v/>
      </c>
      <c r="AE63" s="234" t="str">
        <f t="shared" si="5"/>
        <v/>
      </c>
      <c r="AF63" s="235" t="str">
        <f>IFERROR(IF(AND(U62="Impacto",U63="Impacto"),(AF62-(+AF62*X63)),IF(AND(U62="Probabilidad",U63="Impacto"),(AF61-(+AF61*X63)),IF(U63="Probabilidad",AF62,""))),"")</f>
        <v/>
      </c>
      <c r="AG63" s="236" t="str">
        <f t="shared" si="9"/>
        <v/>
      </c>
      <c r="AH63" s="237"/>
      <c r="AI63" s="238"/>
      <c r="AJ63" s="239"/>
      <c r="AK63" s="240"/>
      <c r="AL63" s="240"/>
      <c r="AM63" s="238"/>
      <c r="AN63" s="361"/>
      <c r="AO63" s="363"/>
      <c r="AP63" s="363"/>
      <c r="AQ63" s="363"/>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row>
    <row r="64" spans="1:72" ht="151.5" customHeight="1" x14ac:dyDescent="0.3">
      <c r="A64" s="877">
        <v>10</v>
      </c>
      <c r="B64" s="895"/>
      <c r="C64" s="895"/>
      <c r="D64" s="880"/>
      <c r="E64" s="880"/>
      <c r="F64" s="880"/>
      <c r="G64" s="883"/>
      <c r="H64" s="880"/>
      <c r="I64" s="880"/>
      <c r="J64" s="336"/>
      <c r="K64" s="886"/>
      <c r="L64" s="889" t="str">
        <f>IF(K64&lt;=0,"",IF(K64&lt;=2,"Muy Baja",IF(K64&lt;=24,"Baja",IF(K64&lt;=500,"Media",IF(K64&lt;=5000,"Alta","Muy Alta")))))</f>
        <v/>
      </c>
      <c r="M64" s="874" t="str">
        <f>IF(L64="","",IF(L64="Muy Baja",0.2,IF(L64="Baja",0.4,IF(L64="Media",0.6,IF(L64="Alta",0.8,IF(L64="Muy Alta",1,))))))</f>
        <v/>
      </c>
      <c r="N64" s="892"/>
      <c r="O64" s="874">
        <f>IF(NOT(ISERROR(MATCH(N64,'Tabla Impacto'!$B$221:$B$223,0))),'Tabla Impacto'!$F$223&amp;"Por favor no seleccionar los criterios de impacto(Afectación Económica o presupuestal y Pérdida Reputacional)",N64)</f>
        <v>0</v>
      </c>
      <c r="P64" s="889" t="str">
        <f>IF(OR(O64='Tabla Impacto'!$C$11,O64='Tabla Impacto'!$D$11),"Leve",IF(OR(O64='Tabla Impacto'!$C$12,O64='Tabla Impacto'!$D$12),"Menor",IF(OR(O64='Tabla Impacto'!$C$13,O64='Tabla Impacto'!$D$13),"Moderado",IF(OR(O64='Tabla Impacto'!$C$14,O64='Tabla Impacto'!$D$14),"Mayor",IF(OR(O64='Tabla Impacto'!$C$15,O64='Tabla Impacto'!$D$15),"Catastrófico","")))))</f>
        <v/>
      </c>
      <c r="Q64" s="874" t="str">
        <f>IF(P64="","",IF(P64="Leve",0.2,IF(P64="Menor",0.4,IF(P64="Moderado",0.6,IF(P64="Mayor",0.8,IF(P64="Catastrófico",1,))))))</f>
        <v/>
      </c>
      <c r="R64" s="87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8">
        <v>1</v>
      </c>
      <c r="T64" s="229"/>
      <c r="U64" s="230" t="str">
        <f t="shared" si="6"/>
        <v/>
      </c>
      <c r="V64" s="231"/>
      <c r="W64" s="231"/>
      <c r="X64" s="232" t="str">
        <f t="shared" si="7"/>
        <v/>
      </c>
      <c r="Y64" s="231"/>
      <c r="Z64" s="231"/>
      <c r="AA64" s="231"/>
      <c r="AB64" s="233" t="str">
        <f>IFERROR(IF(U64="Probabilidad",(M64-(+M64*X64)),IF(U64="Impacto",M64,"")),"")</f>
        <v/>
      </c>
      <c r="AC64" s="234" t="str">
        <f>IFERROR(IF(AB64="","",IF(AB64&lt;=0.2,"Muy Baja",IF(AB64&lt;=0.4,"Baja",IF(AB64&lt;=0.6,"Media",IF(AB64&lt;=0.8,"Alta","Muy Alta"))))),"")</f>
        <v/>
      </c>
      <c r="AD64" s="235" t="str">
        <f t="shared" si="8"/>
        <v/>
      </c>
      <c r="AE64" s="234" t="str">
        <f>IFERROR(IF(AF64="","",IF(AF64&lt;=0.2,"Leve",IF(AF64&lt;=0.4,"Menor",IF(AF64&lt;=0.6,"Moderado",IF(AF64&lt;=0.8,"Mayor","Catastrófico"))))),"")</f>
        <v/>
      </c>
      <c r="AF64" s="235" t="str">
        <f>IFERROR(IF(U64="Impacto",(Q64-(+Q64*X64)),IF(U64="Probabilidad",Q64,"")),"")</f>
        <v/>
      </c>
      <c r="AG64" s="236" t="str">
        <f t="shared" si="9"/>
        <v/>
      </c>
      <c r="AH64" s="237"/>
      <c r="AI64" s="238"/>
      <c r="AJ64" s="239"/>
      <c r="AK64" s="240"/>
      <c r="AL64" s="240"/>
      <c r="AM64" s="238"/>
      <c r="AN64" s="361"/>
      <c r="AO64" s="363"/>
      <c r="AP64" s="363"/>
      <c r="AQ64" s="363"/>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row>
    <row r="65" spans="1:43" ht="151.5" customHeight="1" x14ac:dyDescent="0.3">
      <c r="A65" s="878"/>
      <c r="B65" s="896"/>
      <c r="C65" s="896"/>
      <c r="D65" s="881"/>
      <c r="E65" s="881"/>
      <c r="F65" s="881"/>
      <c r="G65" s="884"/>
      <c r="H65" s="881"/>
      <c r="I65" s="881"/>
      <c r="J65" s="337"/>
      <c r="K65" s="887"/>
      <c r="L65" s="890"/>
      <c r="M65" s="875"/>
      <c r="N65" s="893"/>
      <c r="O65" s="875">
        <f>IF(NOT(ISERROR(MATCH(N65,_xlfn.ANCHORARRAY(G76),0))),M78&amp;"Por favor no seleccionar los criterios de impacto",N65)</f>
        <v>0</v>
      </c>
      <c r="P65" s="890"/>
      <c r="Q65" s="875"/>
      <c r="R65" s="872"/>
      <c r="S65" s="228">
        <v>2</v>
      </c>
      <c r="T65" s="229"/>
      <c r="U65" s="230" t="str">
        <f t="shared" si="6"/>
        <v/>
      </c>
      <c r="V65" s="231"/>
      <c r="W65" s="231"/>
      <c r="X65" s="232" t="str">
        <f t="shared" si="7"/>
        <v/>
      </c>
      <c r="Y65" s="231"/>
      <c r="Z65" s="231"/>
      <c r="AA65" s="231"/>
      <c r="AB65" s="233" t="str">
        <f>IFERROR(IF(AND(U64="Probabilidad",U65="Probabilidad"),(AD64-(+AD64*X65)),IF(U65="Probabilidad",(M64-(+M64*X65)),IF(U65="Impacto",AD64,""))),"")</f>
        <v/>
      </c>
      <c r="AC65" s="234" t="str">
        <f t="shared" si="4"/>
        <v/>
      </c>
      <c r="AD65" s="235" t="str">
        <f t="shared" si="8"/>
        <v/>
      </c>
      <c r="AE65" s="234" t="str">
        <f t="shared" si="5"/>
        <v/>
      </c>
      <c r="AF65" s="235" t="str">
        <f>IFERROR(IF(AND(U64="Impacto",U65="Impacto"),(AF64-(+AF64*X65)),IF(U65="Impacto",(Q64-(+Q64*X65)),IF(U65="Probabilidad",AF64,""))),"")</f>
        <v/>
      </c>
      <c r="AG65" s="236" t="str">
        <f t="shared" si="9"/>
        <v/>
      </c>
      <c r="AH65" s="237"/>
      <c r="AI65" s="238"/>
      <c r="AJ65" s="239"/>
      <c r="AK65" s="240"/>
      <c r="AL65" s="240"/>
      <c r="AM65" s="238"/>
      <c r="AN65" s="361"/>
      <c r="AO65" s="364"/>
      <c r="AP65" s="364"/>
      <c r="AQ65" s="364"/>
    </row>
    <row r="66" spans="1:43" ht="151.5" customHeight="1" x14ac:dyDescent="0.3">
      <c r="A66" s="878"/>
      <c r="B66" s="896"/>
      <c r="C66" s="896"/>
      <c r="D66" s="881"/>
      <c r="E66" s="881"/>
      <c r="F66" s="881"/>
      <c r="G66" s="884"/>
      <c r="H66" s="881"/>
      <c r="I66" s="881"/>
      <c r="J66" s="337"/>
      <c r="K66" s="887"/>
      <c r="L66" s="890"/>
      <c r="M66" s="875"/>
      <c r="N66" s="893"/>
      <c r="O66" s="875">
        <f>IF(NOT(ISERROR(MATCH(N66,_xlfn.ANCHORARRAY(G77),0))),M79&amp;"Por favor no seleccionar los criterios de impacto",N66)</f>
        <v>0</v>
      </c>
      <c r="P66" s="890"/>
      <c r="Q66" s="875"/>
      <c r="R66" s="872"/>
      <c r="S66" s="228">
        <v>3</v>
      </c>
      <c r="T66" s="243"/>
      <c r="U66" s="230" t="str">
        <f t="shared" si="6"/>
        <v/>
      </c>
      <c r="V66" s="231"/>
      <c r="W66" s="231"/>
      <c r="X66" s="232" t="str">
        <f t="shared" si="7"/>
        <v/>
      </c>
      <c r="Y66" s="231"/>
      <c r="Z66" s="231"/>
      <c r="AA66" s="231"/>
      <c r="AB66" s="233" t="str">
        <f>IFERROR(IF(AND(U65="Probabilidad",U66="Probabilidad"),(AD65-(+AD65*X66)),IF(AND(U65="Impacto",U66="Probabilidad"),(AD64-(+AD64*X66)),IF(U66="Impacto",AD65,""))),"")</f>
        <v/>
      </c>
      <c r="AC66" s="234" t="str">
        <f t="shared" si="4"/>
        <v/>
      </c>
      <c r="AD66" s="235" t="str">
        <f t="shared" si="8"/>
        <v/>
      </c>
      <c r="AE66" s="234" t="str">
        <f t="shared" si="5"/>
        <v/>
      </c>
      <c r="AF66" s="235" t="str">
        <f>IFERROR(IF(AND(U65="Impacto",U66="Impacto"),(AF65-(+AF65*X66)),IF(AND(U65="Probabilidad",U66="Impacto"),(AF64-(+AF64*X66)),IF(U66="Probabilidad",AF65,""))),"")</f>
        <v/>
      </c>
      <c r="AG66" s="236" t="str">
        <f t="shared" si="9"/>
        <v/>
      </c>
      <c r="AH66" s="237"/>
      <c r="AI66" s="238"/>
      <c r="AJ66" s="239"/>
      <c r="AK66" s="240"/>
      <c r="AL66" s="240"/>
      <c r="AM66" s="238"/>
      <c r="AN66" s="361"/>
      <c r="AO66" s="364"/>
      <c r="AP66" s="364"/>
      <c r="AQ66" s="364"/>
    </row>
    <row r="67" spans="1:43" ht="151.5" customHeight="1" x14ac:dyDescent="0.3">
      <c r="A67" s="878"/>
      <c r="B67" s="896"/>
      <c r="C67" s="896"/>
      <c r="D67" s="881"/>
      <c r="E67" s="881"/>
      <c r="F67" s="881"/>
      <c r="G67" s="884"/>
      <c r="H67" s="881"/>
      <c r="I67" s="881"/>
      <c r="J67" s="337"/>
      <c r="K67" s="887"/>
      <c r="L67" s="890"/>
      <c r="M67" s="875"/>
      <c r="N67" s="893"/>
      <c r="O67" s="875">
        <f>IF(NOT(ISERROR(MATCH(N67,_xlfn.ANCHORARRAY(G78),0))),M80&amp;"Por favor no seleccionar los criterios de impacto",N67)</f>
        <v>0</v>
      </c>
      <c r="P67" s="890"/>
      <c r="Q67" s="875"/>
      <c r="R67" s="872"/>
      <c r="S67" s="228">
        <v>4</v>
      </c>
      <c r="T67" s="229"/>
      <c r="U67" s="230" t="str">
        <f t="shared" si="6"/>
        <v/>
      </c>
      <c r="V67" s="231"/>
      <c r="W67" s="231"/>
      <c r="X67" s="232" t="str">
        <f t="shared" si="7"/>
        <v/>
      </c>
      <c r="Y67" s="231"/>
      <c r="Z67" s="231"/>
      <c r="AA67" s="231"/>
      <c r="AB67" s="233" t="str">
        <f>IFERROR(IF(AND(U66="Probabilidad",U67="Probabilidad"),(AD66-(+AD66*X67)),IF(AND(U66="Impacto",U67="Probabilidad"),(AD65-(+AD65*X67)),IF(U67="Impacto",AD66,""))),"")</f>
        <v/>
      </c>
      <c r="AC67" s="234" t="str">
        <f t="shared" si="4"/>
        <v/>
      </c>
      <c r="AD67" s="235" t="str">
        <f t="shared" si="8"/>
        <v/>
      </c>
      <c r="AE67" s="234" t="str">
        <f t="shared" si="5"/>
        <v/>
      </c>
      <c r="AF67" s="235" t="str">
        <f>IFERROR(IF(AND(U66="Impacto",U67="Impacto"),(AF66-(+AF66*X67)),IF(AND(U66="Probabilidad",U67="Impacto"),(AF65-(+AF65*X67)),IF(U67="Probabilidad",AF66,""))),"")</f>
        <v/>
      </c>
      <c r="AG67" s="236" t="str">
        <f t="shared" si="9"/>
        <v/>
      </c>
      <c r="AH67" s="237"/>
      <c r="AI67" s="238"/>
      <c r="AJ67" s="239"/>
      <c r="AK67" s="240"/>
      <c r="AL67" s="240"/>
      <c r="AM67" s="238"/>
      <c r="AN67" s="361"/>
      <c r="AO67" s="364"/>
      <c r="AP67" s="364"/>
      <c r="AQ67" s="364"/>
    </row>
    <row r="68" spans="1:43" ht="151.5" customHeight="1" x14ac:dyDescent="0.3">
      <c r="A68" s="878"/>
      <c r="B68" s="896"/>
      <c r="C68" s="896"/>
      <c r="D68" s="881"/>
      <c r="E68" s="881"/>
      <c r="F68" s="881"/>
      <c r="G68" s="884"/>
      <c r="H68" s="881"/>
      <c r="I68" s="881"/>
      <c r="J68" s="337"/>
      <c r="K68" s="887"/>
      <c r="L68" s="890"/>
      <c r="M68" s="875"/>
      <c r="N68" s="893"/>
      <c r="O68" s="875">
        <f>IF(NOT(ISERROR(MATCH(N68,_xlfn.ANCHORARRAY(G79),0))),M81&amp;"Por favor no seleccionar los criterios de impacto",N68)</f>
        <v>0</v>
      </c>
      <c r="P68" s="890"/>
      <c r="Q68" s="875"/>
      <c r="R68" s="872"/>
      <c r="S68" s="228">
        <v>5</v>
      </c>
      <c r="T68" s="229"/>
      <c r="U68" s="230" t="str">
        <f t="shared" si="6"/>
        <v/>
      </c>
      <c r="V68" s="231"/>
      <c r="W68" s="231"/>
      <c r="X68" s="232" t="str">
        <f t="shared" si="7"/>
        <v/>
      </c>
      <c r="Y68" s="231"/>
      <c r="Z68" s="231"/>
      <c r="AA68" s="231"/>
      <c r="AB68" s="233" t="str">
        <f>IFERROR(IF(AND(U67="Probabilidad",U68="Probabilidad"),(AD67-(+AD67*X68)),IF(AND(U67="Impacto",U68="Probabilidad"),(AD66-(+AD66*X68)),IF(U68="Impacto",AD67,""))),"")</f>
        <v/>
      </c>
      <c r="AC68" s="234" t="str">
        <f t="shared" si="4"/>
        <v/>
      </c>
      <c r="AD68" s="235" t="str">
        <f t="shared" si="8"/>
        <v/>
      </c>
      <c r="AE68" s="234" t="str">
        <f t="shared" si="5"/>
        <v/>
      </c>
      <c r="AF68" s="235" t="str">
        <f>IFERROR(IF(AND(U67="Impacto",U68="Impacto"),(AF67-(+AF67*X68)),IF(AND(U67="Probabilidad",U68="Impacto"),(AF66-(+AF66*X68)),IF(U68="Probabilidad",AF67,""))),"")</f>
        <v/>
      </c>
      <c r="AG68" s="236" t="str">
        <f t="shared" si="9"/>
        <v/>
      </c>
      <c r="AH68" s="237"/>
      <c r="AI68" s="238"/>
      <c r="AJ68" s="239"/>
      <c r="AK68" s="240"/>
      <c r="AL68" s="240"/>
      <c r="AM68" s="238"/>
      <c r="AN68" s="361"/>
      <c r="AO68" s="364"/>
      <c r="AP68" s="364"/>
      <c r="AQ68" s="364"/>
    </row>
    <row r="69" spans="1:43" ht="151.5" customHeight="1" x14ac:dyDescent="0.3">
      <c r="A69" s="879"/>
      <c r="B69" s="897"/>
      <c r="C69" s="897"/>
      <c r="D69" s="882"/>
      <c r="E69" s="882"/>
      <c r="F69" s="882"/>
      <c r="G69" s="885"/>
      <c r="H69" s="882"/>
      <c r="I69" s="882"/>
      <c r="J69" s="338"/>
      <c r="K69" s="888"/>
      <c r="L69" s="891"/>
      <c r="M69" s="876"/>
      <c r="N69" s="894"/>
      <c r="O69" s="876">
        <f>IF(NOT(ISERROR(MATCH(N69,_xlfn.ANCHORARRAY(G80),0))),M82&amp;"Por favor no seleccionar los criterios de impacto",N69)</f>
        <v>0</v>
      </c>
      <c r="P69" s="891"/>
      <c r="Q69" s="876"/>
      <c r="R69" s="873"/>
      <c r="S69" s="228">
        <v>6</v>
      </c>
      <c r="T69" s="229"/>
      <c r="U69" s="230" t="str">
        <f t="shared" si="6"/>
        <v/>
      </c>
      <c r="V69" s="231"/>
      <c r="W69" s="231"/>
      <c r="X69" s="232" t="str">
        <f t="shared" si="7"/>
        <v/>
      </c>
      <c r="Y69" s="231"/>
      <c r="Z69" s="231"/>
      <c r="AA69" s="231"/>
      <c r="AB69" s="233" t="str">
        <f>IFERROR(IF(AND(U68="Probabilidad",U69="Probabilidad"),(AD68-(+AD68*X69)),IF(AND(U68="Impacto",U69="Probabilidad"),(AD67-(+AD67*X69)),IF(U69="Impacto",AD68,""))),"")</f>
        <v/>
      </c>
      <c r="AC69" s="234" t="str">
        <f t="shared" si="4"/>
        <v/>
      </c>
      <c r="AD69" s="235" t="str">
        <f t="shared" si="8"/>
        <v/>
      </c>
      <c r="AE69" s="234" t="str">
        <f t="shared" si="5"/>
        <v/>
      </c>
      <c r="AF69" s="235" t="str">
        <f>IFERROR(IF(AND(U68="Impacto",U69="Impacto"),(AF68-(+AF68*X69)),IF(AND(U68="Probabilidad",U69="Impacto"),(AF67-(+AF67*X69)),IF(U69="Probabilidad",AF68,""))),"")</f>
        <v/>
      </c>
      <c r="AG69" s="236" t="str">
        <f t="shared" si="9"/>
        <v/>
      </c>
      <c r="AH69" s="237"/>
      <c r="AI69" s="238"/>
      <c r="AJ69" s="239"/>
      <c r="AK69" s="240"/>
      <c r="AL69" s="240"/>
      <c r="AM69" s="238"/>
      <c r="AN69" s="361"/>
      <c r="AO69" s="364"/>
      <c r="AP69" s="364"/>
      <c r="AQ69" s="364"/>
    </row>
    <row r="70" spans="1:43" ht="49.5" customHeight="1" x14ac:dyDescent="0.3">
      <c r="A70" s="245"/>
      <c r="B70" s="342"/>
      <c r="C70" s="342"/>
      <c r="D70" s="509" t="s">
        <v>1051</v>
      </c>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1"/>
    </row>
    <row r="72" spans="1:43" x14ac:dyDescent="0.3">
      <c r="A72" s="221"/>
      <c r="B72" s="221"/>
      <c r="C72" s="221"/>
      <c r="D72" s="246" t="s">
        <v>1052</v>
      </c>
      <c r="E72" s="221"/>
      <c r="F72" s="221"/>
      <c r="H72" s="221"/>
      <c r="I72" s="221"/>
      <c r="J72" s="221"/>
    </row>
  </sheetData>
  <sheetProtection algorithmName="SHA-512" hashValue="bmawT7XqxEzzMerJ6+F2WmIaCTouUjC3G3z5stzFT+pyec1Qh/UWAeMUKUPXkG57mlK/l/6F74HEcn3XP/ATTA==" saltValue="PSGWyiYw7ogO5P+fyPRKgg==" spinCount="100000" sheet="1" objects="1" scenarios="1"/>
  <dataConsolidate link="1"/>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AN10:AN11 AN13:AN14 AN16:AN17 AN19:AN20 AN22:AN23 AN25:AN26 AN28:AN29 AN31:AN32 AN34:AN35 AN37:AN38 AN40:AN41 AN43:AN44 AN46:AN47 AN49:AN50 AN52:AN53 AN55:AN56 AN58:AN59 AN61:AN62 AN64:AN65 AN67:AN68 N16:N69" xr:uid="{00000000-0002-0000-1700-000000000000}"/>
    <dataValidation type="custom" allowBlank="1" showInputMessage="1" showErrorMessage="1" error="Recuerde que las acciones se generan bajo la medida de mitigar el riesgo" sqref="AI10:AM69" xr:uid="{00000000-0002-0000-17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700-000002000000}">
          <x14:formula1>
            <xm:f>'Opciones Tratamiento'!$B$2:$B$5</xm:f>
          </x14:formula1>
          <xm:sqref>AH10:AH69</xm:sqref>
        </x14:dataValidation>
        <x14:dataValidation type="list" allowBlank="1" showInputMessage="1" showErrorMessage="1" xr:uid="{00000000-0002-0000-1700-000003000000}">
          <x14:formula1>
            <xm:f>'Tabla Valoración controles'!$D$13:$D$14</xm:f>
          </x14:formula1>
          <xm:sqref>AA10:AA69</xm:sqref>
        </x14:dataValidation>
        <x14:dataValidation type="list" allowBlank="1" showInputMessage="1" showErrorMessage="1" xr:uid="{00000000-0002-0000-1700-000004000000}">
          <x14:formula1>
            <xm:f>'Hoja1 (2)'!$A$10:$A$11</xm:f>
          </x14:formula1>
          <xm:sqref>Z10:Z69</xm:sqref>
        </x14:dataValidation>
        <x14:dataValidation type="list" allowBlank="1" showInputMessage="1" showErrorMessage="1" xr:uid="{00000000-0002-0000-1700-000005000000}">
          <x14:formula1>
            <xm:f>'Hoja1 (2)'!$A$8:$A$9</xm:f>
          </x14:formula1>
          <xm:sqref>Y10:Y69</xm:sqref>
        </x14:dataValidation>
        <x14:dataValidation type="list" allowBlank="1" showInputMessage="1" showErrorMessage="1" xr:uid="{00000000-0002-0000-1700-000006000000}">
          <x14:formula1>
            <xm:f>'Hoja1 (2)'!$A$6:$A$7</xm:f>
          </x14:formula1>
          <xm:sqref>W10:W69</xm:sqref>
        </x14:dataValidation>
        <x14:dataValidation type="list" allowBlank="1" showInputMessage="1" showErrorMessage="1" xr:uid="{00000000-0002-0000-1700-000007000000}">
          <x14:formula1>
            <xm:f>'Hoja1 (2)'!$A$3:$A$5</xm:f>
          </x14:formula1>
          <xm:sqref>V10:V69</xm:sqref>
        </x14:dataValidation>
        <x14:dataValidation type="list" allowBlank="1" showInputMessage="1" showErrorMessage="1" xr:uid="{00000000-0002-0000-1700-000008000000}">
          <x14:formula1>
            <xm:f>'Tabla Impacto'!$F$210:$F$221</xm:f>
          </x14:formula1>
          <xm:sqref>N10:N15</xm:sqref>
        </x14:dataValidation>
        <x14:dataValidation type="list" allowBlank="1" showInputMessage="1" showErrorMessage="1" xr:uid="{00000000-0002-0000-1700-000009000000}">
          <x14:formula1>
            <xm:f>'Opciones Tratamiento'!$E$2:$E$4</xm:f>
          </x14:formula1>
          <xm:sqref>D10:D69</xm:sqref>
        </x14:dataValidation>
        <x14:dataValidation type="list" allowBlank="1" showInputMessage="1" showErrorMessage="1" xr:uid="{00000000-0002-0000-1700-00000A000000}">
          <x14:formula1>
            <xm:f>'Hoja1 (2)'!$A$23:$A$25</xm:f>
          </x14:formula1>
          <xm:sqref>B10:B69</xm:sqref>
        </x14:dataValidation>
        <x14:dataValidation type="list" allowBlank="1" showInputMessage="1" showErrorMessage="1" xr:uid="{00000000-0002-0000-1700-00000B000000}">
          <x14:formula1>
            <xm:f>'Hoja1 (2)'!$A$28:$A$33</xm:f>
          </x14:formula1>
          <xm:sqref>C10:C69</xm:sqref>
        </x14:dataValidation>
        <x14:dataValidation type="list" allowBlank="1" showInputMessage="1" showErrorMessage="1" xr:uid="{00000000-0002-0000-1700-00000C000000}">
          <x14:formula1>
            <xm:f>Hoja1!$A$1:$A$14</xm:f>
          </x14:formula1>
          <xm:sqref>E4:R4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U140"/>
  <sheetViews>
    <sheetView zoomScale="55" zoomScaleNormal="55" workbookViewId="0">
      <selection activeCell="AY6" sqref="AY6"/>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6" t="s">
        <v>1053</v>
      </c>
      <c r="C2" s="576"/>
      <c r="D2" s="576"/>
      <c r="E2" s="576"/>
      <c r="F2" s="576"/>
      <c r="G2" s="576"/>
      <c r="H2" s="576"/>
      <c r="I2" s="576"/>
      <c r="J2" s="577" t="s">
        <v>5</v>
      </c>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6"/>
      <c r="C3" s="576"/>
      <c r="D3" s="576"/>
      <c r="E3" s="576"/>
      <c r="F3" s="576"/>
      <c r="G3" s="576"/>
      <c r="H3" s="576"/>
      <c r="I3" s="576"/>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6"/>
      <c r="C4" s="576"/>
      <c r="D4" s="576"/>
      <c r="E4" s="576"/>
      <c r="F4" s="576"/>
      <c r="G4" s="576"/>
      <c r="H4" s="576"/>
      <c r="I4" s="576"/>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78" t="s">
        <v>3</v>
      </c>
      <c r="C6" s="578"/>
      <c r="D6" s="579"/>
      <c r="E6" s="580" t="s">
        <v>1054</v>
      </c>
      <c r="F6" s="581"/>
      <c r="G6" s="581"/>
      <c r="H6" s="581"/>
      <c r="I6" s="582"/>
      <c r="J6" s="589" t="str">
        <f>IF(AND('Mapa final SI'!$L$10="Muy Alta",'Mapa final SI'!$P$10="Leve"),CONCATENATE("R",'Mapa final SI'!$A$10),"")</f>
        <v/>
      </c>
      <c r="K6" s="590"/>
      <c r="L6" s="590" t="str">
        <f>IF(AND('Mapa final SI'!$L$16="Muy Alta",'Mapa final SI'!$P$16="Leve"),CONCATENATE("R",'Mapa final SI'!$A$16),"")</f>
        <v/>
      </c>
      <c r="M6" s="590"/>
      <c r="N6" s="590" t="str">
        <f>IF(AND('Mapa final SI'!$L$22="Muy Alta",'Mapa final SI'!$P$22="Leve"),CONCATENATE("R",'Mapa final SI'!$A$22),"")</f>
        <v/>
      </c>
      <c r="O6" s="593"/>
      <c r="P6" s="589" t="str">
        <f>IF(AND('Mapa final SI'!$L$10="Muy Alta",'Mapa final SI'!$P$10="Menor"),CONCATENATE("R",'Mapa final SI'!$A$10),"")</f>
        <v/>
      </c>
      <c r="Q6" s="590"/>
      <c r="R6" s="590" t="str">
        <f>IF(AND('Mapa final SI'!$L$16="Muy Alta",'Mapa final SI'!$P$16="Menor"),CONCATENATE("R",'Mapa final SI'!$A$16),"")</f>
        <v/>
      </c>
      <c r="S6" s="590"/>
      <c r="T6" s="590" t="str">
        <f>IF(AND('Mapa final SI'!$L$22="Muy Alta",'Mapa final SI'!$P$22="Menor"),CONCATENATE("R",'Mapa final SI'!$A$22),"")</f>
        <v/>
      </c>
      <c r="U6" s="593"/>
      <c r="V6" s="589" t="str">
        <f>IF(AND('Mapa final SI'!$L$10="Muy Alta",'Mapa final SI'!$P$10="Moderado"),CONCATENATE("R",'Mapa final SI'!$A$10),"")</f>
        <v/>
      </c>
      <c r="W6" s="590"/>
      <c r="X6" s="590" t="str">
        <f>IF(AND('Mapa final SI'!$L$16="Muy Alta",'Mapa final SI'!$P$16="Moderado"),CONCATENATE("R",'Mapa final SI'!$A$16),"")</f>
        <v/>
      </c>
      <c r="Y6" s="590"/>
      <c r="Z6" s="590" t="str">
        <f>IF(AND('Mapa final SI'!$L$22="Muy Alta",'Mapa final SI'!$P$22="Moderado"),CONCATENATE("R",'Mapa final SI'!$A$22),"")</f>
        <v/>
      </c>
      <c r="AA6" s="593"/>
      <c r="AB6" s="589" t="str">
        <f>IF(AND('Mapa final SI'!$L$10="Muy Alta",'Mapa final SI'!$P$10="Mayor"),CONCATENATE("R",'Mapa final SI'!$A$10),"")</f>
        <v/>
      </c>
      <c r="AC6" s="590"/>
      <c r="AD6" s="590" t="str">
        <f>IF(AND('Mapa final SI'!$L$16="Muy Alta",'Mapa final SI'!$P$16="Mayor"),CONCATENATE("R",'Mapa final SI'!$A$16),"")</f>
        <v/>
      </c>
      <c r="AE6" s="590"/>
      <c r="AF6" s="590" t="str">
        <f>IF(AND('Mapa final SI'!$L$22="Muy Alta",'Mapa final SI'!$P$22="Mayor"),CONCATENATE("R",'Mapa final SI'!$A$22),"")</f>
        <v/>
      </c>
      <c r="AG6" s="593"/>
      <c r="AH6" s="595" t="str">
        <f>IF(AND('Mapa final SI'!$L$10="Muy Alta",'Mapa final SI'!$P$10="Catastrófico"),CONCATENATE("R",'Mapa final SI'!$A$10),"")</f>
        <v/>
      </c>
      <c r="AI6" s="596"/>
      <c r="AJ6" s="596" t="str">
        <f>IF(AND('Mapa final SI'!$L$16="Muy Alta",'Mapa final SI'!$P$16="Catastrófico"),CONCATENATE("R",'Mapa final SI'!$A$16),"")</f>
        <v/>
      </c>
      <c r="AK6" s="596"/>
      <c r="AL6" s="596" t="str">
        <f>IF(AND('Mapa final SI'!$L$22="Muy Alta",'Mapa final SI'!$P$22="Catastrófico"),CONCATENATE("R",'Mapa final SI'!$A$22),"")</f>
        <v/>
      </c>
      <c r="AM6" s="599"/>
      <c r="AO6" s="601" t="s">
        <v>1055</v>
      </c>
      <c r="AP6" s="602"/>
      <c r="AQ6" s="602"/>
      <c r="AR6" s="602"/>
      <c r="AS6" s="602"/>
      <c r="AT6" s="60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78"/>
      <c r="C7" s="578"/>
      <c r="D7" s="579"/>
      <c r="E7" s="583"/>
      <c r="F7" s="584"/>
      <c r="G7" s="584"/>
      <c r="H7" s="584"/>
      <c r="I7" s="585"/>
      <c r="J7" s="591"/>
      <c r="K7" s="592"/>
      <c r="L7" s="592"/>
      <c r="M7" s="592"/>
      <c r="N7" s="592"/>
      <c r="O7" s="594"/>
      <c r="P7" s="591"/>
      <c r="Q7" s="592"/>
      <c r="R7" s="592"/>
      <c r="S7" s="592"/>
      <c r="T7" s="592"/>
      <c r="U7" s="594"/>
      <c r="V7" s="591"/>
      <c r="W7" s="592"/>
      <c r="X7" s="592"/>
      <c r="Y7" s="592"/>
      <c r="Z7" s="592"/>
      <c r="AA7" s="594"/>
      <c r="AB7" s="591"/>
      <c r="AC7" s="592"/>
      <c r="AD7" s="592"/>
      <c r="AE7" s="592"/>
      <c r="AF7" s="592"/>
      <c r="AG7" s="594"/>
      <c r="AH7" s="597"/>
      <c r="AI7" s="598"/>
      <c r="AJ7" s="598"/>
      <c r="AK7" s="598"/>
      <c r="AL7" s="598"/>
      <c r="AM7" s="600"/>
      <c r="AN7" s="15"/>
      <c r="AO7" s="604"/>
      <c r="AP7" s="605"/>
      <c r="AQ7" s="605"/>
      <c r="AR7" s="605"/>
      <c r="AS7" s="605"/>
      <c r="AT7" s="60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78"/>
      <c r="C8" s="578"/>
      <c r="D8" s="579"/>
      <c r="E8" s="583"/>
      <c r="F8" s="584"/>
      <c r="G8" s="584"/>
      <c r="H8" s="584"/>
      <c r="I8" s="585"/>
      <c r="J8" s="591" t="str">
        <f>IF(AND('Mapa final SI'!$L$28="Muy Alta",'Mapa final SI'!$P$28="Leve"),CONCATENATE("R",#REF!),"")</f>
        <v/>
      </c>
      <c r="K8" s="592"/>
      <c r="L8" s="592" t="str">
        <f>IF(AND('Mapa final SI'!$L$34="Muy Alta",'Mapa final SI'!$P$34="Leve"),CONCATENATE("R",#REF!),"")</f>
        <v/>
      </c>
      <c r="M8" s="592"/>
      <c r="N8" s="592" t="str">
        <f>IF(AND('Mapa final SI'!$L$40="Muy Alta",'Mapa final SI'!$P$40="Leve"),CONCATENATE("R",#REF!),"")</f>
        <v/>
      </c>
      <c r="O8" s="594"/>
      <c r="P8" s="591" t="str">
        <f>IF(AND('Mapa final SI'!$L$28="Muy Alta",'Mapa final SI'!$P$28="Menor"),CONCATENATE("R",#REF!),"")</f>
        <v/>
      </c>
      <c r="Q8" s="592"/>
      <c r="R8" s="592" t="str">
        <f>IF(AND('Mapa final SI'!$L$34="Muy Alta",'Mapa final SI'!$P$34="Menor"),CONCATENATE("R",#REF!),"")</f>
        <v/>
      </c>
      <c r="S8" s="592"/>
      <c r="T8" s="592" t="str">
        <f>IF(AND('Mapa final SI'!$L$40="Muy Alta",'Mapa final SI'!$P$40="Menor"),CONCATENATE("R",#REF!),"")</f>
        <v/>
      </c>
      <c r="U8" s="594"/>
      <c r="V8" s="591" t="str">
        <f>IF(AND('Mapa final SI'!$L$28="Muy Alta",'Mapa final SI'!$P$28="Moderado"),CONCATENATE("R",#REF!),"")</f>
        <v/>
      </c>
      <c r="W8" s="592"/>
      <c r="X8" s="592" t="str">
        <f>IF(AND('Mapa final SI'!$L$34="Muy Alta",'Mapa final SI'!$P$34="Moderado"),CONCATENATE("R",#REF!),"")</f>
        <v/>
      </c>
      <c r="Y8" s="592"/>
      <c r="Z8" s="592" t="str">
        <f>IF(AND('Mapa final SI'!$L$40="Muy Alta",'Mapa final SI'!$P$40="Moderado"),CONCATENATE("R",#REF!),"")</f>
        <v/>
      </c>
      <c r="AA8" s="594"/>
      <c r="AB8" s="591" t="str">
        <f>IF(AND('Mapa final SI'!$L$28="Muy Alta",'Mapa final SI'!$P$28="Mayor"),CONCATENATE("R",#REF!),"")</f>
        <v/>
      </c>
      <c r="AC8" s="592"/>
      <c r="AD8" s="592" t="str">
        <f>IF(AND('Mapa final SI'!$L$34="Muy Alta",'Mapa final SI'!$P$34="Mayor"),CONCATENATE("R",#REF!),"")</f>
        <v/>
      </c>
      <c r="AE8" s="592"/>
      <c r="AF8" s="592" t="str">
        <f>IF(AND('Mapa final SI'!$L$40="Muy Alta",'Mapa final SI'!$P$40="Mayor"),CONCATENATE("R",#REF!),"")</f>
        <v/>
      </c>
      <c r="AG8" s="594"/>
      <c r="AH8" s="597" t="str">
        <f>IF(AND('Mapa final SI'!$L$28="Muy Alta",'Mapa final SI'!$P$28="Catastrófico"),CONCATENATE("R",#REF!),"")</f>
        <v/>
      </c>
      <c r="AI8" s="598"/>
      <c r="AJ8" s="598" t="str">
        <f>IF(AND('Mapa final SI'!$L$34="Muy Alta",'Mapa final SI'!$P$34="Catastrófico"),CONCATENATE("R",#REF!),"")</f>
        <v/>
      </c>
      <c r="AK8" s="598"/>
      <c r="AL8" s="598" t="str">
        <f>IF(AND('Mapa final SI'!$L$40="Muy Alta",'Mapa final SI'!$P$40="Catastrófico"),CONCATENATE("R",#REF!),"")</f>
        <v/>
      </c>
      <c r="AM8" s="600"/>
      <c r="AN8" s="15"/>
      <c r="AO8" s="604"/>
      <c r="AP8" s="605"/>
      <c r="AQ8" s="605"/>
      <c r="AR8" s="605"/>
      <c r="AS8" s="605"/>
      <c r="AT8" s="60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78"/>
      <c r="C9" s="578"/>
      <c r="D9" s="579"/>
      <c r="E9" s="583"/>
      <c r="F9" s="584"/>
      <c r="G9" s="584"/>
      <c r="H9" s="584"/>
      <c r="I9" s="585"/>
      <c r="J9" s="591"/>
      <c r="K9" s="592"/>
      <c r="L9" s="592"/>
      <c r="M9" s="592"/>
      <c r="N9" s="592"/>
      <c r="O9" s="594"/>
      <c r="P9" s="591"/>
      <c r="Q9" s="592"/>
      <c r="R9" s="592"/>
      <c r="S9" s="592"/>
      <c r="T9" s="592"/>
      <c r="U9" s="594"/>
      <c r="V9" s="591"/>
      <c r="W9" s="592"/>
      <c r="X9" s="592"/>
      <c r="Y9" s="592"/>
      <c r="Z9" s="592"/>
      <c r="AA9" s="594"/>
      <c r="AB9" s="591"/>
      <c r="AC9" s="592"/>
      <c r="AD9" s="592"/>
      <c r="AE9" s="592"/>
      <c r="AF9" s="592"/>
      <c r="AG9" s="594"/>
      <c r="AH9" s="597"/>
      <c r="AI9" s="598"/>
      <c r="AJ9" s="598"/>
      <c r="AK9" s="598"/>
      <c r="AL9" s="598"/>
      <c r="AM9" s="600"/>
      <c r="AN9" s="15"/>
      <c r="AO9" s="604"/>
      <c r="AP9" s="605"/>
      <c r="AQ9" s="605"/>
      <c r="AR9" s="605"/>
      <c r="AS9" s="605"/>
      <c r="AT9" s="60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78"/>
      <c r="C10" s="578"/>
      <c r="D10" s="579"/>
      <c r="E10" s="583"/>
      <c r="F10" s="584"/>
      <c r="G10" s="584"/>
      <c r="H10" s="584"/>
      <c r="I10" s="585"/>
      <c r="J10" s="591" t="str">
        <f>IF(AND('Mapa final SI'!$L$46="Muy Alta",'Mapa final SI'!$P$46="Leve"),CONCATENATE("R",#REF!),"")</f>
        <v/>
      </c>
      <c r="K10" s="592"/>
      <c r="L10" s="592" t="str">
        <f>IF(AND('Mapa final SI'!$L$52="Muy Alta",'Mapa final SI'!$P$52="Leve"),CONCATENATE("R",#REF!),"")</f>
        <v/>
      </c>
      <c r="M10" s="592"/>
      <c r="N10" s="592" t="str">
        <f>IF(AND('Mapa final SI'!$L$58="Muy Alta",'Mapa final SI'!$P$58="Leve"),CONCATENATE("R",#REF!),"")</f>
        <v/>
      </c>
      <c r="O10" s="594"/>
      <c r="P10" s="591" t="str">
        <f>IF(AND('Mapa final SI'!$L$46="Muy Alta",'Mapa final SI'!$P$46="Menor"),CONCATENATE("R",#REF!),"")</f>
        <v/>
      </c>
      <c r="Q10" s="592"/>
      <c r="R10" s="592" t="str">
        <f>IF(AND('Mapa final SI'!$L$52="Muy Alta",'Mapa final SI'!$P$52="Menor"),CONCATENATE("R",#REF!),"")</f>
        <v/>
      </c>
      <c r="S10" s="592"/>
      <c r="T10" s="592" t="str">
        <f>IF(AND('Mapa final SI'!$L$58="Muy Alta",'Mapa final SI'!$P$58="Menor"),CONCATENATE("R",#REF!),"")</f>
        <v/>
      </c>
      <c r="U10" s="594"/>
      <c r="V10" s="591" t="str">
        <f>IF(AND('Mapa final SI'!$L$46="Muy Alta",'Mapa final SI'!$P$46="Moderado"),CONCATENATE("R",#REF!),"")</f>
        <v/>
      </c>
      <c r="W10" s="592"/>
      <c r="X10" s="592" t="str">
        <f>IF(AND('Mapa final SI'!$L$52="Muy Alta",'Mapa final SI'!$P$52="Moderado"),CONCATENATE("R",#REF!),"")</f>
        <v/>
      </c>
      <c r="Y10" s="592"/>
      <c r="Z10" s="592" t="str">
        <f>IF(AND('Mapa final SI'!$L$58="Muy Alta",'Mapa final SI'!$P$58="Moderado"),CONCATENATE("R",#REF!),"")</f>
        <v/>
      </c>
      <c r="AA10" s="594"/>
      <c r="AB10" s="591" t="str">
        <f>IF(AND('Mapa final SI'!$L$46="Muy Alta",'Mapa final SI'!$P$46="Mayor"),CONCATENATE("R",#REF!),"")</f>
        <v/>
      </c>
      <c r="AC10" s="592"/>
      <c r="AD10" s="592" t="str">
        <f>IF(AND('Mapa final SI'!$L$52="Muy Alta",'Mapa final SI'!$P$52="Mayor"),CONCATENATE("R",#REF!),"")</f>
        <v/>
      </c>
      <c r="AE10" s="592"/>
      <c r="AF10" s="592" t="str">
        <f>IF(AND('Mapa final SI'!$L$58="Muy Alta",'Mapa final SI'!$P$58="Mayor"),CONCATENATE("R",#REF!),"")</f>
        <v/>
      </c>
      <c r="AG10" s="594"/>
      <c r="AH10" s="597" t="str">
        <f>IF(AND('Mapa final SI'!$L$46="Muy Alta",'Mapa final SI'!$P$46="Catastrófico"),CONCATENATE("R",#REF!),"")</f>
        <v/>
      </c>
      <c r="AI10" s="598"/>
      <c r="AJ10" s="598" t="str">
        <f>IF(AND('Mapa final SI'!$L$52="Muy Alta",'Mapa final SI'!$P$52="Catastrófico"),CONCATENATE("R",#REF!),"")</f>
        <v/>
      </c>
      <c r="AK10" s="598"/>
      <c r="AL10" s="598" t="str">
        <f>IF(AND('Mapa final SI'!$L$58="Muy Alta",'Mapa final SI'!$P$58="Catastrófico"),CONCATENATE("R",#REF!),"")</f>
        <v/>
      </c>
      <c r="AM10" s="600"/>
      <c r="AN10" s="15"/>
      <c r="AO10" s="604"/>
      <c r="AP10" s="605"/>
      <c r="AQ10" s="605"/>
      <c r="AR10" s="605"/>
      <c r="AS10" s="605"/>
      <c r="AT10" s="60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78"/>
      <c r="C11" s="578"/>
      <c r="D11" s="579"/>
      <c r="E11" s="583"/>
      <c r="F11" s="584"/>
      <c r="G11" s="584"/>
      <c r="H11" s="584"/>
      <c r="I11" s="585"/>
      <c r="J11" s="591"/>
      <c r="K11" s="592"/>
      <c r="L11" s="592"/>
      <c r="M11" s="592"/>
      <c r="N11" s="592"/>
      <c r="O11" s="594"/>
      <c r="P11" s="591"/>
      <c r="Q11" s="592"/>
      <c r="R11" s="592"/>
      <c r="S11" s="592"/>
      <c r="T11" s="592"/>
      <c r="U11" s="594"/>
      <c r="V11" s="591"/>
      <c r="W11" s="592"/>
      <c r="X11" s="592"/>
      <c r="Y11" s="592"/>
      <c r="Z11" s="592"/>
      <c r="AA11" s="594"/>
      <c r="AB11" s="591"/>
      <c r="AC11" s="592"/>
      <c r="AD11" s="592"/>
      <c r="AE11" s="592"/>
      <c r="AF11" s="592"/>
      <c r="AG11" s="594"/>
      <c r="AH11" s="597"/>
      <c r="AI11" s="598"/>
      <c r="AJ11" s="598"/>
      <c r="AK11" s="598"/>
      <c r="AL11" s="598"/>
      <c r="AM11" s="600"/>
      <c r="AN11" s="15"/>
      <c r="AO11" s="604"/>
      <c r="AP11" s="605"/>
      <c r="AQ11" s="605"/>
      <c r="AR11" s="605"/>
      <c r="AS11" s="605"/>
      <c r="AT11" s="60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78"/>
      <c r="C12" s="578"/>
      <c r="D12" s="579"/>
      <c r="E12" s="583"/>
      <c r="F12" s="584"/>
      <c r="G12" s="584"/>
      <c r="H12" s="584"/>
      <c r="I12" s="585"/>
      <c r="J12" s="591" t="str">
        <f>IF(AND('Mapa final SI'!$L$64="Muy Alta",'Mapa final SI'!$P$64="Leve"),CONCATENATE("R",'Mapa final SI'!$A$64),"")</f>
        <v/>
      </c>
      <c r="K12" s="592"/>
      <c r="L12" s="592" t="str">
        <f>IF(AND('Mapa final SI'!$L$70="Muy Alta",'Mapa final SI'!$P$70="Leve"),CONCATENATE("R",'Mapa final SI'!$A$70),"")</f>
        <v/>
      </c>
      <c r="M12" s="592"/>
      <c r="N12" s="592" t="str">
        <f>IF(AND('Mapa final SI'!$L$76="Muy Alta",'Mapa final SI'!$P$76="Leve"),CONCATENATE("R",'Mapa final SI'!$A$76),"")</f>
        <v/>
      </c>
      <c r="O12" s="594"/>
      <c r="P12" s="591" t="str">
        <f>IF(AND('Mapa final SI'!$L$64="Muy Alta",'Mapa final SI'!$P$64="Menor"),CONCATENATE("R",'Mapa final SI'!$A$64),"")</f>
        <v/>
      </c>
      <c r="Q12" s="592"/>
      <c r="R12" s="592" t="str">
        <f>IF(AND('Mapa final SI'!$L$70="Muy Alta",'Mapa final SI'!$P$70="Menor"),CONCATENATE("R",'Mapa final SI'!$A$70),"")</f>
        <v/>
      </c>
      <c r="S12" s="592"/>
      <c r="T12" s="592" t="str">
        <f>IF(AND('Mapa final SI'!$L$76="Muy Alta",'Mapa final SI'!$P$76="Menor"),CONCATENATE("R",'Mapa final SI'!$A$76),"")</f>
        <v/>
      </c>
      <c r="U12" s="594"/>
      <c r="V12" s="591" t="str">
        <f>IF(AND('Mapa final SI'!$L$64="Muy Alta",'Mapa final SI'!$P$64="Moderado"),CONCATENATE("R",'Mapa final SI'!$A$64),"")</f>
        <v/>
      </c>
      <c r="W12" s="592"/>
      <c r="X12" s="592" t="str">
        <f>IF(AND('Mapa final SI'!$L$70="Muy Alta",'Mapa final SI'!$P$70="Moderado"),CONCATENATE("R",'Mapa final SI'!$A$70),"")</f>
        <v/>
      </c>
      <c r="Y12" s="592"/>
      <c r="Z12" s="592" t="str">
        <f>IF(AND('Mapa final SI'!$L$76="Muy Alta",'Mapa final SI'!$P$76="Moderado"),CONCATENATE("R",'Mapa final SI'!$A$76),"")</f>
        <v/>
      </c>
      <c r="AA12" s="594"/>
      <c r="AB12" s="591" t="str">
        <f>IF(AND('Mapa final SI'!$L$64="Muy Alta",'Mapa final SI'!$P$64="Mayor"),CONCATENATE("R",'Mapa final SI'!$A$64),"")</f>
        <v/>
      </c>
      <c r="AC12" s="592"/>
      <c r="AD12" s="592" t="str">
        <f>IF(AND('Mapa final SI'!$L$70="Muy Alta",'Mapa final SI'!$P$70="Mayor"),CONCATENATE("R",'Mapa final SI'!$A$70),"")</f>
        <v/>
      </c>
      <c r="AE12" s="592"/>
      <c r="AF12" s="592" t="str">
        <f>IF(AND('Mapa final SI'!$L$76="Muy Alta",'Mapa final SI'!$P$76="Mayor"),CONCATENATE("R",'Mapa final SI'!$A$76),"")</f>
        <v/>
      </c>
      <c r="AG12" s="594"/>
      <c r="AH12" s="597" t="str">
        <f>IF(AND('Mapa final SI'!$L$64="Muy Alta",'Mapa final SI'!$P$64="Catastrófico"),CONCATENATE("R",'Mapa final SI'!$A$64),"")</f>
        <v/>
      </c>
      <c r="AI12" s="598"/>
      <c r="AJ12" s="598" t="str">
        <f>IF(AND('Mapa final SI'!$L$70="Muy Alta",'Mapa final SI'!$P$70="Catastrófico"),CONCATENATE("R",'Mapa final SI'!$A$70),"")</f>
        <v/>
      </c>
      <c r="AK12" s="598"/>
      <c r="AL12" s="598" t="str">
        <f>IF(AND('Mapa final SI'!$L$76="Muy Alta",'Mapa final SI'!$P$76="Catastrófico"),CONCATENATE("R",'Mapa final SI'!$A$76),"")</f>
        <v/>
      </c>
      <c r="AM12" s="600"/>
      <c r="AN12" s="15"/>
      <c r="AO12" s="604"/>
      <c r="AP12" s="605"/>
      <c r="AQ12" s="605"/>
      <c r="AR12" s="605"/>
      <c r="AS12" s="605"/>
      <c r="AT12" s="60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78"/>
      <c r="C13" s="578"/>
      <c r="D13" s="579"/>
      <c r="E13" s="586"/>
      <c r="F13" s="587"/>
      <c r="G13" s="587"/>
      <c r="H13" s="587"/>
      <c r="I13" s="588"/>
      <c r="J13" s="591"/>
      <c r="K13" s="592"/>
      <c r="L13" s="592"/>
      <c r="M13" s="592"/>
      <c r="N13" s="592"/>
      <c r="O13" s="594"/>
      <c r="P13" s="591"/>
      <c r="Q13" s="592"/>
      <c r="R13" s="592"/>
      <c r="S13" s="592"/>
      <c r="T13" s="592"/>
      <c r="U13" s="594"/>
      <c r="V13" s="591"/>
      <c r="W13" s="592"/>
      <c r="X13" s="592"/>
      <c r="Y13" s="592"/>
      <c r="Z13" s="592"/>
      <c r="AA13" s="594"/>
      <c r="AB13" s="591"/>
      <c r="AC13" s="592"/>
      <c r="AD13" s="592"/>
      <c r="AE13" s="592"/>
      <c r="AF13" s="592"/>
      <c r="AG13" s="594"/>
      <c r="AH13" s="618"/>
      <c r="AI13" s="610"/>
      <c r="AJ13" s="610"/>
      <c r="AK13" s="610"/>
      <c r="AL13" s="610"/>
      <c r="AM13" s="611"/>
      <c r="AN13" s="15"/>
      <c r="AO13" s="607"/>
      <c r="AP13" s="608"/>
      <c r="AQ13" s="608"/>
      <c r="AR13" s="608"/>
      <c r="AS13" s="608"/>
      <c r="AT13" s="60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78"/>
      <c r="C14" s="578"/>
      <c r="D14" s="579"/>
      <c r="E14" s="580" t="s">
        <v>1056</v>
      </c>
      <c r="F14" s="581"/>
      <c r="G14" s="581"/>
      <c r="H14" s="581"/>
      <c r="I14" s="581"/>
      <c r="J14" s="612" t="str">
        <f>IF(AND('Mapa final SI'!$P$10="Alta",'Mapa final SI'!$P$10="Leve"),CONCATENATE("R",#REF!),"")</f>
        <v/>
      </c>
      <c r="K14" s="613"/>
      <c r="L14" s="613" t="str">
        <f>IF(AND('Mapa final SI'!$P$16="Alta",'Mapa final SI'!$P$16="Leve"),CONCATENATE("R",#REF!),"")</f>
        <v/>
      </c>
      <c r="M14" s="613"/>
      <c r="N14" s="613" t="str">
        <f>IF(AND('Mapa final SI'!$L$22="Alta",'Mapa final SI'!$P$22="Leve"),CONCATENATE("R",'Mapa final SI'!$A$22),"")</f>
        <v/>
      </c>
      <c r="O14" s="616"/>
      <c r="P14" s="612" t="str">
        <f>IF(AND('Mapa final SI'!$L$10="Alta",'Mapa final SI'!$P$10="Menor"),CONCATENATE("R",'Mapa final SI'!$A$10),"")</f>
        <v/>
      </c>
      <c r="Q14" s="613"/>
      <c r="R14" s="613" t="str">
        <f>IF(AND('Mapa final SI'!$L$16="Alta",'Mapa final SI'!$P$16="Menor"),CONCATENATE("R",'Mapa final SI'!$A$16),"")</f>
        <v/>
      </c>
      <c r="S14" s="613"/>
      <c r="T14" s="613" t="str">
        <f>IF(AND('Mapa final SI'!$L$22="Alta",'Mapa final SI'!$P$22="Menor"),CONCATENATE("R",'Mapa final SI'!$A$22),"")</f>
        <v/>
      </c>
      <c r="U14" s="616"/>
      <c r="V14" s="589" t="str">
        <f>IF(AND('Mapa final SI'!$L$10="Alta",'Mapa final SI'!$P$10="Moderado"),CONCATENATE("R",'Mapa final SI'!$A$10),"")</f>
        <v/>
      </c>
      <c r="W14" s="590"/>
      <c r="X14" s="590" t="str">
        <f>IF(AND('Mapa final SI'!$L$16="Alta",'Mapa final SI'!$P$16="Moderado"),CONCATENATE("R",'Mapa final SI'!$A$16),"")</f>
        <v/>
      </c>
      <c r="Y14" s="590"/>
      <c r="Z14" s="590" t="str">
        <f>IF(AND('Mapa final SI'!$L$22="Alta",'Mapa final SI'!$P$22="Moderado"),CONCATENATE("R",'Mapa final SI'!$A$22),"")</f>
        <v/>
      </c>
      <c r="AA14" s="593"/>
      <c r="AB14" s="589" t="str">
        <f>IF(AND('Mapa final SI'!$L$10="Alta",'Mapa final SI'!$P$10="Mayor"),CONCATENATE("R",'Mapa final SI'!$A$10),"")</f>
        <v/>
      </c>
      <c r="AC14" s="590"/>
      <c r="AD14" s="590" t="str">
        <f>IF(AND('Mapa final SI'!$L$16="Alta",'Mapa final SI'!$P$16="Mayor"),CONCATENATE("R",'Mapa final SI'!$A$16),"")</f>
        <v/>
      </c>
      <c r="AE14" s="590"/>
      <c r="AF14" s="590" t="str">
        <f>IF(AND('Mapa final SI'!$L$22="Alta",'Mapa final SI'!$P$22="Mayor"),CONCATENATE("R",'Mapa final SI'!$A$22),"")</f>
        <v/>
      </c>
      <c r="AG14" s="593"/>
      <c r="AH14" s="595" t="str">
        <f>IF(AND('Mapa final SI'!$L$10="Alta",'Mapa final SI'!$P$10="Catastrófico"),CONCATENATE("R",'Mapa final SI'!$A$10),"")</f>
        <v/>
      </c>
      <c r="AI14" s="596"/>
      <c r="AJ14" s="596" t="str">
        <f>IF(AND('Mapa final SI'!$L$16="Alta",'Mapa final SI'!$P$16="Catastrófico"),CONCATENATE("R",'Mapa final SI'!$A$16),"")</f>
        <v/>
      </c>
      <c r="AK14" s="596"/>
      <c r="AL14" s="596" t="str">
        <f>IF(AND('Mapa final SI'!$L$22="Alta",'Mapa final SI'!$P$22="Catastrófico"),CONCATENATE("R",'Mapa final SI'!$A$22),"")</f>
        <v/>
      </c>
      <c r="AM14" s="599"/>
      <c r="AN14" s="15"/>
      <c r="AO14" s="619" t="s">
        <v>1057</v>
      </c>
      <c r="AP14" s="620"/>
      <c r="AQ14" s="620"/>
      <c r="AR14" s="620"/>
      <c r="AS14" s="620"/>
      <c r="AT14" s="62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78"/>
      <c r="C15" s="578"/>
      <c r="D15" s="579"/>
      <c r="E15" s="583"/>
      <c r="F15" s="584"/>
      <c r="G15" s="584"/>
      <c r="H15" s="584"/>
      <c r="I15" s="584"/>
      <c r="J15" s="614"/>
      <c r="K15" s="615"/>
      <c r="L15" s="615"/>
      <c r="M15" s="615"/>
      <c r="N15" s="615"/>
      <c r="O15" s="617"/>
      <c r="P15" s="614"/>
      <c r="Q15" s="615"/>
      <c r="R15" s="615"/>
      <c r="S15" s="615"/>
      <c r="T15" s="615"/>
      <c r="U15" s="617"/>
      <c r="V15" s="591"/>
      <c r="W15" s="592"/>
      <c r="X15" s="592"/>
      <c r="Y15" s="592"/>
      <c r="Z15" s="592"/>
      <c r="AA15" s="594"/>
      <c r="AB15" s="591"/>
      <c r="AC15" s="592"/>
      <c r="AD15" s="592"/>
      <c r="AE15" s="592"/>
      <c r="AF15" s="592"/>
      <c r="AG15" s="594"/>
      <c r="AH15" s="597"/>
      <c r="AI15" s="598"/>
      <c r="AJ15" s="598"/>
      <c r="AK15" s="598"/>
      <c r="AL15" s="598"/>
      <c r="AM15" s="600"/>
      <c r="AN15" s="15"/>
      <c r="AO15" s="622"/>
      <c r="AP15" s="623"/>
      <c r="AQ15" s="623"/>
      <c r="AR15" s="623"/>
      <c r="AS15" s="623"/>
      <c r="AT15" s="62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78"/>
      <c r="C16" s="578"/>
      <c r="D16" s="579"/>
      <c r="E16" s="583"/>
      <c r="F16" s="584"/>
      <c r="G16" s="584"/>
      <c r="H16" s="584"/>
      <c r="I16" s="584"/>
      <c r="J16" s="614" t="str">
        <f>IF(AND('Mapa final SI'!$L$28="Alta",'Mapa final SI'!$P$28="Leve"),CONCATENATE("R",'Mapa final SI'!$A$28),"")</f>
        <v/>
      </c>
      <c r="K16" s="615"/>
      <c r="L16" s="615" t="str">
        <f>IF(AND('Mapa final SI'!$L$34="Alta",'Mapa final SI'!$P$34="Leve"),CONCATENATE("R",'Mapa final SI'!$A$34),"")</f>
        <v/>
      </c>
      <c r="M16" s="615"/>
      <c r="N16" s="615" t="str">
        <f>IF(AND('Mapa final SI'!$L$40="Alta",'Mapa final SI'!$P$40="Leve"),CONCATENATE("R",'Mapa final SI'!$A$40),"")</f>
        <v/>
      </c>
      <c r="O16" s="617"/>
      <c r="P16" s="614" t="str">
        <f>IF(AND('Mapa final SI'!$L$28="Alta",'Mapa final SI'!$P$28="Menor"),CONCATENATE("R",'Mapa final SI'!$A$28),"")</f>
        <v/>
      </c>
      <c r="Q16" s="615"/>
      <c r="R16" s="615" t="str">
        <f>IF(AND('Mapa final SI'!$L$34="Alta",'Mapa final SI'!$P$34="Menor"),CONCATENATE("R",'Mapa final SI'!$A$34),"")</f>
        <v/>
      </c>
      <c r="S16" s="615"/>
      <c r="T16" s="615" t="str">
        <f>IF(AND('Mapa final SI'!$L$40="Alta",'Mapa final SI'!$P$40="Menor"),CONCATENATE("R",'Mapa final SI'!$A$40),"")</f>
        <v/>
      </c>
      <c r="U16" s="617"/>
      <c r="V16" s="591" t="str">
        <f>IF(AND('Mapa final SI'!$L$28="Alta",'Mapa final SI'!$P$28="Moderado"),CONCATENATE("R",'Mapa final SI'!$A$28),"")</f>
        <v/>
      </c>
      <c r="W16" s="592"/>
      <c r="X16" s="592" t="str">
        <f>IF(AND('Mapa final SI'!$L$34="Alta",'Mapa final SI'!$P$34="Moderado"),CONCATENATE("R",'Mapa final SI'!$A$34),"")</f>
        <v/>
      </c>
      <c r="Y16" s="592"/>
      <c r="Z16" s="592" t="str">
        <f>IF(AND('Mapa final SI'!$L$40="Alta",'Mapa final SI'!$P$40="Moderado"),CONCATENATE("R",'Mapa final SI'!$A$40),"")</f>
        <v/>
      </c>
      <c r="AA16" s="594"/>
      <c r="AB16" s="591" t="str">
        <f>IF(AND('Mapa final SI'!$L$28="Alta",'Mapa final SI'!$P$28="Mayor"),CONCATENATE("R",'Mapa final SI'!$A$28),"")</f>
        <v/>
      </c>
      <c r="AC16" s="592"/>
      <c r="AD16" s="592" t="str">
        <f>IF(AND('Mapa final SI'!$L$34="Alta",'Mapa final SI'!$P$34="Mayor"),CONCATENATE("R",'Mapa final SI'!$A$34),"")</f>
        <v/>
      </c>
      <c r="AE16" s="592"/>
      <c r="AF16" s="592" t="str">
        <f>IF(AND('Mapa final SI'!$L$40="Alta",'Mapa final SI'!$P$40="Mayor"),CONCATENATE("R",'Mapa final SI'!$A$40),"")</f>
        <v/>
      </c>
      <c r="AG16" s="594"/>
      <c r="AH16" s="597" t="str">
        <f>IF(AND('Mapa final SI'!$L$28="Alta",'Mapa final SI'!$P$28="Catastrófico"),CONCATENATE("R",'Mapa final SI'!$A$28),"")</f>
        <v/>
      </c>
      <c r="AI16" s="598"/>
      <c r="AJ16" s="598" t="str">
        <f>IF(AND('Mapa final SI'!$L$34="Alta",'Mapa final SI'!$P$34="Catastrófico"),CONCATENATE("R",'Mapa final SI'!$A$34),"")</f>
        <v/>
      </c>
      <c r="AK16" s="598"/>
      <c r="AL16" s="598" t="str">
        <f>IF(AND('Mapa final SI'!$L$40="Alta",'Mapa final SI'!$P$40="Catastrófico"),CONCATENATE("R",'Mapa final SI'!$A$40),"")</f>
        <v/>
      </c>
      <c r="AM16" s="600"/>
      <c r="AN16" s="15"/>
      <c r="AO16" s="622"/>
      <c r="AP16" s="623"/>
      <c r="AQ16" s="623"/>
      <c r="AR16" s="623"/>
      <c r="AS16" s="623"/>
      <c r="AT16" s="62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78"/>
      <c r="C17" s="578"/>
      <c r="D17" s="579"/>
      <c r="E17" s="583"/>
      <c r="F17" s="584"/>
      <c r="G17" s="584"/>
      <c r="H17" s="584"/>
      <c r="I17" s="584"/>
      <c r="J17" s="614"/>
      <c r="K17" s="615"/>
      <c r="L17" s="615"/>
      <c r="M17" s="615"/>
      <c r="N17" s="615"/>
      <c r="O17" s="617"/>
      <c r="P17" s="614"/>
      <c r="Q17" s="615"/>
      <c r="R17" s="615"/>
      <c r="S17" s="615"/>
      <c r="T17" s="615"/>
      <c r="U17" s="617"/>
      <c r="V17" s="591"/>
      <c r="W17" s="592"/>
      <c r="X17" s="592"/>
      <c r="Y17" s="592"/>
      <c r="Z17" s="592"/>
      <c r="AA17" s="594"/>
      <c r="AB17" s="591"/>
      <c r="AC17" s="592"/>
      <c r="AD17" s="592"/>
      <c r="AE17" s="592"/>
      <c r="AF17" s="592"/>
      <c r="AG17" s="594"/>
      <c r="AH17" s="597"/>
      <c r="AI17" s="598"/>
      <c r="AJ17" s="598"/>
      <c r="AK17" s="598"/>
      <c r="AL17" s="598"/>
      <c r="AM17" s="600"/>
      <c r="AN17" s="15"/>
      <c r="AO17" s="622"/>
      <c r="AP17" s="623"/>
      <c r="AQ17" s="623"/>
      <c r="AR17" s="623"/>
      <c r="AS17" s="623"/>
      <c r="AT17" s="62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78"/>
      <c r="C18" s="578"/>
      <c r="D18" s="579"/>
      <c r="E18" s="583"/>
      <c r="F18" s="584"/>
      <c r="G18" s="584"/>
      <c r="H18" s="584"/>
      <c r="I18" s="584"/>
      <c r="J18" s="614" t="str">
        <f>IF(AND('Mapa final SI'!$L$46="Alta",'Mapa final SI'!$P$46="Leve"),CONCATENATE("R",'Mapa final SI'!$A$46),"")</f>
        <v/>
      </c>
      <c r="K18" s="615"/>
      <c r="L18" s="615" t="str">
        <f>IF(AND('Mapa final SI'!$L$52="Alta",'Mapa final SI'!$P$52="Leve"),CONCATENATE("R",'Mapa final SI'!$A$52),"")</f>
        <v/>
      </c>
      <c r="M18" s="615"/>
      <c r="N18" s="615" t="str">
        <f>IF(AND('Mapa final SI'!$L$58="Alta",'Mapa final SI'!$P$58="Leve"),CONCATENATE("R",'Mapa final SI'!$A$58),"")</f>
        <v/>
      </c>
      <c r="O18" s="617"/>
      <c r="P18" s="614" t="str">
        <f>IF(AND('Mapa final SI'!$L$46="Alta",'Mapa final SI'!$P$46="Menor"),CONCATENATE("R",'Mapa final SI'!$A$46),"")</f>
        <v/>
      </c>
      <c r="Q18" s="615"/>
      <c r="R18" s="615" t="str">
        <f>IF(AND('Mapa final SI'!$L$52="Alta",'Mapa final SI'!$P$52="Menor"),CONCATENATE("R",'Mapa final SI'!$A$52),"")</f>
        <v/>
      </c>
      <c r="S18" s="615"/>
      <c r="T18" s="615" t="str">
        <f>IF(AND('Mapa final SI'!$L$58="Alta",'Mapa final SI'!$P$58="Menor"),CONCATENATE("R",'Mapa final SI'!$A$58),"")</f>
        <v/>
      </c>
      <c r="U18" s="617"/>
      <c r="V18" s="591" t="str">
        <f>IF(AND('Mapa final SI'!$L$46="Alta",'Mapa final SI'!$P$46="Moderado"),CONCATENATE("R",'Mapa final SI'!$A$46),"")</f>
        <v/>
      </c>
      <c r="W18" s="592"/>
      <c r="X18" s="592" t="str">
        <f>IF(AND('Mapa final SI'!$L$52="Alta",'Mapa final SI'!$P$52="Moderado"),CONCATENATE("R",'Mapa final SI'!$A$52),"")</f>
        <v/>
      </c>
      <c r="Y18" s="592"/>
      <c r="Z18" s="592" t="str">
        <f>IF(AND('Mapa final SI'!$L$58="Alta",'Mapa final SI'!$P$58="Moderado"),CONCATENATE("R",'Mapa final SI'!$A$58),"")</f>
        <v/>
      </c>
      <c r="AA18" s="594"/>
      <c r="AB18" s="591" t="str">
        <f>IF(AND('Mapa final SI'!$L$46="Alta",'Mapa final SI'!$P$46="Mayor"),CONCATENATE("R",'Mapa final SI'!$A$46),"")</f>
        <v/>
      </c>
      <c r="AC18" s="592"/>
      <c r="AD18" s="592" t="str">
        <f>IF(AND('Mapa final SI'!$L$52="Alta",'Mapa final SI'!$P$52="Mayor"),CONCATENATE("R",'Mapa final SI'!$A$52),"")</f>
        <v/>
      </c>
      <c r="AE18" s="592"/>
      <c r="AF18" s="592" t="str">
        <f>IF(AND('Mapa final SI'!$L$58="Alta",'Mapa final SI'!$P$58="Mayor"),CONCATENATE("R",'Mapa final SI'!$A$58),"")</f>
        <v/>
      </c>
      <c r="AG18" s="594"/>
      <c r="AH18" s="597" t="str">
        <f>IF(AND('Mapa final SI'!$L$46="Alta",'Mapa final SI'!$P$46="Catastrófico"),CONCATENATE("R",'Mapa final SI'!$A$46),"")</f>
        <v/>
      </c>
      <c r="AI18" s="598"/>
      <c r="AJ18" s="598" t="str">
        <f>IF(AND('Mapa final SI'!$L$52="Alta",'Mapa final SI'!$P$52="Catastrófico"),CONCATENATE("R",'Mapa final SI'!$A$52),"")</f>
        <v/>
      </c>
      <c r="AK18" s="598"/>
      <c r="AL18" s="598" t="str">
        <f>IF(AND('Mapa final SI'!$L$58="Alta",'Mapa final SI'!$P$58="Catastrófico"),CONCATENATE("R",'Mapa final SI'!$A$58),"")</f>
        <v/>
      </c>
      <c r="AM18" s="600"/>
      <c r="AN18" s="15"/>
      <c r="AO18" s="622"/>
      <c r="AP18" s="623"/>
      <c r="AQ18" s="623"/>
      <c r="AR18" s="623"/>
      <c r="AS18" s="623"/>
      <c r="AT18" s="62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78"/>
      <c r="C19" s="578"/>
      <c r="D19" s="579"/>
      <c r="E19" s="583"/>
      <c r="F19" s="584"/>
      <c r="G19" s="584"/>
      <c r="H19" s="584"/>
      <c r="I19" s="584"/>
      <c r="J19" s="614"/>
      <c r="K19" s="615"/>
      <c r="L19" s="615"/>
      <c r="M19" s="615"/>
      <c r="N19" s="615"/>
      <c r="O19" s="617"/>
      <c r="P19" s="614"/>
      <c r="Q19" s="615"/>
      <c r="R19" s="615"/>
      <c r="S19" s="615"/>
      <c r="T19" s="615"/>
      <c r="U19" s="617"/>
      <c r="V19" s="591"/>
      <c r="W19" s="592"/>
      <c r="X19" s="592"/>
      <c r="Y19" s="592"/>
      <c r="Z19" s="592"/>
      <c r="AA19" s="594"/>
      <c r="AB19" s="591"/>
      <c r="AC19" s="592"/>
      <c r="AD19" s="592"/>
      <c r="AE19" s="592"/>
      <c r="AF19" s="592"/>
      <c r="AG19" s="594"/>
      <c r="AH19" s="597"/>
      <c r="AI19" s="598"/>
      <c r="AJ19" s="598"/>
      <c r="AK19" s="598"/>
      <c r="AL19" s="598"/>
      <c r="AM19" s="600"/>
      <c r="AN19" s="15"/>
      <c r="AO19" s="622"/>
      <c r="AP19" s="623"/>
      <c r="AQ19" s="623"/>
      <c r="AR19" s="623"/>
      <c r="AS19" s="623"/>
      <c r="AT19" s="62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78"/>
      <c r="C20" s="578"/>
      <c r="D20" s="579"/>
      <c r="E20" s="583"/>
      <c r="F20" s="584"/>
      <c r="G20" s="584"/>
      <c r="H20" s="584"/>
      <c r="I20" s="584"/>
      <c r="J20" s="614" t="str">
        <f>IF(AND('Mapa final SI'!$L$64="Alta",'Mapa final SI'!$P$64="Leve"),CONCATENATE("R",'Mapa final SI'!$A$64),"")</f>
        <v/>
      </c>
      <c r="K20" s="615"/>
      <c r="L20" s="615" t="str">
        <f>IF(AND('Mapa final SI'!$L$70="Alta",'Mapa final SI'!$P$70="Leve"),CONCATENATE("R",'Mapa final SI'!$A$70),"")</f>
        <v/>
      </c>
      <c r="M20" s="615"/>
      <c r="N20" s="615" t="str">
        <f>IF(AND('Mapa final SI'!$L$76="Alta",'Mapa final SI'!$P$76="Leve"),CONCATENATE("R",'Mapa final SI'!$A$76),"")</f>
        <v/>
      </c>
      <c r="O20" s="617"/>
      <c r="P20" s="614" t="str">
        <f>IF(AND('Mapa final SI'!$L$64="Alta",'Mapa final SI'!$P$64="Menor"),CONCATENATE("R",'Mapa final SI'!$A$64),"")</f>
        <v/>
      </c>
      <c r="Q20" s="615"/>
      <c r="R20" s="615" t="str">
        <f>IF(AND('Mapa final SI'!$L$70="Alta",'Mapa final SI'!$P$70="Menor"),CONCATENATE("R",'Mapa final SI'!$A$70),"")</f>
        <v/>
      </c>
      <c r="S20" s="615"/>
      <c r="T20" s="615" t="str">
        <f>IF(AND('Mapa final SI'!$L$76="Alta",'Mapa final SI'!$P$76="Menor"),CONCATENATE("R",'Mapa final SI'!$A$76),"")</f>
        <v/>
      </c>
      <c r="U20" s="617"/>
      <c r="V20" s="591" t="str">
        <f>IF(AND('Mapa final SI'!$L$64="Alta",'Mapa final SI'!$P$64="Moderado"),CONCATENATE("R",'Mapa final SI'!$A$64),"")</f>
        <v/>
      </c>
      <c r="W20" s="592"/>
      <c r="X20" s="592" t="str">
        <f>IF(AND('Mapa final SI'!$L$70="Alta",'Mapa final SI'!$P$70="Moderado"),CONCATENATE("R",'Mapa final SI'!$A$70),"")</f>
        <v/>
      </c>
      <c r="Y20" s="592"/>
      <c r="Z20" s="592" t="str">
        <f>IF(AND('Mapa final SI'!$L$76="Alta",'Mapa final SI'!$P$76="Moderado"),CONCATENATE("R",'Mapa final SI'!$A$76),"")</f>
        <v/>
      </c>
      <c r="AA20" s="594"/>
      <c r="AB20" s="591" t="str">
        <f>IF(AND('Mapa final SI'!$L$64="Alta",'Mapa final SI'!$P$64="Mayor"),CONCATENATE("R",'Mapa final SI'!$A$64),"")</f>
        <v/>
      </c>
      <c r="AC20" s="592"/>
      <c r="AD20" s="592" t="str">
        <f>IF(AND('Mapa final SI'!$L$70="Alta",'Mapa final SI'!$P$70="Mayor"),CONCATENATE("R",'Mapa final SI'!$A$70),"")</f>
        <v/>
      </c>
      <c r="AE20" s="592"/>
      <c r="AF20" s="592" t="str">
        <f>IF(AND('Mapa final SI'!$L$76="Alta",'Mapa final SI'!$P$76="Mayor"),CONCATENATE("R",'Mapa final SI'!$A$76),"")</f>
        <v/>
      </c>
      <c r="AG20" s="594"/>
      <c r="AH20" s="597" t="str">
        <f>IF(AND('Mapa final SI'!$L$64="Alta",'Mapa final SI'!$P$64="Catastrófico"),CONCATENATE("R",'Mapa final SI'!$A$64),"")</f>
        <v/>
      </c>
      <c r="AI20" s="598"/>
      <c r="AJ20" s="598" t="str">
        <f>IF(AND('Mapa final SI'!$L$70="Alta",'Mapa final SI'!$P$70="Catastrófico"),CONCATENATE("R",'Mapa final SI'!$A$70),"")</f>
        <v/>
      </c>
      <c r="AK20" s="598"/>
      <c r="AL20" s="598" t="str">
        <f>IF(AND('Mapa final SI'!$L$76="Alta",'Mapa final SI'!$P$76="Catastrófico"),CONCATENATE("R",'Mapa final SI'!$A$76),"")</f>
        <v/>
      </c>
      <c r="AM20" s="600"/>
      <c r="AN20" s="15"/>
      <c r="AO20" s="622"/>
      <c r="AP20" s="623"/>
      <c r="AQ20" s="623"/>
      <c r="AR20" s="623"/>
      <c r="AS20" s="623"/>
      <c r="AT20" s="62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78"/>
      <c r="C21" s="578"/>
      <c r="D21" s="579"/>
      <c r="E21" s="586"/>
      <c r="F21" s="587"/>
      <c r="G21" s="587"/>
      <c r="H21" s="587"/>
      <c r="I21" s="587"/>
      <c r="J21" s="631"/>
      <c r="K21" s="632"/>
      <c r="L21" s="632"/>
      <c r="M21" s="632"/>
      <c r="N21" s="632"/>
      <c r="O21" s="633"/>
      <c r="P21" s="631"/>
      <c r="Q21" s="632"/>
      <c r="R21" s="632"/>
      <c r="S21" s="632"/>
      <c r="T21" s="632"/>
      <c r="U21" s="633"/>
      <c r="V21" s="628"/>
      <c r="W21" s="629"/>
      <c r="X21" s="629"/>
      <c r="Y21" s="629"/>
      <c r="Z21" s="629"/>
      <c r="AA21" s="630"/>
      <c r="AB21" s="628"/>
      <c r="AC21" s="629"/>
      <c r="AD21" s="629"/>
      <c r="AE21" s="629"/>
      <c r="AF21" s="629"/>
      <c r="AG21" s="630"/>
      <c r="AH21" s="618"/>
      <c r="AI21" s="610"/>
      <c r="AJ21" s="610"/>
      <c r="AK21" s="610"/>
      <c r="AL21" s="610"/>
      <c r="AM21" s="611"/>
      <c r="AN21" s="15"/>
      <c r="AO21" s="625"/>
      <c r="AP21" s="626"/>
      <c r="AQ21" s="626"/>
      <c r="AR21" s="626"/>
      <c r="AS21" s="626"/>
      <c r="AT21" s="62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78"/>
      <c r="C22" s="578"/>
      <c r="D22" s="579"/>
      <c r="E22" s="580" t="s">
        <v>1058</v>
      </c>
      <c r="F22" s="581"/>
      <c r="G22" s="581"/>
      <c r="H22" s="581"/>
      <c r="I22" s="582"/>
      <c r="J22" s="612" t="str">
        <f>IF(AND('Mapa final SI'!$L$10="Media",'Mapa final SI'!$P$10="Leve"),CONCATENATE("R",'Mapa final SI'!$A$10),"")</f>
        <v/>
      </c>
      <c r="K22" s="613"/>
      <c r="L22" s="613" t="str">
        <f>IF(AND('Mapa final SI'!$L$16="Media",'Mapa final SI'!$P$16="Leve"),CONCATENATE("R",'Mapa final SI'!$A$16),"")</f>
        <v/>
      </c>
      <c r="M22" s="613"/>
      <c r="N22" s="613" t="str">
        <f>IF(AND('Mapa final SI'!$L$22="Media",'Mapa final SI'!$P$22="Leve"),CONCATENATE("R",'Mapa final SI'!$A$22),"")</f>
        <v/>
      </c>
      <c r="O22" s="616"/>
      <c r="P22" s="612" t="str">
        <f>IF(AND('Mapa final SI'!$L$10="Media",'Mapa final SI'!$P$10="Menor"),CONCATENATE("R",'Mapa final SI'!$A$10),"")</f>
        <v/>
      </c>
      <c r="Q22" s="613"/>
      <c r="R22" s="613" t="str">
        <f>IF(AND('Mapa final SI'!$L$16="Media",'Mapa final SI'!$P$16="Menor"),CONCATENATE("R",'Mapa final SI'!$A$16),"")</f>
        <v/>
      </c>
      <c r="S22" s="613"/>
      <c r="T22" s="613" t="str">
        <f>IF(AND('Mapa final SI'!$L$22="Media",'Mapa final SI'!$P$22="Menor"),CONCATENATE("R",'Mapa final SI'!$A$22),"")</f>
        <v/>
      </c>
      <c r="U22" s="616"/>
      <c r="V22" s="612" t="str">
        <f>IF(AND('Mapa final SI'!$L$10="Media",'Mapa final SI'!$P$10="Moderado"),CONCATENATE("R",'Mapa final SI'!$A$10),"")</f>
        <v/>
      </c>
      <c r="W22" s="613"/>
      <c r="X22" s="613" t="str">
        <f>IF(AND('Mapa final SI'!$L$16="Media",'Mapa final SI'!$P$16="Moderado"),CONCATENATE("R",'Mapa final SI'!$A$16),"")</f>
        <v/>
      </c>
      <c r="Y22" s="613"/>
      <c r="Z22" s="613" t="str">
        <f>IF(AND('Mapa final SI'!$L$22="Media",'Mapa final SI'!$P$22="Moderado"),CONCATENATE("R",'Mapa final SI'!$A$22),"")</f>
        <v/>
      </c>
      <c r="AA22" s="616"/>
      <c r="AB22" s="589" t="str">
        <f>IF(AND('Mapa final SI'!$L$10="Media",'Mapa final SI'!$P$10="Mayor"),CONCATENATE("R",'Mapa final SI'!$A$10),"")</f>
        <v/>
      </c>
      <c r="AC22" s="590"/>
      <c r="AD22" s="590" t="str">
        <f>IF(AND('Mapa final SI'!$L$16="Media",'Mapa final SI'!$P$16="Mayor"),CONCATENATE("R",'Mapa final SI'!$A$16),"")</f>
        <v/>
      </c>
      <c r="AE22" s="590"/>
      <c r="AF22" s="590" t="str">
        <f>IF(AND('Mapa final SI'!$L$22="Media",'Mapa final SI'!$P$22="Mayor"),CONCATENATE("R",'Mapa final SI'!$A$22),"")</f>
        <v/>
      </c>
      <c r="AG22" s="593"/>
      <c r="AH22" s="595" t="str">
        <f>IF(AND('Mapa final SI'!$L$10="Media",'Mapa final SI'!$P$10="Catastrófico"),CONCATENATE("R",'Mapa final SI'!$A$10),"")</f>
        <v/>
      </c>
      <c r="AI22" s="596"/>
      <c r="AJ22" s="596" t="str">
        <f>IF(AND('Mapa final SI'!$L$16="Media",'Mapa final SI'!$P$16="Catastrófico"),CONCATENATE("R",'Mapa final SI'!$A$16),"")</f>
        <v/>
      </c>
      <c r="AK22" s="596"/>
      <c r="AL22" s="596" t="str">
        <f>IF(AND('Mapa final SI'!$L$22="Media",'Mapa final SI'!$P$22="Catastrófico"),CONCATENATE("R",'Mapa final SI'!$A$22),"")</f>
        <v/>
      </c>
      <c r="AM22" s="599"/>
      <c r="AN22" s="15"/>
      <c r="AO22" s="634" t="s">
        <v>9</v>
      </c>
      <c r="AP22" s="635"/>
      <c r="AQ22" s="635"/>
      <c r="AR22" s="635"/>
      <c r="AS22" s="635"/>
      <c r="AT22" s="63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78"/>
      <c r="C23" s="578"/>
      <c r="D23" s="579"/>
      <c r="E23" s="583"/>
      <c r="F23" s="584"/>
      <c r="G23" s="584"/>
      <c r="H23" s="584"/>
      <c r="I23" s="585"/>
      <c r="J23" s="614"/>
      <c r="K23" s="615"/>
      <c r="L23" s="615"/>
      <c r="M23" s="615"/>
      <c r="N23" s="615"/>
      <c r="O23" s="617"/>
      <c r="P23" s="614"/>
      <c r="Q23" s="615"/>
      <c r="R23" s="615"/>
      <c r="S23" s="615"/>
      <c r="T23" s="615"/>
      <c r="U23" s="617"/>
      <c r="V23" s="614"/>
      <c r="W23" s="615"/>
      <c r="X23" s="615"/>
      <c r="Y23" s="615"/>
      <c r="Z23" s="615"/>
      <c r="AA23" s="617"/>
      <c r="AB23" s="591"/>
      <c r="AC23" s="592"/>
      <c r="AD23" s="592"/>
      <c r="AE23" s="592"/>
      <c r="AF23" s="592"/>
      <c r="AG23" s="594"/>
      <c r="AH23" s="597"/>
      <c r="AI23" s="598"/>
      <c r="AJ23" s="598"/>
      <c r="AK23" s="598"/>
      <c r="AL23" s="598"/>
      <c r="AM23" s="600"/>
      <c r="AN23" s="15"/>
      <c r="AO23" s="637"/>
      <c r="AP23" s="638"/>
      <c r="AQ23" s="638"/>
      <c r="AR23" s="638"/>
      <c r="AS23" s="638"/>
      <c r="AT23" s="63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78"/>
      <c r="C24" s="578"/>
      <c r="D24" s="579"/>
      <c r="E24" s="583"/>
      <c r="F24" s="584"/>
      <c r="G24" s="584"/>
      <c r="H24" s="584"/>
      <c r="I24" s="585"/>
      <c r="J24" s="614" t="str">
        <f>IF(AND('Mapa final SI'!$L$28="Media",'Mapa final SI'!$P$28="Leve"),CONCATENATE("R",'Mapa final SI'!$A$28),"")</f>
        <v/>
      </c>
      <c r="K24" s="615"/>
      <c r="L24" s="615" t="str">
        <f>IF(AND('Mapa final SI'!$L$34="Media",'Mapa final SI'!$P$34="Leve"),CONCATENATE("R",'Mapa final SI'!$A$34),"")</f>
        <v/>
      </c>
      <c r="M24" s="615"/>
      <c r="N24" s="615" t="str">
        <f>IF(AND('Mapa final SI'!$L$40="Media",'Mapa final SI'!$P$40="Leve"),CONCATENATE("R",'Mapa final SI'!$A$40),"")</f>
        <v/>
      </c>
      <c r="O24" s="617"/>
      <c r="P24" s="614" t="str">
        <f>IF(AND('Mapa final SI'!$L$28="Media",'Mapa final SI'!$P$28="Menor"),CONCATENATE("R",'Mapa final SI'!$A$28),"")</f>
        <v/>
      </c>
      <c r="Q24" s="615"/>
      <c r="R24" s="615" t="str">
        <f>IF(AND('Mapa final SI'!$L$34="Media",'Mapa final SI'!$P$34="Menor"),CONCATENATE("R",'Mapa final SI'!$A$34),"")</f>
        <v/>
      </c>
      <c r="S24" s="615"/>
      <c r="T24" s="615" t="str">
        <f>IF(AND('Mapa final SI'!$L$40="Media",'Mapa final SI'!$P$40="Menor"),CONCATENATE("R",'Mapa final SI'!$A$40),"")</f>
        <v/>
      </c>
      <c r="U24" s="617"/>
      <c r="V24" s="614" t="str">
        <f>IF(AND('Mapa final SI'!$L$28="Media",'Mapa final SI'!$P$28="Moderado"),CONCATENATE("R",'Mapa final SI'!$A$28),"")</f>
        <v/>
      </c>
      <c r="W24" s="615"/>
      <c r="X24" s="615" t="str">
        <f>IF(AND('Mapa final SI'!$L$34="Media",'Mapa final SI'!$P$34="Moderado"),CONCATENATE("R",'Mapa final SI'!$A$34),"")</f>
        <v/>
      </c>
      <c r="Y24" s="615"/>
      <c r="Z24" s="615" t="str">
        <f>IF(AND('Mapa final SI'!$L$40="Media",'Mapa final SI'!$P$40="Moderado"),CONCATENATE("R",'Mapa final SI'!$A$40),"")</f>
        <v/>
      </c>
      <c r="AA24" s="617"/>
      <c r="AB24" s="591" t="str">
        <f>IF(AND('Mapa final SI'!$L$28="Media",'Mapa final SI'!$P$28="Mayor"),CONCATENATE("R",'Mapa final SI'!$A$28),"")</f>
        <v/>
      </c>
      <c r="AC24" s="592"/>
      <c r="AD24" s="592" t="str">
        <f>IF(AND('Mapa final SI'!$L$34="Media",'Mapa final SI'!$P$34="Mayor"),CONCATENATE("R",'Mapa final SI'!$A$34),"")</f>
        <v/>
      </c>
      <c r="AE24" s="592"/>
      <c r="AF24" s="592" t="str">
        <f>IF(AND('Mapa final SI'!$L$40="Media",'Mapa final SI'!$P$40="Mayor"),CONCATENATE("R",'Mapa final SI'!$A$40),"")</f>
        <v/>
      </c>
      <c r="AG24" s="594"/>
      <c r="AH24" s="597" t="str">
        <f>IF(AND('Mapa final SI'!$L$28="Media",'Mapa final SI'!$P$28="Catastrófico"),CONCATENATE("R",'Mapa final SI'!$A$28),"")</f>
        <v/>
      </c>
      <c r="AI24" s="598"/>
      <c r="AJ24" s="598" t="str">
        <f>IF(AND('Mapa final SI'!$L$34="Media",'Mapa final SI'!$P$34="Catastrófico"),CONCATENATE("R",'Mapa final SI'!$A$34),"")</f>
        <v/>
      </c>
      <c r="AK24" s="598"/>
      <c r="AL24" s="598" t="str">
        <f>IF(AND('Mapa final SI'!$L$40="Media",'Mapa final SI'!$P$40="Catastrófico"),CONCATENATE("R",'Mapa final SI'!$A$40),"")</f>
        <v/>
      </c>
      <c r="AM24" s="600"/>
      <c r="AN24" s="15"/>
      <c r="AO24" s="637"/>
      <c r="AP24" s="638"/>
      <c r="AQ24" s="638"/>
      <c r="AR24" s="638"/>
      <c r="AS24" s="638"/>
      <c r="AT24" s="63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78"/>
      <c r="C25" s="578"/>
      <c r="D25" s="579"/>
      <c r="E25" s="583"/>
      <c r="F25" s="584"/>
      <c r="G25" s="584"/>
      <c r="H25" s="584"/>
      <c r="I25" s="585"/>
      <c r="J25" s="614"/>
      <c r="K25" s="615"/>
      <c r="L25" s="615"/>
      <c r="M25" s="615"/>
      <c r="N25" s="615"/>
      <c r="O25" s="617"/>
      <c r="P25" s="614"/>
      <c r="Q25" s="615"/>
      <c r="R25" s="615"/>
      <c r="S25" s="615"/>
      <c r="T25" s="615"/>
      <c r="U25" s="617"/>
      <c r="V25" s="614"/>
      <c r="W25" s="615"/>
      <c r="X25" s="615"/>
      <c r="Y25" s="615"/>
      <c r="Z25" s="615"/>
      <c r="AA25" s="617"/>
      <c r="AB25" s="591"/>
      <c r="AC25" s="592"/>
      <c r="AD25" s="592"/>
      <c r="AE25" s="592"/>
      <c r="AF25" s="592"/>
      <c r="AG25" s="594"/>
      <c r="AH25" s="597"/>
      <c r="AI25" s="598"/>
      <c r="AJ25" s="598"/>
      <c r="AK25" s="598"/>
      <c r="AL25" s="598"/>
      <c r="AM25" s="600"/>
      <c r="AN25" s="15"/>
      <c r="AO25" s="637"/>
      <c r="AP25" s="638"/>
      <c r="AQ25" s="638"/>
      <c r="AR25" s="638"/>
      <c r="AS25" s="638"/>
      <c r="AT25" s="63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78"/>
      <c r="C26" s="578"/>
      <c r="D26" s="579"/>
      <c r="E26" s="583"/>
      <c r="F26" s="584"/>
      <c r="G26" s="584"/>
      <c r="H26" s="584"/>
      <c r="I26" s="585"/>
      <c r="J26" s="614" t="str">
        <f>IF(AND('Mapa final SI'!$L$46="Media",'Mapa final SI'!$P$46="Leve"),CONCATENATE("R",'Mapa final SI'!$A$46),"")</f>
        <v/>
      </c>
      <c r="K26" s="615"/>
      <c r="L26" s="615" t="str">
        <f>IF(AND('Mapa final SI'!$L$52="Media",'Mapa final SI'!$P$52="Leve"),CONCATENATE("R",'Mapa final SI'!$A$52),"")</f>
        <v/>
      </c>
      <c r="M26" s="615"/>
      <c r="N26" s="615" t="str">
        <f>IF(AND('Mapa final SI'!$L$58="Media",'Mapa final SI'!$P$58="Leve"),CONCATENATE("R",'Mapa final SI'!$A$58),"")</f>
        <v/>
      </c>
      <c r="O26" s="617"/>
      <c r="P26" s="614" t="str">
        <f>IF(AND('Mapa final SI'!$L$46="Media",'Mapa final SI'!$P$46="Menor"),CONCATENATE("R",'Mapa final SI'!$A$46),"")</f>
        <v/>
      </c>
      <c r="Q26" s="615"/>
      <c r="R26" s="615" t="str">
        <f>IF(AND('Mapa final SI'!$L$52="Media",'Mapa final SI'!$P$52="Menor"),CONCATENATE("R",'Mapa final SI'!$A$52),"")</f>
        <v/>
      </c>
      <c r="S26" s="615"/>
      <c r="T26" s="615" t="str">
        <f>IF(AND('Mapa final SI'!$L$58="Media",'Mapa final SI'!$P$58="Menor"),CONCATENATE("R",'Mapa final SI'!$A$58),"")</f>
        <v/>
      </c>
      <c r="U26" s="617"/>
      <c r="V26" s="614" t="str">
        <f>IF(AND('Mapa final SI'!$L$46="Media",'Mapa final SI'!$P$46="Moderado"),CONCATENATE("R",'Mapa final SI'!$A$46),"")</f>
        <v/>
      </c>
      <c r="W26" s="615"/>
      <c r="X26" s="615" t="str">
        <f>IF(AND('Mapa final SI'!$L$52="Media",'Mapa final SI'!$P$52="Moderado"),CONCATENATE("R",'Mapa final SI'!$A$52),"")</f>
        <v/>
      </c>
      <c r="Y26" s="615"/>
      <c r="Z26" s="615" t="str">
        <f>IF(AND('Mapa final SI'!$L$58="Media",'Mapa final SI'!$P$58="Moderado"),CONCATENATE("R",'Mapa final SI'!$A$58),"")</f>
        <v/>
      </c>
      <c r="AA26" s="617"/>
      <c r="AB26" s="591" t="str">
        <f>IF(AND('Mapa final SI'!$L$46="Media",'Mapa final SI'!$P$46="Mayor"),CONCATENATE("R",'Mapa final SI'!$A$46),"")</f>
        <v/>
      </c>
      <c r="AC26" s="592"/>
      <c r="AD26" s="592" t="str">
        <f>IF(AND('Mapa final SI'!$L$52="Media",'Mapa final SI'!$P$52="Mayor"),CONCATENATE("R",'Mapa final SI'!$A$52),"")</f>
        <v/>
      </c>
      <c r="AE26" s="592"/>
      <c r="AF26" s="592" t="str">
        <f>IF(AND('Mapa final SI'!$L$58="Media",'Mapa final SI'!$P$58="Mayor"),CONCATENATE("R",'Mapa final SI'!$A$58),"")</f>
        <v/>
      </c>
      <c r="AG26" s="594"/>
      <c r="AH26" s="597" t="str">
        <f>IF(AND('Mapa final SI'!$L$46="Media",'Mapa final SI'!$P$46="Catastrófico"),CONCATENATE("R",'Mapa final SI'!$A$46),"")</f>
        <v/>
      </c>
      <c r="AI26" s="598"/>
      <c r="AJ26" s="598" t="str">
        <f>IF(AND('Mapa final SI'!$L$52="Media",'Mapa final SI'!$P$52="Catastrófico"),CONCATENATE("R",'Mapa final SI'!$A$52),"")</f>
        <v/>
      </c>
      <c r="AK26" s="598"/>
      <c r="AL26" s="598" t="str">
        <f>IF(AND('Mapa final SI'!$L$58="Media",'Mapa final SI'!$P$58="Catastrófico"),CONCATENATE("R",'Mapa final SI'!$A$58),"")</f>
        <v/>
      </c>
      <c r="AM26" s="600"/>
      <c r="AN26" s="15"/>
      <c r="AO26" s="637"/>
      <c r="AP26" s="638"/>
      <c r="AQ26" s="638"/>
      <c r="AR26" s="638"/>
      <c r="AS26" s="638"/>
      <c r="AT26" s="63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78"/>
      <c r="C27" s="578"/>
      <c r="D27" s="579"/>
      <c r="E27" s="583"/>
      <c r="F27" s="584"/>
      <c r="G27" s="584"/>
      <c r="H27" s="584"/>
      <c r="I27" s="585"/>
      <c r="J27" s="614"/>
      <c r="K27" s="615"/>
      <c r="L27" s="615"/>
      <c r="M27" s="615"/>
      <c r="N27" s="615"/>
      <c r="O27" s="617"/>
      <c r="P27" s="614"/>
      <c r="Q27" s="615"/>
      <c r="R27" s="615"/>
      <c r="S27" s="615"/>
      <c r="T27" s="615"/>
      <c r="U27" s="617"/>
      <c r="V27" s="614"/>
      <c r="W27" s="615"/>
      <c r="X27" s="615"/>
      <c r="Y27" s="615"/>
      <c r="Z27" s="615"/>
      <c r="AA27" s="617"/>
      <c r="AB27" s="591"/>
      <c r="AC27" s="592"/>
      <c r="AD27" s="592"/>
      <c r="AE27" s="592"/>
      <c r="AF27" s="592"/>
      <c r="AG27" s="594"/>
      <c r="AH27" s="597"/>
      <c r="AI27" s="598"/>
      <c r="AJ27" s="598"/>
      <c r="AK27" s="598"/>
      <c r="AL27" s="598"/>
      <c r="AM27" s="600"/>
      <c r="AN27" s="15"/>
      <c r="AO27" s="637"/>
      <c r="AP27" s="638"/>
      <c r="AQ27" s="638"/>
      <c r="AR27" s="638"/>
      <c r="AS27" s="638"/>
      <c r="AT27" s="63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78"/>
      <c r="C28" s="578"/>
      <c r="D28" s="579"/>
      <c r="E28" s="583"/>
      <c r="F28" s="584"/>
      <c r="G28" s="584"/>
      <c r="H28" s="584"/>
      <c r="I28" s="585"/>
      <c r="J28" s="614" t="str">
        <f>IF(AND('Mapa final SI'!$L$64="Media",'Mapa final SI'!$P$64="Leve"),CONCATENATE("R",'Mapa final SI'!$A$64),"")</f>
        <v/>
      </c>
      <c r="K28" s="615"/>
      <c r="L28" s="615" t="str">
        <f>IF(AND('Mapa final SI'!$L$70="Media",'Mapa final SI'!$P$70="Leve"),CONCATENATE("R",'Mapa final SI'!$A$70),"")</f>
        <v/>
      </c>
      <c r="M28" s="615"/>
      <c r="N28" s="615" t="str">
        <f>IF(AND('Mapa final SI'!$L$76="Media",'Mapa final SI'!$P$76="Leve"),CONCATENATE("R",'Mapa final SI'!$A$76),"")</f>
        <v/>
      </c>
      <c r="O28" s="617"/>
      <c r="P28" s="614" t="str">
        <f>IF(AND('Mapa final SI'!$L$64="Media",'Mapa final SI'!$P$64="Menor"),CONCATENATE("R",'Mapa final SI'!$A$64),"")</f>
        <v/>
      </c>
      <c r="Q28" s="615"/>
      <c r="R28" s="615" t="str">
        <f>IF(AND('Mapa final SI'!$L$70="Media",'Mapa final SI'!$P$70="Menor"),CONCATENATE("R",'Mapa final SI'!$A$70),"")</f>
        <v/>
      </c>
      <c r="S28" s="615"/>
      <c r="T28" s="615" t="str">
        <f>IF(AND('Mapa final SI'!$L$76="Media",'Mapa final SI'!$P$76="Menor"),CONCATENATE("R",'Mapa final SI'!$A$76),"")</f>
        <v/>
      </c>
      <c r="U28" s="617"/>
      <c r="V28" s="614" t="str">
        <f>IF(AND('Mapa final SI'!$L$64="Media",'Mapa final SI'!$P$64="Moderado"),CONCATENATE("R",'Mapa final SI'!$A$64),"")</f>
        <v/>
      </c>
      <c r="W28" s="615"/>
      <c r="X28" s="615" t="str">
        <f>IF(AND('Mapa final SI'!$L$70="Media",'Mapa final SI'!$P$70="Moderado"),CONCATENATE("R",'Mapa final SI'!$A$70),"")</f>
        <v/>
      </c>
      <c r="Y28" s="615"/>
      <c r="Z28" s="615" t="str">
        <f>IF(AND('Mapa final SI'!$L$76="Media",'Mapa final SI'!$P$76="Moderado"),CONCATENATE("R",'Mapa final SI'!$A$76),"")</f>
        <v/>
      </c>
      <c r="AA28" s="617"/>
      <c r="AB28" s="591" t="str">
        <f>IF(AND('Mapa final SI'!$L$64="Media",'Mapa final SI'!$P$64="Mayor"),CONCATENATE("R",'Mapa final SI'!$A$64),"")</f>
        <v/>
      </c>
      <c r="AC28" s="592"/>
      <c r="AD28" s="592" t="str">
        <f>IF(AND('Mapa final SI'!$L$70="Media",'Mapa final SI'!$P$70="Mayor"),CONCATENATE("R",'Mapa final SI'!$A$70),"")</f>
        <v/>
      </c>
      <c r="AE28" s="592"/>
      <c r="AF28" s="592" t="str">
        <f>IF(AND('Mapa final SI'!$L$76="Media",'Mapa final SI'!$P$76="Mayor"),CONCATENATE("R",'Mapa final SI'!$A$76),"")</f>
        <v/>
      </c>
      <c r="AG28" s="594"/>
      <c r="AH28" s="597" t="str">
        <f>IF(AND('Mapa final SI'!$L$64="Media",'Mapa final SI'!$P$64="Catastrófico"),CONCATENATE("R",'Mapa final SI'!$A$64),"")</f>
        <v/>
      </c>
      <c r="AI28" s="598"/>
      <c r="AJ28" s="598" t="str">
        <f>IF(AND('Mapa final SI'!$L$70="Media",'Mapa final SI'!$P$70="Catastrófico"),CONCATENATE("R",'Mapa final SI'!$A$70),"")</f>
        <v/>
      </c>
      <c r="AK28" s="598"/>
      <c r="AL28" s="598" t="str">
        <f>IF(AND('Mapa final SI'!$L$76="Media",'Mapa final SI'!$P$76="Catastrófico"),CONCATENATE("R",'Mapa final SI'!$A$76),"")</f>
        <v/>
      </c>
      <c r="AM28" s="600"/>
      <c r="AN28" s="15"/>
      <c r="AO28" s="637"/>
      <c r="AP28" s="638"/>
      <c r="AQ28" s="638"/>
      <c r="AR28" s="638"/>
      <c r="AS28" s="638"/>
      <c r="AT28" s="63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78"/>
      <c r="C29" s="578"/>
      <c r="D29" s="579"/>
      <c r="E29" s="586"/>
      <c r="F29" s="587"/>
      <c r="G29" s="587"/>
      <c r="H29" s="587"/>
      <c r="I29" s="588"/>
      <c r="J29" s="614"/>
      <c r="K29" s="615"/>
      <c r="L29" s="615"/>
      <c r="M29" s="615"/>
      <c r="N29" s="615"/>
      <c r="O29" s="617"/>
      <c r="P29" s="631"/>
      <c r="Q29" s="632"/>
      <c r="R29" s="632"/>
      <c r="S29" s="632"/>
      <c r="T29" s="632"/>
      <c r="U29" s="633"/>
      <c r="V29" s="631"/>
      <c r="W29" s="632"/>
      <c r="X29" s="632"/>
      <c r="Y29" s="632"/>
      <c r="Z29" s="632"/>
      <c r="AA29" s="633"/>
      <c r="AB29" s="628"/>
      <c r="AC29" s="629"/>
      <c r="AD29" s="629"/>
      <c r="AE29" s="629"/>
      <c r="AF29" s="629"/>
      <c r="AG29" s="630"/>
      <c r="AH29" s="618"/>
      <c r="AI29" s="610"/>
      <c r="AJ29" s="610"/>
      <c r="AK29" s="610"/>
      <c r="AL29" s="610"/>
      <c r="AM29" s="611"/>
      <c r="AN29" s="15"/>
      <c r="AO29" s="640"/>
      <c r="AP29" s="641"/>
      <c r="AQ29" s="641"/>
      <c r="AR29" s="641"/>
      <c r="AS29" s="641"/>
      <c r="AT29" s="64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78"/>
      <c r="C30" s="578"/>
      <c r="D30" s="579"/>
      <c r="E30" s="580" t="s">
        <v>1059</v>
      </c>
      <c r="F30" s="581"/>
      <c r="G30" s="581"/>
      <c r="H30" s="581"/>
      <c r="I30" s="581"/>
      <c r="J30" s="643" t="e">
        <f>IF(AND(#REF!="Baja",#REF!="Leve"),CONCATENATE("R",#REF!),"")</f>
        <v>#REF!</v>
      </c>
      <c r="K30" s="644"/>
      <c r="L30" s="644" t="str">
        <f>IF(AND('Mapa final SI'!$L$16="Baja",'Mapa final SI'!$P$16="Leve"),CONCATENATE("R",'Mapa final SI'!$A$16),"")</f>
        <v/>
      </c>
      <c r="M30" s="644"/>
      <c r="N30" s="644" t="str">
        <f>IF(AND('Mapa final SI'!$L$22="Baja",'Mapa final SI'!$P$22="Leve"),CONCATENATE("R",'Mapa final SI'!$A$22),"")</f>
        <v/>
      </c>
      <c r="O30" s="647"/>
      <c r="P30" s="613" t="str">
        <f>IF(AND('Mapa final SI'!$L$10="Baja",'Mapa final SI'!$P$10="Menor"),CONCATENATE("R",'Mapa final SI'!$A$10),"")</f>
        <v/>
      </c>
      <c r="Q30" s="613"/>
      <c r="R30" s="613" t="str">
        <f>IF(AND('Mapa final SI'!$L$16="Baja",'Mapa final SI'!$P$16="Menor"),CONCATENATE("R",'Mapa final SI'!$A$16),"")</f>
        <v/>
      </c>
      <c r="S30" s="613"/>
      <c r="T30" s="613" t="str">
        <f>IF(AND('Mapa final SI'!$L$22="Baja",'Mapa final SI'!$P$22="Menor"),CONCATENATE("R",'Mapa final SI'!$A$22),"")</f>
        <v/>
      </c>
      <c r="U30" s="616"/>
      <c r="V30" s="612" t="str">
        <f>IF(AND('Mapa final SI'!$L$10="Baja",'Mapa final SI'!$P$10="Moderado"),CONCATENATE("R",'Mapa final SI'!$A$10),"")</f>
        <v/>
      </c>
      <c r="W30" s="613"/>
      <c r="X30" s="613" t="str">
        <f>IF(AND('Mapa final SI'!$L$16="Baja",'Mapa final SI'!$P$16="Moderado"),CONCATENATE("R",'Mapa final SI'!$A$16),"")</f>
        <v/>
      </c>
      <c r="Y30" s="613"/>
      <c r="Z30" s="613" t="str">
        <f>IF(AND('Mapa final SI'!$L$22="Baja",'Mapa final SI'!$P$22="Moderado"),CONCATENATE("R",'Mapa final SI'!$A$22),"")</f>
        <v/>
      </c>
      <c r="AA30" s="616"/>
      <c r="AB30" s="589" t="str">
        <f>IF(AND('Mapa final SI'!$L$10="Baja",'Mapa final SI'!$P$10="Mayor"),CONCATENATE("R",'Mapa final SI'!$A$10),"")</f>
        <v/>
      </c>
      <c r="AC30" s="590"/>
      <c r="AD30" s="590" t="str">
        <f>IF(AND('Mapa final SI'!$L$16="Baja",'Mapa final SI'!$P$16="Mayor"),CONCATENATE("R",'Mapa final SI'!$A$16),"")</f>
        <v/>
      </c>
      <c r="AE30" s="590"/>
      <c r="AF30" s="590" t="str">
        <f>IF(AND('Mapa final SI'!$L$22="Baja",'Mapa final SI'!$P$22="Mayor"),CONCATENATE("R",'Mapa final SI'!$A$22),"")</f>
        <v/>
      </c>
      <c r="AG30" s="593"/>
      <c r="AH30" s="595" t="str">
        <f>IF(AND('Mapa final SI'!$L$10="Baja",'Mapa final SI'!$P$10="Catastrófico"),CONCATENATE("R",'Mapa final SI'!$A$10),"")</f>
        <v/>
      </c>
      <c r="AI30" s="596"/>
      <c r="AJ30" s="596" t="str">
        <f>IF(AND('Mapa final SI'!$L$16="Baja",'Mapa final SI'!$P$16="Catastrófico"),CONCATENATE("R",'Mapa final SI'!$A$16),"")</f>
        <v/>
      </c>
      <c r="AK30" s="596"/>
      <c r="AL30" s="596" t="str">
        <f>IF(AND('Mapa final SI'!$L$22="Baja",'Mapa final SI'!$P$22="Catastrófico"),CONCATENATE("R",'Mapa final SI'!$A$22),"")</f>
        <v/>
      </c>
      <c r="AM30" s="599"/>
      <c r="AN30" s="15"/>
      <c r="AO30" s="649" t="s">
        <v>1060</v>
      </c>
      <c r="AP30" s="650"/>
      <c r="AQ30" s="650"/>
      <c r="AR30" s="650"/>
      <c r="AS30" s="650"/>
      <c r="AT30" s="65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78"/>
      <c r="C31" s="578"/>
      <c r="D31" s="579"/>
      <c r="E31" s="583"/>
      <c r="F31" s="584"/>
      <c r="G31" s="584"/>
      <c r="H31" s="584"/>
      <c r="I31" s="584"/>
      <c r="J31" s="645"/>
      <c r="K31" s="646"/>
      <c r="L31" s="646"/>
      <c r="M31" s="646"/>
      <c r="N31" s="646"/>
      <c r="O31" s="648"/>
      <c r="P31" s="615"/>
      <c r="Q31" s="615"/>
      <c r="R31" s="615"/>
      <c r="S31" s="615"/>
      <c r="T31" s="615"/>
      <c r="U31" s="617"/>
      <c r="V31" s="614"/>
      <c r="W31" s="615"/>
      <c r="X31" s="615"/>
      <c r="Y31" s="615"/>
      <c r="Z31" s="615"/>
      <c r="AA31" s="617"/>
      <c r="AB31" s="591"/>
      <c r="AC31" s="592"/>
      <c r="AD31" s="592"/>
      <c r="AE31" s="592"/>
      <c r="AF31" s="592"/>
      <c r="AG31" s="594"/>
      <c r="AH31" s="597"/>
      <c r="AI31" s="598"/>
      <c r="AJ31" s="598"/>
      <c r="AK31" s="598"/>
      <c r="AL31" s="598"/>
      <c r="AM31" s="600"/>
      <c r="AN31" s="15"/>
      <c r="AO31" s="652"/>
      <c r="AP31" s="653"/>
      <c r="AQ31" s="653"/>
      <c r="AR31" s="653"/>
      <c r="AS31" s="653"/>
      <c r="AT31" s="65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78"/>
      <c r="C32" s="578"/>
      <c r="D32" s="579"/>
      <c r="E32" s="583"/>
      <c r="F32" s="584"/>
      <c r="G32" s="584"/>
      <c r="H32" s="584"/>
      <c r="I32" s="584"/>
      <c r="J32" s="645" t="str">
        <f>IF(AND('Mapa final SI'!$L$28="Baja",'Mapa final SI'!$P$28="Leve"),CONCATENATE("R",'Mapa final SI'!$A$28),"")</f>
        <v/>
      </c>
      <c r="K32" s="646"/>
      <c r="L32" s="646" t="str">
        <f>IF(AND('Mapa final SI'!$L$34="Baja",'Mapa final SI'!$P$34="Leve"),CONCATENATE("R",'Mapa final SI'!$A$34),"")</f>
        <v/>
      </c>
      <c r="M32" s="646"/>
      <c r="N32" s="646" t="str">
        <f>IF(AND('Mapa final SI'!$L$40="Baja",'Mapa final SI'!$P$40="Leve"),CONCATENATE("R",'Mapa final SI'!$A$40),"")</f>
        <v/>
      </c>
      <c r="O32" s="648"/>
      <c r="P32" s="615" t="str">
        <f>IF(AND('Mapa final SI'!$L$28="Baja",'Mapa final SI'!$P$28="Menor"),CONCATENATE("R",'Mapa final SI'!$A$28),"")</f>
        <v/>
      </c>
      <c r="Q32" s="615"/>
      <c r="R32" s="615" t="str">
        <f>IF(AND('Mapa final SI'!$L$34="Baja",'Mapa final SI'!$P$34="Menor"),CONCATENATE("R",'Mapa final SI'!$A$34),"")</f>
        <v/>
      </c>
      <c r="S32" s="615"/>
      <c r="T32" s="615" t="str">
        <f>IF(AND('Mapa final SI'!$L$40="Baja",'Mapa final SI'!$P$40="Menor"),CONCATENATE("R",'Mapa final SI'!$A$40),"")</f>
        <v/>
      </c>
      <c r="U32" s="617"/>
      <c r="V32" s="614" t="str">
        <f>IF(AND('Mapa final SI'!$L$28="Baja",'Mapa final SI'!$P$28="Moderado"),CONCATENATE("R",'Mapa final SI'!$A$28),"")</f>
        <v/>
      </c>
      <c r="W32" s="615"/>
      <c r="X32" s="615" t="str">
        <f>IF(AND('Mapa final SI'!$L$34="Baja",'Mapa final SI'!$P$34="Moderado"),CONCATENATE("R",'Mapa final SI'!$A$34),"")</f>
        <v/>
      </c>
      <c r="Y32" s="615"/>
      <c r="Z32" s="615" t="str">
        <f>IF(AND('Mapa final SI'!$L$40="Baja",'Mapa final SI'!$P$40="Moderado"),CONCATENATE("R",'Mapa final SI'!$A$40),"")</f>
        <v/>
      </c>
      <c r="AA32" s="617"/>
      <c r="AB32" s="591" t="str">
        <f>IF(AND('Mapa final SI'!$L$28="Baja",'Mapa final SI'!$P$28="Mayor"),CONCATENATE("R",'Mapa final SI'!$A$28),"")</f>
        <v/>
      </c>
      <c r="AC32" s="592"/>
      <c r="AD32" s="592" t="str">
        <f>IF(AND('Mapa final SI'!$L$34="Baja",'Mapa final SI'!$P$34="Mayor"),CONCATENATE("R",'Mapa final SI'!$A$34),"")</f>
        <v/>
      </c>
      <c r="AE32" s="592"/>
      <c r="AF32" s="592" t="str">
        <f>IF(AND('Mapa final SI'!$L$40="Baja",'Mapa final SI'!$P$40="Mayor"),CONCATENATE("R",'Mapa final SI'!$A$40),"")</f>
        <v/>
      </c>
      <c r="AG32" s="594"/>
      <c r="AH32" s="597" t="str">
        <f>IF(AND('Mapa final SI'!$L$28="Baja",'Mapa final SI'!$P$28="Catastrófico"),CONCATENATE("R",'Mapa final SI'!$A$28),"")</f>
        <v/>
      </c>
      <c r="AI32" s="598"/>
      <c r="AJ32" s="598" t="str">
        <f>IF(AND('Mapa final SI'!$L$34="Baja",'Mapa final SI'!$P$34="Catastrófico"),CONCATENATE("R",'Mapa final SI'!$A$34),"")</f>
        <v/>
      </c>
      <c r="AK32" s="598"/>
      <c r="AL32" s="598" t="str">
        <f>IF(AND('Mapa final SI'!$L$40="Baja",'Mapa final SI'!$P$40="Catastrófico"),CONCATENATE("R",'Mapa final SI'!$A$40),"")</f>
        <v/>
      </c>
      <c r="AM32" s="600"/>
      <c r="AN32" s="15"/>
      <c r="AO32" s="652"/>
      <c r="AP32" s="653"/>
      <c r="AQ32" s="653"/>
      <c r="AR32" s="653"/>
      <c r="AS32" s="653"/>
      <c r="AT32" s="65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78"/>
      <c r="C33" s="578"/>
      <c r="D33" s="579"/>
      <c r="E33" s="583"/>
      <c r="F33" s="584"/>
      <c r="G33" s="584"/>
      <c r="H33" s="584"/>
      <c r="I33" s="584"/>
      <c r="J33" s="645"/>
      <c r="K33" s="646"/>
      <c r="L33" s="646"/>
      <c r="M33" s="646"/>
      <c r="N33" s="646"/>
      <c r="O33" s="648"/>
      <c r="P33" s="615"/>
      <c r="Q33" s="615"/>
      <c r="R33" s="615"/>
      <c r="S33" s="615"/>
      <c r="T33" s="615"/>
      <c r="U33" s="617"/>
      <c r="V33" s="614"/>
      <c r="W33" s="615"/>
      <c r="X33" s="615"/>
      <c r="Y33" s="615"/>
      <c r="Z33" s="615"/>
      <c r="AA33" s="617"/>
      <c r="AB33" s="591"/>
      <c r="AC33" s="592"/>
      <c r="AD33" s="592"/>
      <c r="AE33" s="592"/>
      <c r="AF33" s="592"/>
      <c r="AG33" s="594"/>
      <c r="AH33" s="597"/>
      <c r="AI33" s="598"/>
      <c r="AJ33" s="598"/>
      <c r="AK33" s="598"/>
      <c r="AL33" s="598"/>
      <c r="AM33" s="600"/>
      <c r="AN33" s="15"/>
      <c r="AO33" s="652"/>
      <c r="AP33" s="653"/>
      <c r="AQ33" s="653"/>
      <c r="AR33" s="653"/>
      <c r="AS33" s="653"/>
      <c r="AT33" s="65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78"/>
      <c r="C34" s="578"/>
      <c r="D34" s="579"/>
      <c r="E34" s="583"/>
      <c r="F34" s="584"/>
      <c r="G34" s="584"/>
      <c r="H34" s="584"/>
      <c r="I34" s="584"/>
      <c r="J34" s="645" t="str">
        <f>IF(AND('Mapa final SI'!$L$46="Baja",'Mapa final SI'!$P$46="Leve"),CONCATENATE("R",'Mapa final SI'!$A$46),"")</f>
        <v/>
      </c>
      <c r="K34" s="646"/>
      <c r="L34" s="646" t="str">
        <f>IF(AND('Mapa final SI'!$L$52="Baja",'Mapa final SI'!$P$52="Leve"),CONCATENATE("R",'Mapa final SI'!$A$52),"")</f>
        <v/>
      </c>
      <c r="M34" s="646"/>
      <c r="N34" s="646" t="str">
        <f>IF(AND('Mapa final SI'!$L$58="Baja",'Mapa final SI'!$P$58="Leve"),CONCATENATE("R",'Mapa final SI'!$A$58),"")</f>
        <v/>
      </c>
      <c r="O34" s="648"/>
      <c r="P34" s="615" t="str">
        <f>IF(AND('Mapa final SI'!$L$46="Baja",'Mapa final SI'!$P$46="Menor"),CONCATENATE("R",'Mapa final SI'!$A$46),"")</f>
        <v/>
      </c>
      <c r="Q34" s="615"/>
      <c r="R34" s="615" t="str">
        <f>IF(AND('Mapa final SI'!$L$52="Baja",'Mapa final SI'!$P$52="Menor"),CONCATENATE("R",'Mapa final SI'!$A$52),"")</f>
        <v/>
      </c>
      <c r="S34" s="615"/>
      <c r="T34" s="615" t="str">
        <f>IF(AND('Mapa final SI'!$L$58="Baja",'Mapa final SI'!$P$58="Menor"),CONCATENATE("R",'Mapa final SI'!$A$58),"")</f>
        <v/>
      </c>
      <c r="U34" s="617"/>
      <c r="V34" s="614" t="str">
        <f>IF(AND('Mapa final SI'!$L$46="Baja",'Mapa final SI'!$P$46="Moderado"),CONCATENATE("R",'Mapa final SI'!$A$46),"")</f>
        <v/>
      </c>
      <c r="W34" s="615"/>
      <c r="X34" s="615" t="str">
        <f>IF(AND('Mapa final SI'!$L$52="Baja",'Mapa final SI'!$P$52="Moderado"),CONCATENATE("R",'Mapa final SI'!$A$52),"")</f>
        <v/>
      </c>
      <c r="Y34" s="615"/>
      <c r="Z34" s="615" t="str">
        <f>IF(AND('Mapa final SI'!$L$58="Baja",'Mapa final SI'!$P$58="Moderado"),CONCATENATE("R",'Mapa final SI'!$A$58),"")</f>
        <v/>
      </c>
      <c r="AA34" s="617"/>
      <c r="AB34" s="591" t="str">
        <f>IF(AND('Mapa final SI'!$L$46="Baja",'Mapa final SI'!$P$46="Mayor"),CONCATENATE("R",'Mapa final SI'!$A$46),"")</f>
        <v/>
      </c>
      <c r="AC34" s="592"/>
      <c r="AD34" s="592" t="str">
        <f>IF(AND('Mapa final SI'!$L$52="Baja",'Mapa final SI'!$P$52="Mayor"),CONCATENATE("R",'Mapa final SI'!$A$52),"")</f>
        <v/>
      </c>
      <c r="AE34" s="592"/>
      <c r="AF34" s="592" t="str">
        <f>IF(AND('Mapa final SI'!$L$58="Baja",'Mapa final SI'!$P$58="Mayor"),CONCATENATE("R",'Mapa final SI'!$A$58),"")</f>
        <v/>
      </c>
      <c r="AG34" s="594"/>
      <c r="AH34" s="597" t="str">
        <f>IF(AND('Mapa final SI'!$L$46="Baja",'Mapa final SI'!$P$46="Catastrófico"),CONCATENATE("R",'Mapa final SI'!$A$46),"")</f>
        <v/>
      </c>
      <c r="AI34" s="598"/>
      <c r="AJ34" s="598" t="str">
        <f>IF(AND('Mapa final SI'!$L$52="Baja",'Mapa final SI'!$P$52="Catastrófico"),CONCATENATE("R",'Mapa final SI'!$A$52),"")</f>
        <v/>
      </c>
      <c r="AK34" s="598"/>
      <c r="AL34" s="598" t="str">
        <f>IF(AND('Mapa final SI'!$L$58="Baja",'Mapa final SI'!$P$58="Catastrófico"),CONCATENATE("R",'Mapa final SI'!$A$58),"")</f>
        <v/>
      </c>
      <c r="AM34" s="600"/>
      <c r="AN34" s="15"/>
      <c r="AO34" s="652"/>
      <c r="AP34" s="653"/>
      <c r="AQ34" s="653"/>
      <c r="AR34" s="653"/>
      <c r="AS34" s="653"/>
      <c r="AT34" s="65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78"/>
      <c r="C35" s="578"/>
      <c r="D35" s="579"/>
      <c r="E35" s="583"/>
      <c r="F35" s="584"/>
      <c r="G35" s="584"/>
      <c r="H35" s="584"/>
      <c r="I35" s="584"/>
      <c r="J35" s="645"/>
      <c r="K35" s="646"/>
      <c r="L35" s="646"/>
      <c r="M35" s="646"/>
      <c r="N35" s="646"/>
      <c r="O35" s="648"/>
      <c r="P35" s="615"/>
      <c r="Q35" s="615"/>
      <c r="R35" s="615"/>
      <c r="S35" s="615"/>
      <c r="T35" s="615"/>
      <c r="U35" s="617"/>
      <c r="V35" s="614"/>
      <c r="W35" s="615"/>
      <c r="X35" s="615"/>
      <c r="Y35" s="615"/>
      <c r="Z35" s="615"/>
      <c r="AA35" s="617"/>
      <c r="AB35" s="591"/>
      <c r="AC35" s="592"/>
      <c r="AD35" s="592"/>
      <c r="AE35" s="592"/>
      <c r="AF35" s="592"/>
      <c r="AG35" s="594"/>
      <c r="AH35" s="597"/>
      <c r="AI35" s="598"/>
      <c r="AJ35" s="598"/>
      <c r="AK35" s="598"/>
      <c r="AL35" s="598"/>
      <c r="AM35" s="600"/>
      <c r="AN35" s="15"/>
      <c r="AO35" s="652"/>
      <c r="AP35" s="653"/>
      <c r="AQ35" s="653"/>
      <c r="AR35" s="653"/>
      <c r="AS35" s="653"/>
      <c r="AT35" s="65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78"/>
      <c r="C36" s="578"/>
      <c r="D36" s="579"/>
      <c r="E36" s="583"/>
      <c r="F36" s="584"/>
      <c r="G36" s="584"/>
      <c r="H36" s="584"/>
      <c r="I36" s="584"/>
      <c r="J36" s="645" t="str">
        <f>IF(AND('Mapa final SI'!$L$64="Baja",'Mapa final SI'!$P$64="Leve"),CONCATENATE("R",'Mapa final SI'!$A$64),"")</f>
        <v/>
      </c>
      <c r="K36" s="646"/>
      <c r="L36" s="646" t="str">
        <f>IF(AND('Mapa final SI'!$L$70="Baja",'Mapa final SI'!$P$70="Leve"),CONCATENATE("R",'Mapa final SI'!$A$70),"")</f>
        <v/>
      </c>
      <c r="M36" s="646"/>
      <c r="N36" s="646" t="str">
        <f>IF(AND('Mapa final SI'!$L$76="Baja",'Mapa final SI'!$P$76="Leve"),CONCATENATE("R",'Mapa final SI'!$A$76),"")</f>
        <v/>
      </c>
      <c r="O36" s="648"/>
      <c r="P36" s="615" t="str">
        <f>IF(AND('Mapa final SI'!$L$64="Baja",'Mapa final SI'!$P$64="Menor"),CONCATENATE("R",'Mapa final SI'!$A$64),"")</f>
        <v/>
      </c>
      <c r="Q36" s="615"/>
      <c r="R36" s="615" t="str">
        <f>IF(AND('Mapa final SI'!$L$70="Baja",'Mapa final SI'!$P$70="Menor"),CONCATENATE("R",'Mapa final SI'!$A$70),"")</f>
        <v/>
      </c>
      <c r="S36" s="615"/>
      <c r="T36" s="615" t="str">
        <f>IF(AND('Mapa final SI'!$L$76="Baja",'Mapa final SI'!$P$76="Menor"),CONCATENATE("R",'Mapa final SI'!$A$76),"")</f>
        <v/>
      </c>
      <c r="U36" s="617"/>
      <c r="V36" s="614" t="str">
        <f>IF(AND('Mapa final SI'!$L$64="Baja",'Mapa final SI'!$P$64="Moderado"),CONCATENATE("R",'Mapa final SI'!$A$64),"")</f>
        <v/>
      </c>
      <c r="W36" s="615"/>
      <c r="X36" s="615" t="str">
        <f>IF(AND('Mapa final SI'!$L$70="Baja",'Mapa final SI'!$P$70="Moderado"),CONCATENATE("R",'Mapa final SI'!$A$70),"")</f>
        <v/>
      </c>
      <c r="Y36" s="615"/>
      <c r="Z36" s="615" t="str">
        <f>IF(AND('Mapa final SI'!$L$76="Baja",'Mapa final SI'!$P$76="Moderado"),CONCATENATE("R",'Mapa final SI'!$A$76),"")</f>
        <v/>
      </c>
      <c r="AA36" s="617"/>
      <c r="AB36" s="591" t="str">
        <f>IF(AND('Mapa final SI'!$L$64="Baja",'Mapa final SI'!$P$64="Mayor"),CONCATENATE("R",'Mapa final SI'!$A$64),"")</f>
        <v/>
      </c>
      <c r="AC36" s="592"/>
      <c r="AD36" s="592" t="str">
        <f>IF(AND('Mapa final SI'!$L$70="Baja",'Mapa final SI'!$P$70="Mayor"),CONCATENATE("R",'Mapa final SI'!$A$70),"")</f>
        <v/>
      </c>
      <c r="AE36" s="592"/>
      <c r="AF36" s="592" t="str">
        <f>IF(AND('Mapa final SI'!$L$76="Baja",'Mapa final SI'!$P$76="Mayor"),CONCATENATE("R",'Mapa final SI'!$A$76),"")</f>
        <v/>
      </c>
      <c r="AG36" s="594"/>
      <c r="AH36" s="597" t="str">
        <f>IF(AND('Mapa final SI'!$L$64="Baja",'Mapa final SI'!$P$64="Catastrófico"),CONCATENATE("R",'Mapa final SI'!$A$64),"")</f>
        <v/>
      </c>
      <c r="AI36" s="598"/>
      <c r="AJ36" s="598" t="str">
        <f>IF(AND('Mapa final SI'!$L$70="Baja",'Mapa final SI'!$P$70="Catastrófico"),CONCATENATE("R",'Mapa final SI'!$A$70),"")</f>
        <v/>
      </c>
      <c r="AK36" s="598"/>
      <c r="AL36" s="598" t="str">
        <f>IF(AND('Mapa final SI'!$L$76="Baja",'Mapa final SI'!$P$76="Catastrófico"),CONCATENATE("R",'Mapa final SI'!$A$76),"")</f>
        <v/>
      </c>
      <c r="AM36" s="600"/>
      <c r="AN36" s="15"/>
      <c r="AO36" s="652"/>
      <c r="AP36" s="653"/>
      <c r="AQ36" s="653"/>
      <c r="AR36" s="653"/>
      <c r="AS36" s="653"/>
      <c r="AT36" s="65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78"/>
      <c r="C37" s="578"/>
      <c r="D37" s="579"/>
      <c r="E37" s="586"/>
      <c r="F37" s="587"/>
      <c r="G37" s="587"/>
      <c r="H37" s="587"/>
      <c r="I37" s="587"/>
      <c r="J37" s="658"/>
      <c r="K37" s="659"/>
      <c r="L37" s="659"/>
      <c r="M37" s="659"/>
      <c r="N37" s="659"/>
      <c r="O37" s="660"/>
      <c r="P37" s="632"/>
      <c r="Q37" s="632"/>
      <c r="R37" s="632"/>
      <c r="S37" s="632"/>
      <c r="T37" s="632"/>
      <c r="U37" s="633"/>
      <c r="V37" s="631"/>
      <c r="W37" s="632"/>
      <c r="X37" s="632"/>
      <c r="Y37" s="632"/>
      <c r="Z37" s="632"/>
      <c r="AA37" s="633"/>
      <c r="AB37" s="628"/>
      <c r="AC37" s="629"/>
      <c r="AD37" s="629"/>
      <c r="AE37" s="629"/>
      <c r="AF37" s="629"/>
      <c r="AG37" s="630"/>
      <c r="AH37" s="618"/>
      <c r="AI37" s="610"/>
      <c r="AJ37" s="610"/>
      <c r="AK37" s="610"/>
      <c r="AL37" s="610"/>
      <c r="AM37" s="611"/>
      <c r="AN37" s="15"/>
      <c r="AO37" s="655"/>
      <c r="AP37" s="656"/>
      <c r="AQ37" s="656"/>
      <c r="AR37" s="656"/>
      <c r="AS37" s="656"/>
      <c r="AT37" s="65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78"/>
      <c r="C38" s="578"/>
      <c r="D38" s="579"/>
      <c r="E38" s="580" t="s">
        <v>1061</v>
      </c>
      <c r="F38" s="581"/>
      <c r="G38" s="581"/>
      <c r="H38" s="581"/>
      <c r="I38" s="582"/>
      <c r="J38" s="643" t="str">
        <f>IF(AND('Mapa final SI'!$L$10="Muy Baja",'Mapa final SI'!$P$10="Leve"),CONCATENATE("R",'Mapa final SI'!$A$10),"")</f>
        <v/>
      </c>
      <c r="K38" s="644"/>
      <c r="L38" s="644" t="str">
        <f>IF(AND('Mapa final SI'!$L$16="Muy Baja",'Mapa final SI'!$P$16="Leve"),CONCATENATE("R",'Mapa final SI'!$A$16),"")</f>
        <v/>
      </c>
      <c r="M38" s="644"/>
      <c r="N38" s="644" t="str">
        <f>IF(AND('Mapa final SI'!$L$22="Muy Baja",'Mapa final SI'!$P$22="Leve"),CONCATENATE("R",'Mapa final SI'!$A$22),"")</f>
        <v/>
      </c>
      <c r="O38" s="647"/>
      <c r="P38" s="643" t="str">
        <f>IF(AND('Mapa final SI'!$L$10="Muy Baja",'Mapa final SI'!$P$10="Menor"),CONCATENATE("R",'Mapa final SI'!$A$10),"")</f>
        <v/>
      </c>
      <c r="Q38" s="644"/>
      <c r="R38" s="644" t="str">
        <f>IF(AND('Mapa final SI'!$L$16="Muy Baja",'Mapa final SI'!$P$16="Menor"),CONCATENATE("R",'Mapa final SI'!$A$16),"")</f>
        <v/>
      </c>
      <c r="S38" s="644"/>
      <c r="T38" s="644" t="str">
        <f>IF(AND('Mapa final SI'!$L$22="Muy Baja",'Mapa final SI'!$P$22="Menor"),CONCATENATE("R",'Mapa final SI'!$A$22),"")</f>
        <v/>
      </c>
      <c r="U38" s="647"/>
      <c r="V38" s="612" t="str">
        <f>IF(AND('Mapa final SI'!$L$10="Muy Baja",'Mapa final SI'!$P$10="Moderado"),CONCATENATE("R",'Mapa final SI'!$A$10),"")</f>
        <v/>
      </c>
      <c r="W38" s="613"/>
      <c r="X38" s="613" t="str">
        <f>IF(AND('Mapa final SI'!$L$16="Muy Baja",'Mapa final SI'!$P$16="Moderado"),CONCATENATE("R",'Mapa final SI'!$A$16),"")</f>
        <v/>
      </c>
      <c r="Y38" s="613"/>
      <c r="Z38" s="613" t="str">
        <f>IF(AND('Mapa final SI'!$L$22="Muy Baja",'Mapa final SI'!$P$22="Moderado"),CONCATENATE("R",'Mapa final SI'!$A$22),"")</f>
        <v/>
      </c>
      <c r="AA38" s="616"/>
      <c r="AB38" s="589" t="str">
        <f>IF(AND('Mapa final SI'!$L$10="Muy Baja",'Mapa final SI'!$P$10="Mayor"),CONCATENATE("R",'Mapa final SI'!$A$10),"")</f>
        <v/>
      </c>
      <c r="AC38" s="590"/>
      <c r="AD38" s="590" t="str">
        <f>IF(AND('Mapa final SI'!$L$16="Muy Baja",'Mapa final SI'!$P$16="Mayor"),CONCATENATE("R",'Mapa final SI'!$A$16),"")</f>
        <v/>
      </c>
      <c r="AE38" s="590"/>
      <c r="AF38" s="590" t="str">
        <f>IF(AND('Mapa final SI'!$L$22="Muy Baja",'Mapa final SI'!$P$22="Mayor"),CONCATENATE("R",'Mapa final SI'!$A$22),"")</f>
        <v/>
      </c>
      <c r="AG38" s="593"/>
      <c r="AH38" s="595" t="str">
        <f>IF(AND('Mapa final SI'!$L$10="Muy Baja",'Mapa final SI'!$P$10="Catastrófico"),CONCATENATE("R",'Mapa final SI'!$A$10),"")</f>
        <v/>
      </c>
      <c r="AI38" s="596"/>
      <c r="AJ38" s="596" t="str">
        <f>IF(AND('Mapa final SI'!$L$16="Muy Baja",'Mapa final SI'!$P$16="Catastrófico"),CONCATENATE("R",'Mapa final SI'!$A$16),"")</f>
        <v/>
      </c>
      <c r="AK38" s="596"/>
      <c r="AL38" s="596" t="str">
        <f>IF(AND('Mapa final SI'!$L$22="Muy Baja",'Mapa final SI'!$P$22="Catastrófico"),CONCATENATE("R",'Mapa final SI'!$A$22),"")</f>
        <v/>
      </c>
      <c r="AM38" s="59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78"/>
      <c r="C39" s="578"/>
      <c r="D39" s="579"/>
      <c r="E39" s="583"/>
      <c r="F39" s="584"/>
      <c r="G39" s="584"/>
      <c r="H39" s="584"/>
      <c r="I39" s="585"/>
      <c r="J39" s="645"/>
      <c r="K39" s="646"/>
      <c r="L39" s="646"/>
      <c r="M39" s="646"/>
      <c r="N39" s="646"/>
      <c r="O39" s="648"/>
      <c r="P39" s="645"/>
      <c r="Q39" s="646"/>
      <c r="R39" s="646"/>
      <c r="S39" s="646"/>
      <c r="T39" s="646"/>
      <c r="U39" s="648"/>
      <c r="V39" s="614"/>
      <c r="W39" s="615"/>
      <c r="X39" s="615"/>
      <c r="Y39" s="615"/>
      <c r="Z39" s="615"/>
      <c r="AA39" s="617"/>
      <c r="AB39" s="591"/>
      <c r="AC39" s="592"/>
      <c r="AD39" s="592"/>
      <c r="AE39" s="592"/>
      <c r="AF39" s="592"/>
      <c r="AG39" s="594"/>
      <c r="AH39" s="597"/>
      <c r="AI39" s="598"/>
      <c r="AJ39" s="598"/>
      <c r="AK39" s="598"/>
      <c r="AL39" s="598"/>
      <c r="AM39" s="60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78"/>
      <c r="C40" s="578"/>
      <c r="D40" s="579"/>
      <c r="E40" s="583"/>
      <c r="F40" s="584"/>
      <c r="G40" s="584"/>
      <c r="H40" s="584"/>
      <c r="I40" s="585"/>
      <c r="J40" s="645" t="str">
        <f>IF(AND('Mapa final SI'!$L$28="Muy Baja",'Mapa final SI'!$P$28="Leve"),CONCATENATE("R",'Mapa final SI'!$A$28),"")</f>
        <v/>
      </c>
      <c r="K40" s="646"/>
      <c r="L40" s="646" t="str">
        <f>IF(AND('Mapa final SI'!$L$34="Muy Baja",'Mapa final SI'!$P$34="Leve"),CONCATENATE("R",'Mapa final SI'!$A$34),"")</f>
        <v/>
      </c>
      <c r="M40" s="646"/>
      <c r="N40" s="646" t="str">
        <f>IF(AND('Mapa final SI'!$L$40="Muy Baja",'Mapa final SI'!$P$40="Leve"),CONCATENATE("R",'Mapa final SI'!$A$40),"")</f>
        <v/>
      </c>
      <c r="O40" s="648"/>
      <c r="P40" s="645" t="str">
        <f>IF(AND('Mapa final SI'!$L$28="Muy Baja",'Mapa final SI'!$P$28="Menor"),CONCATENATE("R",'Mapa final SI'!$A$28),"")</f>
        <v/>
      </c>
      <c r="Q40" s="646"/>
      <c r="R40" s="646" t="str">
        <f>IF(AND('Mapa final SI'!$L$34="Muy Baja",'Mapa final SI'!$P$34="Menor"),CONCATENATE("R",'Mapa final SI'!$A$34),"")</f>
        <v/>
      </c>
      <c r="S40" s="646"/>
      <c r="T40" s="646" t="str">
        <f>IF(AND('Mapa final SI'!$L$40="Muy Baja",'Mapa final SI'!$P$40="Menor"),CONCATENATE("R",'Mapa final SI'!$A$40),"")</f>
        <v/>
      </c>
      <c r="U40" s="648"/>
      <c r="V40" s="614" t="str">
        <f>IF(AND('Mapa final SI'!$L$28="Muy Baja",'Mapa final SI'!$P$28="Moderado"),CONCATENATE("R",'Mapa final SI'!$A$28),"")</f>
        <v/>
      </c>
      <c r="W40" s="615"/>
      <c r="X40" s="615" t="str">
        <f>IF(AND('Mapa final SI'!$L$34="Muy Baja",'Mapa final SI'!$P$34="Moderado"),CONCATENATE("R",'Mapa final SI'!$A$34),"")</f>
        <v/>
      </c>
      <c r="Y40" s="615"/>
      <c r="Z40" s="615" t="str">
        <f>IF(AND('Mapa final SI'!$L$40="Muy Baja",'Mapa final SI'!$P$40="Moderado"),CONCATENATE("R",'Mapa final SI'!$A$40),"")</f>
        <v/>
      </c>
      <c r="AA40" s="617"/>
      <c r="AB40" s="591" t="str">
        <f>IF(AND('Mapa final SI'!$L$28="Muy Baja",'Mapa final SI'!$P$28="Mayor"),CONCATENATE("R",'Mapa final SI'!$A$28),"")</f>
        <v/>
      </c>
      <c r="AC40" s="592"/>
      <c r="AD40" s="592" t="str">
        <f>IF(AND('Mapa final SI'!$L$34="Muy Baja",'Mapa final SI'!$P$34="Mayor"),CONCATENATE("R",'Mapa final SI'!$A$34),"")</f>
        <v/>
      </c>
      <c r="AE40" s="592"/>
      <c r="AF40" s="592" t="str">
        <f>IF(AND('Mapa final SI'!$L$40="Muy Baja",'Mapa final SI'!$P$40="Mayor"),CONCATENATE("R",'Mapa final SI'!$A$40),"")</f>
        <v/>
      </c>
      <c r="AG40" s="594"/>
      <c r="AH40" s="597" t="str">
        <f>IF(AND('Mapa final SI'!$L$28="Muy Baja",'Mapa final SI'!$P$28="Catastrófico"),CONCATENATE("R",'Mapa final SI'!$A$28),"")</f>
        <v/>
      </c>
      <c r="AI40" s="598"/>
      <c r="AJ40" s="598" t="str">
        <f>IF(AND('Mapa final SI'!$L$34="Muy Baja",'Mapa final SI'!$P$34="Catastrófico"),CONCATENATE("R",'Mapa final SI'!$A$34),"")</f>
        <v/>
      </c>
      <c r="AK40" s="598"/>
      <c r="AL40" s="598" t="str">
        <f>IF(AND('Mapa final SI'!$L$40="Muy Baja",'Mapa final SI'!$P$40="Catastrófico"),CONCATENATE("R",'Mapa final SI'!$A$40),"")</f>
        <v/>
      </c>
      <c r="AM40" s="60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78"/>
      <c r="C41" s="578"/>
      <c r="D41" s="579"/>
      <c r="E41" s="583"/>
      <c r="F41" s="584"/>
      <c r="G41" s="584"/>
      <c r="H41" s="584"/>
      <c r="I41" s="585"/>
      <c r="J41" s="645"/>
      <c r="K41" s="646"/>
      <c r="L41" s="646"/>
      <c r="M41" s="646"/>
      <c r="N41" s="646"/>
      <c r="O41" s="648"/>
      <c r="P41" s="645"/>
      <c r="Q41" s="646"/>
      <c r="R41" s="646"/>
      <c r="S41" s="646"/>
      <c r="T41" s="646"/>
      <c r="U41" s="648"/>
      <c r="V41" s="614"/>
      <c r="W41" s="615"/>
      <c r="X41" s="615"/>
      <c r="Y41" s="615"/>
      <c r="Z41" s="615"/>
      <c r="AA41" s="617"/>
      <c r="AB41" s="591"/>
      <c r="AC41" s="592"/>
      <c r="AD41" s="592"/>
      <c r="AE41" s="592"/>
      <c r="AF41" s="592"/>
      <c r="AG41" s="594"/>
      <c r="AH41" s="597"/>
      <c r="AI41" s="598"/>
      <c r="AJ41" s="598"/>
      <c r="AK41" s="598"/>
      <c r="AL41" s="598"/>
      <c r="AM41" s="60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78"/>
      <c r="C42" s="578"/>
      <c r="D42" s="579"/>
      <c r="E42" s="583"/>
      <c r="F42" s="584"/>
      <c r="G42" s="584"/>
      <c r="H42" s="584"/>
      <c r="I42" s="585"/>
      <c r="J42" s="645" t="str">
        <f>IF(AND('Mapa final SI'!$L$46="Muy Baja",'Mapa final SI'!$P$46="Leve"),CONCATENATE("R",'Mapa final SI'!$A$46),"")</f>
        <v/>
      </c>
      <c r="K42" s="646"/>
      <c r="L42" s="646" t="str">
        <f>IF(AND('Mapa final SI'!$L$52="Muy Baja",'Mapa final SI'!$P$52="Leve"),CONCATENATE("R",'Mapa final SI'!$A$52),"")</f>
        <v/>
      </c>
      <c r="M42" s="646"/>
      <c r="N42" s="646" t="str">
        <f>IF(AND('Mapa final SI'!$L$58="Muy Baja",'Mapa final SI'!$P$58="Leve"),CONCATENATE("R",'Mapa final SI'!$A$58),"")</f>
        <v/>
      </c>
      <c r="O42" s="648"/>
      <c r="P42" s="645" t="str">
        <f>IF(AND('Mapa final SI'!$L$46="Muy Baja",'Mapa final SI'!$P$46="Menor"),CONCATENATE("R",'Mapa final SI'!$A$46),"")</f>
        <v/>
      </c>
      <c r="Q42" s="646"/>
      <c r="R42" s="646" t="str">
        <f>IF(AND('Mapa final SI'!$L$52="Muy Baja",'Mapa final SI'!$P$52="Menor"),CONCATENATE("R",'Mapa final SI'!$A$52),"")</f>
        <v/>
      </c>
      <c r="S42" s="646"/>
      <c r="T42" s="646" t="str">
        <f>IF(AND('Mapa final SI'!$L$58="Muy Baja",'Mapa final SI'!$P$58="Menor"),CONCATENATE("R",'Mapa final SI'!$A$58),"")</f>
        <v/>
      </c>
      <c r="U42" s="648"/>
      <c r="V42" s="614" t="str">
        <f>IF(AND('Mapa final SI'!$L$46="Muy Baja",'Mapa final SI'!$P$46="Moderado"),CONCATENATE("R",'Mapa final SI'!$A$46),"")</f>
        <v/>
      </c>
      <c r="W42" s="615"/>
      <c r="X42" s="615" t="str">
        <f>IF(AND('Mapa final SI'!$L$52="Muy Baja",'Mapa final SI'!$P$52="Moderado"),CONCATENATE("R",'Mapa final SI'!$A$52),"")</f>
        <v/>
      </c>
      <c r="Y42" s="615"/>
      <c r="Z42" s="615" t="str">
        <f>IF(AND('Mapa final SI'!$L$58="Muy Baja",'Mapa final SI'!$P$58="Moderado"),CONCATENATE("R",'Mapa final SI'!$A$58),"")</f>
        <v/>
      </c>
      <c r="AA42" s="617"/>
      <c r="AB42" s="591" t="str">
        <f>IF(AND('Mapa final SI'!$L$46="Muy Baja",'Mapa final SI'!$P$46="Mayor"),CONCATENATE("R",'Mapa final SI'!$A$46),"")</f>
        <v/>
      </c>
      <c r="AC42" s="592"/>
      <c r="AD42" s="592" t="str">
        <f>IF(AND('Mapa final SI'!$L$52="Muy Baja",'Mapa final SI'!$P$52="Mayor"),CONCATENATE("R",'Mapa final SI'!$A$52),"")</f>
        <v/>
      </c>
      <c r="AE42" s="592"/>
      <c r="AF42" s="592" t="str">
        <f>IF(AND('Mapa final SI'!$L$58="Muy Baja",'Mapa final SI'!$P$58="Mayor"),CONCATENATE("R",'Mapa final SI'!$A$58),"")</f>
        <v/>
      </c>
      <c r="AG42" s="594"/>
      <c r="AH42" s="597" t="str">
        <f>IF(AND('Mapa final SI'!$L$46="Muy Baja",'Mapa final SI'!$P$46="Catastrófico"),CONCATENATE("R",'Mapa final SI'!$A$46),"")</f>
        <v/>
      </c>
      <c r="AI42" s="598"/>
      <c r="AJ42" s="598" t="str">
        <f>IF(AND('Mapa final SI'!$L$52="Muy Baja",'Mapa final SI'!$P$52="Catastrófico"),CONCATENATE("R",'Mapa final SI'!$A$52),"")</f>
        <v/>
      </c>
      <c r="AK42" s="598"/>
      <c r="AL42" s="598" t="str">
        <f>IF(AND('Mapa final SI'!$L$58="Muy Baja",'Mapa final SI'!$P$58="Catastrófico"),CONCATENATE("R",'Mapa final SI'!$A$58),"")</f>
        <v/>
      </c>
      <c r="AM42" s="60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78"/>
      <c r="C43" s="578"/>
      <c r="D43" s="579"/>
      <c r="E43" s="583"/>
      <c r="F43" s="584"/>
      <c r="G43" s="584"/>
      <c r="H43" s="584"/>
      <c r="I43" s="585"/>
      <c r="J43" s="645"/>
      <c r="K43" s="646"/>
      <c r="L43" s="646"/>
      <c r="M43" s="646"/>
      <c r="N43" s="646"/>
      <c r="O43" s="648"/>
      <c r="P43" s="645"/>
      <c r="Q43" s="646"/>
      <c r="R43" s="646"/>
      <c r="S43" s="646"/>
      <c r="T43" s="646"/>
      <c r="U43" s="648"/>
      <c r="V43" s="614"/>
      <c r="W43" s="615"/>
      <c r="X43" s="615"/>
      <c r="Y43" s="615"/>
      <c r="Z43" s="615"/>
      <c r="AA43" s="617"/>
      <c r="AB43" s="591"/>
      <c r="AC43" s="592"/>
      <c r="AD43" s="592"/>
      <c r="AE43" s="592"/>
      <c r="AF43" s="592"/>
      <c r="AG43" s="594"/>
      <c r="AH43" s="597"/>
      <c r="AI43" s="598"/>
      <c r="AJ43" s="598"/>
      <c r="AK43" s="598"/>
      <c r="AL43" s="598"/>
      <c r="AM43" s="60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78"/>
      <c r="C44" s="578"/>
      <c r="D44" s="579"/>
      <c r="E44" s="583"/>
      <c r="F44" s="584"/>
      <c r="G44" s="584"/>
      <c r="H44" s="584"/>
      <c r="I44" s="585"/>
      <c r="J44" s="645" t="str">
        <f>IF(AND('Mapa final SI'!$L$64="Muy Baja",'Mapa final SI'!$P$64="Leve"),CONCATENATE("R",'Mapa final SI'!$A$64),"")</f>
        <v/>
      </c>
      <c r="K44" s="646"/>
      <c r="L44" s="646" t="str">
        <f>IF(AND('Mapa final SI'!$L$70="Muy Baja",'Mapa final SI'!$P$70="Leve"),CONCATENATE("R",'Mapa final SI'!$A$70),"")</f>
        <v/>
      </c>
      <c r="M44" s="646"/>
      <c r="N44" s="646" t="str">
        <f>IF(AND('Mapa final SI'!$L$76="Muy Baja",'Mapa final SI'!$P$76="Leve"),CONCATENATE("R",'Mapa final SI'!$A$76),"")</f>
        <v/>
      </c>
      <c r="O44" s="648"/>
      <c r="P44" s="645" t="str">
        <f>IF(AND('Mapa final SI'!$L$64="Muy Baja",'Mapa final SI'!$P$64="Menor"),CONCATENATE("R",'Mapa final SI'!$A$64),"")</f>
        <v/>
      </c>
      <c r="Q44" s="646"/>
      <c r="R44" s="646" t="str">
        <f>IF(AND('Mapa final SI'!$L$70="Muy Baja",'Mapa final SI'!$P$70="Menor"),CONCATENATE("R",'Mapa final SI'!$A$70),"")</f>
        <v/>
      </c>
      <c r="S44" s="646"/>
      <c r="T44" s="646" t="str">
        <f>IF(AND('Mapa final SI'!$L$76="Muy Baja",'Mapa final SI'!$P$76="Menor"),CONCATENATE("R",'Mapa final SI'!$A$76),"")</f>
        <v/>
      </c>
      <c r="U44" s="648"/>
      <c r="V44" s="614" t="str">
        <f>IF(AND('Mapa final SI'!$L$64="Muy Baja",'Mapa final SI'!$P$64="Moderado"),CONCATENATE("R",'Mapa final SI'!$A$64),"")</f>
        <v/>
      </c>
      <c r="W44" s="615"/>
      <c r="X44" s="615" t="str">
        <f>IF(AND('Mapa final SI'!$L$70="Muy Baja",'Mapa final SI'!$P$70="Moderado"),CONCATENATE("R",'Mapa final SI'!$A$70),"")</f>
        <v/>
      </c>
      <c r="Y44" s="615"/>
      <c r="Z44" s="615" t="str">
        <f>IF(AND('Mapa final SI'!$L$76="Muy Baja",'Mapa final SI'!$P$76="Moderado"),CONCATENATE("R",'Mapa final SI'!$A$76),"")</f>
        <v/>
      </c>
      <c r="AA44" s="617"/>
      <c r="AB44" s="591" t="str">
        <f>IF(AND('Mapa final SI'!$L$64="Muy Baja",'Mapa final SI'!$P$64="Mayor"),CONCATENATE("R",'Mapa final SI'!$A$64),"")</f>
        <v/>
      </c>
      <c r="AC44" s="592"/>
      <c r="AD44" s="592" t="str">
        <f>IF(AND('Mapa final SI'!$L$70="Muy Baja",'Mapa final SI'!$P$70="Mayor"),CONCATENATE("R",'Mapa final SI'!$A$70),"")</f>
        <v/>
      </c>
      <c r="AE44" s="592"/>
      <c r="AF44" s="592" t="str">
        <f>IF(AND('Mapa final SI'!$L$76="Muy Baja",'Mapa final SI'!$P$76="Mayor"),CONCATENATE("R",'Mapa final SI'!$A$76),"")</f>
        <v/>
      </c>
      <c r="AG44" s="594"/>
      <c r="AH44" s="597" t="str">
        <f>IF(AND('Mapa final SI'!$L$64="Muy Baja",'Mapa final SI'!$P$64="Catastrófico"),CONCATENATE("R",'Mapa final SI'!$A$64),"")</f>
        <v/>
      </c>
      <c r="AI44" s="598"/>
      <c r="AJ44" s="598" t="str">
        <f>IF(AND('Mapa final SI'!$L$70="Muy Baja",'Mapa final SI'!$P$70="Catastrófico"),CONCATENATE("R",'Mapa final SI'!$A$70),"")</f>
        <v/>
      </c>
      <c r="AK44" s="598"/>
      <c r="AL44" s="598" t="e">
        <f>IF(AND(#REF!="Muy Baja",#REF!="Catastrófico"),CONCATENATE("R",#REF!),"")</f>
        <v>#REF!</v>
      </c>
      <c r="AM44" s="60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78"/>
      <c r="C45" s="578"/>
      <c r="D45" s="579"/>
      <c r="E45" s="586"/>
      <c r="F45" s="587"/>
      <c r="G45" s="587"/>
      <c r="H45" s="587"/>
      <c r="I45" s="588"/>
      <c r="J45" s="658"/>
      <c r="K45" s="659"/>
      <c r="L45" s="659"/>
      <c r="M45" s="659"/>
      <c r="N45" s="659"/>
      <c r="O45" s="660"/>
      <c r="P45" s="658"/>
      <c r="Q45" s="659"/>
      <c r="R45" s="659"/>
      <c r="S45" s="659"/>
      <c r="T45" s="659"/>
      <c r="U45" s="660"/>
      <c r="V45" s="631"/>
      <c r="W45" s="632"/>
      <c r="X45" s="632"/>
      <c r="Y45" s="632"/>
      <c r="Z45" s="632"/>
      <c r="AA45" s="633"/>
      <c r="AB45" s="628"/>
      <c r="AC45" s="629"/>
      <c r="AD45" s="629"/>
      <c r="AE45" s="629"/>
      <c r="AF45" s="629"/>
      <c r="AG45" s="630"/>
      <c r="AH45" s="618"/>
      <c r="AI45" s="610"/>
      <c r="AJ45" s="610"/>
      <c r="AK45" s="610"/>
      <c r="AL45" s="610"/>
      <c r="AM45" s="61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0" t="s">
        <v>1062</v>
      </c>
      <c r="K46" s="581"/>
      <c r="L46" s="581"/>
      <c r="M46" s="581"/>
      <c r="N46" s="581"/>
      <c r="O46" s="582"/>
      <c r="P46" s="580" t="s">
        <v>1063</v>
      </c>
      <c r="Q46" s="581"/>
      <c r="R46" s="581"/>
      <c r="S46" s="581"/>
      <c r="T46" s="581"/>
      <c r="U46" s="582"/>
      <c r="V46" s="580" t="s">
        <v>1064</v>
      </c>
      <c r="W46" s="581"/>
      <c r="X46" s="581"/>
      <c r="Y46" s="581"/>
      <c r="Z46" s="581"/>
      <c r="AA46" s="582"/>
      <c r="AB46" s="580" t="s">
        <v>1065</v>
      </c>
      <c r="AC46" s="661"/>
      <c r="AD46" s="581"/>
      <c r="AE46" s="581"/>
      <c r="AF46" s="581"/>
      <c r="AG46" s="582"/>
      <c r="AH46" s="580" t="s">
        <v>1066</v>
      </c>
      <c r="AI46" s="581"/>
      <c r="AJ46" s="581"/>
      <c r="AK46" s="581"/>
      <c r="AL46" s="581"/>
      <c r="AM46" s="58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3"/>
      <c r="K47" s="584"/>
      <c r="L47" s="584"/>
      <c r="M47" s="584"/>
      <c r="N47" s="584"/>
      <c r="O47" s="585"/>
      <c r="P47" s="583"/>
      <c r="Q47" s="584"/>
      <c r="R47" s="584"/>
      <c r="S47" s="584"/>
      <c r="T47" s="584"/>
      <c r="U47" s="585"/>
      <c r="V47" s="583"/>
      <c r="W47" s="584"/>
      <c r="X47" s="584"/>
      <c r="Y47" s="584"/>
      <c r="Z47" s="584"/>
      <c r="AA47" s="585"/>
      <c r="AB47" s="583"/>
      <c r="AC47" s="584"/>
      <c r="AD47" s="584"/>
      <c r="AE47" s="584"/>
      <c r="AF47" s="584"/>
      <c r="AG47" s="585"/>
      <c r="AH47" s="583"/>
      <c r="AI47" s="584"/>
      <c r="AJ47" s="584"/>
      <c r="AK47" s="584"/>
      <c r="AL47" s="584"/>
      <c r="AM47" s="58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3"/>
      <c r="K48" s="584"/>
      <c r="L48" s="584"/>
      <c r="M48" s="584"/>
      <c r="N48" s="584"/>
      <c r="O48" s="585"/>
      <c r="P48" s="583"/>
      <c r="Q48" s="584"/>
      <c r="R48" s="584"/>
      <c r="S48" s="584"/>
      <c r="T48" s="584"/>
      <c r="U48" s="585"/>
      <c r="V48" s="583"/>
      <c r="W48" s="584"/>
      <c r="X48" s="584"/>
      <c r="Y48" s="584"/>
      <c r="Z48" s="584"/>
      <c r="AA48" s="585"/>
      <c r="AB48" s="583"/>
      <c r="AC48" s="584"/>
      <c r="AD48" s="584"/>
      <c r="AE48" s="584"/>
      <c r="AF48" s="584"/>
      <c r="AG48" s="585"/>
      <c r="AH48" s="583"/>
      <c r="AI48" s="584"/>
      <c r="AJ48" s="584"/>
      <c r="AK48" s="584"/>
      <c r="AL48" s="584"/>
      <c r="AM48" s="58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3"/>
      <c r="K49" s="584"/>
      <c r="L49" s="584"/>
      <c r="M49" s="584"/>
      <c r="N49" s="584"/>
      <c r="O49" s="585"/>
      <c r="P49" s="583"/>
      <c r="Q49" s="584"/>
      <c r="R49" s="584"/>
      <c r="S49" s="584"/>
      <c r="T49" s="584"/>
      <c r="U49" s="585"/>
      <c r="V49" s="583"/>
      <c r="W49" s="584"/>
      <c r="X49" s="584"/>
      <c r="Y49" s="584"/>
      <c r="Z49" s="584"/>
      <c r="AA49" s="585"/>
      <c r="AB49" s="583"/>
      <c r="AC49" s="584"/>
      <c r="AD49" s="584"/>
      <c r="AE49" s="584"/>
      <c r="AF49" s="584"/>
      <c r="AG49" s="585"/>
      <c r="AH49" s="583"/>
      <c r="AI49" s="584"/>
      <c r="AJ49" s="584"/>
      <c r="AK49" s="584"/>
      <c r="AL49" s="584"/>
      <c r="AM49" s="58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3"/>
      <c r="K50" s="584"/>
      <c r="L50" s="584"/>
      <c r="M50" s="584"/>
      <c r="N50" s="584"/>
      <c r="O50" s="585"/>
      <c r="P50" s="583"/>
      <c r="Q50" s="584"/>
      <c r="R50" s="584"/>
      <c r="S50" s="584"/>
      <c r="T50" s="584"/>
      <c r="U50" s="585"/>
      <c r="V50" s="583"/>
      <c r="W50" s="584"/>
      <c r="X50" s="584"/>
      <c r="Y50" s="584"/>
      <c r="Z50" s="584"/>
      <c r="AA50" s="585"/>
      <c r="AB50" s="583"/>
      <c r="AC50" s="584"/>
      <c r="AD50" s="584"/>
      <c r="AE50" s="584"/>
      <c r="AF50" s="584"/>
      <c r="AG50" s="585"/>
      <c r="AH50" s="583"/>
      <c r="AI50" s="584"/>
      <c r="AJ50" s="584"/>
      <c r="AK50" s="584"/>
      <c r="AL50" s="584"/>
      <c r="AM50" s="58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6"/>
      <c r="K51" s="587"/>
      <c r="L51" s="587"/>
      <c r="M51" s="587"/>
      <c r="N51" s="587"/>
      <c r="O51" s="588"/>
      <c r="P51" s="586"/>
      <c r="Q51" s="587"/>
      <c r="R51" s="587"/>
      <c r="S51" s="587"/>
      <c r="T51" s="587"/>
      <c r="U51" s="588"/>
      <c r="V51" s="586"/>
      <c r="W51" s="587"/>
      <c r="X51" s="587"/>
      <c r="Y51" s="587"/>
      <c r="Z51" s="587"/>
      <c r="AA51" s="588"/>
      <c r="AB51" s="586"/>
      <c r="AC51" s="587"/>
      <c r="AD51" s="587"/>
      <c r="AE51" s="587"/>
      <c r="AF51" s="587"/>
      <c r="AG51" s="588"/>
      <c r="AH51" s="586"/>
      <c r="AI51" s="587"/>
      <c r="AJ51" s="587"/>
      <c r="AK51" s="587"/>
      <c r="AL51" s="587"/>
      <c r="AM51" s="58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vLL3zQW7UIp8jFN98zN20+//TJDBvbiV1rBpEXAuo/+PSvMmfMYvbqjmt3RmUl/eXaEVt+ADACFv0unMPNFWZg==" saltValue="U6pJQam9lHdg7GvVX9L45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M248"/>
  <sheetViews>
    <sheetView zoomScale="50" zoomScaleNormal="50" workbookViewId="0">
      <selection activeCell="AH25" sqref="AH25"/>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2" t="s">
        <v>1067</v>
      </c>
      <c r="C2" s="663"/>
      <c r="D2" s="663"/>
      <c r="E2" s="663"/>
      <c r="F2" s="663"/>
      <c r="G2" s="663"/>
      <c r="H2" s="663"/>
      <c r="I2" s="663"/>
      <c r="J2" s="577" t="s">
        <v>5</v>
      </c>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3"/>
      <c r="C3" s="663"/>
      <c r="D3" s="663"/>
      <c r="E3" s="663"/>
      <c r="F3" s="663"/>
      <c r="G3" s="663"/>
      <c r="H3" s="663"/>
      <c r="I3" s="663"/>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3"/>
      <c r="C4" s="663"/>
      <c r="D4" s="663"/>
      <c r="E4" s="663"/>
      <c r="F4" s="663"/>
      <c r="G4" s="663"/>
      <c r="H4" s="663"/>
      <c r="I4" s="663"/>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78" t="s">
        <v>3</v>
      </c>
      <c r="C6" s="578"/>
      <c r="D6" s="579"/>
      <c r="E6" s="664" t="s">
        <v>1054</v>
      </c>
      <c r="F6" s="665"/>
      <c r="G6" s="665"/>
      <c r="H6" s="665"/>
      <c r="I6" s="666"/>
      <c r="J6" s="250" t="str">
        <f>IF(AND('Mapa final SI'!$AC$10="Muy Alta",'Mapa final SI'!$AE$10="Leve"),CONCATENATE("R1C",'Mapa final SI'!$S$10),"")</f>
        <v/>
      </c>
      <c r="K6" s="251" t="str">
        <f>IF(AND('Mapa final SI'!$AC$11="Muy Alta",'Mapa final SI'!$AE$11="Leve"),CONCATENATE("R1C",'Mapa final SI'!$S$11),"")</f>
        <v/>
      </c>
      <c r="L6" s="251" t="str">
        <f>IF(AND('Mapa final SI'!$AC$12="Muy Alta",'Mapa final SI'!$AE$12="Leve"),CONCATENATE("R1C",'Mapa final SI'!$S$12),"")</f>
        <v/>
      </c>
      <c r="M6" s="251" t="e">
        <f>IF(AND(#REF!="Muy Alta",#REF!="Leve"),CONCATENATE("R1C",#REF!),"")</f>
        <v>#REF!</v>
      </c>
      <c r="N6" s="251" t="e">
        <f>IF(AND(#REF!="Muy Alta",#REF!="Leve"),CONCATENATE("R1C",#REF!),"")</f>
        <v>#REF!</v>
      </c>
      <c r="O6" s="252" t="e">
        <f>IF(AND(#REF!="Muy Alta",#REF!="Leve"),CONCATENATE("R1C",#REF!),"")</f>
        <v>#REF!</v>
      </c>
      <c r="P6" s="250" t="e">
        <f>IF(AND(#REF!="Muy Alta",#REF!="Menor"),CONCATENATE("R1C",#REF!),"")</f>
        <v>#REF!</v>
      </c>
      <c r="Q6" s="251" t="e">
        <f>IF(AND(#REF!="Muy Alta",#REF!="Menor"),CONCATENATE("R1C",#REF!),"")</f>
        <v>#REF!</v>
      </c>
      <c r="R6" s="251" t="e">
        <f>IF(AND(#REF!="Muy Alta",#REF!="Menor"),CONCATENATE("R1C",#REF!),"")</f>
        <v>#REF!</v>
      </c>
      <c r="S6" s="251" t="e">
        <f>IF(AND(#REF!="Muy Alta",#REF!="Menor"),CONCATENATE("R1C",#REF!),"")</f>
        <v>#REF!</v>
      </c>
      <c r="T6" s="251" t="e">
        <f>IF(AND(#REF!="Muy Alta",#REF!="Menor"),CONCATENATE("R1C",#REF!),"")</f>
        <v>#REF!</v>
      </c>
      <c r="U6" s="252" t="e">
        <f>IF(AND(#REF!="Muy Alta",#REF!="Menor"),CONCATENATE("R1C",#REF!),"")</f>
        <v>#REF!</v>
      </c>
      <c r="V6" s="250" t="e">
        <f>IF(AND(#REF!="Muy Alta",#REF!="Moderado"),CONCATENATE("R1C",#REF!),"")</f>
        <v>#REF!</v>
      </c>
      <c r="W6" s="251" t="e">
        <f>IF(AND(#REF!="Muy Alta",#REF!="Moderado"),CONCATENATE("R1C",#REF!),"")</f>
        <v>#REF!</v>
      </c>
      <c r="X6" s="251" t="e">
        <f>IF(AND(#REF!="Muy Alta",#REF!="Moderado"),CONCATENATE("R1C",#REF!),"")</f>
        <v>#REF!</v>
      </c>
      <c r="Y6" s="251" t="e">
        <f>IF(AND(#REF!="Muy Alta",#REF!="Moderado"),CONCATENATE("R1C",#REF!),"")</f>
        <v>#REF!</v>
      </c>
      <c r="Z6" s="251" t="e">
        <f>IF(AND(#REF!="Muy Alta",#REF!="Moderado"),CONCATENATE("R1C",#REF!),"")</f>
        <v>#REF!</v>
      </c>
      <c r="AA6" s="252" t="e">
        <f>IF(AND(#REF!="Muy Alta",#REF!="Moderado"),CONCATENATE("R1C",#REF!),"")</f>
        <v>#REF!</v>
      </c>
      <c r="AB6" s="250" t="str">
        <f>IF(AND('Mapa final SI'!$AC$10="Muy Alta",'Mapa final SI'!$AE$10="Mayor"),CONCATENATE("R1C",'Mapa final SI'!$S$10),"")</f>
        <v/>
      </c>
      <c r="AC6" s="251" t="e">
        <f>IF(AND(#REF!="Muy Alta",#REF!="Mayor"),CONCATENATE("R1C",#REF!),"")</f>
        <v>#REF!</v>
      </c>
      <c r="AD6" s="251" t="e">
        <f>IF(AND(#REF!="Muy Alta",#REF!="Mayor"),CONCATENATE("R1C",#REF!),"")</f>
        <v>#REF!</v>
      </c>
      <c r="AE6" s="251" t="e">
        <f>IF(AND(#REF!="Muy Alta",#REF!="Mayor"),CONCATENATE("R1C",#REF!),"")</f>
        <v>#REF!</v>
      </c>
      <c r="AF6" s="251" t="e">
        <f>IF(AND(#REF!="Muy Alta",#REF!="Mayor"),CONCATENATE("R1C",#REF!),"")</f>
        <v>#REF!</v>
      </c>
      <c r="AG6" s="252" t="e">
        <f>IF(AND(#REF!="Muy Alta",#REF!="Mayor"),CONCATENATE("R1C",#REF!),"")</f>
        <v>#REF!</v>
      </c>
      <c r="AH6" s="253" t="e">
        <f>IF(AND(#REF!="Muy Alta",#REF!="Catastrófico"),CONCATENATE("R1C",#REF!),"")</f>
        <v>#REF!</v>
      </c>
      <c r="AI6" s="254" t="e">
        <f>IF(AND(#REF!="Muy Alta",#REF!="Catastrófico"),CONCATENATE("R1C",#REF!),"")</f>
        <v>#REF!</v>
      </c>
      <c r="AJ6" s="254" t="e">
        <f>IF(AND(#REF!="Muy Alta",#REF!="Catastrófico"),CONCATENATE("R1C",#REF!),"")</f>
        <v>#REF!</v>
      </c>
      <c r="AK6" s="254" t="e">
        <f>IF(AND(#REF!="Muy Alta",#REF!="Catastrófico"),CONCATENATE("R1C",#REF!),"")</f>
        <v>#REF!</v>
      </c>
      <c r="AL6" s="254" t="e">
        <f>IF(AND(#REF!="Muy Alta",#REF!="Catastrófico"),CONCATENATE("R1C",#REF!),"")</f>
        <v>#REF!</v>
      </c>
      <c r="AM6" s="255" t="e">
        <f>IF(AND(#REF!="Muy Alta",#REF!="Catastrófico"),CONCATENATE("R1C",#REF!),"")</f>
        <v>#REF!</v>
      </c>
      <c r="AN6" s="15"/>
      <c r="AO6" s="673" t="s">
        <v>1055</v>
      </c>
      <c r="AP6" s="674"/>
      <c r="AQ6" s="674"/>
      <c r="AR6" s="674"/>
      <c r="AS6" s="674"/>
      <c r="AT6" s="67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78"/>
      <c r="C7" s="578"/>
      <c r="D7" s="579"/>
      <c r="E7" s="667"/>
      <c r="F7" s="668"/>
      <c r="G7" s="668"/>
      <c r="H7" s="668"/>
      <c r="I7" s="669"/>
      <c r="J7" s="256" t="str">
        <f>IF(AND('Mapa final SI'!$AC$16="Muy Alta",'Mapa final SI'!$AE$16="Leve"),CONCATENATE("R2C",'Mapa final SI'!$S$16),"")</f>
        <v/>
      </c>
      <c r="K7" s="257" t="str">
        <f>IF(AND('Mapa final SI'!$AC$17="Muy Alta",'Mapa final SI'!$AE$17="Leve"),CONCATENATE("R2C",'Mapa final SI'!$S$17),"")</f>
        <v/>
      </c>
      <c r="L7" s="257" t="str">
        <f>IF(AND('Mapa final SI'!$AC$18="Muy Alta",'Mapa final SI'!$AE$18="Leve"),CONCATENATE("R2C",'Mapa final SI'!$S$18),"")</f>
        <v/>
      </c>
      <c r="M7" s="257" t="str">
        <f>IF(AND('Mapa final SI'!$AC$19="Muy Alta",'Mapa final SI'!$AE$19="Leve"),CONCATENATE("R2C",'Mapa final SI'!$S$19),"")</f>
        <v/>
      </c>
      <c r="N7" s="257" t="str">
        <f>IF(AND('Mapa final SI'!$AC$20="Muy Alta",'Mapa final SI'!$AE$20="Leve"),CONCATENATE("R2C",'Mapa final SI'!$S$20),"")</f>
        <v/>
      </c>
      <c r="O7" s="258" t="str">
        <f>IF(AND('Mapa final SI'!$AC$21="Muy Alta",'Mapa final SI'!$AE$21="Leve"),CONCATENATE("R2C",'Mapa final SI'!$S$21),"")</f>
        <v/>
      </c>
      <c r="P7" s="256" t="str">
        <f>IF(AND('Mapa final SI'!$AC$16="Muy Alta",'Mapa final SI'!$AE$16="Menor"),CONCATENATE("R2C",'Mapa final SI'!$S$16),"")</f>
        <v/>
      </c>
      <c r="Q7" s="257" t="str">
        <f>IF(AND('Mapa final SI'!$AC$17="Muy Alta",'Mapa final SI'!$AE$17="Menor"),CONCATENATE("R2C",'Mapa final SI'!$S$17),"")</f>
        <v/>
      </c>
      <c r="R7" s="257" t="str">
        <f>IF(AND('Mapa final SI'!$AC$18="Muy Alta",'Mapa final SI'!$AE$18="Menor"),CONCATENATE("R2C",'Mapa final SI'!$S$18),"")</f>
        <v/>
      </c>
      <c r="S7" s="257" t="str">
        <f>IF(AND('Mapa final SI'!$AC$19="Muy Alta",'Mapa final SI'!$AE$19="Menor"),CONCATENATE("R2C",'Mapa final SI'!$S$19),"")</f>
        <v/>
      </c>
      <c r="T7" s="257" t="str">
        <f>IF(AND('Mapa final SI'!$AC$20="Muy Alta",'Mapa final SI'!$AE$20="Menor"),CONCATENATE("R2C",'Mapa final SI'!$S$20),"")</f>
        <v/>
      </c>
      <c r="U7" s="258" t="str">
        <f>IF(AND('Mapa final SI'!$AC$21="Muy Alta",'Mapa final SI'!$AE$21="Menor"),CONCATENATE("R2C",'Mapa final SI'!$S$21),"")</f>
        <v/>
      </c>
      <c r="V7" s="256" t="str">
        <f>IF(AND('Mapa final SI'!$AC$16="Muy Alta",'Mapa final SI'!$AE$16="Moderado"),CONCATENATE("R2C",'Mapa final SI'!$S$16),"")</f>
        <v/>
      </c>
      <c r="W7" s="257" t="str">
        <f>IF(AND('Mapa final SI'!$AC$17="Muy Alta",'Mapa final SI'!$AE$17="Moderado"),CONCATENATE("R2C",'Mapa final SI'!$S$17),"")</f>
        <v/>
      </c>
      <c r="X7" s="257" t="str">
        <f>IF(AND('Mapa final SI'!$AC$18="Muy Alta",'Mapa final SI'!$AE$18="Moderado"),CONCATENATE("R2C",'Mapa final SI'!$S$18),"")</f>
        <v/>
      </c>
      <c r="Y7" s="257" t="str">
        <f>IF(AND('Mapa final SI'!$AC$19="Muy Alta",'Mapa final SI'!$AE$19="Moderado"),CONCATENATE("R2C",'Mapa final SI'!$S$19),"")</f>
        <v/>
      </c>
      <c r="Z7" s="257" t="str">
        <f>IF(AND('Mapa final SI'!$AC$20="Muy Alta",'Mapa final SI'!$AE$20="Moderado"),CONCATENATE("R2C",'Mapa final SI'!$S$20),"")</f>
        <v/>
      </c>
      <c r="AA7" s="258" t="str">
        <f>IF(AND('Mapa final SI'!$AC$21="Muy Alta",'Mapa final SI'!$AE$21="Moderado"),CONCATENATE("R2C",'Mapa final SI'!$S$21),"")</f>
        <v/>
      </c>
      <c r="AB7" s="256" t="str">
        <f>IF(AND('Mapa final SI'!$AC$16="Muy Alta",'Mapa final SI'!$AE$16="Mayor"),CONCATENATE("R2C",'Mapa final SI'!$S$16),"")</f>
        <v/>
      </c>
      <c r="AC7" s="257" t="str">
        <f>IF(AND('Mapa final SI'!$AC$17="Muy Alta",'Mapa final SI'!$AE$17="Mayor"),CONCATENATE("R2C",'Mapa final SI'!$S$17),"")</f>
        <v/>
      </c>
      <c r="AD7" s="257" t="str">
        <f>IF(AND('Mapa final SI'!$AC$18="Muy Alta",'Mapa final SI'!$AE$18="Mayor"),CONCATENATE("R2C",'Mapa final SI'!$S$18),"")</f>
        <v/>
      </c>
      <c r="AE7" s="257" t="str">
        <f>IF(AND('Mapa final SI'!$AC$19="Muy Alta",'Mapa final SI'!$AE$19="Mayor"),CONCATENATE("R2C",'Mapa final SI'!$S$19),"")</f>
        <v/>
      </c>
      <c r="AF7" s="257" t="str">
        <f>IF(AND('Mapa final SI'!$AC$20="Muy Alta",'Mapa final SI'!$AE$20="Mayor"),CONCATENATE("R2C",'Mapa final SI'!$S$20),"")</f>
        <v/>
      </c>
      <c r="AG7" s="258" t="str">
        <f>IF(AND('Mapa final SI'!$AC$21="Muy Alta",'Mapa final SI'!$AE$21="Mayor"),CONCATENATE("R2C",'Mapa final SI'!$S$21),"")</f>
        <v/>
      </c>
      <c r="AH7" s="259" t="str">
        <f>IF(AND('Mapa final SI'!$AC$16="Muy Alta",'Mapa final SI'!$AE$16="Catastrófico"),CONCATENATE("R2C",'Mapa final SI'!$S$16),"")</f>
        <v/>
      </c>
      <c r="AI7" s="260" t="str">
        <f>IF(AND('Mapa final SI'!$AC$17="Muy Alta",'Mapa final SI'!$AE$17="Catastrófico"),CONCATENATE("R2C",'Mapa final SI'!$S$17),"")</f>
        <v/>
      </c>
      <c r="AJ7" s="260" t="str">
        <f>IF(AND('Mapa final SI'!$AC$18="Muy Alta",'Mapa final SI'!$AE$18="Catastrófico"),CONCATENATE("R2C",'Mapa final SI'!$S$18),"")</f>
        <v/>
      </c>
      <c r="AK7" s="260" t="str">
        <f>IF(AND('Mapa final SI'!$AC$19="Muy Alta",'Mapa final SI'!$AE$19="Catastrófico"),CONCATENATE("R2C",'Mapa final SI'!$S$19),"")</f>
        <v/>
      </c>
      <c r="AL7" s="260" t="str">
        <f>IF(AND('Mapa final SI'!$AC$20="Muy Alta",'Mapa final SI'!$AE$20="Catastrófico"),CONCATENATE("R2C",'Mapa final SI'!$S$20),"")</f>
        <v/>
      </c>
      <c r="AM7" s="261" t="str">
        <f>IF(AND('Mapa final SI'!$AC$21="Muy Alta",'Mapa final SI'!$AE$21="Catastrófico"),CONCATENATE("R2C",'Mapa final SI'!$S$21),"")</f>
        <v/>
      </c>
      <c r="AN7" s="15"/>
      <c r="AO7" s="676"/>
      <c r="AP7" s="677"/>
      <c r="AQ7" s="677"/>
      <c r="AR7" s="677"/>
      <c r="AS7" s="677"/>
      <c r="AT7" s="67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78"/>
      <c r="C8" s="578"/>
      <c r="D8" s="579"/>
      <c r="E8" s="667"/>
      <c r="F8" s="668"/>
      <c r="G8" s="668"/>
      <c r="H8" s="668"/>
      <c r="I8" s="669"/>
      <c r="J8" s="256" t="str">
        <f>IF(AND('Mapa final SI'!$AC$22="Muy Alta",'Mapa final SI'!$AE$22="Leve"),CONCATENATE("R3C",'Mapa final SI'!$S$22),"")</f>
        <v/>
      </c>
      <c r="K8" s="257" t="str">
        <f>IF(AND('Mapa final SI'!$AC$23="Muy Alta",'Mapa final SI'!$AE$23="Leve"),CONCATENATE("R3C",'Mapa final SI'!$S$23),"")</f>
        <v/>
      </c>
      <c r="L8" s="257" t="str">
        <f>IF(AND('Mapa final SI'!$AC$24="Muy Alta",'Mapa final SI'!$AE$24="Leve"),CONCATENATE("R3C",'Mapa final SI'!$S$24),"")</f>
        <v/>
      </c>
      <c r="M8" s="257" t="str">
        <f>IF(AND('Mapa final SI'!$AC$25="Muy Alta",'Mapa final SI'!$AE$25="Leve"),CONCATENATE("R3C",'Mapa final SI'!$S$25),"")</f>
        <v/>
      </c>
      <c r="N8" s="257" t="str">
        <f>IF(AND('Mapa final SI'!$AC$26="Muy Alta",'Mapa final SI'!$AE$26="Leve"),CONCATENATE("R3C",'Mapa final SI'!$S$26),"")</f>
        <v/>
      </c>
      <c r="O8" s="258" t="str">
        <f>IF(AND('Mapa final SI'!$AC$27="Muy Alta",'Mapa final SI'!$AE$27="Leve"),CONCATENATE("R3C",'Mapa final SI'!$S$27),"")</f>
        <v/>
      </c>
      <c r="P8" s="256" t="str">
        <f>IF(AND('Mapa final SI'!$AC$22="Muy Alta",'Mapa final SI'!$AE$22="Menor"),CONCATENATE("R3C",'Mapa final SI'!$S$22),"")</f>
        <v/>
      </c>
      <c r="Q8" s="257" t="str">
        <f>IF(AND('Mapa final SI'!$AC$23="Muy Alta",'Mapa final SI'!$AE$23="Menor"),CONCATENATE("R3C",'Mapa final SI'!$S$23),"")</f>
        <v/>
      </c>
      <c r="R8" s="257" t="str">
        <f>IF(AND('Mapa final SI'!$AC$24="Muy Alta",'Mapa final SI'!$AE$24="Menor"),CONCATENATE("R3C",'Mapa final SI'!$S$24),"")</f>
        <v/>
      </c>
      <c r="S8" s="257" t="str">
        <f>IF(AND('Mapa final SI'!$AC$25="Muy Alta",'Mapa final SI'!$AE$25="Menor"),CONCATENATE("R3C",'Mapa final SI'!$S$25),"")</f>
        <v/>
      </c>
      <c r="T8" s="257" t="str">
        <f>IF(AND('Mapa final SI'!$AC$26="Muy Alta",'Mapa final SI'!$AE$26="Menor"),CONCATENATE("R3C",'Mapa final SI'!$S$26),"")</f>
        <v/>
      </c>
      <c r="U8" s="258" t="str">
        <f>IF(AND('Mapa final SI'!$AC$27="Muy Alta",'Mapa final SI'!$AE$27="Menor"),CONCATENATE("R3C",'Mapa final SI'!$S$27),"")</f>
        <v/>
      </c>
      <c r="V8" s="256" t="str">
        <f>IF(AND('Mapa final SI'!$AC$22="Muy Alta",'Mapa final SI'!$AE$22="Moderado"),CONCATENATE("R3C",'Mapa final SI'!$S$22),"")</f>
        <v/>
      </c>
      <c r="W8" s="257" t="str">
        <f>IF(AND('Mapa final SI'!$AC$23="Muy Alta",'Mapa final SI'!$AE$23="Moderado"),CONCATENATE("R3C",'Mapa final SI'!$S$23),"")</f>
        <v/>
      </c>
      <c r="X8" s="257" t="str">
        <f>IF(AND('Mapa final SI'!$AC$24="Muy Alta",'Mapa final SI'!$AE$24="Moderado"),CONCATENATE("R3C",'Mapa final SI'!$S$24),"")</f>
        <v/>
      </c>
      <c r="Y8" s="257" t="str">
        <f>IF(AND('Mapa final SI'!$AC$25="Muy Alta",'Mapa final SI'!$AE$25="Moderado"),CONCATENATE("R3C",'Mapa final SI'!$S$25),"")</f>
        <v/>
      </c>
      <c r="Z8" s="257" t="str">
        <f>IF(AND('Mapa final SI'!$AC$26="Muy Alta",'Mapa final SI'!$AE$26="Moderado"),CONCATENATE("R3C",'Mapa final SI'!$S$26),"")</f>
        <v/>
      </c>
      <c r="AA8" s="258" t="str">
        <f>IF(AND('Mapa final SI'!$AC$27="Muy Alta",'Mapa final SI'!$AE$27="Moderado"),CONCATENATE("R3C",'Mapa final SI'!$S$27),"")</f>
        <v/>
      </c>
      <c r="AB8" s="256" t="str">
        <f>IF(AND('Mapa final SI'!$AC$22="Muy Alta",'Mapa final SI'!$AE$22="Mayor"),CONCATENATE("R3C",'Mapa final SI'!$S$22),"")</f>
        <v/>
      </c>
      <c r="AC8" s="257" t="str">
        <f>IF(AND('Mapa final SI'!$AC$23="Muy Alta",'Mapa final SI'!$AE$23="Mayor"),CONCATENATE("R3C",'Mapa final SI'!$S$23),"")</f>
        <v/>
      </c>
      <c r="AD8" s="257" t="str">
        <f>IF(AND('Mapa final SI'!$AC$24="Muy Alta",'Mapa final SI'!$AE$24="Mayor"),CONCATENATE("R3C",'Mapa final SI'!$S$24),"")</f>
        <v/>
      </c>
      <c r="AE8" s="257" t="str">
        <f>IF(AND('Mapa final SI'!$AC$25="Muy Alta",'Mapa final SI'!$AE$25="Mayor"),CONCATENATE("R3C",'Mapa final SI'!$S$25),"")</f>
        <v/>
      </c>
      <c r="AF8" s="257" t="str">
        <f>IF(AND('Mapa final SI'!$AC$26="Muy Alta",'Mapa final SI'!$AE$26="Mayor"),CONCATENATE("R3C",'Mapa final SI'!$S$26),"")</f>
        <v/>
      </c>
      <c r="AG8" s="258" t="str">
        <f>IF(AND('Mapa final SI'!$AC$27="Muy Alta",'Mapa final SI'!$AE$27="Mayor"),CONCATENATE("R3C",'Mapa final SI'!$S$27),"")</f>
        <v/>
      </c>
      <c r="AH8" s="259" t="str">
        <f>IF(AND('Mapa final SI'!$AC$22="Muy Alta",'Mapa final SI'!$AE$22="Catastrófico"),CONCATENATE("R3C",'Mapa final SI'!$S$22),"")</f>
        <v/>
      </c>
      <c r="AI8" s="260" t="str">
        <f>IF(AND('Mapa final SI'!$AC$23="Muy Alta",'Mapa final SI'!$AE$23="Catastrófico"),CONCATENATE("R3C",'Mapa final SI'!$S$23),"")</f>
        <v/>
      </c>
      <c r="AJ8" s="260" t="str">
        <f>IF(AND('Mapa final SI'!$AC$24="Muy Alta",'Mapa final SI'!$AE$24="Catastrófico"),CONCATENATE("R3C",'Mapa final SI'!$S$24),"")</f>
        <v/>
      </c>
      <c r="AK8" s="260" t="str">
        <f>IF(AND('Mapa final SI'!$AC$25="Muy Alta",'Mapa final SI'!$AE$25="Catastrófico"),CONCATENATE("R3C",'Mapa final SI'!$S$25),"")</f>
        <v/>
      </c>
      <c r="AL8" s="260" t="str">
        <f>IF(AND('Mapa final SI'!$AC$26="Muy Alta",'Mapa final SI'!$AE$26="Catastrófico"),CONCATENATE("R3C",'Mapa final SI'!$S$26),"")</f>
        <v/>
      </c>
      <c r="AM8" s="261" t="str">
        <f>IF(AND('Mapa final SI'!$AC$27="Muy Alta",'Mapa final SI'!$AE$27="Catastrófico"),CONCATENATE("R3C",'Mapa final SI'!$S$27),"")</f>
        <v/>
      </c>
      <c r="AN8" s="15"/>
      <c r="AO8" s="676"/>
      <c r="AP8" s="677"/>
      <c r="AQ8" s="677"/>
      <c r="AR8" s="677"/>
      <c r="AS8" s="677"/>
      <c r="AT8" s="67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78"/>
      <c r="C9" s="578"/>
      <c r="D9" s="579"/>
      <c r="E9" s="667"/>
      <c r="F9" s="668"/>
      <c r="G9" s="668"/>
      <c r="H9" s="668"/>
      <c r="I9" s="669"/>
      <c r="J9" s="256" t="str">
        <f>IF(AND('Mapa final SI'!$AC$28="Muy Alta",'Mapa final SI'!$AE$28="Leve"),CONCATENATE("R4C",'Mapa final SI'!$S$28),"")</f>
        <v/>
      </c>
      <c r="K9" s="257" t="str">
        <f>IF(AND('Mapa final SI'!$AC$29="Muy Alta",'Mapa final SI'!$AE$29="Leve"),CONCATENATE("R4C",'Mapa final SI'!$S$29),"")</f>
        <v/>
      </c>
      <c r="L9" s="257" t="str">
        <f>IF(AND('Mapa final SI'!$AC$30="Muy Alta",'Mapa final SI'!$AE$30="Leve"),CONCATENATE("R4C",'Mapa final SI'!$S$30),"")</f>
        <v/>
      </c>
      <c r="M9" s="257" t="str">
        <f>IF(AND('Mapa final SI'!$AC$31="Muy Alta",'Mapa final SI'!$AE$31="Leve"),CONCATENATE("R4C",'Mapa final SI'!$S$31),"")</f>
        <v/>
      </c>
      <c r="N9" s="257" t="str">
        <f>IF(AND('Mapa final SI'!$AC$32="Muy Alta",'Mapa final SI'!$AE$32="Leve"),CONCATENATE("R4C",'Mapa final SI'!$S$32),"")</f>
        <v/>
      </c>
      <c r="O9" s="258" t="str">
        <f>IF(AND('Mapa final SI'!$AC$33="Muy Alta",'Mapa final SI'!$AE$33="Leve"),CONCATENATE("R4C",'Mapa final SI'!$S$33),"")</f>
        <v/>
      </c>
      <c r="P9" s="256" t="e">
        <f>IF(AND(#REF!="Muy Alta",#REF!="Menor"),CONCATENATE("R4C",#REF!),"")</f>
        <v>#REF!</v>
      </c>
      <c r="Q9" s="257" t="str">
        <f>IF(AND('Mapa final SI'!$AC$29="Muy Alta",'Mapa final SI'!$AE$29="Menor"),CONCATENATE("R4C",'Mapa final SI'!$S$29),"")</f>
        <v/>
      </c>
      <c r="R9" s="257" t="str">
        <f>IF(AND('Mapa final SI'!$AC$30="Muy Alta",'Mapa final SI'!$AE$30="Menor"),CONCATENATE("R4C",'Mapa final SI'!$S$30),"")</f>
        <v/>
      </c>
      <c r="S9" s="257" t="str">
        <f>IF(AND('Mapa final SI'!$AC$31="Muy Alta",'Mapa final SI'!$AE$31="Menor"),CONCATENATE("R4C",'Mapa final SI'!$S$31),"")</f>
        <v/>
      </c>
      <c r="T9" s="257" t="str">
        <f>IF(AND('Mapa final SI'!$AC$32="Muy Alta",'Mapa final SI'!$AE$32="Menor"),CONCATENATE("R4C",'Mapa final SI'!$S$32),"")</f>
        <v/>
      </c>
      <c r="U9" s="258" t="str">
        <f>IF(AND('Mapa final SI'!$AC$33="Muy Alta",'Mapa final SI'!$AE$33="Menor"),CONCATENATE("R4C",'Mapa final SI'!$S$33),"")</f>
        <v/>
      </c>
      <c r="V9" s="256" t="str">
        <f>IF(AND('Mapa final SI'!$AC$28="Muy Alta",'Mapa final SI'!$AE$28="Moderado"),CONCATENATE("R4C",'Mapa final SI'!$S$28),"")</f>
        <v/>
      </c>
      <c r="W9" s="257" t="str">
        <f>IF(AND('Mapa final SI'!$AC$29="Muy Alta",'Mapa final SI'!$AE$29="Moderado"),CONCATENATE("R4C",'Mapa final SI'!$S$29),"")</f>
        <v/>
      </c>
      <c r="X9" s="257" t="str">
        <f>IF(AND('Mapa final SI'!$AC$30="Muy Alta",'Mapa final SI'!$AE$30="Moderado"),CONCATENATE("R4C",'Mapa final SI'!$S$30),"")</f>
        <v/>
      </c>
      <c r="Y9" s="257" t="str">
        <f>IF(AND('Mapa final SI'!$AC$31="Muy Alta",'Mapa final SI'!$AE$31="Moderado"),CONCATENATE("R4C",'Mapa final SI'!$S$31),"")</f>
        <v/>
      </c>
      <c r="Z9" s="257" t="str">
        <f>IF(AND('Mapa final SI'!$AC$32="Muy Alta",'Mapa final SI'!$AE$32="Moderado"),CONCATENATE("R4C",'Mapa final SI'!$S$32),"")</f>
        <v/>
      </c>
      <c r="AA9" s="258" t="str">
        <f>IF(AND('Mapa final SI'!$AC$33="Muy Alta",'Mapa final SI'!$AE$33="Moderado"),CONCATENATE("R4C",'Mapa final SI'!$S$33),"")</f>
        <v/>
      </c>
      <c r="AB9" s="256" t="str">
        <f>IF(AND('Mapa final SI'!$AC$28="Muy Alta",'Mapa final SI'!$AE$28="Mayor"),CONCATENATE("R4C",'Mapa final SI'!$S$28),"")</f>
        <v/>
      </c>
      <c r="AC9" s="257" t="str">
        <f>IF(AND('Mapa final SI'!$AC$29="Muy Alta",'Mapa final SI'!$AE$29="Mayor"),CONCATENATE("R4C",'Mapa final SI'!$S$29),"")</f>
        <v/>
      </c>
      <c r="AD9" s="257" t="str">
        <f>IF(AND('Mapa final SI'!$AC$30="Muy Alta",'Mapa final SI'!$AE$30="Mayor"),CONCATENATE("R4C",'Mapa final SI'!$S$30),"")</f>
        <v/>
      </c>
      <c r="AE9" s="257" t="str">
        <f>IF(AND('Mapa final SI'!$AC$31="Muy Alta",'Mapa final SI'!$AE$31="Mayor"),CONCATENATE("R4C",'Mapa final SI'!$S$31),"")</f>
        <v/>
      </c>
      <c r="AF9" s="257" t="str">
        <f>IF(AND('Mapa final SI'!$AC$32="Muy Alta",'Mapa final SI'!$AE$32="Mayor"),CONCATENATE("R4C",'Mapa final SI'!$S$32),"")</f>
        <v/>
      </c>
      <c r="AG9" s="258" t="str">
        <f>IF(AND('Mapa final SI'!$AC$33="Muy Alta",'Mapa final SI'!$AE$33="Mayor"),CONCATENATE("R4C",'Mapa final SI'!$S$33),"")</f>
        <v/>
      </c>
      <c r="AH9" s="259" t="str">
        <f>IF(AND('Mapa final SI'!$AC$28="Muy Alta",'Mapa final SI'!$AE$28="Catastrófico"),CONCATENATE("R4C",'Mapa final SI'!$S$28),"")</f>
        <v/>
      </c>
      <c r="AI9" s="260" t="str">
        <f>IF(AND('Mapa final SI'!$AC$29="Muy Alta",'Mapa final SI'!$AE$29="Catastrófico"),CONCATENATE("R4C",'Mapa final SI'!$S$29),"")</f>
        <v/>
      </c>
      <c r="AJ9" s="260" t="str">
        <f>IF(AND('Mapa final SI'!$AC$30="Muy Alta",'Mapa final SI'!$AE$30="Catastrófico"),CONCATENATE("R4C",'Mapa final SI'!$S$30),"")</f>
        <v/>
      </c>
      <c r="AK9" s="260" t="str">
        <f>IF(AND('Mapa final SI'!$AC$31="Muy Alta",'Mapa final SI'!$AE$31="Catastrófico"),CONCATENATE("R4C",'Mapa final SI'!$S$31),"")</f>
        <v/>
      </c>
      <c r="AL9" s="260" t="str">
        <f>IF(AND('Mapa final SI'!$AC$32="Muy Alta",'Mapa final SI'!$AE$32="Catastrófico"),CONCATENATE("R4C",'Mapa final SI'!$S$32),"")</f>
        <v/>
      </c>
      <c r="AM9" s="261" t="str">
        <f>IF(AND('Mapa final SI'!$AC$33="Muy Alta",'Mapa final SI'!$AE$33="Catastrófico"),CONCATENATE("R4C",'Mapa final SI'!$S$33),"")</f>
        <v/>
      </c>
      <c r="AN9" s="15"/>
      <c r="AO9" s="676"/>
      <c r="AP9" s="677"/>
      <c r="AQ9" s="677"/>
      <c r="AR9" s="677"/>
      <c r="AS9" s="677"/>
      <c r="AT9" s="67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78"/>
      <c r="C10" s="578"/>
      <c r="D10" s="579"/>
      <c r="E10" s="667"/>
      <c r="F10" s="668"/>
      <c r="G10" s="668"/>
      <c r="H10" s="668"/>
      <c r="I10" s="669"/>
      <c r="J10" s="256" t="str">
        <f>IF(AND('Mapa final SI'!$AC$34="Muy Alta",'Mapa final SI'!$AE$34="Leve"),CONCATENATE("R5C",'Mapa final SI'!$S$34),"")</f>
        <v/>
      </c>
      <c r="K10" s="257" t="str">
        <f>IF(AND('Mapa final SI'!$AC$35="Muy Alta",'Mapa final SI'!$AE$35="Leve"),CONCATENATE("R5C",'Mapa final SI'!$S$35),"")</f>
        <v/>
      </c>
      <c r="L10" s="257" t="str">
        <f>IF(AND('Mapa final SI'!$AC$36="Muy Alta",'Mapa final SI'!$AE$36="Leve"),CONCATENATE("R5C",'Mapa final SI'!$S$36),"")</f>
        <v/>
      </c>
      <c r="M10" s="257" t="str">
        <f>IF(AND('Mapa final SI'!$AC$37="Muy Alta",'Mapa final SI'!$AE$37="Leve"),CONCATENATE("R5C",'Mapa final SI'!$S$37),"")</f>
        <v/>
      </c>
      <c r="N10" s="257" t="str">
        <f>IF(AND('Mapa final SI'!$AC$38="Muy Alta",'Mapa final SI'!$AE$38="Leve"),CONCATENATE("R5C",'Mapa final SI'!$S$38),"")</f>
        <v/>
      </c>
      <c r="O10" s="258" t="str">
        <f>IF(AND('Mapa final SI'!$AC$39="Muy Alta",'Mapa final SI'!$AE$39="Leve"),CONCATENATE("R5C",'Mapa final SI'!$S$39),"")</f>
        <v/>
      </c>
      <c r="P10" s="256" t="str">
        <f>IF(AND('Mapa final SI'!$AC$34="Muy Alta",'Mapa final SI'!$AE$34="Menor"),CONCATENATE("R5C",'Mapa final SI'!$S$34),"")</f>
        <v/>
      </c>
      <c r="Q10" s="257" t="str">
        <f>IF(AND('Mapa final SI'!$AC$35="Muy Alta",'Mapa final SI'!$AE$35="Menor"),CONCATENATE("R5C",'Mapa final SI'!$S$35),"")</f>
        <v/>
      </c>
      <c r="R10" s="257" t="str">
        <f>IF(AND('Mapa final SI'!$AC$36="Muy Alta",'Mapa final SI'!$AE$36="Menor"),CONCATENATE("R5C",'Mapa final SI'!$S$36),"")</f>
        <v/>
      </c>
      <c r="S10" s="257" t="str">
        <f>IF(AND('Mapa final SI'!$AC$37="Muy Alta",'Mapa final SI'!$AE$37="Menor"),CONCATENATE("R5C",'Mapa final SI'!$S$37),"")</f>
        <v/>
      </c>
      <c r="T10" s="257" t="str">
        <f>IF(AND('Mapa final SI'!$AC$38="Muy Alta",'Mapa final SI'!$AE$38="Menor"),CONCATENATE("R5C",'Mapa final SI'!$S$38),"")</f>
        <v/>
      </c>
      <c r="U10" s="258" t="str">
        <f>IF(AND('Mapa final SI'!$AC$39="Muy Alta",'Mapa final SI'!$AE$39="Menor"),CONCATENATE("R5C",'Mapa final SI'!$S$39),"")</f>
        <v/>
      </c>
      <c r="V10" s="256" t="str">
        <f>IF(AND('Mapa final SI'!$AC$34="Muy Alta",'Mapa final SI'!$AE$34="Moderado"),CONCATENATE("R5C",'Mapa final SI'!$S$34),"")</f>
        <v/>
      </c>
      <c r="W10" s="257" t="str">
        <f>IF(AND('Mapa final SI'!$AC$35="Muy Alta",'Mapa final SI'!$AE$35="Moderado"),CONCATENATE("R5C",'Mapa final SI'!$S$35),"")</f>
        <v/>
      </c>
      <c r="X10" s="257" t="str">
        <f>IF(AND('Mapa final SI'!$AC$36="Muy Alta",'Mapa final SI'!$AE$36="Moderado"),CONCATENATE("R5C",'Mapa final SI'!$S$36),"")</f>
        <v/>
      </c>
      <c r="Y10" s="257" t="str">
        <f>IF(AND('Mapa final SI'!$AC$37="Muy Alta",'Mapa final SI'!$AE$37="Moderado"),CONCATENATE("R5C",'Mapa final SI'!$S$37),"")</f>
        <v/>
      </c>
      <c r="Z10" s="257" t="str">
        <f>IF(AND('Mapa final SI'!$AC$38="Muy Alta",'Mapa final SI'!$AE$38="Moderado"),CONCATENATE("R5C",'Mapa final SI'!$S$38),"")</f>
        <v/>
      </c>
      <c r="AA10" s="258" t="str">
        <f>IF(AND('Mapa final SI'!$AC$39="Muy Alta",'Mapa final SI'!$AE$39="Moderado"),CONCATENATE("R5C",'Mapa final SI'!$S$39),"")</f>
        <v/>
      </c>
      <c r="AB10" s="256" t="str">
        <f>IF(AND('Mapa final SI'!$AC$34="Muy Alta",'Mapa final SI'!$AE$34="Mayor"),CONCATENATE("R5C",'Mapa final SI'!$S$34),"")</f>
        <v/>
      </c>
      <c r="AC10" s="257" t="str">
        <f>IF(AND('Mapa final SI'!$AC$35="Muy Alta",'Mapa final SI'!$AE$35="Mayor"),CONCATENATE("R5C",'Mapa final SI'!$S$35),"")</f>
        <v/>
      </c>
      <c r="AD10" s="257" t="str">
        <f>IF(AND('Mapa final SI'!$AC$36="Muy Alta",'Mapa final SI'!$AE$36="Mayor"),CONCATENATE("R5C",'Mapa final SI'!$S$36),"")</f>
        <v/>
      </c>
      <c r="AE10" s="257" t="str">
        <f>IF(AND('Mapa final SI'!$AC$37="Muy Alta",'Mapa final SI'!$AE$37="Mayor"),CONCATENATE("R5C",'Mapa final SI'!$S$37),"")</f>
        <v/>
      </c>
      <c r="AF10" s="257" t="str">
        <f>IF(AND('Mapa final SI'!$AC$38="Muy Alta",'Mapa final SI'!$AE$38="Mayor"),CONCATENATE("R5C",'Mapa final SI'!$S$38),"")</f>
        <v/>
      </c>
      <c r="AG10" s="258" t="str">
        <f>IF(AND('Mapa final SI'!$AC$39="Muy Alta",'Mapa final SI'!$AE$39="Mayor"),CONCATENATE("R5C",'Mapa final SI'!$S$39),"")</f>
        <v/>
      </c>
      <c r="AH10" s="259" t="str">
        <f>IF(AND('Mapa final SI'!$AC$34="Muy Alta",'Mapa final SI'!$AE$34="Catastrófico"),CONCATENATE("R5C",'Mapa final SI'!$S$34),"")</f>
        <v/>
      </c>
      <c r="AI10" s="260" t="str">
        <f>IF(AND('Mapa final SI'!$AC$35="Muy Alta",'Mapa final SI'!$AE$35="Catastrófico"),CONCATENATE("R5C",'Mapa final SI'!$S$35),"")</f>
        <v/>
      </c>
      <c r="AJ10" s="260" t="str">
        <f>IF(AND('Mapa final SI'!$AC$36="Muy Alta",'Mapa final SI'!$AE$36="Catastrófico"),CONCATENATE("R5C",'Mapa final SI'!$S$36),"")</f>
        <v/>
      </c>
      <c r="AK10" s="260" t="str">
        <f>IF(AND('Mapa final SI'!$AC$37="Muy Alta",'Mapa final SI'!$AE$37="Catastrófico"),CONCATENATE("R5C",'Mapa final SI'!$S$37),"")</f>
        <v/>
      </c>
      <c r="AL10" s="260" t="str">
        <f>IF(AND('Mapa final SI'!$AC$38="Muy Alta",'Mapa final SI'!$AE$38="Catastrófico"),CONCATENATE("R5C",'Mapa final SI'!$S$38),"")</f>
        <v/>
      </c>
      <c r="AM10" s="261" t="str">
        <f>IF(AND('Mapa final SI'!$AC$39="Muy Alta",'Mapa final SI'!$AE$39="Catastrófico"),CONCATENATE("R5C",'Mapa final SI'!$S$39),"")</f>
        <v/>
      </c>
      <c r="AN10" s="15"/>
      <c r="AO10" s="676"/>
      <c r="AP10" s="677"/>
      <c r="AQ10" s="677"/>
      <c r="AR10" s="677"/>
      <c r="AS10" s="677"/>
      <c r="AT10" s="67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78"/>
      <c r="C11" s="578"/>
      <c r="D11" s="579"/>
      <c r="E11" s="667"/>
      <c r="F11" s="668"/>
      <c r="G11" s="668"/>
      <c r="H11" s="668"/>
      <c r="I11" s="669"/>
      <c r="J11" s="256" t="str">
        <f>IF(AND('Mapa final SI'!$AC$40="Muy Alta",'Mapa final SI'!$AE$40="Leve"),CONCATENATE("R6C",'Mapa final SI'!$S$40),"")</f>
        <v/>
      </c>
      <c r="K11" s="257" t="str">
        <f>IF(AND('Mapa final SI'!$AC$41="Muy Alta",'Mapa final SI'!$AE$41="Leve"),CONCATENATE("R6C",'Mapa final SI'!$S$41),"")</f>
        <v/>
      </c>
      <c r="L11" s="257" t="str">
        <f>IF(AND('Mapa final SI'!$AC$42="Muy Alta",'Mapa final SI'!$AE$42="Leve"),CONCATENATE("R6C",'Mapa final SI'!$S$42),"")</f>
        <v/>
      </c>
      <c r="M11" s="257" t="str">
        <f>IF(AND('Mapa final SI'!$AC$43="Muy Alta",'Mapa final SI'!$AE$43="Leve"),CONCATENATE("R6C",'Mapa final SI'!$S$43),"")</f>
        <v/>
      </c>
      <c r="N11" s="257" t="str">
        <f>IF(AND('Mapa final SI'!$AC$44="Muy Alta",'Mapa final SI'!$AE$44="Leve"),CONCATENATE("R6C",'Mapa final SI'!$S$44),"")</f>
        <v/>
      </c>
      <c r="O11" s="258" t="str">
        <f>IF(AND('Mapa final SI'!$AC$45="Muy Alta",'Mapa final SI'!$AE$45="Leve"),CONCATENATE("R6C",'Mapa final SI'!$S$45),"")</f>
        <v/>
      </c>
      <c r="P11" s="256" t="str">
        <f>IF(AND('Mapa final SI'!$AC$40="Muy Alta",'Mapa final SI'!$AE$40="Menor"),CONCATENATE("R6C",'Mapa final SI'!$S$40),"")</f>
        <v/>
      </c>
      <c r="Q11" s="257" t="str">
        <f>IF(AND('Mapa final SI'!$AC$41="Muy Alta",'Mapa final SI'!$AE$41="Menor"),CONCATENATE("R6C",'Mapa final SI'!$S$41),"")</f>
        <v/>
      </c>
      <c r="R11" s="257" t="str">
        <f>IF(AND('Mapa final SI'!$AC$42="Muy Alta",'Mapa final SI'!$AE$42="Menor"),CONCATENATE("R6C",'Mapa final SI'!$S$42),"")</f>
        <v/>
      </c>
      <c r="S11" s="257" t="str">
        <f>IF(AND('Mapa final SI'!$AC$43="Muy Alta",'Mapa final SI'!$AE$43="Menor"),CONCATENATE("R6C",'Mapa final SI'!$S$43),"")</f>
        <v/>
      </c>
      <c r="T11" s="257" t="str">
        <f>IF(AND('Mapa final SI'!$AC$44="Muy Alta",'Mapa final SI'!$AE$44="Menor"),CONCATENATE("R6C",'Mapa final SI'!$S$44),"")</f>
        <v/>
      </c>
      <c r="U11" s="258" t="str">
        <f>IF(AND('Mapa final SI'!$AC$45="Muy Alta",'Mapa final SI'!$AE$45="Menor"),CONCATENATE("R6C",'Mapa final SI'!$S$45),"")</f>
        <v/>
      </c>
      <c r="V11" s="256" t="str">
        <f>IF(AND('Mapa final SI'!$AC$40="Muy Alta",'Mapa final SI'!$AE$40="Moderado"),CONCATENATE("R6C",'Mapa final SI'!$S$40),"")</f>
        <v/>
      </c>
      <c r="W11" s="257" t="str">
        <f>IF(AND('Mapa final SI'!$AC$41="Muy Alta",'Mapa final SI'!$AE$41="Moderado"),CONCATENATE("R6C",'Mapa final SI'!$S$41),"")</f>
        <v/>
      </c>
      <c r="X11" s="257" t="str">
        <f>IF(AND('Mapa final SI'!$AC$42="Muy Alta",'Mapa final SI'!$AE$42="Moderado"),CONCATENATE("R6C",'Mapa final SI'!$S$42),"")</f>
        <v/>
      </c>
      <c r="Y11" s="257" t="str">
        <f>IF(AND('Mapa final SI'!$AC$43="Muy Alta",'Mapa final SI'!$AE$43="Moderado"),CONCATENATE("R6C",'Mapa final SI'!$S$43),"")</f>
        <v/>
      </c>
      <c r="Z11" s="257" t="str">
        <f>IF(AND('Mapa final SI'!$AC$44="Muy Alta",'Mapa final SI'!$AE$44="Moderado"),CONCATENATE("R6C",'Mapa final SI'!$S$44),"")</f>
        <v/>
      </c>
      <c r="AA11" s="258" t="str">
        <f>IF(AND('Mapa final SI'!$AC$45="Muy Alta",'Mapa final SI'!$AE$45="Moderado"),CONCATENATE("R6C",'Mapa final SI'!$S$45),"")</f>
        <v/>
      </c>
      <c r="AB11" s="256" t="str">
        <f>IF(AND('Mapa final SI'!$AC$40="Muy Alta",'Mapa final SI'!$AE$40="Mayor"),CONCATENATE("R6C",'Mapa final SI'!$S$40),"")</f>
        <v/>
      </c>
      <c r="AC11" s="257" t="str">
        <f>IF(AND('Mapa final SI'!$AC$41="Muy Alta",'Mapa final SI'!$AE$41="Mayor"),CONCATENATE("R6C",'Mapa final SI'!$S$41),"")</f>
        <v/>
      </c>
      <c r="AD11" s="257" t="str">
        <f>IF(AND('Mapa final SI'!$AC$42="Muy Alta",'Mapa final SI'!$AE$42="Mayor"),CONCATENATE("R6C",'Mapa final SI'!$S$42),"")</f>
        <v/>
      </c>
      <c r="AE11" s="257" t="str">
        <f>IF(AND('Mapa final SI'!$AC$43="Muy Alta",'Mapa final SI'!$AE$43="Mayor"),CONCATENATE("R6C",'Mapa final SI'!$S$43),"")</f>
        <v/>
      </c>
      <c r="AF11" s="257" t="str">
        <f>IF(AND('Mapa final SI'!$AC$44="Muy Alta",'Mapa final SI'!$AE$44="Mayor"),CONCATENATE("R6C",'Mapa final SI'!$S$44),"")</f>
        <v/>
      </c>
      <c r="AG11" s="258" t="str">
        <f>IF(AND('Mapa final SI'!$AC$45="Muy Alta",'Mapa final SI'!$AE$45="Mayor"),CONCATENATE("R6C",'Mapa final SI'!$S$45),"")</f>
        <v/>
      </c>
      <c r="AH11" s="259" t="str">
        <f>IF(AND('Mapa final SI'!$AC$40="Muy Alta",'Mapa final SI'!$AE$40="Catastrófico"),CONCATENATE("R6C",'Mapa final SI'!$S$40),"")</f>
        <v/>
      </c>
      <c r="AI11" s="260" t="str">
        <f>IF(AND('Mapa final SI'!$AC$41="Muy Alta",'Mapa final SI'!$AE$41="Catastrófico"),CONCATENATE("R6C",'Mapa final SI'!$S$41),"")</f>
        <v/>
      </c>
      <c r="AJ11" s="260" t="str">
        <f>IF(AND('Mapa final SI'!$AC$42="Muy Alta",'Mapa final SI'!$AE$42="Catastrófico"),CONCATENATE("R6C",'Mapa final SI'!$S$42),"")</f>
        <v/>
      </c>
      <c r="AK11" s="260" t="str">
        <f>IF(AND('Mapa final SI'!$AC$43="Muy Alta",'Mapa final SI'!$AE$43="Catastrófico"),CONCATENATE("R6C",'Mapa final SI'!$S$43),"")</f>
        <v/>
      </c>
      <c r="AL11" s="260" t="str">
        <f>IF(AND('Mapa final SI'!$AC$44="Muy Alta",'Mapa final SI'!$AE$44="Catastrófico"),CONCATENATE("R6C",'Mapa final SI'!$S$44),"")</f>
        <v/>
      </c>
      <c r="AM11" s="261" t="str">
        <f>IF(AND('Mapa final SI'!$AC$45="Muy Alta",'Mapa final SI'!$AE$45="Catastrófico"),CONCATENATE("R6C",'Mapa final SI'!$S$45),"")</f>
        <v/>
      </c>
      <c r="AN11" s="15"/>
      <c r="AO11" s="676"/>
      <c r="AP11" s="677"/>
      <c r="AQ11" s="677"/>
      <c r="AR11" s="677"/>
      <c r="AS11" s="677"/>
      <c r="AT11" s="67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78"/>
      <c r="C12" s="578"/>
      <c r="D12" s="579"/>
      <c r="E12" s="667"/>
      <c r="F12" s="668"/>
      <c r="G12" s="668"/>
      <c r="H12" s="668"/>
      <c r="I12" s="669"/>
      <c r="J12" s="256" t="str">
        <f>IF(AND('Mapa final SI'!$AC$46="Muy Alta",'Mapa final SI'!$AE$46="Leve"),CONCATENATE("R7C",'Mapa final SI'!$S$46),"")</f>
        <v/>
      </c>
      <c r="K12" s="257" t="str">
        <f>IF(AND('Mapa final SI'!$AC$47="Muy Alta",'Mapa final SI'!$AE$47="Leve"),CONCATENATE("R7C",'Mapa final SI'!$S$47),"")</f>
        <v/>
      </c>
      <c r="L12" s="257" t="str">
        <f>IF(AND('Mapa final SI'!$AC$48="Muy Alta",'Mapa final SI'!$AE$48="Leve"),CONCATENATE("R7C",'Mapa final SI'!$S$48),"")</f>
        <v/>
      </c>
      <c r="M12" s="257" t="str">
        <f>IF(AND('Mapa final SI'!$AC$49="Muy Alta",'Mapa final SI'!$AE$49="Leve"),CONCATENATE("R7C",'Mapa final SI'!$S$49),"")</f>
        <v/>
      </c>
      <c r="N12" s="257" t="str">
        <f>IF(AND('Mapa final SI'!$AC$50="Muy Alta",'Mapa final SI'!$AE$50="Leve"),CONCATENATE("R7C",'Mapa final SI'!$S$50),"")</f>
        <v/>
      </c>
      <c r="O12" s="258" t="str">
        <f>IF(AND('Mapa final SI'!$AC$51="Muy Alta",'Mapa final SI'!$AE$51="Leve"),CONCATENATE("R7C",'Mapa final SI'!$S$51),"")</f>
        <v/>
      </c>
      <c r="P12" s="256" t="str">
        <f>IF(AND('Mapa final SI'!$AC$46="Muy Alta",'Mapa final SI'!$AE$46="Menor"),CONCATENATE("R7C",'Mapa final SI'!$S$46),"")</f>
        <v/>
      </c>
      <c r="Q12" s="257" t="str">
        <f>IF(AND('Mapa final SI'!$AC$47="Muy Alta",'Mapa final SI'!$AE$47="Menor"),CONCATENATE("R7C",'Mapa final SI'!$S$47),"")</f>
        <v/>
      </c>
      <c r="R12" s="257" t="str">
        <f>IF(AND('Mapa final SI'!$AC$48="Muy Alta",'Mapa final SI'!$AE$48="Menor"),CONCATENATE("R7C",'Mapa final SI'!$S$48),"")</f>
        <v/>
      </c>
      <c r="S12" s="257" t="str">
        <f>IF(AND('Mapa final SI'!$AC$49="Muy Alta",'Mapa final SI'!$AE$49="Menor"),CONCATENATE("R7C",'Mapa final SI'!$S$49),"")</f>
        <v/>
      </c>
      <c r="T12" s="257" t="str">
        <f>IF(AND('Mapa final SI'!$AC$50="Muy Alta",'Mapa final SI'!$AE$50="Menor"),CONCATENATE("R7C",'Mapa final SI'!$S$50),"")</f>
        <v/>
      </c>
      <c r="U12" s="258" t="str">
        <f>IF(AND('Mapa final SI'!$AC$51="Muy Alta",'Mapa final SI'!$AE$51="Menor"),CONCATENATE("R7C",'Mapa final SI'!$S$51),"")</f>
        <v/>
      </c>
      <c r="V12" s="256" t="str">
        <f>IF(AND('Mapa final SI'!$AC$46="Muy Alta",'Mapa final SI'!$AE$46="Moderado"),CONCATENATE("R7C",'Mapa final SI'!$S$46),"")</f>
        <v/>
      </c>
      <c r="W12" s="257" t="str">
        <f>IF(AND('Mapa final SI'!$AC$47="Muy Alta",'Mapa final SI'!$AE$47="Moderado"),CONCATENATE("R7C",'Mapa final SI'!$S$47),"")</f>
        <v/>
      </c>
      <c r="X12" s="257" t="str">
        <f>IF(AND('Mapa final SI'!$AC$48="Muy Alta",'Mapa final SI'!$AE$48="Moderado"),CONCATENATE("R7C",'Mapa final SI'!$S$48),"")</f>
        <v/>
      </c>
      <c r="Y12" s="257" t="str">
        <f>IF(AND('Mapa final SI'!$AC$49="Muy Alta",'Mapa final SI'!$AE$49="Moderado"),CONCATENATE("R7C",'Mapa final SI'!$S$49),"")</f>
        <v/>
      </c>
      <c r="Z12" s="257" t="str">
        <f>IF(AND('Mapa final SI'!$AC$50="Muy Alta",'Mapa final SI'!$AE$50="Moderado"),CONCATENATE("R7C",'Mapa final SI'!$S$50),"")</f>
        <v/>
      </c>
      <c r="AA12" s="258" t="str">
        <f>IF(AND('Mapa final SI'!$AC$51="Muy Alta",'Mapa final SI'!$AE$51="Moderado"),CONCATENATE("R7C",'Mapa final SI'!$S$51),"")</f>
        <v/>
      </c>
      <c r="AB12" s="256" t="str">
        <f>IF(AND('Mapa final SI'!$AC$46="Muy Alta",'Mapa final SI'!$AE$46="Mayor"),CONCATENATE("R7C",'Mapa final SI'!$S$46),"")</f>
        <v/>
      </c>
      <c r="AC12" s="257" t="str">
        <f>IF(AND('Mapa final SI'!$AC$47="Muy Alta",'Mapa final SI'!$AE$47="Mayor"),CONCATENATE("R7C",'Mapa final SI'!$S$47),"")</f>
        <v/>
      </c>
      <c r="AD12" s="257" t="str">
        <f>IF(AND('Mapa final SI'!$AC$48="Muy Alta",'Mapa final SI'!$AE$48="Mayor"),CONCATENATE("R7C",'Mapa final SI'!$S$48),"")</f>
        <v/>
      </c>
      <c r="AE12" s="257" t="str">
        <f>IF(AND('Mapa final SI'!$AC$49="Muy Alta",'Mapa final SI'!$AE$49="Mayor"),CONCATENATE("R7C",'Mapa final SI'!$S$49),"")</f>
        <v/>
      </c>
      <c r="AF12" s="257" t="str">
        <f>IF(AND('Mapa final SI'!$AC$50="Muy Alta",'Mapa final SI'!$AE$50="Mayor"),CONCATENATE("R7C",'Mapa final SI'!$S$50),"")</f>
        <v/>
      </c>
      <c r="AG12" s="258" t="str">
        <f>IF(AND('Mapa final SI'!$AC$51="Muy Alta",'Mapa final SI'!$AE$51="Mayor"),CONCATENATE("R7C",'Mapa final SI'!$S$51),"")</f>
        <v/>
      </c>
      <c r="AH12" s="259" t="str">
        <f>IF(AND('Mapa final SI'!$AC$46="Muy Alta",'Mapa final SI'!$AE$46="Catastrófico"),CONCATENATE("R7C",'Mapa final SI'!$S$46),"")</f>
        <v/>
      </c>
      <c r="AI12" s="260" t="str">
        <f>IF(AND('Mapa final SI'!$AC$47="Muy Alta",'Mapa final SI'!$AE$47="Catastrófico"),CONCATENATE("R7C",'Mapa final SI'!$S$47),"")</f>
        <v/>
      </c>
      <c r="AJ12" s="260" t="str">
        <f>IF(AND('Mapa final SI'!$AC$48="Muy Alta",'Mapa final SI'!$AE$48="Catastrófico"),CONCATENATE("R7C",'Mapa final SI'!$S$48),"")</f>
        <v/>
      </c>
      <c r="AK12" s="260" t="str">
        <f>IF(AND('Mapa final SI'!$AC$49="Muy Alta",'Mapa final SI'!$AE$49="Catastrófico"),CONCATENATE("R7C",'Mapa final SI'!$S$49),"")</f>
        <v/>
      </c>
      <c r="AL12" s="260" t="str">
        <f>IF(AND('Mapa final SI'!$AC$50="Muy Alta",'Mapa final SI'!$AE$50="Catastrófico"),CONCATENATE("R7C",'Mapa final SI'!$S$50),"")</f>
        <v/>
      </c>
      <c r="AM12" s="261" t="str">
        <f>IF(AND('Mapa final SI'!$AC$51="Muy Alta",'Mapa final SI'!$AE$51="Catastrófico"),CONCATENATE("R7C",'Mapa final SI'!$S$51),"")</f>
        <v/>
      </c>
      <c r="AN12" s="15"/>
      <c r="AO12" s="676"/>
      <c r="AP12" s="677"/>
      <c r="AQ12" s="677"/>
      <c r="AR12" s="677"/>
      <c r="AS12" s="677"/>
      <c r="AT12" s="67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78"/>
      <c r="C13" s="578"/>
      <c r="D13" s="579"/>
      <c r="E13" s="667"/>
      <c r="F13" s="668"/>
      <c r="G13" s="668"/>
      <c r="H13" s="668"/>
      <c r="I13" s="669"/>
      <c r="J13" s="256" t="str">
        <f>IF(AND('Mapa final SI'!$AC$52="Muy Alta",'Mapa final SI'!$AE$52="Leve"),CONCATENATE("R8C",'Mapa final SI'!$S$52),"")</f>
        <v/>
      </c>
      <c r="K13" s="257" t="str">
        <f>IF(AND('Mapa final SI'!$AC$53="Muy Alta",'Mapa final SI'!$AE$53="Leve"),CONCATENATE("R8C",'Mapa final SI'!$S$53),"")</f>
        <v/>
      </c>
      <c r="L13" s="257" t="str">
        <f>IF(AND('Mapa final SI'!$AC$54="Muy Alta",'Mapa final SI'!$AE$54="Leve"),CONCATENATE("R8C",'Mapa final SI'!$S$54),"")</f>
        <v/>
      </c>
      <c r="M13" s="257" t="str">
        <f>IF(AND('Mapa final SI'!$AC$55="Muy Alta",'Mapa final SI'!$AE$55="Leve"),CONCATENATE("R8C",'Mapa final SI'!$S$55),"")</f>
        <v/>
      </c>
      <c r="N13" s="257" t="str">
        <f>IF(AND('Mapa final SI'!$AC$56="Muy Alta",'Mapa final SI'!$AE$56="Leve"),CONCATENATE("R8C",'Mapa final SI'!$S$56),"")</f>
        <v/>
      </c>
      <c r="O13" s="258" t="str">
        <f>IF(AND('Mapa final SI'!$AC$57="Muy Alta",'Mapa final SI'!$AE$57="Leve"),CONCATENATE("R8C",'Mapa final SI'!$S$57),"")</f>
        <v/>
      </c>
      <c r="P13" s="256" t="str">
        <f>IF(AND('Mapa final SI'!$AC$52="Muy Alta",'Mapa final SI'!$AE$52="Menor"),CONCATENATE("R8C",'Mapa final SI'!$S$52),"")</f>
        <v/>
      </c>
      <c r="Q13" s="257" t="str">
        <f>IF(AND('Mapa final SI'!$AC$53="Muy Alta",'Mapa final SI'!$AE$53="Menor"),CONCATENATE("R8C",'Mapa final SI'!$S$53),"")</f>
        <v/>
      </c>
      <c r="R13" s="257" t="str">
        <f>IF(AND('Mapa final SI'!$AC$54="Muy Alta",'Mapa final SI'!$AE$54="Menor"),CONCATENATE("R8C",'Mapa final SI'!$S$54),"")</f>
        <v/>
      </c>
      <c r="S13" s="257" t="str">
        <f>IF(AND('Mapa final SI'!$AC$55="Muy Alta",'Mapa final SI'!$AE$55="Menor"),CONCATENATE("R8C",'Mapa final SI'!$S$55),"")</f>
        <v/>
      </c>
      <c r="T13" s="257" t="str">
        <f>IF(AND('Mapa final SI'!$AC$56="Muy Alta",'Mapa final SI'!$AE$56="Menor"),CONCATENATE("R8C",'Mapa final SI'!$S$56),"")</f>
        <v/>
      </c>
      <c r="U13" s="258" t="str">
        <f>IF(AND('Mapa final SI'!$AC$57="Muy Alta",'Mapa final SI'!$AE$57="Menor"),CONCATENATE("R8C",'Mapa final SI'!$S$57),"")</f>
        <v/>
      </c>
      <c r="V13" s="256" t="str">
        <f>IF(AND('Mapa final SI'!$AC$52="Muy Alta",'Mapa final SI'!$AE$52="Moderado"),CONCATENATE("R8C",'Mapa final SI'!$S$52),"")</f>
        <v/>
      </c>
      <c r="W13" s="257" t="str">
        <f>IF(AND('Mapa final SI'!$AC$53="Muy Alta",'Mapa final SI'!$AE$53="Moderado"),CONCATENATE("R8C",'Mapa final SI'!$S$53),"")</f>
        <v/>
      </c>
      <c r="X13" s="257" t="str">
        <f>IF(AND('Mapa final SI'!$AC$54="Muy Alta",'Mapa final SI'!$AE$54="Moderado"),CONCATENATE("R8C",'Mapa final SI'!$S$54),"")</f>
        <v/>
      </c>
      <c r="Y13" s="257" t="str">
        <f>IF(AND('Mapa final SI'!$AC$55="Muy Alta",'Mapa final SI'!$AE$55="Moderado"),CONCATENATE("R8C",'Mapa final SI'!$S$55),"")</f>
        <v/>
      </c>
      <c r="Z13" s="257" t="str">
        <f>IF(AND('Mapa final SI'!$AC$56="Muy Alta",'Mapa final SI'!$AE$56="Moderado"),CONCATENATE("R8C",'Mapa final SI'!$S$56),"")</f>
        <v/>
      </c>
      <c r="AA13" s="258" t="str">
        <f>IF(AND('Mapa final SI'!$AC$57="Muy Alta",'Mapa final SI'!$AE$57="Moderado"),CONCATENATE("R8C",'Mapa final SI'!$S$57),"")</f>
        <v/>
      </c>
      <c r="AB13" s="256" t="str">
        <f>IF(AND('Mapa final SI'!$AC$52="Muy Alta",'Mapa final SI'!$AE$52="Mayor"),CONCATENATE("R8C",'Mapa final SI'!$S$52),"")</f>
        <v/>
      </c>
      <c r="AC13" s="257" t="str">
        <f>IF(AND('Mapa final SI'!$AC$53="Muy Alta",'Mapa final SI'!$AE$53="Mayor"),CONCATENATE("R8C",'Mapa final SI'!$S$53),"")</f>
        <v/>
      </c>
      <c r="AD13" s="257" t="str">
        <f>IF(AND('Mapa final SI'!$AC$54="Muy Alta",'Mapa final SI'!$AE$54="Mayor"),CONCATENATE("R8C",'Mapa final SI'!$S$54),"")</f>
        <v/>
      </c>
      <c r="AE13" s="257" t="str">
        <f>IF(AND('Mapa final SI'!$AC$55="Muy Alta",'Mapa final SI'!$AE$55="Mayor"),CONCATENATE("R8C",'Mapa final SI'!$S$55),"")</f>
        <v/>
      </c>
      <c r="AF13" s="257" t="str">
        <f>IF(AND('Mapa final SI'!$AC$56="Muy Alta",'Mapa final SI'!$AE$56="Mayor"),CONCATENATE("R8C",'Mapa final SI'!$S$56),"")</f>
        <v/>
      </c>
      <c r="AG13" s="258" t="str">
        <f>IF(AND('Mapa final SI'!$AC$57="Muy Alta",'Mapa final SI'!$AE$57="Mayor"),CONCATENATE("R8C",'Mapa final SI'!$S$57),"")</f>
        <v/>
      </c>
      <c r="AH13" s="259" t="str">
        <f>IF(AND('Mapa final SI'!$AC$52="Muy Alta",'Mapa final SI'!$AE$52="Catastrófico"),CONCATENATE("R8C",'Mapa final SI'!$S$52),"")</f>
        <v/>
      </c>
      <c r="AI13" s="260" t="str">
        <f>IF(AND('Mapa final SI'!$AC$53="Muy Alta",'Mapa final SI'!$AE$53="Catastrófico"),CONCATENATE("R8C",'Mapa final SI'!$S$53),"")</f>
        <v/>
      </c>
      <c r="AJ13" s="260" t="str">
        <f>IF(AND('Mapa final SI'!$AC$54="Muy Alta",'Mapa final SI'!$AE$54="Catastrófico"),CONCATENATE("R8C",'Mapa final SI'!$S$54),"")</f>
        <v/>
      </c>
      <c r="AK13" s="260" t="str">
        <f>IF(AND('Mapa final SI'!$AC$55="Muy Alta",'Mapa final SI'!$AE$55="Catastrófico"),CONCATENATE("R8C",'Mapa final SI'!$S$55),"")</f>
        <v/>
      </c>
      <c r="AL13" s="260" t="str">
        <f>IF(AND('Mapa final SI'!$AC$56="Muy Alta",'Mapa final SI'!$AE$56="Catastrófico"),CONCATENATE("R8C",'Mapa final SI'!$S$56),"")</f>
        <v/>
      </c>
      <c r="AM13" s="261" t="str">
        <f>IF(AND('Mapa final SI'!$AC$57="Muy Alta",'Mapa final SI'!$AE$57="Catastrófico"),CONCATENATE("R8C",'Mapa final SI'!$S$57),"")</f>
        <v/>
      </c>
      <c r="AN13" s="15"/>
      <c r="AO13" s="676"/>
      <c r="AP13" s="677"/>
      <c r="AQ13" s="677"/>
      <c r="AR13" s="677"/>
      <c r="AS13" s="677"/>
      <c r="AT13" s="67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78"/>
      <c r="C14" s="578"/>
      <c r="D14" s="579"/>
      <c r="E14" s="667"/>
      <c r="F14" s="668"/>
      <c r="G14" s="668"/>
      <c r="H14" s="668"/>
      <c r="I14" s="669"/>
      <c r="J14" s="256" t="str">
        <f>IF(AND('Mapa final SI'!$AC$58="Muy Alta",'Mapa final SI'!$AE$58="Leve"),CONCATENATE("R9C",'Mapa final SI'!$S$58),"")</f>
        <v/>
      </c>
      <c r="K14" s="257" t="str">
        <f>IF(AND('Mapa final SI'!$AC$59="Muy Alta",'Mapa final SI'!$AE$59="Leve"),CONCATENATE("R9C",'Mapa final SI'!$S$59),"")</f>
        <v/>
      </c>
      <c r="L14" s="257" t="str">
        <f>IF(AND('Mapa final SI'!$AC$60="Muy Alta",'Mapa final SI'!$AE$60="Leve"),CONCATENATE("R9C",'Mapa final SI'!$S$60),"")</f>
        <v/>
      </c>
      <c r="M14" s="257" t="str">
        <f>IF(AND('Mapa final SI'!$AC$61="Muy Alta",'Mapa final SI'!$AE$61="Leve"),CONCATENATE("R9C",'Mapa final SI'!$S$61),"")</f>
        <v/>
      </c>
      <c r="N14" s="257" t="str">
        <f>IF(AND('Mapa final SI'!$AC$62="Muy Alta",'Mapa final SI'!$AE$62="Leve"),CONCATENATE("R9C",'Mapa final SI'!$S$62),"")</f>
        <v/>
      </c>
      <c r="O14" s="258" t="str">
        <f>IF(AND('Mapa final SI'!$AC$63="Muy Alta",'Mapa final SI'!$AE$63="Leve"),CONCATENATE("R9C",'Mapa final SI'!$S$63),"")</f>
        <v/>
      </c>
      <c r="P14" s="256" t="str">
        <f>IF(AND('Mapa final SI'!$AC$58="Muy Alta",'Mapa final SI'!$AE$58="Menor"),CONCATENATE("R9C",'Mapa final SI'!$S$58),"")</f>
        <v/>
      </c>
      <c r="Q14" s="257" t="str">
        <f>IF(AND('Mapa final SI'!$AC$59="Muy Alta",'Mapa final SI'!$AE$59="Menor"),CONCATENATE("R9C",'Mapa final SI'!$S$59),"")</f>
        <v/>
      </c>
      <c r="R14" s="257" t="str">
        <f>IF(AND('Mapa final SI'!$AC$60="Muy Alta",'Mapa final SI'!$AE$60="Menor"),CONCATENATE("R9C",'Mapa final SI'!$S$60),"")</f>
        <v/>
      </c>
      <c r="S14" s="257" t="str">
        <f>IF(AND('Mapa final SI'!$AC$61="Muy Alta",'Mapa final SI'!$AE$61="Menor"),CONCATENATE("R9C",'Mapa final SI'!$S$61),"")</f>
        <v/>
      </c>
      <c r="T14" s="257" t="str">
        <f>IF(AND('Mapa final SI'!$AC$62="Muy Alta",'Mapa final SI'!$AE$62="Menor"),CONCATENATE("R9C",'Mapa final SI'!$S$62),"")</f>
        <v/>
      </c>
      <c r="U14" s="258" t="str">
        <f>IF(AND('Mapa final SI'!$AC$63="Muy Alta",'Mapa final SI'!$AE$63="Menor"),CONCATENATE("R9C",'Mapa final SI'!$S$63),"")</f>
        <v/>
      </c>
      <c r="V14" s="256" t="str">
        <f>IF(AND('Mapa final SI'!$AC$58="Muy Alta",'Mapa final SI'!$AE$58="Moderado"),CONCATENATE("R9C",'Mapa final SI'!$S$58),"")</f>
        <v/>
      </c>
      <c r="W14" s="257" t="str">
        <f>IF(AND('Mapa final SI'!$AC$59="Muy Alta",'Mapa final SI'!$AE$59="Moderado"),CONCATENATE("R9C",'Mapa final SI'!$S$59),"")</f>
        <v/>
      </c>
      <c r="X14" s="257" t="str">
        <f>IF(AND('Mapa final SI'!$AC$60="Muy Alta",'Mapa final SI'!$AE$60="Moderado"),CONCATENATE("R9C",'Mapa final SI'!$S$60),"")</f>
        <v/>
      </c>
      <c r="Y14" s="257" t="str">
        <f>IF(AND('Mapa final SI'!$AC$61="Muy Alta",'Mapa final SI'!$AE$61="Moderado"),CONCATENATE("R9C",'Mapa final SI'!$S$61),"")</f>
        <v/>
      </c>
      <c r="Z14" s="257" t="str">
        <f>IF(AND('Mapa final SI'!$AC$62="Muy Alta",'Mapa final SI'!$AE$62="Moderado"),CONCATENATE("R9C",'Mapa final SI'!$S$62),"")</f>
        <v/>
      </c>
      <c r="AA14" s="258" t="str">
        <f>IF(AND('Mapa final SI'!$AC$63="Muy Alta",'Mapa final SI'!$AE$63="Moderado"),CONCATENATE("R9C",'Mapa final SI'!$S$63),"")</f>
        <v/>
      </c>
      <c r="AB14" s="256" t="str">
        <f>IF(AND('Mapa final SI'!$AC$58="Muy Alta",'Mapa final SI'!$AE$58="Mayor"),CONCATENATE("R9C",'Mapa final SI'!$S$58),"")</f>
        <v/>
      </c>
      <c r="AC14" s="257" t="str">
        <f>IF(AND('Mapa final SI'!$AC$59="Muy Alta",'Mapa final SI'!$AE$59="Mayor"),CONCATENATE("R9C",'Mapa final SI'!$S$59),"")</f>
        <v/>
      </c>
      <c r="AD14" s="257" t="str">
        <f>IF(AND('Mapa final SI'!$AC$60="Muy Alta",'Mapa final SI'!$AE$60="Mayor"),CONCATENATE("R9C",'Mapa final SI'!$S$60),"")</f>
        <v/>
      </c>
      <c r="AE14" s="257" t="str">
        <f>IF(AND('Mapa final SI'!$AC$61="Muy Alta",'Mapa final SI'!$AE$61="Mayor"),CONCATENATE("R9C",'Mapa final SI'!$S$61),"")</f>
        <v/>
      </c>
      <c r="AF14" s="257" t="str">
        <f>IF(AND('Mapa final SI'!$AC$62="Muy Alta",'Mapa final SI'!$AE$62="Mayor"),CONCATENATE("R9C",'Mapa final SI'!$S$62),"")</f>
        <v/>
      </c>
      <c r="AG14" s="258" t="str">
        <f>IF(AND('Mapa final SI'!$AC$63="Muy Alta",'Mapa final SI'!$AE$63="Mayor"),CONCATENATE("R9C",'Mapa final SI'!$S$63),"")</f>
        <v/>
      </c>
      <c r="AH14" s="259" t="str">
        <f>IF(AND('Mapa final SI'!$AC$58="Muy Alta",'Mapa final SI'!$AE$58="Catastrófico"),CONCATENATE("R9C",'Mapa final SI'!$S$58),"")</f>
        <v/>
      </c>
      <c r="AI14" s="260" t="str">
        <f>IF(AND('Mapa final SI'!$AC$59="Muy Alta",'Mapa final SI'!$AE$59="Catastrófico"),CONCATENATE("R9C",'Mapa final SI'!$S$59),"")</f>
        <v/>
      </c>
      <c r="AJ14" s="260" t="str">
        <f>IF(AND('Mapa final SI'!$AC$60="Muy Alta",'Mapa final SI'!$AE$60="Catastrófico"),CONCATENATE("R9C",'Mapa final SI'!$S$60),"")</f>
        <v/>
      </c>
      <c r="AK14" s="260" t="str">
        <f>IF(AND('Mapa final SI'!$AC$61="Muy Alta",'Mapa final SI'!$AE$61="Catastrófico"),CONCATENATE("R9C",'Mapa final SI'!$S$61),"")</f>
        <v/>
      </c>
      <c r="AL14" s="260" t="str">
        <f>IF(AND('Mapa final SI'!$AC$62="Muy Alta",'Mapa final SI'!$AE$62="Catastrófico"),CONCATENATE("R9C",'Mapa final SI'!$S$62),"")</f>
        <v/>
      </c>
      <c r="AM14" s="261" t="str">
        <f>IF(AND('Mapa final SI'!$AC$63="Muy Alta",'Mapa final SI'!$AE$63="Catastrófico"),CONCATENATE("R9C",'Mapa final SI'!$S$63),"")</f>
        <v/>
      </c>
      <c r="AN14" s="15"/>
      <c r="AO14" s="676"/>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78"/>
      <c r="C15" s="578"/>
      <c r="D15" s="579"/>
      <c r="E15" s="670"/>
      <c r="F15" s="671"/>
      <c r="G15" s="671"/>
      <c r="H15" s="671"/>
      <c r="I15" s="672"/>
      <c r="J15" s="262" t="str">
        <f>IF(AND('Mapa final SI'!$AC$64="Muy Alta",'Mapa final SI'!$AE$64="Leve"),CONCATENATE("R10C",'Mapa final SI'!$S$64),"")</f>
        <v/>
      </c>
      <c r="K15" s="263" t="str">
        <f>IF(AND('Mapa final SI'!$AC$65="Muy Alta",'Mapa final SI'!$AE$65="Leve"),CONCATENATE("R10C",'Mapa final SI'!$S$65),"")</f>
        <v/>
      </c>
      <c r="L15" s="263" t="str">
        <f>IF(AND('Mapa final SI'!$AC$66="Muy Alta",'Mapa final SI'!$AE$66="Leve"),CONCATENATE("R10C",'Mapa final SI'!$S$66),"")</f>
        <v/>
      </c>
      <c r="M15" s="263" t="str">
        <f>IF(AND('Mapa final SI'!$AC$67="Muy Alta",'Mapa final SI'!$AE$67="Leve"),CONCATENATE("R10C",'Mapa final SI'!$S$67),"")</f>
        <v/>
      </c>
      <c r="N15" s="263" t="str">
        <f>IF(AND('Mapa final SI'!$AC$68="Muy Alta",'Mapa final SI'!$AE$68="Leve"),CONCATENATE("R10C",'Mapa final SI'!$S$68),"")</f>
        <v/>
      </c>
      <c r="O15" s="264" t="str">
        <f>IF(AND('Mapa final SI'!$AC$69="Muy Alta",'Mapa final SI'!$AE$69="Leve"),CONCATENATE("R10C",'Mapa final SI'!$S$69),"")</f>
        <v/>
      </c>
      <c r="P15" s="256" t="str">
        <f>IF(AND('Mapa final SI'!$AC$64="Muy Alta",'Mapa final SI'!$AE$64="Menor"),CONCATENATE("R10C",'Mapa final SI'!$S$64),"")</f>
        <v/>
      </c>
      <c r="Q15" s="257" t="str">
        <f>IF(AND('Mapa final SI'!$AC$65="Muy Alta",'Mapa final SI'!$AE$65="Menor"),CONCATENATE("R10C",'Mapa final SI'!$S$65),"")</f>
        <v/>
      </c>
      <c r="R15" s="257" t="str">
        <f>IF(AND('Mapa final SI'!$AC$66="Muy Alta",'Mapa final SI'!$AE$66="Menor"),CONCATENATE("R10C",'Mapa final SI'!$S$66),"")</f>
        <v/>
      </c>
      <c r="S15" s="257" t="str">
        <f>IF(AND('Mapa final SI'!$AC$67="Muy Alta",'Mapa final SI'!$AE$67="Menor"),CONCATENATE("R10C",'Mapa final SI'!$S$67),"")</f>
        <v/>
      </c>
      <c r="T15" s="257" t="str">
        <f>IF(AND('Mapa final SI'!$AC$68="Muy Alta",'Mapa final SI'!$AE$68="Menor"),CONCATENATE("R10C",'Mapa final SI'!$S$68),"")</f>
        <v/>
      </c>
      <c r="U15" s="258" t="str">
        <f>IF(AND('Mapa final SI'!$AC$69="Muy Alta",'Mapa final SI'!$AE$69="Menor"),CONCATENATE("R10C",'Mapa final SI'!$S$69),"")</f>
        <v/>
      </c>
      <c r="V15" s="262" t="str">
        <f>IF(AND('Mapa final SI'!$AC$64="Muy Alta",'Mapa final SI'!$AE$64="Moderado"),CONCATENATE("R10C",'Mapa final SI'!$S$64),"")</f>
        <v/>
      </c>
      <c r="W15" s="263" t="str">
        <f>IF(AND('Mapa final SI'!$AC$65="Muy Alta",'Mapa final SI'!$AE$65="Moderado"),CONCATENATE("R10C",'Mapa final SI'!$S$65),"")</f>
        <v/>
      </c>
      <c r="X15" s="263" t="str">
        <f>IF(AND('Mapa final SI'!$AC$66="Muy Alta",'Mapa final SI'!$AE$66="Moderado"),CONCATENATE("R10C",'Mapa final SI'!$S$66),"")</f>
        <v/>
      </c>
      <c r="Y15" s="263" t="str">
        <f>IF(AND('Mapa final SI'!$AC$67="Muy Alta",'Mapa final SI'!$AE$67="Moderado"),CONCATENATE("R10C",'Mapa final SI'!$S$67),"")</f>
        <v/>
      </c>
      <c r="Z15" s="263" t="str">
        <f>IF(AND('Mapa final SI'!$AC$68="Muy Alta",'Mapa final SI'!$AE$68="Moderado"),CONCATENATE("R10C",'Mapa final SI'!$S$68),"")</f>
        <v/>
      </c>
      <c r="AA15" s="264" t="str">
        <f>IF(AND('Mapa final SI'!$AC$69="Muy Alta",'Mapa final SI'!$AE$69="Moderado"),CONCATENATE("R10C",'Mapa final SI'!$S$69),"")</f>
        <v/>
      </c>
      <c r="AB15" s="256" t="str">
        <f>IF(AND('Mapa final SI'!$AC$64="Muy Alta",'Mapa final SI'!$AE$64="Mayor"),CONCATENATE("R10C",'Mapa final SI'!$S$64),"")</f>
        <v/>
      </c>
      <c r="AC15" s="257" t="str">
        <f>IF(AND('Mapa final SI'!$AC$65="Muy Alta",'Mapa final SI'!$AE$65="Mayor"),CONCATENATE("R10C",'Mapa final SI'!$S$65),"")</f>
        <v/>
      </c>
      <c r="AD15" s="257" t="str">
        <f>IF(AND('Mapa final SI'!$AC$66="Muy Alta",'Mapa final SI'!$AE$66="Mayor"),CONCATENATE("R10C",'Mapa final SI'!$S$66),"")</f>
        <v/>
      </c>
      <c r="AE15" s="257" t="str">
        <f>IF(AND('Mapa final SI'!$AC$67="Muy Alta",'Mapa final SI'!$AE$67="Mayor"),CONCATENATE("R10C",'Mapa final SI'!$S$67),"")</f>
        <v/>
      </c>
      <c r="AF15" s="257" t="str">
        <f>IF(AND('Mapa final SI'!$AC$68="Muy Alta",'Mapa final SI'!$AE$68="Mayor"),CONCATENATE("R10C",'Mapa final SI'!$S$68),"")</f>
        <v/>
      </c>
      <c r="AG15" s="258" t="str">
        <f>IF(AND('Mapa final SI'!$AC$69="Muy Alta",'Mapa final SI'!$AE$69="Mayor"),CONCATENATE("R10C",'Mapa final SI'!$S$69),"")</f>
        <v/>
      </c>
      <c r="AH15" s="265" t="str">
        <f>IF(AND('Mapa final SI'!$AC$64="Muy Alta",'Mapa final SI'!$AE$64="Catastrófico"),CONCATENATE("R10C",'Mapa final SI'!$S$64),"")</f>
        <v/>
      </c>
      <c r="AI15" s="266" t="str">
        <f>IF(AND('Mapa final SI'!$AC$65="Muy Alta",'Mapa final SI'!$AE$65="Catastrófico"),CONCATENATE("R10C",'Mapa final SI'!$S$65),"")</f>
        <v/>
      </c>
      <c r="AJ15" s="266" t="str">
        <f>IF(AND('Mapa final SI'!$AC$66="Muy Alta",'Mapa final SI'!$AE$66="Catastrófico"),CONCATENATE("R10C",'Mapa final SI'!$S$66),"")</f>
        <v/>
      </c>
      <c r="AK15" s="266" t="str">
        <f>IF(AND('Mapa final SI'!$AC$67="Muy Alta",'Mapa final SI'!$AE$67="Catastrófico"),CONCATENATE("R10C",'Mapa final SI'!$S$67),"")</f>
        <v/>
      </c>
      <c r="AL15" s="266" t="str">
        <f>IF(AND('Mapa final SI'!$AC$68="Muy Alta",'Mapa final SI'!$AE$68="Catastrófico"),CONCATENATE("R10C",'Mapa final SI'!$S$68),"")</f>
        <v/>
      </c>
      <c r="AM15" s="267" t="str">
        <f>IF(AND('Mapa final SI'!$AC$69="Muy Alta",'Mapa final SI'!$AE$69="Catastrófico"),CONCATENATE("R10C",'Mapa final SI'!$S$69),"")</f>
        <v/>
      </c>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78"/>
      <c r="C16" s="578"/>
      <c r="D16" s="579"/>
      <c r="E16" s="664" t="s">
        <v>1056</v>
      </c>
      <c r="F16" s="665"/>
      <c r="G16" s="665"/>
      <c r="H16" s="665"/>
      <c r="I16" s="665"/>
      <c r="J16" s="268" t="str">
        <f>IF(AND('Mapa final SI'!$AC$10="Alta",'Mapa final SI'!$AE$10="Leve"),CONCATENATE("R1C",'Mapa final SI'!$S$10),"")</f>
        <v/>
      </c>
      <c r="K16" s="269" t="str">
        <f>IF(AND('Mapa final SI'!$AC$11="Alta",'Mapa final SI'!$AE$11="Leve"),CONCATENATE("R1C",'Mapa final SI'!$S$11),"")</f>
        <v/>
      </c>
      <c r="L16" s="269" t="str">
        <f>IF(AND('Mapa final SI'!$AC$12="Alta",'Mapa final SI'!$AE$12="Leve"),CONCATENATE("R1C",'Mapa final SI'!$S$12),"")</f>
        <v/>
      </c>
      <c r="M16" s="269" t="str">
        <f>IF(AND('Mapa final SI'!$AC$13="Alta",'Mapa final SI'!$AE$13="Leve"),CONCATENATE("R1C",'Mapa final SI'!$S$13),"")</f>
        <v/>
      </c>
      <c r="N16" s="269" t="str">
        <f>IF(AND('Mapa final SI'!$AC$14="Alta",'Mapa final SI'!$AE$14="Leve"),CONCATENATE("R1C",'Mapa final SI'!$S$14),"")</f>
        <v/>
      </c>
      <c r="O16" s="270" t="str">
        <f>IF(AND('Mapa final SI'!$AC$15="Alta",'Mapa final SI'!$AE$15="Leve"),CONCATENATE("R1C",'Mapa final SI'!$S$15),"")</f>
        <v/>
      </c>
      <c r="P16" s="268" t="str">
        <f>IF(AND('Mapa final SI'!$AC$10="Alta",'Mapa final SI'!$AE$10="Menor"),CONCATENATE("R1C",'Mapa final SI'!$S$10),"")</f>
        <v/>
      </c>
      <c r="Q16" s="269" t="str">
        <f>IF(AND('Mapa final SI'!$AC$11="Alta",'Mapa final SI'!$AE$11="Menor"),CONCATENATE("R1C",'Mapa final SI'!$S$11),"")</f>
        <v/>
      </c>
      <c r="R16" s="269" t="str">
        <f>IF(AND('Mapa final SI'!$AC$12="Alta",'Mapa final SI'!$AE$12="Menor"),CONCATENATE("R1C",'Mapa final SI'!$S$12),"")</f>
        <v/>
      </c>
      <c r="S16" s="269" t="str">
        <f>IF(AND('Mapa final SI'!$AC$13="Alta",'Mapa final SI'!$AE$13="Menor"),CONCATENATE("R1C",'Mapa final SI'!$S$13),"")</f>
        <v/>
      </c>
      <c r="T16" s="269" t="str">
        <f>IF(AND('Mapa final SI'!$AC$14="Alta",'Mapa final SI'!$AE$14="Menor"),CONCATENATE("R1C",'Mapa final SI'!$S$14),"")</f>
        <v/>
      </c>
      <c r="U16" s="270" t="str">
        <f>IF(AND('Mapa final SI'!$AC$15="Alta",'Mapa final SI'!$AE$15="Menor"),CONCATENATE("R1C",'Mapa final SI'!$S$15),"")</f>
        <v/>
      </c>
      <c r="V16" s="250" t="str">
        <f>IF(AND('Mapa final SI'!$AC$10="Alta",'Mapa final SI'!$AE$10="Moderado"),CONCATENATE("R1C",'Mapa final SI'!$S$10),"")</f>
        <v/>
      </c>
      <c r="W16" s="251" t="str">
        <f>IF(AND('Mapa final SI'!$AC$11="Alta",'Mapa final SI'!$AE$11="Moderado"),CONCATENATE("R1C",'Mapa final SI'!$S$11),"")</f>
        <v/>
      </c>
      <c r="X16" s="251" t="str">
        <f>IF(AND('Mapa final SI'!$AC$12="Alta",'Mapa final SI'!$AE$12="Moderado"),CONCATENATE("R1C",'Mapa final SI'!$S$12),"")</f>
        <v/>
      </c>
      <c r="Y16" s="251" t="str">
        <f>IF(AND('Mapa final SI'!$AC$13="Alta",'Mapa final SI'!$AE$13="Moderado"),CONCATENATE("R1C",'Mapa final SI'!$S$13),"")</f>
        <v/>
      </c>
      <c r="Z16" s="251" t="str">
        <f>IF(AND('Mapa final SI'!$AC$14="Alta",'Mapa final SI'!$AE$14="Moderado"),CONCATENATE("R1C",'Mapa final SI'!$S$14),"")</f>
        <v/>
      </c>
      <c r="AA16" s="252" t="str">
        <f>IF(AND('Mapa final SI'!$AC$15="Alta",'Mapa final SI'!$AE$15="Moderado"),CONCATENATE("R1C",'Mapa final SI'!$S$15),"")</f>
        <v/>
      </c>
      <c r="AB16" s="250" t="str">
        <f>IF(AND('Mapa final SI'!$AC$10="Alta",'Mapa final SI'!$AE$10="Mayor"),CONCATENATE("R1C",'Mapa final SI'!$S$10),"")</f>
        <v/>
      </c>
      <c r="AC16" s="251" t="str">
        <f>IF(AND('Mapa final SI'!$AC$11="Alta",'Mapa final SI'!$AE$11="Mayor"),CONCATENATE("R1C",'Mapa final SI'!$S$11),"")</f>
        <v/>
      </c>
      <c r="AD16" s="251" t="str">
        <f>IF(AND('Mapa final SI'!$AC$12="Alta",'Mapa final SI'!$AE$12="Mayor"),CONCATENATE("R1C",'Mapa final SI'!$S$12),"")</f>
        <v/>
      </c>
      <c r="AE16" s="251" t="str">
        <f>IF(AND('Mapa final SI'!$AC$13="Alta",'Mapa final SI'!$AE$13="Mayor"),CONCATENATE("R1C",'Mapa final SI'!$S$13),"")</f>
        <v/>
      </c>
      <c r="AF16" s="251" t="str">
        <f>IF(AND('Mapa final SI'!$AC$14="Alta",'Mapa final SI'!$AE$14="Mayor"),CONCATENATE("R1C",'Mapa final SI'!$S$14),"")</f>
        <v/>
      </c>
      <c r="AG16" s="252" t="str">
        <f>IF(AND('Mapa final SI'!$AC$15="Alta",'Mapa final SI'!$AE$15="Mayor"),CONCATENATE("R1C",'Mapa final SI'!$S$15),"")</f>
        <v/>
      </c>
      <c r="AH16" s="253" t="str">
        <f>IF(AND('Mapa final SI'!$AC$10="Alta",'Mapa final SI'!$AE$10="Catastrófico"),CONCATENATE("R1C",'Mapa final SI'!$S$10),"")</f>
        <v/>
      </c>
      <c r="AI16" s="254" t="str">
        <f>IF(AND('Mapa final SI'!$AC$11="Alta",'Mapa final SI'!$AE$11="Catastrófico"),CONCATENATE("R1C",'Mapa final SI'!$S$11),"")</f>
        <v/>
      </c>
      <c r="AJ16" s="254" t="str">
        <f>IF(AND('Mapa final SI'!$AC$12="Alta",'Mapa final SI'!$AE$12="Catastrófico"),CONCATENATE("R1C",'Mapa final SI'!$S$12),"")</f>
        <v/>
      </c>
      <c r="AK16" s="254" t="str">
        <f>IF(AND('Mapa final SI'!$AC$13="Alta",'Mapa final SI'!$AE$13="Catastrófico"),CONCATENATE("R1C",'Mapa final SI'!$S$13),"")</f>
        <v/>
      </c>
      <c r="AL16" s="254" t="str">
        <f>IF(AND('Mapa final SI'!$AC$14="Alta",'Mapa final SI'!$AE$14="Catastrófico"),CONCATENATE("R1C",'Mapa final SI'!$S$14),"")</f>
        <v/>
      </c>
      <c r="AM16" s="255" t="str">
        <f>IF(AND('Mapa final SI'!$AC$15="Alta",'Mapa final SI'!$AE$15="Catastrófico"),CONCATENATE("R1C",'Mapa final SI'!$S$15),"")</f>
        <v/>
      </c>
      <c r="AN16" s="15"/>
      <c r="AO16" s="683" t="s">
        <v>1057</v>
      </c>
      <c r="AP16" s="684"/>
      <c r="AQ16" s="684"/>
      <c r="AR16" s="684"/>
      <c r="AS16" s="684"/>
      <c r="AT16" s="68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78"/>
      <c r="C17" s="578"/>
      <c r="D17" s="579"/>
      <c r="E17" s="682"/>
      <c r="F17" s="668"/>
      <c r="G17" s="668"/>
      <c r="H17" s="668"/>
      <c r="I17" s="668"/>
      <c r="J17" s="271" t="str">
        <f>IF(AND('Mapa final SI'!$AC$16="Alta",'Mapa final SI'!$AE$16="Leve"),CONCATENATE("R2C",'Mapa final SI'!$S$16),"")</f>
        <v/>
      </c>
      <c r="K17" s="272" t="str">
        <f>IF(AND('Mapa final SI'!$AC$17="Alta",'Mapa final SI'!$AE$17="Leve"),CONCATENATE("R2C",'Mapa final SI'!$S$17),"")</f>
        <v/>
      </c>
      <c r="L17" s="272" t="str">
        <f>IF(AND('Mapa final SI'!$AC$18="Alta",'Mapa final SI'!$AE$18="Leve"),CONCATENATE("R2C",'Mapa final SI'!$S$18),"")</f>
        <v/>
      </c>
      <c r="M17" s="272" t="str">
        <f>IF(AND('Mapa final SI'!$AC$19="Alta",'Mapa final SI'!$AE$19="Leve"),CONCATENATE("R2C",'Mapa final SI'!$S$19),"")</f>
        <v/>
      </c>
      <c r="N17" s="272" t="str">
        <f>IF(AND('Mapa final SI'!$AC$20="Alta",'Mapa final SI'!$AE$20="Leve"),CONCATENATE("R2C",'Mapa final SI'!$S$20),"")</f>
        <v/>
      </c>
      <c r="O17" s="273" t="str">
        <f>IF(AND('Mapa final SI'!$AC$21="Alta",'Mapa final SI'!$AE$21="Leve"),CONCATENATE("R2C",'Mapa final SI'!$S$21),"")</f>
        <v/>
      </c>
      <c r="P17" s="271" t="str">
        <f>IF(AND('Mapa final SI'!$AC$16="Alta",'Mapa final SI'!$AE$16="Menor"),CONCATENATE("R2C",'Mapa final SI'!$S$16),"")</f>
        <v/>
      </c>
      <c r="Q17" s="272" t="str">
        <f>IF(AND('Mapa final SI'!$AC$17="Alta",'Mapa final SI'!$AE$17="Menor"),CONCATENATE("R2C",'Mapa final SI'!$S$17),"")</f>
        <v/>
      </c>
      <c r="R17" s="272" t="str">
        <f>IF(AND('Mapa final SI'!$AC$18="Alta",'Mapa final SI'!$AE$18="Menor"),CONCATENATE("R2C",'Mapa final SI'!$S$18),"")</f>
        <v/>
      </c>
      <c r="S17" s="272" t="str">
        <f>IF(AND('Mapa final SI'!$AC$19="Alta",'Mapa final SI'!$AE$19="Menor"),CONCATENATE("R2C",'Mapa final SI'!$S$19),"")</f>
        <v/>
      </c>
      <c r="T17" s="272" t="str">
        <f>IF(AND('Mapa final SI'!$AC$20="Alta",'Mapa final SI'!$AE$20="Menor"),CONCATENATE("R2C",'Mapa final SI'!$S$20),"")</f>
        <v/>
      </c>
      <c r="U17" s="273" t="str">
        <f>IF(AND('Mapa final SI'!$AC$21="Alta",'Mapa final SI'!$AE$21="Menor"),CONCATENATE("R2C",'Mapa final SI'!$S$21),"")</f>
        <v/>
      </c>
      <c r="V17" s="256" t="str">
        <f>IF(AND('Mapa final SI'!$AC$16="Alta",'Mapa final SI'!$AE$16="Moderado"),CONCATENATE("R2C",'Mapa final SI'!$S$16),"")</f>
        <v/>
      </c>
      <c r="W17" s="257" t="str">
        <f>IF(AND('Mapa final SI'!$AC$17="Alta",'Mapa final SI'!$AE$17="Moderado"),CONCATENATE("R2C",'Mapa final SI'!$S$17),"")</f>
        <v/>
      </c>
      <c r="X17" s="257" t="str">
        <f>IF(AND('Mapa final SI'!$AC$18="Alta",'Mapa final SI'!$AE$18="Moderado"),CONCATENATE("R2C",'Mapa final SI'!$S$18),"")</f>
        <v/>
      </c>
      <c r="Y17" s="257" t="str">
        <f>IF(AND('Mapa final SI'!$AC$19="Alta",'Mapa final SI'!$AE$19="Moderado"),CONCATENATE("R2C",'Mapa final SI'!$S$19),"")</f>
        <v/>
      </c>
      <c r="Z17" s="257" t="str">
        <f>IF(AND('Mapa final SI'!$AC$20="Alta",'Mapa final SI'!$AE$20="Moderado"),CONCATENATE("R2C",'Mapa final SI'!$S$20),"")</f>
        <v/>
      </c>
      <c r="AA17" s="258" t="str">
        <f>IF(AND('Mapa final SI'!$AC$21="Alta",'Mapa final SI'!$AE$21="Moderado"),CONCATENATE("R2C",'Mapa final SI'!$S$21),"")</f>
        <v/>
      </c>
      <c r="AB17" s="256" t="str">
        <f>IF(AND('Mapa final SI'!$AC$16="Alta",'Mapa final SI'!$AE$16="Mayor"),CONCATENATE("R2C",'Mapa final SI'!$S$16),"")</f>
        <v/>
      </c>
      <c r="AC17" s="257" t="str">
        <f>IF(AND('Mapa final SI'!$AC$17="Alta",'Mapa final SI'!$AE$17="Mayor"),CONCATENATE("R2C",'Mapa final SI'!$S$17),"")</f>
        <v/>
      </c>
      <c r="AD17" s="257" t="str">
        <f>IF(AND('Mapa final SI'!$AC$18="Alta",'Mapa final SI'!$AE$18="Mayor"),CONCATENATE("R2C",'Mapa final SI'!$S$18),"")</f>
        <v/>
      </c>
      <c r="AE17" s="257" t="str">
        <f>IF(AND('Mapa final SI'!$AC$19="Alta",'Mapa final SI'!$AE$19="Mayor"),CONCATENATE("R2C",'Mapa final SI'!$S$19),"")</f>
        <v/>
      </c>
      <c r="AF17" s="257" t="str">
        <f>IF(AND('Mapa final SI'!$AC$20="Alta",'Mapa final SI'!$AE$20="Mayor"),CONCATENATE("R2C",'Mapa final SI'!$S$20),"")</f>
        <v/>
      </c>
      <c r="AG17" s="258" t="str">
        <f>IF(AND('Mapa final SI'!$AC$21="Alta",'Mapa final SI'!$AE$21="Mayor"),CONCATENATE("R2C",'Mapa final SI'!$S$21),"")</f>
        <v/>
      </c>
      <c r="AH17" s="259" t="str">
        <f>IF(AND('Mapa final SI'!$AC$16="Alta",'Mapa final SI'!$AE$16="Catastrófico"),CONCATENATE("R2C",'Mapa final SI'!$S$16),"")</f>
        <v/>
      </c>
      <c r="AI17" s="260" t="str">
        <f>IF(AND('Mapa final SI'!$AC$17="Alta",'Mapa final SI'!$AE$17="Catastrófico"),CONCATENATE("R2C",'Mapa final SI'!$S$17),"")</f>
        <v/>
      </c>
      <c r="AJ17" s="260" t="str">
        <f>IF(AND('Mapa final SI'!$AC$18="Alta",'Mapa final SI'!$AE$18="Catastrófico"),CONCATENATE("R2C",'Mapa final SI'!$S$18),"")</f>
        <v/>
      </c>
      <c r="AK17" s="260" t="str">
        <f>IF(AND('Mapa final SI'!$AC$19="Alta",'Mapa final SI'!$AE$19="Catastrófico"),CONCATENATE("R2C",'Mapa final SI'!$S$19),"")</f>
        <v/>
      </c>
      <c r="AL17" s="260" t="str">
        <f>IF(AND('Mapa final SI'!$AC$20="Alta",'Mapa final SI'!$AE$20="Catastrófico"),CONCATENATE("R2C",'Mapa final SI'!$S$20),"")</f>
        <v/>
      </c>
      <c r="AM17" s="261" t="str">
        <f>IF(AND('Mapa final SI'!$AC$21="Alta",'Mapa final SI'!$AE$21="Catastrófico"),CONCATENATE("R2C",'Mapa final SI'!$S$21),"")</f>
        <v/>
      </c>
      <c r="AN17" s="15"/>
      <c r="AO17" s="686"/>
      <c r="AP17" s="687"/>
      <c r="AQ17" s="687"/>
      <c r="AR17" s="687"/>
      <c r="AS17" s="687"/>
      <c r="AT17" s="68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78"/>
      <c r="C18" s="578"/>
      <c r="D18" s="579"/>
      <c r="E18" s="667"/>
      <c r="F18" s="668"/>
      <c r="G18" s="668"/>
      <c r="H18" s="668"/>
      <c r="I18" s="668"/>
      <c r="J18" s="271" t="str">
        <f>IF(AND('Mapa final SI'!$AC$22="Alta",'Mapa final SI'!$AE$22="Leve"),CONCATENATE("R3C",'Mapa final SI'!$S$22),"")</f>
        <v/>
      </c>
      <c r="K18" s="272" t="str">
        <f>IF(AND('Mapa final SI'!$AC$23="Alta",'Mapa final SI'!$AE$23="Leve"),CONCATENATE("R3C",'Mapa final SI'!$S$23),"")</f>
        <v/>
      </c>
      <c r="L18" s="272" t="str">
        <f>IF(AND('Mapa final SI'!$AC$24="Alta",'Mapa final SI'!$AE$24="Leve"),CONCATENATE("R3C",'Mapa final SI'!$S$24),"")</f>
        <v/>
      </c>
      <c r="M18" s="272" t="str">
        <f>IF(AND('Mapa final SI'!$AC$25="Alta",'Mapa final SI'!$AE$25="Leve"),CONCATENATE("R3C",'Mapa final SI'!$S$25),"")</f>
        <v/>
      </c>
      <c r="N18" s="272" t="str">
        <f>IF(AND('Mapa final SI'!$AC$26="Alta",'Mapa final SI'!$AE$26="Leve"),CONCATENATE("R3C",'Mapa final SI'!$S$26),"")</f>
        <v/>
      </c>
      <c r="O18" s="273" t="str">
        <f>IF(AND('Mapa final SI'!$AC$27="Alta",'Mapa final SI'!$AE$27="Leve"),CONCATENATE("R3C",'Mapa final SI'!$S$27),"")</f>
        <v/>
      </c>
      <c r="P18" s="271" t="str">
        <f>IF(AND('Mapa final SI'!$AC$22="Alta",'Mapa final SI'!$AE$22="Menor"),CONCATENATE("R3C",'Mapa final SI'!$S$22),"")</f>
        <v/>
      </c>
      <c r="Q18" s="272" t="str">
        <f>IF(AND('Mapa final SI'!$AC$23="Alta",'Mapa final SI'!$AE$23="Menor"),CONCATENATE("R3C",'Mapa final SI'!$S$23),"")</f>
        <v/>
      </c>
      <c r="R18" s="272" t="str">
        <f>IF(AND('Mapa final SI'!$AC$24="Alta",'Mapa final SI'!$AE$24="Menor"),CONCATENATE("R3C",'Mapa final SI'!$S$24),"")</f>
        <v/>
      </c>
      <c r="S18" s="272" t="str">
        <f>IF(AND('Mapa final SI'!$AC$25="Alta",'Mapa final SI'!$AE$25="Menor"),CONCATENATE("R3C",'Mapa final SI'!$S$25),"")</f>
        <v/>
      </c>
      <c r="T18" s="272" t="str">
        <f>IF(AND('Mapa final SI'!$AC$26="Alta",'Mapa final SI'!$AE$26="Menor"),CONCATENATE("R3C",'Mapa final SI'!$S$26),"")</f>
        <v/>
      </c>
      <c r="U18" s="273" t="str">
        <f>IF(AND('Mapa final SI'!$AC$27="Alta",'Mapa final SI'!$AE$27="Menor"),CONCATENATE("R3C",'Mapa final SI'!$S$27),"")</f>
        <v/>
      </c>
      <c r="V18" s="256" t="str">
        <f>IF(AND('Mapa final SI'!$AC$22="Alta",'Mapa final SI'!$AE$22="Moderado"),CONCATENATE("R3C",'Mapa final SI'!$S$22),"")</f>
        <v/>
      </c>
      <c r="W18" s="257" t="str">
        <f>IF(AND('Mapa final SI'!$AC$23="Alta",'Mapa final SI'!$AE$23="Moderado"),CONCATENATE("R3C",'Mapa final SI'!$S$23),"")</f>
        <v/>
      </c>
      <c r="X18" s="257" t="str">
        <f>IF(AND('Mapa final SI'!$AC$24="Alta",'Mapa final SI'!$AE$24="Moderado"),CONCATENATE("R3C",'Mapa final SI'!$S$24),"")</f>
        <v/>
      </c>
      <c r="Y18" s="257" t="str">
        <f>IF(AND('Mapa final SI'!$AC$25="Alta",'Mapa final SI'!$AE$25="Moderado"),CONCATENATE("R3C",'Mapa final SI'!$S$25),"")</f>
        <v/>
      </c>
      <c r="Z18" s="257" t="str">
        <f>IF(AND('Mapa final SI'!$AC$26="Alta",'Mapa final SI'!$AE$26="Moderado"),CONCATENATE("R3C",'Mapa final SI'!$S$26),"")</f>
        <v/>
      </c>
      <c r="AA18" s="258" t="str">
        <f>IF(AND('Mapa final SI'!$AC$27="Alta",'Mapa final SI'!$AE$27="Moderado"),CONCATENATE("R3C",'Mapa final SI'!$S$27),"")</f>
        <v/>
      </c>
      <c r="AB18" s="256" t="str">
        <f>IF(AND('Mapa final SI'!$AC$22="Alta",'Mapa final SI'!$AE$22="Mayor"),CONCATENATE("R3C",'Mapa final SI'!$S$22),"")</f>
        <v/>
      </c>
      <c r="AC18" s="257" t="str">
        <f>IF(AND('Mapa final SI'!$AC$23="Alta",'Mapa final SI'!$AE$23="Mayor"),CONCATENATE("R3C",'Mapa final SI'!$S$23),"")</f>
        <v/>
      </c>
      <c r="AD18" s="257" t="str">
        <f>IF(AND('Mapa final SI'!$AC$24="Alta",'Mapa final SI'!$AE$24="Mayor"),CONCATENATE("R3C",'Mapa final SI'!$S$24),"")</f>
        <v/>
      </c>
      <c r="AE18" s="257" t="str">
        <f>IF(AND('Mapa final SI'!$AC$25="Alta",'Mapa final SI'!$AE$25="Mayor"),CONCATENATE("R3C",'Mapa final SI'!$S$25),"")</f>
        <v/>
      </c>
      <c r="AF18" s="257" t="str">
        <f>IF(AND('Mapa final SI'!$AC$26="Alta",'Mapa final SI'!$AE$26="Mayor"),CONCATENATE("R3C",'Mapa final SI'!$S$26),"")</f>
        <v/>
      </c>
      <c r="AG18" s="258" t="str">
        <f>IF(AND('Mapa final SI'!$AC$27="Alta",'Mapa final SI'!$AE$27="Mayor"),CONCATENATE("R3C",'Mapa final SI'!$S$27),"")</f>
        <v/>
      </c>
      <c r="AH18" s="259" t="str">
        <f>IF(AND('Mapa final SI'!$AC$22="Alta",'Mapa final SI'!$AE$22="Catastrófico"),CONCATENATE("R3C",'Mapa final SI'!$S$22),"")</f>
        <v/>
      </c>
      <c r="AI18" s="260" t="str">
        <f>IF(AND('Mapa final SI'!$AC$23="Alta",'Mapa final SI'!$AE$23="Catastrófico"),CONCATENATE("R3C",'Mapa final SI'!$S$23),"")</f>
        <v/>
      </c>
      <c r="AJ18" s="260" t="str">
        <f>IF(AND('Mapa final SI'!$AC$24="Alta",'Mapa final SI'!$AE$24="Catastrófico"),CONCATENATE("R3C",'Mapa final SI'!$S$24),"")</f>
        <v/>
      </c>
      <c r="AK18" s="260" t="str">
        <f>IF(AND('Mapa final SI'!$AC$25="Alta",'Mapa final SI'!$AE$25="Catastrófico"),CONCATENATE("R3C",'Mapa final SI'!$S$25),"")</f>
        <v/>
      </c>
      <c r="AL18" s="260" t="str">
        <f>IF(AND('Mapa final SI'!$AC$26="Alta",'Mapa final SI'!$AE$26="Catastrófico"),CONCATENATE("R3C",'Mapa final SI'!$S$26),"")</f>
        <v/>
      </c>
      <c r="AM18" s="261" t="str">
        <f>IF(AND('Mapa final SI'!$AC$27="Alta",'Mapa final SI'!$AE$27="Catastrófico"),CONCATENATE("R3C",'Mapa final SI'!$S$27),"")</f>
        <v/>
      </c>
      <c r="AN18" s="15"/>
      <c r="AO18" s="686"/>
      <c r="AP18" s="687"/>
      <c r="AQ18" s="687"/>
      <c r="AR18" s="687"/>
      <c r="AS18" s="687"/>
      <c r="AT18" s="68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78"/>
      <c r="C19" s="578"/>
      <c r="D19" s="579"/>
      <c r="E19" s="667"/>
      <c r="F19" s="668"/>
      <c r="G19" s="668"/>
      <c r="H19" s="668"/>
      <c r="I19" s="668"/>
      <c r="J19" s="271" t="str">
        <f>IF(AND('Mapa final SI'!$AC$28="Alta",'Mapa final SI'!$AE$28="Leve"),CONCATENATE("R4C",'Mapa final SI'!$S$28),"")</f>
        <v/>
      </c>
      <c r="K19" s="272" t="str">
        <f>IF(AND('Mapa final SI'!$AC$29="Alta",'Mapa final SI'!$AE$29="Leve"),CONCATENATE("R4C",'Mapa final SI'!$S$29),"")</f>
        <v/>
      </c>
      <c r="L19" s="272" t="str">
        <f>IF(AND('Mapa final SI'!$AC$30="Alta",'Mapa final SI'!$AE$30="Leve"),CONCATENATE("R4C",'Mapa final SI'!$S$30),"")</f>
        <v/>
      </c>
      <c r="M19" s="272" t="str">
        <f>IF(AND('Mapa final SI'!$AC$31="Alta",'Mapa final SI'!$AE$31="Leve"),CONCATENATE("R4C",'Mapa final SI'!$S$31),"")</f>
        <v/>
      </c>
      <c r="N19" s="272" t="str">
        <f>IF(AND('Mapa final SI'!$AC$32="Alta",'Mapa final SI'!$AE$32="Leve"),CONCATENATE("R4C",'Mapa final SI'!$S$32),"")</f>
        <v/>
      </c>
      <c r="O19" s="273" t="str">
        <f>IF(AND('Mapa final SI'!$AC$33="Alta",'Mapa final SI'!$AE$33="Leve"),CONCATENATE("R4C",'Mapa final SI'!$S$33),"")</f>
        <v/>
      </c>
      <c r="P19" s="271" t="str">
        <f>IF(AND('Mapa final SI'!$AC$28="Alta",'Mapa final SI'!$AE$28="Menor"),CONCATENATE("R4C",'Mapa final SI'!$S$28),"")</f>
        <v/>
      </c>
      <c r="Q19" s="272" t="str">
        <f>IF(AND('Mapa final SI'!$AC$29="Alta",'Mapa final SI'!$AE$29="Menor"),CONCATENATE("R4C",'Mapa final SI'!$S$29),"")</f>
        <v/>
      </c>
      <c r="R19" s="272" t="str">
        <f>IF(AND('Mapa final SI'!$AC$30="Alta",'Mapa final SI'!$AE$30="Menor"),CONCATENATE("R4C",'Mapa final SI'!$S$30),"")</f>
        <v/>
      </c>
      <c r="S19" s="272" t="str">
        <f>IF(AND('Mapa final SI'!$AC$31="Alta",'Mapa final SI'!$AE$31="Menor"),CONCATENATE("R4C",'Mapa final SI'!$S$31),"")</f>
        <v/>
      </c>
      <c r="T19" s="272" t="str">
        <f>IF(AND('Mapa final SI'!$AC$32="Alta",'Mapa final SI'!$AE$32="Menor"),CONCATENATE("R4C",'Mapa final SI'!$S$32),"")</f>
        <v/>
      </c>
      <c r="U19" s="273" t="str">
        <f>IF(AND('Mapa final SI'!$AC$33="Alta",'Mapa final SI'!$AE$33="Menor"),CONCATENATE("R4C",'Mapa final SI'!$S$33),"")</f>
        <v/>
      </c>
      <c r="V19" s="256" t="str">
        <f>IF(AND('Mapa final SI'!$AC$28="Alta",'Mapa final SI'!$AE$28="Moderado"),CONCATENATE("R4C",'Mapa final SI'!$S$28),"")</f>
        <v/>
      </c>
      <c r="W19" s="257" t="str">
        <f>IF(AND('Mapa final SI'!$AC$29="Alta",'Mapa final SI'!$AE$29="Moderado"),CONCATENATE("R4C",'Mapa final SI'!$S$29),"")</f>
        <v/>
      </c>
      <c r="X19" s="257" t="str">
        <f>IF(AND('Mapa final SI'!$AC$30="Alta",'Mapa final SI'!$AE$30="Moderado"),CONCATENATE("R4C",'Mapa final SI'!$S$30),"")</f>
        <v/>
      </c>
      <c r="Y19" s="257" t="str">
        <f>IF(AND('Mapa final SI'!$AC$31="Alta",'Mapa final SI'!$AE$31="Moderado"),CONCATENATE("R4C",'Mapa final SI'!$S$31),"")</f>
        <v/>
      </c>
      <c r="Z19" s="257" t="str">
        <f>IF(AND('Mapa final SI'!$AC$32="Alta",'Mapa final SI'!$AE$32="Moderado"),CONCATENATE("R4C",'Mapa final SI'!$S$32),"")</f>
        <v/>
      </c>
      <c r="AA19" s="258" t="str">
        <f>IF(AND('Mapa final SI'!$AC$33="Alta",'Mapa final SI'!$AE$33="Moderado"),CONCATENATE("R4C",'Mapa final SI'!$S$33),"")</f>
        <v/>
      </c>
      <c r="AB19" s="256" t="str">
        <f>IF(AND('Mapa final SI'!$AC$28="Alta",'Mapa final SI'!$AE$28="Mayor"),CONCATENATE("R4C",'Mapa final SI'!$S$28),"")</f>
        <v/>
      </c>
      <c r="AC19" s="257" t="str">
        <f>IF(AND('Mapa final SI'!$AC$29="Alta",'Mapa final SI'!$AE$29="Mayor"),CONCATENATE("R4C",'Mapa final SI'!$S$29),"")</f>
        <v/>
      </c>
      <c r="AD19" s="257" t="str">
        <f>IF(AND('Mapa final SI'!$AC$30="Alta",'Mapa final SI'!$AE$30="Mayor"),CONCATENATE("R4C",'Mapa final SI'!$S$30),"")</f>
        <v/>
      </c>
      <c r="AE19" s="257" t="str">
        <f>IF(AND('Mapa final SI'!$AC$31="Alta",'Mapa final SI'!$AE$31="Mayor"),CONCATENATE("R4C",'Mapa final SI'!$S$31),"")</f>
        <v/>
      </c>
      <c r="AF19" s="257" t="str">
        <f>IF(AND('Mapa final SI'!$AC$32="Alta",'Mapa final SI'!$AE$32="Mayor"),CONCATENATE("R4C",'Mapa final SI'!$S$32),"")</f>
        <v/>
      </c>
      <c r="AG19" s="258" t="str">
        <f>IF(AND('Mapa final SI'!$AC$33="Alta",'Mapa final SI'!$AE$33="Mayor"),CONCATENATE("R4C",'Mapa final SI'!$S$33),"")</f>
        <v/>
      </c>
      <c r="AH19" s="259" t="str">
        <f>IF(AND('Mapa final SI'!$AC$28="Alta",'Mapa final SI'!$AE$28="Catastrófico"),CONCATENATE("R4C",'Mapa final SI'!$S$28),"")</f>
        <v/>
      </c>
      <c r="AI19" s="260" t="str">
        <f>IF(AND('Mapa final SI'!$AC$29="Alta",'Mapa final SI'!$AE$29="Catastrófico"),CONCATENATE("R4C",'Mapa final SI'!$S$29),"")</f>
        <v/>
      </c>
      <c r="AJ19" s="260" t="str">
        <f>IF(AND('Mapa final SI'!$AC$30="Alta",'Mapa final SI'!$AE$30="Catastrófico"),CONCATENATE("R4C",'Mapa final SI'!$S$30),"")</f>
        <v/>
      </c>
      <c r="AK19" s="260" t="str">
        <f>IF(AND('Mapa final SI'!$AC$31="Alta",'Mapa final SI'!$AE$31="Catastrófico"),CONCATENATE("R4C",'Mapa final SI'!$S$31),"")</f>
        <v/>
      </c>
      <c r="AL19" s="260" t="str">
        <f>IF(AND('Mapa final SI'!$AC$32="Alta",'Mapa final SI'!$AE$32="Catastrófico"),CONCATENATE("R4C",'Mapa final SI'!$S$32),"")</f>
        <v/>
      </c>
      <c r="AM19" s="261" t="str">
        <f>IF(AND('Mapa final SI'!$AC$33="Alta",'Mapa final SI'!$AE$33="Catastrófico"),CONCATENATE("R4C",'Mapa final SI'!$S$33),"")</f>
        <v/>
      </c>
      <c r="AN19" s="15"/>
      <c r="AO19" s="686"/>
      <c r="AP19" s="687"/>
      <c r="AQ19" s="687"/>
      <c r="AR19" s="687"/>
      <c r="AS19" s="687"/>
      <c r="AT19" s="68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78"/>
      <c r="C20" s="578"/>
      <c r="D20" s="579"/>
      <c r="E20" s="667"/>
      <c r="F20" s="668"/>
      <c r="G20" s="668"/>
      <c r="H20" s="668"/>
      <c r="I20" s="668"/>
      <c r="J20" s="271" t="str">
        <f>IF(AND('Mapa final SI'!$AC$34="Alta",'Mapa final SI'!$AE$34="Leve"),CONCATENATE("R5C",'Mapa final SI'!$S$34),"")</f>
        <v/>
      </c>
      <c r="K20" s="272" t="str">
        <f>IF(AND('Mapa final SI'!$AC$35="Alta",'Mapa final SI'!$AE$35="Leve"),CONCATENATE("R5C",'Mapa final SI'!$S$35),"")</f>
        <v/>
      </c>
      <c r="L20" s="272" t="str">
        <f>IF(AND('Mapa final SI'!$AC$36="Alta",'Mapa final SI'!$AE$36="Leve"),CONCATENATE("R5C",'Mapa final SI'!$S$36),"")</f>
        <v/>
      </c>
      <c r="M20" s="272" t="str">
        <f>IF(AND('Mapa final SI'!$AC$37="Alta",'Mapa final SI'!$AE$37="Leve"),CONCATENATE("R5C",'Mapa final SI'!$S$37),"")</f>
        <v/>
      </c>
      <c r="N20" s="272" t="str">
        <f>IF(AND('Mapa final SI'!$AC$38="Alta",'Mapa final SI'!$AE$38="Leve"),CONCATENATE("R5C",'Mapa final SI'!$S$38),"")</f>
        <v/>
      </c>
      <c r="O20" s="273" t="str">
        <f>IF(AND('Mapa final SI'!$AC$39="Alta",'Mapa final SI'!$AE$39="Leve"),CONCATENATE("R5C",'Mapa final SI'!$S$39),"")</f>
        <v/>
      </c>
      <c r="P20" s="271" t="str">
        <f>IF(AND('Mapa final SI'!$AC$34="Alta",'Mapa final SI'!$AE$34="Menor"),CONCATENATE("R5C",'Mapa final SI'!$S$34),"")</f>
        <v/>
      </c>
      <c r="Q20" s="272" t="str">
        <f>IF(AND('Mapa final SI'!$AC$35="Alta",'Mapa final SI'!$AE$35="Menor"),CONCATENATE("R5C",'Mapa final SI'!$S$35),"")</f>
        <v/>
      </c>
      <c r="R20" s="272" t="str">
        <f>IF(AND('Mapa final SI'!$AC$36="Alta",'Mapa final SI'!$AE$36="Menor"),CONCATENATE("R5C",'Mapa final SI'!$S$36),"")</f>
        <v/>
      </c>
      <c r="S20" s="272" t="str">
        <f>IF(AND('Mapa final SI'!$AC$37="Alta",'Mapa final SI'!$AE$37="Menor"),CONCATENATE("R5C",'Mapa final SI'!$S$37),"")</f>
        <v/>
      </c>
      <c r="T20" s="272" t="str">
        <f>IF(AND('Mapa final SI'!$AC$38="Alta",'Mapa final SI'!$AE$38="Menor"),CONCATENATE("R5C",'Mapa final SI'!$S$38),"")</f>
        <v/>
      </c>
      <c r="U20" s="273" t="str">
        <f>IF(AND('Mapa final SI'!$AC$39="Alta",'Mapa final SI'!$AE$39="Menor"),CONCATENATE("R5C",'Mapa final SI'!$S$39),"")</f>
        <v/>
      </c>
      <c r="V20" s="256" t="str">
        <f>IF(AND('Mapa final SI'!$AC$34="Alta",'Mapa final SI'!$AE$34="Moderado"),CONCATENATE("R5C",'Mapa final SI'!$S$34),"")</f>
        <v/>
      </c>
      <c r="W20" s="257" t="str">
        <f>IF(AND('Mapa final SI'!$AC$35="Alta",'Mapa final SI'!$AE$35="Moderado"),CONCATENATE("R5C",'Mapa final SI'!$S$35),"")</f>
        <v/>
      </c>
      <c r="X20" s="257" t="str">
        <f>IF(AND('Mapa final SI'!$AC$36="Alta",'Mapa final SI'!$AE$36="Moderado"),CONCATENATE("R5C",'Mapa final SI'!$S$36),"")</f>
        <v/>
      </c>
      <c r="Y20" s="257" t="str">
        <f>IF(AND('Mapa final SI'!$AC$37="Alta",'Mapa final SI'!$AE$37="Moderado"),CONCATENATE("R5C",'Mapa final SI'!$S$37),"")</f>
        <v/>
      </c>
      <c r="Z20" s="257" t="str">
        <f>IF(AND('Mapa final SI'!$AC$38="Alta",'Mapa final SI'!$AE$38="Moderado"),CONCATENATE("R5C",'Mapa final SI'!$S$38),"")</f>
        <v/>
      </c>
      <c r="AA20" s="258" t="str">
        <f>IF(AND('Mapa final SI'!$AC$39="Alta",'Mapa final SI'!$AE$39="Moderado"),CONCATENATE("R5C",'Mapa final SI'!$S$39),"")</f>
        <v/>
      </c>
      <c r="AB20" s="256" t="str">
        <f>IF(AND('Mapa final SI'!$AC$34="Alta",'Mapa final SI'!$AE$34="Mayor"),CONCATENATE("R5C",'Mapa final SI'!$S$34),"")</f>
        <v/>
      </c>
      <c r="AC20" s="257" t="str">
        <f>IF(AND('Mapa final SI'!$AC$35="Alta",'Mapa final SI'!$AE$35="Mayor"),CONCATENATE("R5C",'Mapa final SI'!$S$35),"")</f>
        <v/>
      </c>
      <c r="AD20" s="257" t="str">
        <f>IF(AND('Mapa final SI'!$AC$36="Alta",'Mapa final SI'!$AE$36="Mayor"),CONCATENATE("R5C",'Mapa final SI'!$S$36),"")</f>
        <v/>
      </c>
      <c r="AE20" s="257" t="str">
        <f>IF(AND('Mapa final SI'!$AC$37="Alta",'Mapa final SI'!$AE$37="Mayor"),CONCATENATE("R5C",'Mapa final SI'!$S$37),"")</f>
        <v/>
      </c>
      <c r="AF20" s="257" t="str">
        <f>IF(AND('Mapa final SI'!$AC$38="Alta",'Mapa final SI'!$AE$38="Mayor"),CONCATENATE("R5C",'Mapa final SI'!$S$38),"")</f>
        <v/>
      </c>
      <c r="AG20" s="258" t="str">
        <f>IF(AND('Mapa final SI'!$AC$39="Alta",'Mapa final SI'!$AE$39="Mayor"),CONCATENATE("R5C",'Mapa final SI'!$S$39),"")</f>
        <v/>
      </c>
      <c r="AH20" s="259" t="str">
        <f>IF(AND('Mapa final SI'!$AC$34="Alta",'Mapa final SI'!$AE$34="Catastrófico"),CONCATENATE("R5C",'Mapa final SI'!$S$34),"")</f>
        <v/>
      </c>
      <c r="AI20" s="260" t="str">
        <f>IF(AND('Mapa final SI'!$AC$35="Alta",'Mapa final SI'!$AE$35="Catastrófico"),CONCATENATE("R5C",'Mapa final SI'!$S$35),"")</f>
        <v/>
      </c>
      <c r="AJ20" s="260" t="str">
        <f>IF(AND('Mapa final SI'!$AC$36="Alta",'Mapa final SI'!$AE$36="Catastrófico"),CONCATENATE("R5C",'Mapa final SI'!$S$36),"")</f>
        <v/>
      </c>
      <c r="AK20" s="260" t="str">
        <f>IF(AND('Mapa final SI'!$AC$37="Alta",'Mapa final SI'!$AE$37="Catastrófico"),CONCATENATE("R5C",'Mapa final SI'!$S$37),"")</f>
        <v/>
      </c>
      <c r="AL20" s="260" t="str">
        <f>IF(AND('Mapa final SI'!$AC$38="Alta",'Mapa final SI'!$AE$38="Catastrófico"),CONCATENATE("R5C",'Mapa final SI'!$S$38),"")</f>
        <v/>
      </c>
      <c r="AM20" s="261" t="str">
        <f>IF(AND('Mapa final SI'!$AC$39="Alta",'Mapa final SI'!$AE$39="Catastrófico"),CONCATENATE("R5C",'Mapa final SI'!$S$39),"")</f>
        <v/>
      </c>
      <c r="AN20" s="15"/>
      <c r="AO20" s="686"/>
      <c r="AP20" s="687"/>
      <c r="AQ20" s="687"/>
      <c r="AR20" s="687"/>
      <c r="AS20" s="687"/>
      <c r="AT20" s="68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78"/>
      <c r="C21" s="578"/>
      <c r="D21" s="579"/>
      <c r="E21" s="667"/>
      <c r="F21" s="668"/>
      <c r="G21" s="668"/>
      <c r="H21" s="668"/>
      <c r="I21" s="668"/>
      <c r="J21" s="271" t="str">
        <f>IF(AND('Mapa final SI'!$AC$40="Alta",'Mapa final SI'!$AE$40="Leve"),CONCATENATE("R6C",'Mapa final SI'!$S$40),"")</f>
        <v/>
      </c>
      <c r="K21" s="272" t="str">
        <f>IF(AND('Mapa final SI'!$AC$41="Alta",'Mapa final SI'!$AE$41="Leve"),CONCATENATE("R6C",'Mapa final SI'!$S$41),"")</f>
        <v/>
      </c>
      <c r="L21" s="272" t="str">
        <f>IF(AND('Mapa final SI'!$AC$42="Alta",'Mapa final SI'!$AE$42="Leve"),CONCATENATE("R6C",'Mapa final SI'!$S$42),"")</f>
        <v/>
      </c>
      <c r="M21" s="272" t="str">
        <f>IF(AND('Mapa final SI'!$AC$43="Alta",'Mapa final SI'!$AE$43="Leve"),CONCATENATE("R6C",'Mapa final SI'!$S$43),"")</f>
        <v/>
      </c>
      <c r="N21" s="272" t="str">
        <f>IF(AND('Mapa final SI'!$AC$44="Alta",'Mapa final SI'!$AE$44="Leve"),CONCATENATE("R6C",'Mapa final SI'!$S$44),"")</f>
        <v/>
      </c>
      <c r="O21" s="273" t="str">
        <f>IF(AND('Mapa final SI'!$AC$45="Alta",'Mapa final SI'!$AE$45="Leve"),CONCATENATE("R6C",'Mapa final SI'!$S$45),"")</f>
        <v/>
      </c>
      <c r="P21" s="271" t="str">
        <f>IF(AND('Mapa final SI'!$AC$40="Alta",'Mapa final SI'!$AE$40="Menor"),CONCATENATE("R6C",'Mapa final SI'!$S$40),"")</f>
        <v/>
      </c>
      <c r="Q21" s="272" t="str">
        <f>IF(AND('Mapa final SI'!$AC$41="Alta",'Mapa final SI'!$AE$41="Menor"),CONCATENATE("R6C",'Mapa final SI'!$S$41),"")</f>
        <v/>
      </c>
      <c r="R21" s="272" t="str">
        <f>IF(AND('Mapa final SI'!$AC$42="Alta",'Mapa final SI'!$AE$42="Menor"),CONCATENATE("R6C",'Mapa final SI'!$S$42),"")</f>
        <v/>
      </c>
      <c r="S21" s="272" t="str">
        <f>IF(AND('Mapa final SI'!$AC$43="Alta",'Mapa final SI'!$AE$43="Menor"),CONCATENATE("R6C",'Mapa final SI'!$S$43),"")</f>
        <v/>
      </c>
      <c r="T21" s="272" t="str">
        <f>IF(AND('Mapa final SI'!$AC$44="Alta",'Mapa final SI'!$AE$44="Menor"),CONCATENATE("R6C",'Mapa final SI'!$S$44),"")</f>
        <v/>
      </c>
      <c r="U21" s="273" t="str">
        <f>IF(AND('Mapa final SI'!$AC$45="Alta",'Mapa final SI'!$AE$45="Menor"),CONCATENATE("R6C",'Mapa final SI'!$S$45),"")</f>
        <v/>
      </c>
      <c r="V21" s="256" t="str">
        <f>IF(AND('Mapa final SI'!$AC$40="Alta",'Mapa final SI'!$AE$40="Moderado"),CONCATENATE("R6C",'Mapa final SI'!$S$40),"")</f>
        <v/>
      </c>
      <c r="W21" s="257" t="str">
        <f>IF(AND('Mapa final SI'!$AC$41="Alta",'Mapa final SI'!$AE$41="Moderado"),CONCATENATE("R6C",'Mapa final SI'!$S$41),"")</f>
        <v/>
      </c>
      <c r="X21" s="257" t="str">
        <f>IF(AND('Mapa final SI'!$AC$42="Alta",'Mapa final SI'!$AE$42="Moderado"),CONCATENATE("R6C",'Mapa final SI'!$S$42),"")</f>
        <v/>
      </c>
      <c r="Y21" s="257" t="str">
        <f>IF(AND('Mapa final SI'!$AC$43="Alta",'Mapa final SI'!$AE$43="Moderado"),CONCATENATE("R6C",'Mapa final SI'!$S$43),"")</f>
        <v/>
      </c>
      <c r="Z21" s="257" t="str">
        <f>IF(AND('Mapa final SI'!$AC$44="Alta",'Mapa final SI'!$AE$44="Moderado"),CONCATENATE("R6C",'Mapa final SI'!$S$44),"")</f>
        <v/>
      </c>
      <c r="AA21" s="258" t="str">
        <f>IF(AND('Mapa final SI'!$AC$45="Alta",'Mapa final SI'!$AE$45="Moderado"),CONCATENATE("R6C",'Mapa final SI'!$S$45),"")</f>
        <v/>
      </c>
      <c r="AB21" s="256" t="str">
        <f>IF(AND('Mapa final SI'!$AC$40="Alta",'Mapa final SI'!$AE$40="Mayor"),CONCATENATE("R6C",'Mapa final SI'!$S$40),"")</f>
        <v/>
      </c>
      <c r="AC21" s="257" t="str">
        <f>IF(AND('Mapa final SI'!$AC$41="Alta",'Mapa final SI'!$AE$41="Mayor"),CONCATENATE("R6C",'Mapa final SI'!$S$41),"")</f>
        <v/>
      </c>
      <c r="AD21" s="257" t="str">
        <f>IF(AND('Mapa final SI'!$AC$42="Alta",'Mapa final SI'!$AE$42="Mayor"),CONCATENATE("R6C",'Mapa final SI'!$S$42),"")</f>
        <v/>
      </c>
      <c r="AE21" s="257" t="str">
        <f>IF(AND('Mapa final SI'!$AC$43="Alta",'Mapa final SI'!$AE$43="Mayor"),CONCATENATE("R6C",'Mapa final SI'!$S$43),"")</f>
        <v/>
      </c>
      <c r="AF21" s="257" t="str">
        <f>IF(AND('Mapa final SI'!$AC$44="Alta",'Mapa final SI'!$AE$44="Mayor"),CONCATENATE("R6C",'Mapa final SI'!$S$44),"")</f>
        <v/>
      </c>
      <c r="AG21" s="258" t="str">
        <f>IF(AND('Mapa final SI'!$AC$45="Alta",'Mapa final SI'!$AE$45="Mayor"),CONCATENATE("R6C",'Mapa final SI'!$S$45),"")</f>
        <v/>
      </c>
      <c r="AH21" s="259" t="str">
        <f>IF(AND('Mapa final SI'!$AC$40="Alta",'Mapa final SI'!$AE$40="Catastrófico"),CONCATENATE("R6C",'Mapa final SI'!$S$40),"")</f>
        <v/>
      </c>
      <c r="AI21" s="260" t="str">
        <f>IF(AND('Mapa final SI'!$AC$41="Alta",'Mapa final SI'!$AE$41="Catastrófico"),CONCATENATE("R6C",'Mapa final SI'!$S$41),"")</f>
        <v/>
      </c>
      <c r="AJ21" s="260" t="str">
        <f>IF(AND('Mapa final SI'!$AC$42="Alta",'Mapa final SI'!$AE$42="Catastrófico"),CONCATENATE("R6C",'Mapa final SI'!$S$42),"")</f>
        <v/>
      </c>
      <c r="AK21" s="260" t="str">
        <f>IF(AND('Mapa final SI'!$AC$43="Alta",'Mapa final SI'!$AE$43="Catastrófico"),CONCATENATE("R6C",'Mapa final SI'!$S$43),"")</f>
        <v/>
      </c>
      <c r="AL21" s="260" t="str">
        <f>IF(AND('Mapa final SI'!$AC$44="Alta",'Mapa final SI'!$AE$44="Catastrófico"),CONCATENATE("R6C",'Mapa final SI'!$S$44),"")</f>
        <v/>
      </c>
      <c r="AM21" s="261" t="str">
        <f>IF(AND('Mapa final SI'!$AC$45="Alta",'Mapa final SI'!$AE$45="Catastrófico"),CONCATENATE("R6C",'Mapa final SI'!$S$45),"")</f>
        <v/>
      </c>
      <c r="AN21" s="15"/>
      <c r="AO21" s="686"/>
      <c r="AP21" s="687"/>
      <c r="AQ21" s="687"/>
      <c r="AR21" s="687"/>
      <c r="AS21" s="687"/>
      <c r="AT21" s="68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78"/>
      <c r="C22" s="578"/>
      <c r="D22" s="579"/>
      <c r="E22" s="667"/>
      <c r="F22" s="668"/>
      <c r="G22" s="668"/>
      <c r="H22" s="668"/>
      <c r="I22" s="668"/>
      <c r="J22" s="271" t="str">
        <f>IF(AND('Mapa final SI'!$AC$46="Alta",'Mapa final SI'!$AE$46="Leve"),CONCATENATE("R7C",'Mapa final SI'!$S$46),"")</f>
        <v/>
      </c>
      <c r="K22" s="272" t="str">
        <f>IF(AND('Mapa final SI'!$AC$47="Alta",'Mapa final SI'!$AE$47="Leve"),CONCATENATE("R7C",'Mapa final SI'!$S$47),"")</f>
        <v/>
      </c>
      <c r="L22" s="272" t="str">
        <f>IF(AND('Mapa final SI'!$AC$48="Alta",'Mapa final SI'!$AE$48="Leve"),CONCATENATE("R7C",'Mapa final SI'!$S$48),"")</f>
        <v/>
      </c>
      <c r="M22" s="272" t="str">
        <f>IF(AND('Mapa final SI'!$AC$49="Alta",'Mapa final SI'!$AE$49="Leve"),CONCATENATE("R7C",'Mapa final SI'!$S$49),"")</f>
        <v/>
      </c>
      <c r="N22" s="272" t="str">
        <f>IF(AND('Mapa final SI'!$AC$50="Alta",'Mapa final SI'!$AE$50="Leve"),CONCATENATE("R7C",'Mapa final SI'!$S$50),"")</f>
        <v/>
      </c>
      <c r="O22" s="273" t="str">
        <f>IF(AND('Mapa final SI'!$AC$51="Alta",'Mapa final SI'!$AE$51="Leve"),CONCATENATE("R7C",'Mapa final SI'!$S$51),"")</f>
        <v/>
      </c>
      <c r="P22" s="271" t="str">
        <f>IF(AND('Mapa final SI'!$AC$46="Alta",'Mapa final SI'!$AE$46="Menor"),CONCATENATE("R7C",'Mapa final SI'!$S$46),"")</f>
        <v/>
      </c>
      <c r="Q22" s="272" t="str">
        <f>IF(AND('Mapa final SI'!$AC$47="Alta",'Mapa final SI'!$AE$47="Menor"),CONCATENATE("R7C",'Mapa final SI'!$S$47),"")</f>
        <v/>
      </c>
      <c r="R22" s="272" t="str">
        <f>IF(AND('Mapa final SI'!$AC$48="Alta",'Mapa final SI'!$AE$48="Menor"),CONCATENATE("R7C",'Mapa final SI'!$S$48),"")</f>
        <v/>
      </c>
      <c r="S22" s="272" t="str">
        <f>IF(AND('Mapa final SI'!$AC$49="Alta",'Mapa final SI'!$AE$49="Menor"),CONCATENATE("R7C",'Mapa final SI'!$S$49),"")</f>
        <v/>
      </c>
      <c r="T22" s="272" t="str">
        <f>IF(AND('Mapa final SI'!$AC$50="Alta",'Mapa final SI'!$AE$50="Menor"),CONCATENATE("R7C",'Mapa final SI'!$S$50),"")</f>
        <v/>
      </c>
      <c r="U22" s="273" t="str">
        <f>IF(AND('Mapa final SI'!$AC$51="Alta",'Mapa final SI'!$AE$51="Menor"),CONCATENATE("R7C",'Mapa final SI'!$S$51),"")</f>
        <v/>
      </c>
      <c r="V22" s="256" t="str">
        <f>IF(AND('Mapa final SI'!$AC$46="Alta",'Mapa final SI'!$AE$46="Moderado"),CONCATENATE("R7C",'Mapa final SI'!$S$46),"")</f>
        <v/>
      </c>
      <c r="W22" s="257" t="str">
        <f>IF(AND('Mapa final SI'!$AC$47="Alta",'Mapa final SI'!$AE$47="Moderado"),CONCATENATE("R7C",'Mapa final SI'!$S$47),"")</f>
        <v/>
      </c>
      <c r="X22" s="257" t="str">
        <f>IF(AND('Mapa final SI'!$AC$48="Alta",'Mapa final SI'!$AE$48="Moderado"),CONCATENATE("R7C",'Mapa final SI'!$S$48),"")</f>
        <v/>
      </c>
      <c r="Y22" s="257" t="str">
        <f>IF(AND('Mapa final SI'!$AC$49="Alta",'Mapa final SI'!$AE$49="Moderado"),CONCATENATE("R7C",'Mapa final SI'!$S$49),"")</f>
        <v/>
      </c>
      <c r="Z22" s="257" t="str">
        <f>IF(AND('Mapa final SI'!$AC$50="Alta",'Mapa final SI'!$AE$50="Moderado"),CONCATENATE("R7C",'Mapa final SI'!$S$50),"")</f>
        <v/>
      </c>
      <c r="AA22" s="258" t="str">
        <f>IF(AND('Mapa final SI'!$AC$51="Alta",'Mapa final SI'!$AE$51="Moderado"),CONCATENATE("R7C",'Mapa final SI'!$S$51),"")</f>
        <v/>
      </c>
      <c r="AB22" s="256" t="str">
        <f>IF(AND('Mapa final SI'!$AC$46="Alta",'Mapa final SI'!$AE$46="Mayor"),CONCATENATE("R7C",'Mapa final SI'!$S$46),"")</f>
        <v/>
      </c>
      <c r="AC22" s="257" t="str">
        <f>IF(AND('Mapa final SI'!$AC$47="Alta",'Mapa final SI'!$AE$47="Mayor"),CONCATENATE("R7C",'Mapa final SI'!$S$47),"")</f>
        <v/>
      </c>
      <c r="AD22" s="257" t="str">
        <f>IF(AND('Mapa final SI'!$AC$48="Alta",'Mapa final SI'!$AE$48="Mayor"),CONCATENATE("R7C",'Mapa final SI'!$S$48),"")</f>
        <v/>
      </c>
      <c r="AE22" s="257" t="str">
        <f>IF(AND('Mapa final SI'!$AC$49="Alta",'Mapa final SI'!$AE$49="Mayor"),CONCATENATE("R7C",'Mapa final SI'!$S$49),"")</f>
        <v/>
      </c>
      <c r="AF22" s="257" t="str">
        <f>IF(AND('Mapa final SI'!$AC$50="Alta",'Mapa final SI'!$AE$50="Mayor"),CONCATENATE("R7C",'Mapa final SI'!$S$50),"")</f>
        <v/>
      </c>
      <c r="AG22" s="258" t="str">
        <f>IF(AND('Mapa final SI'!$AC$51="Alta",'Mapa final SI'!$AE$51="Mayor"),CONCATENATE("R7C",'Mapa final SI'!$S$51),"")</f>
        <v/>
      </c>
      <c r="AH22" s="259" t="str">
        <f>IF(AND('Mapa final SI'!$AC$46="Alta",'Mapa final SI'!$AE$46="Catastrófico"),CONCATENATE("R7C",'Mapa final SI'!$S$46),"")</f>
        <v/>
      </c>
      <c r="AI22" s="260" t="str">
        <f>IF(AND('Mapa final SI'!$AC$47="Alta",'Mapa final SI'!$AE$47="Catastrófico"),CONCATENATE("R7C",'Mapa final SI'!$S$47),"")</f>
        <v/>
      </c>
      <c r="AJ22" s="260" t="str">
        <f>IF(AND('Mapa final SI'!$AC$48="Alta",'Mapa final SI'!$AE$48="Catastrófico"),CONCATENATE("R7C",'Mapa final SI'!$S$48),"")</f>
        <v/>
      </c>
      <c r="AK22" s="260" t="str">
        <f>IF(AND('Mapa final SI'!$AC$49="Alta",'Mapa final SI'!$AE$49="Catastrófico"),CONCATENATE("R7C",'Mapa final SI'!$S$49),"")</f>
        <v/>
      </c>
      <c r="AL22" s="260" t="str">
        <f>IF(AND('Mapa final SI'!$AC$50="Alta",'Mapa final SI'!$AE$50="Catastrófico"),CONCATENATE("R7C",'Mapa final SI'!$S$50),"")</f>
        <v/>
      </c>
      <c r="AM22" s="261" t="str">
        <f>IF(AND('Mapa final SI'!$AC$51="Alta",'Mapa final SI'!$AE$51="Catastrófico"),CONCATENATE("R7C",'Mapa final SI'!$S$51),"")</f>
        <v/>
      </c>
      <c r="AN22" s="15"/>
      <c r="AO22" s="686"/>
      <c r="AP22" s="687"/>
      <c r="AQ22" s="687"/>
      <c r="AR22" s="687"/>
      <c r="AS22" s="687"/>
      <c r="AT22" s="68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78"/>
      <c r="C23" s="578"/>
      <c r="D23" s="579"/>
      <c r="E23" s="667"/>
      <c r="F23" s="668"/>
      <c r="G23" s="668"/>
      <c r="H23" s="668"/>
      <c r="I23" s="668"/>
      <c r="J23" s="271" t="str">
        <f>IF(AND('Mapa final SI'!$AC$52="Alta",'Mapa final SI'!$AE$52="Leve"),CONCATENATE("R8C",'Mapa final SI'!$S$52),"")</f>
        <v/>
      </c>
      <c r="K23" s="272" t="str">
        <f>IF(AND('Mapa final SI'!$AC$53="Alta",'Mapa final SI'!$AE$53="Leve"),CONCATENATE("R8C",'Mapa final SI'!$S$53),"")</f>
        <v/>
      </c>
      <c r="L23" s="272" t="str">
        <f>IF(AND('Mapa final SI'!$AC$54="Alta",'Mapa final SI'!$AE$54="Leve"),CONCATENATE("R8C",'Mapa final SI'!$S$54),"")</f>
        <v/>
      </c>
      <c r="M23" s="272" t="str">
        <f>IF(AND('Mapa final SI'!$AC$55="Alta",'Mapa final SI'!$AE$55="Leve"),CONCATENATE("R8C",'Mapa final SI'!$S$55),"")</f>
        <v/>
      </c>
      <c r="N23" s="272" t="str">
        <f>IF(AND('Mapa final SI'!$AC$56="Alta",'Mapa final SI'!$AE$56="Leve"),CONCATENATE("R8C",'Mapa final SI'!$S$56),"")</f>
        <v/>
      </c>
      <c r="O23" s="273" t="str">
        <f>IF(AND('Mapa final SI'!$AC$57="Alta",'Mapa final SI'!$AE$57="Leve"),CONCATENATE("R8C",'Mapa final SI'!$S$57),"")</f>
        <v/>
      </c>
      <c r="P23" s="271" t="str">
        <f>IF(AND('Mapa final SI'!$AC$52="Alta",'Mapa final SI'!$AE$52="Menor"),CONCATENATE("R8C",'Mapa final SI'!$S$52),"")</f>
        <v/>
      </c>
      <c r="Q23" s="272" t="str">
        <f>IF(AND('Mapa final SI'!$AC$53="Alta",'Mapa final SI'!$AE$53="Menor"),CONCATENATE("R8C",'Mapa final SI'!$S$53),"")</f>
        <v/>
      </c>
      <c r="R23" s="272" t="str">
        <f>IF(AND('Mapa final SI'!$AC$54="Alta",'Mapa final SI'!$AE$54="Menor"),CONCATENATE("R8C",'Mapa final SI'!$S$54),"")</f>
        <v/>
      </c>
      <c r="S23" s="272" t="str">
        <f>IF(AND('Mapa final SI'!$AC$55="Alta",'Mapa final SI'!$AE$55="Menor"),CONCATENATE("R8C",'Mapa final SI'!$S$55),"")</f>
        <v/>
      </c>
      <c r="T23" s="272" t="str">
        <f>IF(AND('Mapa final SI'!$AC$56="Alta",'Mapa final SI'!$AE$56="Menor"),CONCATENATE("R8C",'Mapa final SI'!$S$56),"")</f>
        <v/>
      </c>
      <c r="U23" s="273" t="str">
        <f>IF(AND('Mapa final SI'!$AC$57="Alta",'Mapa final SI'!$AE$57="Menor"),CONCATENATE("R8C",'Mapa final SI'!$S$57),"")</f>
        <v/>
      </c>
      <c r="V23" s="256" t="str">
        <f>IF(AND('Mapa final SI'!$AC$52="Alta",'Mapa final SI'!$AE$52="Moderado"),CONCATENATE("R8C",'Mapa final SI'!$S$52),"")</f>
        <v/>
      </c>
      <c r="W23" s="257" t="str">
        <f>IF(AND('Mapa final SI'!$AC$53="Alta",'Mapa final SI'!$AE$53="Moderado"),CONCATENATE("R8C",'Mapa final SI'!$S$53),"")</f>
        <v/>
      </c>
      <c r="X23" s="257" t="str">
        <f>IF(AND('Mapa final SI'!$AC$54="Alta",'Mapa final SI'!$AE$54="Moderado"),CONCATENATE("R8C",'Mapa final SI'!$S$54),"")</f>
        <v/>
      </c>
      <c r="Y23" s="257" t="str">
        <f>IF(AND('Mapa final SI'!$AC$55="Alta",'Mapa final SI'!$AE$55="Moderado"),CONCATENATE("R8C",'Mapa final SI'!$S$55),"")</f>
        <v/>
      </c>
      <c r="Z23" s="257" t="str">
        <f>IF(AND('Mapa final SI'!$AC$56="Alta",'Mapa final SI'!$AE$56="Moderado"),CONCATENATE("R8C",'Mapa final SI'!$S$56),"")</f>
        <v/>
      </c>
      <c r="AA23" s="258" t="str">
        <f>IF(AND('Mapa final SI'!$AC$57="Alta",'Mapa final SI'!$AE$57="Moderado"),CONCATENATE("R8C",'Mapa final SI'!$S$57),"")</f>
        <v/>
      </c>
      <c r="AB23" s="256" t="str">
        <f>IF(AND('Mapa final SI'!$AC$52="Alta",'Mapa final SI'!$AE$52="Mayor"),CONCATENATE("R8C",'Mapa final SI'!$S$52),"")</f>
        <v/>
      </c>
      <c r="AC23" s="257" t="str">
        <f>IF(AND('Mapa final SI'!$AC$53="Alta",'Mapa final SI'!$AE$53="Mayor"),CONCATENATE("R8C",'Mapa final SI'!$S$53),"")</f>
        <v/>
      </c>
      <c r="AD23" s="257" t="str">
        <f>IF(AND('Mapa final SI'!$AC$54="Alta",'Mapa final SI'!$AE$54="Mayor"),CONCATENATE("R8C",'Mapa final SI'!$S$54),"")</f>
        <v/>
      </c>
      <c r="AE23" s="257" t="str">
        <f>IF(AND('Mapa final SI'!$AC$55="Alta",'Mapa final SI'!$AE$55="Mayor"),CONCATENATE("R8C",'Mapa final SI'!$S$55),"")</f>
        <v/>
      </c>
      <c r="AF23" s="257" t="str">
        <f>IF(AND('Mapa final SI'!$AC$56="Alta",'Mapa final SI'!$AE$56="Mayor"),CONCATENATE("R8C",'Mapa final SI'!$S$56),"")</f>
        <v/>
      </c>
      <c r="AG23" s="258" t="str">
        <f>IF(AND('Mapa final SI'!$AC$57="Alta",'Mapa final SI'!$AE$57="Mayor"),CONCATENATE("R8C",'Mapa final SI'!$S$57),"")</f>
        <v/>
      </c>
      <c r="AH23" s="259" t="str">
        <f>IF(AND('Mapa final SI'!$AC$52="Alta",'Mapa final SI'!$AE$52="Catastrófico"),CONCATENATE("R8C",'Mapa final SI'!$S$52),"")</f>
        <v/>
      </c>
      <c r="AI23" s="260" t="str">
        <f>IF(AND('Mapa final SI'!$AC$53="Alta",'Mapa final SI'!$AE$53="Catastrófico"),CONCATENATE("R8C",'Mapa final SI'!$S$53),"")</f>
        <v/>
      </c>
      <c r="AJ23" s="260" t="str">
        <f>IF(AND('Mapa final SI'!$AC$54="Alta",'Mapa final SI'!$AE$54="Catastrófico"),CONCATENATE("R8C",'Mapa final SI'!$S$54),"")</f>
        <v/>
      </c>
      <c r="AK23" s="260" t="str">
        <f>IF(AND('Mapa final SI'!$AC$55="Alta",'Mapa final SI'!$AE$55="Catastrófico"),CONCATENATE("R8C",'Mapa final SI'!$S$55),"")</f>
        <v/>
      </c>
      <c r="AL23" s="260" t="str">
        <f>IF(AND('Mapa final SI'!$AC$56="Alta",'Mapa final SI'!$AE$56="Catastrófico"),CONCATENATE("R8C",'Mapa final SI'!$S$56),"")</f>
        <v/>
      </c>
      <c r="AM23" s="261" t="str">
        <f>IF(AND('Mapa final SI'!$AC$57="Alta",'Mapa final SI'!$AE$57="Catastrófico"),CONCATENATE("R8C",'Mapa final SI'!$S$57),"")</f>
        <v/>
      </c>
      <c r="AN23" s="15"/>
      <c r="AO23" s="686"/>
      <c r="AP23" s="687"/>
      <c r="AQ23" s="687"/>
      <c r="AR23" s="687"/>
      <c r="AS23" s="687"/>
      <c r="AT23" s="68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78"/>
      <c r="C24" s="578"/>
      <c r="D24" s="579"/>
      <c r="E24" s="667"/>
      <c r="F24" s="668"/>
      <c r="G24" s="668"/>
      <c r="H24" s="668"/>
      <c r="I24" s="668"/>
      <c r="J24" s="271" t="str">
        <f>IF(AND('Mapa final SI'!$AC$58="Alta",'Mapa final SI'!$AE$58="Leve"),CONCATENATE("R9C",'Mapa final SI'!$S$58),"")</f>
        <v/>
      </c>
      <c r="K24" s="272" t="str">
        <f>IF(AND('Mapa final SI'!$AC$59="Alta",'Mapa final SI'!$AE$59="Leve"),CONCATENATE("R9C",'Mapa final SI'!$S$59),"")</f>
        <v/>
      </c>
      <c r="L24" s="272" t="str">
        <f>IF(AND('Mapa final SI'!$AC$60="Alta",'Mapa final SI'!$AE$60="Leve"),CONCATENATE("R9C",'Mapa final SI'!$S$60),"")</f>
        <v/>
      </c>
      <c r="M24" s="272" t="str">
        <f>IF(AND('Mapa final SI'!$AC$61="Alta",'Mapa final SI'!$AE$61="Leve"),CONCATENATE("R9C",'Mapa final SI'!$S$61),"")</f>
        <v/>
      </c>
      <c r="N24" s="272" t="str">
        <f>IF(AND('Mapa final SI'!$AC$62="Alta",'Mapa final SI'!$AE$62="Leve"),CONCATENATE("R9C",'Mapa final SI'!$S$62),"")</f>
        <v/>
      </c>
      <c r="O24" s="273" t="str">
        <f>IF(AND('Mapa final SI'!$AC$63="Alta",'Mapa final SI'!$AE$63="Leve"),CONCATENATE("R9C",'Mapa final SI'!$S$63),"")</f>
        <v/>
      </c>
      <c r="P24" s="271" t="str">
        <f>IF(AND('Mapa final SI'!$AC$58="Alta",'Mapa final SI'!$AE$58="Menor"),CONCATENATE("R9C",'Mapa final SI'!$S$58),"")</f>
        <v/>
      </c>
      <c r="Q24" s="272" t="str">
        <f>IF(AND('Mapa final SI'!$AC$59="Alta",'Mapa final SI'!$AE$59="Menor"),CONCATENATE("R9C",'Mapa final SI'!$S$59),"")</f>
        <v/>
      </c>
      <c r="R24" s="272" t="str">
        <f>IF(AND('Mapa final SI'!$AC$60="Alta",'Mapa final SI'!$AE$60="Menor"),CONCATENATE("R9C",'Mapa final SI'!$S$60),"")</f>
        <v/>
      </c>
      <c r="S24" s="272" t="str">
        <f>IF(AND('Mapa final SI'!$AC$61="Alta",'Mapa final SI'!$AE$61="Menor"),CONCATENATE("R9C",'Mapa final SI'!$S$61),"")</f>
        <v/>
      </c>
      <c r="T24" s="272" t="str">
        <f>IF(AND('Mapa final SI'!$AC$62="Alta",'Mapa final SI'!$AE$62="Menor"),CONCATENATE("R9C",'Mapa final SI'!$S$62),"")</f>
        <v/>
      </c>
      <c r="U24" s="273" t="str">
        <f>IF(AND('Mapa final SI'!$AC$63="Alta",'Mapa final SI'!$AE$63="Menor"),CONCATENATE("R9C",'Mapa final SI'!$S$63),"")</f>
        <v/>
      </c>
      <c r="V24" s="256" t="str">
        <f>IF(AND('Mapa final SI'!$AC$58="Alta",'Mapa final SI'!$AE$58="Moderado"),CONCATENATE("R9C",'Mapa final SI'!$S$58),"")</f>
        <v/>
      </c>
      <c r="W24" s="257" t="str">
        <f>IF(AND('Mapa final SI'!$AC$59="Alta",'Mapa final SI'!$AE$59="Moderado"),CONCATENATE("R9C",'Mapa final SI'!$S$59),"")</f>
        <v/>
      </c>
      <c r="X24" s="257" t="str">
        <f>IF(AND('Mapa final SI'!$AC$60="Alta",'Mapa final SI'!$AE$60="Moderado"),CONCATENATE("R9C",'Mapa final SI'!$S$60),"")</f>
        <v/>
      </c>
      <c r="Y24" s="257" t="str">
        <f>IF(AND('Mapa final SI'!$AC$61="Alta",'Mapa final SI'!$AE$61="Moderado"),CONCATENATE("R9C",'Mapa final SI'!$S$61),"")</f>
        <v/>
      </c>
      <c r="Z24" s="257" t="str">
        <f>IF(AND('Mapa final SI'!$AC$62="Alta",'Mapa final SI'!$AE$62="Moderado"),CONCATENATE("R9C",'Mapa final SI'!$S$62),"")</f>
        <v/>
      </c>
      <c r="AA24" s="258" t="str">
        <f>IF(AND('Mapa final SI'!$AC$63="Alta",'Mapa final SI'!$AE$63="Moderado"),CONCATENATE("R9C",'Mapa final SI'!$S$63),"")</f>
        <v/>
      </c>
      <c r="AB24" s="256" t="str">
        <f>IF(AND('Mapa final SI'!$AC$58="Alta",'Mapa final SI'!$AE$58="Mayor"),CONCATENATE("R9C",'Mapa final SI'!$S$58),"")</f>
        <v/>
      </c>
      <c r="AC24" s="257" t="str">
        <f>IF(AND('Mapa final SI'!$AC$59="Alta",'Mapa final SI'!$AE$59="Mayor"),CONCATENATE("R9C",'Mapa final SI'!$S$59),"")</f>
        <v/>
      </c>
      <c r="AD24" s="257" t="str">
        <f>IF(AND('Mapa final SI'!$AC$60="Alta",'Mapa final SI'!$AE$60="Mayor"),CONCATENATE("R9C",'Mapa final SI'!$S$60),"")</f>
        <v/>
      </c>
      <c r="AE24" s="257" t="str">
        <f>IF(AND('Mapa final SI'!$AC$61="Alta",'Mapa final SI'!$AE$61="Mayor"),CONCATENATE("R9C",'Mapa final SI'!$S$61),"")</f>
        <v/>
      </c>
      <c r="AF24" s="257" t="str">
        <f>IF(AND('Mapa final SI'!$AC$62="Alta",'Mapa final SI'!$AE$62="Mayor"),CONCATENATE("R9C",'Mapa final SI'!$S$62),"")</f>
        <v/>
      </c>
      <c r="AG24" s="258" t="str">
        <f>IF(AND('Mapa final SI'!$AC$63="Alta",'Mapa final SI'!$AE$63="Mayor"),CONCATENATE("R9C",'Mapa final SI'!$S$63),"")</f>
        <v/>
      </c>
      <c r="AH24" s="259" t="str">
        <f>IF(AND('Mapa final SI'!$AC$58="Alta",'Mapa final SI'!$AE$58="Catastrófico"),CONCATENATE("R9C",'Mapa final SI'!$S$58),"")</f>
        <v/>
      </c>
      <c r="AI24" s="260" t="str">
        <f>IF(AND('Mapa final SI'!$AC$59="Alta",'Mapa final SI'!$AE$59="Catastrófico"),CONCATENATE("R9C",'Mapa final SI'!$S$59),"")</f>
        <v/>
      </c>
      <c r="AJ24" s="260" t="str">
        <f>IF(AND('Mapa final SI'!$AC$60="Alta",'Mapa final SI'!$AE$60="Catastrófico"),CONCATENATE("R9C",'Mapa final SI'!$S$60),"")</f>
        <v/>
      </c>
      <c r="AK24" s="260" t="str">
        <f>IF(AND('Mapa final SI'!$AC$61="Alta",'Mapa final SI'!$AE$61="Catastrófico"),CONCATENATE("R9C",'Mapa final SI'!$S$61),"")</f>
        <v/>
      </c>
      <c r="AL24" s="260" t="str">
        <f>IF(AND('Mapa final SI'!$AC$62="Alta",'Mapa final SI'!$AE$62="Catastrófico"),CONCATENATE("R9C",'Mapa final SI'!$S$62),"")</f>
        <v/>
      </c>
      <c r="AM24" s="261" t="str">
        <f>IF(AND('Mapa final SI'!$AC$63="Alta",'Mapa final SI'!$AE$63="Catastrófico"),CONCATENATE("R9C",'Mapa final SI'!$S$63),"")</f>
        <v/>
      </c>
      <c r="AN24" s="15"/>
      <c r="AO24" s="686"/>
      <c r="AP24" s="687"/>
      <c r="AQ24" s="687"/>
      <c r="AR24" s="687"/>
      <c r="AS24" s="687"/>
      <c r="AT24" s="68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78"/>
      <c r="C25" s="578"/>
      <c r="D25" s="579"/>
      <c r="E25" s="670"/>
      <c r="F25" s="671"/>
      <c r="G25" s="671"/>
      <c r="H25" s="671"/>
      <c r="I25" s="671"/>
      <c r="J25" s="274" t="str">
        <f>IF(AND('Mapa final SI'!$AC$64="Alta",'Mapa final SI'!$AE$64="Leve"),CONCATENATE("R10C",'Mapa final SI'!$S$64),"")</f>
        <v/>
      </c>
      <c r="K25" s="275" t="str">
        <f>IF(AND('Mapa final SI'!$AC$65="Alta",'Mapa final SI'!$AE$65="Leve"),CONCATENATE("R10C",'Mapa final SI'!$S$65),"")</f>
        <v/>
      </c>
      <c r="L25" s="275" t="str">
        <f>IF(AND('Mapa final SI'!$AC$66="Alta",'Mapa final SI'!$AE$66="Leve"),CONCATENATE("R10C",'Mapa final SI'!$S$66),"")</f>
        <v/>
      </c>
      <c r="M25" s="275" t="str">
        <f>IF(AND('Mapa final SI'!$AC$67="Alta",'Mapa final SI'!$AE$67="Leve"),CONCATENATE("R10C",'Mapa final SI'!$S$67),"")</f>
        <v/>
      </c>
      <c r="N25" s="275" t="str">
        <f>IF(AND('Mapa final SI'!$AC$68="Alta",'Mapa final SI'!$AE$68="Leve"),CONCATENATE("R10C",'Mapa final SI'!$S$68),"")</f>
        <v/>
      </c>
      <c r="O25" s="276" t="str">
        <f>IF(AND('Mapa final SI'!$AC$69="Alta",'Mapa final SI'!$AE$69="Leve"),CONCATENATE("R10C",'Mapa final SI'!$S$69),"")</f>
        <v/>
      </c>
      <c r="P25" s="274" t="str">
        <f>IF(AND('Mapa final SI'!$AC$64="Alta",'Mapa final SI'!$AE$64="Menor"),CONCATENATE("R10C",'Mapa final SI'!$S$64),"")</f>
        <v/>
      </c>
      <c r="Q25" s="275" t="str">
        <f>IF(AND('Mapa final SI'!$AC$65="Alta",'Mapa final SI'!$AE$65="Menor"),CONCATENATE("R10C",'Mapa final SI'!$S$65),"")</f>
        <v/>
      </c>
      <c r="R25" s="275" t="str">
        <f>IF(AND('Mapa final SI'!$AC$66="Alta",'Mapa final SI'!$AE$66="Menor"),CONCATENATE("R10C",'Mapa final SI'!$S$66),"")</f>
        <v/>
      </c>
      <c r="S25" s="275" t="str">
        <f>IF(AND('Mapa final SI'!$AC$67="Alta",'Mapa final SI'!$AE$67="Menor"),CONCATENATE("R10C",'Mapa final SI'!$S$67),"")</f>
        <v/>
      </c>
      <c r="T25" s="275" t="str">
        <f>IF(AND('Mapa final SI'!$AC$68="Alta",'Mapa final SI'!$AE$68="Menor"),CONCATENATE("R10C",'Mapa final SI'!$S$68),"")</f>
        <v/>
      </c>
      <c r="U25" s="276" t="str">
        <f>IF(AND('Mapa final SI'!$AC$69="Alta",'Mapa final SI'!$AE$69="Menor"),CONCATENATE("R10C",'Mapa final SI'!$S$69),"")</f>
        <v/>
      </c>
      <c r="V25" s="262" t="str">
        <f>IF(AND('Mapa final SI'!$AC$64="Alta",'Mapa final SI'!$AE$64="Moderado"),CONCATENATE("R10C",'Mapa final SI'!$S$64),"")</f>
        <v/>
      </c>
      <c r="W25" s="263" t="str">
        <f>IF(AND('Mapa final SI'!$AC$65="Alta",'Mapa final SI'!$AE$65="Moderado"),CONCATENATE("R10C",'Mapa final SI'!$S$65),"")</f>
        <v/>
      </c>
      <c r="X25" s="263" t="str">
        <f>IF(AND('Mapa final SI'!$AC$66="Alta",'Mapa final SI'!$AE$66="Moderado"),CONCATENATE("R10C",'Mapa final SI'!$S$66),"")</f>
        <v/>
      </c>
      <c r="Y25" s="263" t="str">
        <f>IF(AND('Mapa final SI'!$AC$67="Alta",'Mapa final SI'!$AE$67="Moderado"),CONCATENATE("R10C",'Mapa final SI'!$S$67),"")</f>
        <v/>
      </c>
      <c r="Z25" s="263" t="str">
        <f>IF(AND('Mapa final SI'!$AC$68="Alta",'Mapa final SI'!$AE$68="Moderado"),CONCATENATE("R10C",'Mapa final SI'!$S$68),"")</f>
        <v/>
      </c>
      <c r="AA25" s="264" t="str">
        <f>IF(AND('Mapa final SI'!$AC$69="Alta",'Mapa final SI'!$AE$69="Moderado"),CONCATENATE("R10C",'Mapa final SI'!$S$69),"")</f>
        <v/>
      </c>
      <c r="AB25" s="262" t="str">
        <f>IF(AND('Mapa final SI'!$AC$64="Alta",'Mapa final SI'!$AE$64="Mayor"),CONCATENATE("R10C",'Mapa final SI'!$S$64),"")</f>
        <v/>
      </c>
      <c r="AC25" s="263" t="str">
        <f>IF(AND('Mapa final SI'!$AC$65="Alta",'Mapa final SI'!$AE$65="Mayor"),CONCATENATE("R10C",'Mapa final SI'!$S$65),"")</f>
        <v/>
      </c>
      <c r="AD25" s="263" t="str">
        <f>IF(AND('Mapa final SI'!$AC$66="Alta",'Mapa final SI'!$AE$66="Mayor"),CONCATENATE("R10C",'Mapa final SI'!$S$66),"")</f>
        <v/>
      </c>
      <c r="AE25" s="263" t="str">
        <f>IF(AND('Mapa final SI'!$AC$67="Alta",'Mapa final SI'!$AE$67="Mayor"),CONCATENATE("R10C",'Mapa final SI'!$S$67),"")</f>
        <v/>
      </c>
      <c r="AF25" s="263" t="str">
        <f>IF(AND('Mapa final SI'!$AC$68="Alta",'Mapa final SI'!$AE$68="Mayor"),CONCATENATE("R10C",'Mapa final SI'!$S$68),"")</f>
        <v/>
      </c>
      <c r="AG25" s="264" t="str">
        <f>IF(AND('Mapa final SI'!$AC$69="Alta",'Mapa final SI'!$AE$69="Mayor"),CONCATENATE("R10C",'Mapa final SI'!$S$69),"")</f>
        <v/>
      </c>
      <c r="AH25" s="265" t="str">
        <f>IF(AND('Mapa final SI'!$AC$64="Alta",'Mapa final SI'!$AE$64="Catastrófico"),CONCATENATE("R10C",'Mapa final SI'!$S$64),"")</f>
        <v/>
      </c>
      <c r="AI25" s="266" t="str">
        <f>IF(AND('Mapa final SI'!$AC$65="Alta",'Mapa final SI'!$AE$65="Catastrófico"),CONCATENATE("R10C",'Mapa final SI'!$S$65),"")</f>
        <v/>
      </c>
      <c r="AJ25" s="266" t="str">
        <f>IF(AND('Mapa final SI'!$AC$66="Alta",'Mapa final SI'!$AE$66="Catastrófico"),CONCATENATE("R10C",'Mapa final SI'!$S$66),"")</f>
        <v/>
      </c>
      <c r="AK25" s="266" t="str">
        <f>IF(AND('Mapa final SI'!$AC$67="Alta",'Mapa final SI'!$AE$67="Catastrófico"),CONCATENATE("R10C",'Mapa final SI'!$S$67),"")</f>
        <v/>
      </c>
      <c r="AL25" s="266" t="str">
        <f>IF(AND('Mapa final SI'!$AC$68="Alta",'Mapa final SI'!$AE$68="Catastrófico"),CONCATENATE("R10C",'Mapa final SI'!$S$68),"")</f>
        <v/>
      </c>
      <c r="AM25" s="267" t="str">
        <f>IF(AND('Mapa final SI'!$AC$69="Alta",'Mapa final SI'!$AE$69="Catastrófico"),CONCATENATE("R10C",'Mapa final SI'!$S$69),"")</f>
        <v/>
      </c>
      <c r="AN25" s="15"/>
      <c r="AO25" s="689"/>
      <c r="AP25" s="690"/>
      <c r="AQ25" s="690"/>
      <c r="AR25" s="690"/>
      <c r="AS25" s="690"/>
      <c r="AT25" s="69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78"/>
      <c r="C26" s="578"/>
      <c r="D26" s="579"/>
      <c r="E26" s="664" t="s">
        <v>1058</v>
      </c>
      <c r="F26" s="665"/>
      <c r="G26" s="665"/>
      <c r="H26" s="665"/>
      <c r="I26" s="666"/>
      <c r="J26" s="268" t="str">
        <f>IF(AND('Mapa final SI'!$AC$10="Media",'Mapa final SI'!$AE$10="Leve"),CONCATENATE("R1C",'Mapa final SI'!$S$10),"")</f>
        <v/>
      </c>
      <c r="K26" s="269" t="str">
        <f>IF(AND('Mapa final SI'!$AC$11="Media",'Mapa final SI'!$AE$11="Leve"),CONCATENATE("R1C",'Mapa final SI'!$S$11),"")</f>
        <v/>
      </c>
      <c r="L26" s="269" t="str">
        <f>IF(AND('Mapa final SI'!$AC$12="Media",'Mapa final SI'!$AE$12="Leve"),CONCATENATE("R1C",'Mapa final SI'!$S$12),"")</f>
        <v/>
      </c>
      <c r="M26" s="269" t="str">
        <f>IF(AND('Mapa final SI'!$AC$13="Media",'Mapa final SI'!$AE$13="Leve"),CONCATENATE("R1C",'Mapa final SI'!$S$13),"")</f>
        <v/>
      </c>
      <c r="N26" s="269" t="str">
        <f>IF(AND('Mapa final SI'!$AC$14="Media",'Mapa final SI'!$AE$14="Leve"),CONCATENATE("R1C",'Mapa final SI'!$S$14),"")</f>
        <v/>
      </c>
      <c r="O26" s="270" t="str">
        <f>IF(AND('Mapa final SI'!$AC$15="Media",'Mapa final SI'!$AE$15="Leve"),CONCATENATE("R1C",'Mapa final SI'!$S$15),"")</f>
        <v/>
      </c>
      <c r="P26" s="268" t="str">
        <f>IF(AND('Mapa final SI'!$AC$10="Media",'Mapa final SI'!$AE$10="Menor"),CONCATENATE("R1C",'Mapa final SI'!$S$10),"")</f>
        <v/>
      </c>
      <c r="Q26" s="269" t="str">
        <f>IF(AND('Mapa final SI'!$AC$11="Media",'Mapa final SI'!$AE$11="Menor"),CONCATENATE("R1C",'Mapa final SI'!$S$11),"")</f>
        <v/>
      </c>
      <c r="R26" s="269" t="str">
        <f>IF(AND('Mapa final SI'!$AC$12="Media",'Mapa final SI'!$AE$12="Menor"),CONCATENATE("R1C",'Mapa final SI'!$S$12),"")</f>
        <v/>
      </c>
      <c r="S26" s="269" t="str">
        <f>IF(AND('Mapa final SI'!$AC$13="Media",'Mapa final SI'!$AE$13="Menor"),CONCATENATE("R1C",'Mapa final SI'!$S$13),"")</f>
        <v/>
      </c>
      <c r="T26" s="269" t="str">
        <f>IF(AND('Mapa final SI'!$AC$14="Media",'Mapa final SI'!$AE$14="Menor"),CONCATENATE("R1C",'Mapa final SI'!$S$14),"")</f>
        <v/>
      </c>
      <c r="U26" s="270" t="str">
        <f>IF(AND('Mapa final SI'!$AC$15="Media",'Mapa final SI'!$AE$15="Menor"),CONCATENATE("R1C",'Mapa final SI'!$S$15),"")</f>
        <v/>
      </c>
      <c r="V26" s="268" t="str">
        <f>IF(AND('Mapa final SI'!$AC$10="Media",'Mapa final SI'!$AE$10="Moderado"),CONCATENATE("R1C",'Mapa final SI'!$S$10),"")</f>
        <v/>
      </c>
      <c r="W26" s="269" t="str">
        <f>IF(AND('Mapa final SI'!$AC$11="Media",'Mapa final SI'!$AE$11="Moderado"),CONCATENATE("R1C",'Mapa final SI'!$S$11),"")</f>
        <v/>
      </c>
      <c r="X26" s="269" t="str">
        <f>IF(AND('Mapa final SI'!$AC$12="Media",'Mapa final SI'!$AE$12="Moderado"),CONCATENATE("R1C",'Mapa final SI'!$S$12),"")</f>
        <v/>
      </c>
      <c r="Y26" s="269" t="str">
        <f>IF(AND('Mapa final SI'!$AC$13="Media",'Mapa final SI'!$AE$13="Moderado"),CONCATENATE("R1C",'Mapa final SI'!$S$13),"")</f>
        <v/>
      </c>
      <c r="Z26" s="269" t="str">
        <f>IF(AND('Mapa final SI'!$AC$14="Media",'Mapa final SI'!$AE$14="Moderado"),CONCATENATE("R1C",'Mapa final SI'!$S$14),"")</f>
        <v/>
      </c>
      <c r="AA26" s="270" t="str">
        <f>IF(AND('Mapa final SI'!$AC$15="Media",'Mapa final SI'!$AE$15="Moderado"),CONCATENATE("R1C",'Mapa final SI'!$S$15),"")</f>
        <v/>
      </c>
      <c r="AB26" s="250" t="str">
        <f>IF(AND('Mapa final SI'!$AC$10="Media",'Mapa final SI'!$AE$10="Mayor"),CONCATENATE("R1C",'Mapa final SI'!$S$10),"")</f>
        <v/>
      </c>
      <c r="AC26" s="251" t="str">
        <f>IF(AND('Mapa final SI'!$AC$11="Media",'Mapa final SI'!$AE$11="Mayor"),CONCATENATE("R1C",'Mapa final SI'!$S$11),"")</f>
        <v/>
      </c>
      <c r="AD26" s="251" t="str">
        <f>IF(AND('Mapa final SI'!$AC$12="Media",'Mapa final SI'!$AE$12="Mayor"),CONCATENATE("R1C",'Mapa final SI'!$S$12),"")</f>
        <v/>
      </c>
      <c r="AE26" s="251" t="str">
        <f>IF(AND('Mapa final SI'!$AC$13="Media",'Mapa final SI'!$AE$13="Mayor"),CONCATENATE("R1C",'Mapa final SI'!$S$13),"")</f>
        <v/>
      </c>
      <c r="AF26" s="251" t="str">
        <f>IF(AND('Mapa final SI'!$AC$14="Media",'Mapa final SI'!$AE$14="Mayor"),CONCATENATE("R1C",'Mapa final SI'!$S$14),"")</f>
        <v/>
      </c>
      <c r="AG26" s="252" t="str">
        <f>IF(AND('Mapa final SI'!$AC$15="Media",'Mapa final SI'!$AE$15="Mayor"),CONCATENATE("R1C",'Mapa final SI'!$S$15),"")</f>
        <v/>
      </c>
      <c r="AH26" s="253" t="str">
        <f>IF(AND('Mapa final SI'!$AC$10="Media",'Mapa final SI'!$AE$10="Catastrófico"),CONCATENATE("R1C",'Mapa final SI'!$S$10),"")</f>
        <v/>
      </c>
      <c r="AI26" s="254" t="str">
        <f>IF(AND('Mapa final SI'!$AC$11="Media",'Mapa final SI'!$AE$11="Catastrófico"),CONCATENATE("R1C",'Mapa final SI'!$S$11),"")</f>
        <v/>
      </c>
      <c r="AJ26" s="254" t="str">
        <f>IF(AND('Mapa final SI'!$AC$12="Media",'Mapa final SI'!$AE$12="Catastrófico"),CONCATENATE("R1C",'Mapa final SI'!$S$12),"")</f>
        <v/>
      </c>
      <c r="AK26" s="254" t="str">
        <f>IF(AND('Mapa final SI'!$AC$13="Media",'Mapa final SI'!$AE$13="Catastrófico"),CONCATENATE("R1C",'Mapa final SI'!$S$13),"")</f>
        <v/>
      </c>
      <c r="AL26" s="254" t="str">
        <f>IF(AND('Mapa final SI'!$AC$14="Media",'Mapa final SI'!$AE$14="Catastrófico"),CONCATENATE("R1C",'Mapa final SI'!$S$14),"")</f>
        <v/>
      </c>
      <c r="AM26" s="255" t="str">
        <f>IF(AND('Mapa final SI'!$AC$15="Media",'Mapa final SI'!$AE$15="Catastrófico"),CONCATENATE("R1C",'Mapa final SI'!$S$15),"")</f>
        <v/>
      </c>
      <c r="AN26" s="15"/>
      <c r="AO26" s="692" t="s">
        <v>9</v>
      </c>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78"/>
      <c r="C27" s="578"/>
      <c r="D27" s="579"/>
      <c r="E27" s="682"/>
      <c r="F27" s="668"/>
      <c r="G27" s="668"/>
      <c r="H27" s="668"/>
      <c r="I27" s="669"/>
      <c r="J27" s="271" t="str">
        <f>IF(AND('Mapa final SI'!$AC$16="Media",'Mapa final SI'!$AE$16="Leve"),CONCATENATE("R2C",'Mapa final SI'!$S$16),"")</f>
        <v/>
      </c>
      <c r="K27" s="272" t="str">
        <f>IF(AND('Mapa final SI'!$AC$17="Media",'Mapa final SI'!$AE$17="Leve"),CONCATENATE("R2C",'Mapa final SI'!$S$17),"")</f>
        <v/>
      </c>
      <c r="L27" s="272" t="str">
        <f>IF(AND('Mapa final SI'!$AC$18="Media",'Mapa final SI'!$AE$18="Leve"),CONCATENATE("R2C",'Mapa final SI'!$S$18),"")</f>
        <v/>
      </c>
      <c r="M27" s="272" t="str">
        <f>IF(AND('Mapa final SI'!$AC$19="Media",'Mapa final SI'!$AE$19="Leve"),CONCATENATE("R2C",'Mapa final SI'!$S$19),"")</f>
        <v/>
      </c>
      <c r="N27" s="272" t="str">
        <f>IF(AND('Mapa final SI'!$AC$20="Media",'Mapa final SI'!$AE$20="Leve"),CONCATENATE("R2C",'Mapa final SI'!$S$20),"")</f>
        <v/>
      </c>
      <c r="O27" s="273" t="str">
        <f>IF(AND('Mapa final SI'!$AC$21="Media",'Mapa final SI'!$AE$21="Leve"),CONCATENATE("R2C",'Mapa final SI'!$S$21),"")</f>
        <v/>
      </c>
      <c r="P27" s="271" t="str">
        <f>IF(AND('Mapa final SI'!$AC$16="Media",'Mapa final SI'!$AE$16="Menor"),CONCATENATE("R2C",'Mapa final SI'!$S$16),"")</f>
        <v/>
      </c>
      <c r="Q27" s="272" t="str">
        <f>IF(AND('Mapa final SI'!$AC$17="Media",'Mapa final SI'!$AE$17="Menor"),CONCATENATE("R2C",'Mapa final SI'!$S$17),"")</f>
        <v/>
      </c>
      <c r="R27" s="272" t="str">
        <f>IF(AND('Mapa final SI'!$AC$18="Media",'Mapa final SI'!$AE$18="Menor"),CONCATENATE("R2C",'Mapa final SI'!$S$18),"")</f>
        <v/>
      </c>
      <c r="S27" s="272" t="str">
        <f>IF(AND('Mapa final SI'!$AC$19="Media",'Mapa final SI'!$AE$19="Menor"),CONCATENATE("R2C",'Mapa final SI'!$S$19),"")</f>
        <v/>
      </c>
      <c r="T27" s="272" t="str">
        <f>IF(AND('Mapa final SI'!$AC$20="Media",'Mapa final SI'!$AE$20="Menor"),CONCATENATE("R2C",'Mapa final SI'!$S$20),"")</f>
        <v/>
      </c>
      <c r="U27" s="273" t="str">
        <f>IF(AND('Mapa final SI'!$AC$21="Media",'Mapa final SI'!$AE$21="Menor"),CONCATENATE("R2C",'Mapa final SI'!$S$21),"")</f>
        <v/>
      </c>
      <c r="V27" s="271" t="str">
        <f>IF(AND('Mapa final SI'!$AC$16="Media",'Mapa final SI'!$AE$16="Moderado"),CONCATENATE("R2C",'Mapa final SI'!$S$16),"")</f>
        <v/>
      </c>
      <c r="W27" s="272" t="str">
        <f>IF(AND('Mapa final SI'!$AC$17="Media",'Mapa final SI'!$AE$17="Moderado"),CONCATENATE("R2C",'Mapa final SI'!$S$17),"")</f>
        <v/>
      </c>
      <c r="X27" s="272" t="str">
        <f>IF(AND('Mapa final SI'!$AC$18="Media",'Mapa final SI'!$AE$18="Moderado"),CONCATENATE("R2C",'Mapa final SI'!$S$18),"")</f>
        <v/>
      </c>
      <c r="Y27" s="272" t="str">
        <f>IF(AND('Mapa final SI'!$AC$19="Media",'Mapa final SI'!$AE$19="Moderado"),CONCATENATE("R2C",'Mapa final SI'!$S$19),"")</f>
        <v/>
      </c>
      <c r="Z27" s="272" t="str">
        <f>IF(AND('Mapa final SI'!$AC$20="Media",'Mapa final SI'!$AE$20="Moderado"),CONCATENATE("R2C",'Mapa final SI'!$S$20),"")</f>
        <v/>
      </c>
      <c r="AA27" s="273" t="str">
        <f>IF(AND('Mapa final SI'!$AC$21="Media",'Mapa final SI'!$AE$21="Moderado"),CONCATENATE("R2C",'Mapa final SI'!$S$21),"")</f>
        <v/>
      </c>
      <c r="AB27" s="256" t="str">
        <f>IF(AND('Mapa final SI'!$AC$16="Media",'Mapa final SI'!$AE$16="Mayor"),CONCATENATE("R2C",'Mapa final SI'!$S$16),"")</f>
        <v/>
      </c>
      <c r="AC27" s="257" t="str">
        <f>IF(AND('Mapa final SI'!$AC$17="Media",'Mapa final SI'!$AE$17="Mayor"),CONCATENATE("R2C",'Mapa final SI'!$S$17),"")</f>
        <v/>
      </c>
      <c r="AD27" s="257" t="str">
        <f>IF(AND('Mapa final SI'!$AC$18="Media",'Mapa final SI'!$AE$18="Mayor"),CONCATENATE("R2C",'Mapa final SI'!$S$18),"")</f>
        <v/>
      </c>
      <c r="AE27" s="257" t="str">
        <f>IF(AND('Mapa final SI'!$AC$19="Media",'Mapa final SI'!$AE$19="Mayor"),CONCATENATE("R2C",'Mapa final SI'!$S$19),"")</f>
        <v/>
      </c>
      <c r="AF27" s="257" t="str">
        <f>IF(AND('Mapa final SI'!$AC$20="Media",'Mapa final SI'!$AE$20="Mayor"),CONCATENATE("R2C",'Mapa final SI'!$S$20),"")</f>
        <v/>
      </c>
      <c r="AG27" s="258" t="str">
        <f>IF(AND('Mapa final SI'!$AC$21="Media",'Mapa final SI'!$AE$21="Mayor"),CONCATENATE("R2C",'Mapa final SI'!$S$21),"")</f>
        <v/>
      </c>
      <c r="AH27" s="259" t="str">
        <f>IF(AND('Mapa final SI'!$AC$16="Media",'Mapa final SI'!$AE$16="Catastrófico"),CONCATENATE("R2C",'Mapa final SI'!$S$16),"")</f>
        <v/>
      </c>
      <c r="AI27" s="260" t="str">
        <f>IF(AND('Mapa final SI'!$AC$17="Media",'Mapa final SI'!$AE$17="Catastrófico"),CONCATENATE("R2C",'Mapa final SI'!$S$17),"")</f>
        <v/>
      </c>
      <c r="AJ27" s="260" t="str">
        <f>IF(AND('Mapa final SI'!$AC$18="Media",'Mapa final SI'!$AE$18="Catastrófico"),CONCATENATE("R2C",'Mapa final SI'!$S$18),"")</f>
        <v/>
      </c>
      <c r="AK27" s="260" t="str">
        <f>IF(AND('Mapa final SI'!$AC$19="Media",'Mapa final SI'!$AE$19="Catastrófico"),CONCATENATE("R2C",'Mapa final SI'!$S$19),"")</f>
        <v/>
      </c>
      <c r="AL27" s="260" t="str">
        <f>IF(AND('Mapa final SI'!$AC$20="Media",'Mapa final SI'!$AE$20="Catastrófico"),CONCATENATE("R2C",'Mapa final SI'!$S$20),"")</f>
        <v/>
      </c>
      <c r="AM27" s="261" t="str">
        <f>IF(AND('Mapa final SI'!$AC$21="Media",'Mapa final SI'!$AE$21="Catastrófico"),CONCATENATE("R2C",'Mapa final SI'!$S$21),"")</f>
        <v/>
      </c>
      <c r="AN27" s="15"/>
      <c r="AO27" s="695"/>
      <c r="AP27" s="696"/>
      <c r="AQ27" s="696"/>
      <c r="AR27" s="696"/>
      <c r="AS27" s="696"/>
      <c r="AT27" s="69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78"/>
      <c r="C28" s="578"/>
      <c r="D28" s="579"/>
      <c r="E28" s="667"/>
      <c r="F28" s="668"/>
      <c r="G28" s="668"/>
      <c r="H28" s="668"/>
      <c r="I28" s="669"/>
      <c r="J28" s="271" t="str">
        <f>IF(AND('Mapa final SI'!$AC$22="Media",'Mapa final SI'!$AE$22="Leve"),CONCATENATE("R3C",'Mapa final SI'!$S$22),"")</f>
        <v/>
      </c>
      <c r="K28" s="272" t="str">
        <f>IF(AND('Mapa final SI'!$AC$23="Media",'Mapa final SI'!$AE$23="Leve"),CONCATENATE("R3C",'Mapa final SI'!$S$23),"")</f>
        <v/>
      </c>
      <c r="L28" s="272" t="str">
        <f>IF(AND('Mapa final SI'!$AC$24="Media",'Mapa final SI'!$AE$24="Leve"),CONCATENATE("R3C",'Mapa final SI'!$S$24),"")</f>
        <v/>
      </c>
      <c r="M28" s="272" t="str">
        <f>IF(AND('Mapa final SI'!$AC$25="Media",'Mapa final SI'!$AE$25="Leve"),CONCATENATE("R3C",'Mapa final SI'!$S$25),"")</f>
        <v/>
      </c>
      <c r="N28" s="272" t="str">
        <f>IF(AND('Mapa final SI'!$AC$26="Media",'Mapa final SI'!$AE$26="Leve"),CONCATENATE("R3C",'Mapa final SI'!$S$26),"")</f>
        <v/>
      </c>
      <c r="O28" s="273" t="str">
        <f>IF(AND('Mapa final SI'!$AC$27="Media",'Mapa final SI'!$AE$27="Leve"),CONCATENATE("R3C",'Mapa final SI'!$S$27),"")</f>
        <v/>
      </c>
      <c r="P28" s="271" t="str">
        <f>IF(AND('Mapa final SI'!$AC$22="Media",'Mapa final SI'!$AE$22="Menor"),CONCATENATE("R3C",'Mapa final SI'!$S$22),"")</f>
        <v/>
      </c>
      <c r="Q28" s="272" t="str">
        <f>IF(AND('Mapa final SI'!$AC$23="Media",'Mapa final SI'!$AE$23="Menor"),CONCATENATE("R3C",'Mapa final SI'!$S$23),"")</f>
        <v/>
      </c>
      <c r="R28" s="272" t="str">
        <f>IF(AND('Mapa final SI'!$AC$24="Media",'Mapa final SI'!$AE$24="Menor"),CONCATENATE("R3C",'Mapa final SI'!$S$24),"")</f>
        <v/>
      </c>
      <c r="S28" s="272" t="str">
        <f>IF(AND('Mapa final SI'!$AC$25="Media",'Mapa final SI'!$AE$25="Menor"),CONCATENATE("R3C",'Mapa final SI'!$S$25),"")</f>
        <v/>
      </c>
      <c r="T28" s="272" t="str">
        <f>IF(AND('Mapa final SI'!$AC$26="Media",'Mapa final SI'!$AE$26="Menor"),CONCATENATE("R3C",'Mapa final SI'!$S$26),"")</f>
        <v/>
      </c>
      <c r="U28" s="273" t="str">
        <f>IF(AND('Mapa final SI'!$AC$27="Media",'Mapa final SI'!$AE$27="Menor"),CONCATENATE("R3C",'Mapa final SI'!$S$27),"")</f>
        <v/>
      </c>
      <c r="V28" s="271" t="str">
        <f>IF(AND('Mapa final SI'!$AC$22="Media",'Mapa final SI'!$AE$22="Moderado"),CONCATENATE("R3C",'Mapa final SI'!$S$22),"")</f>
        <v/>
      </c>
      <c r="W28" s="272" t="str">
        <f>IF(AND('Mapa final SI'!$AC$23="Media",'Mapa final SI'!$AE$23="Moderado"),CONCATENATE("R3C",'Mapa final SI'!$S$23),"")</f>
        <v/>
      </c>
      <c r="X28" s="272" t="str">
        <f>IF(AND('Mapa final SI'!$AC$24="Media",'Mapa final SI'!$AE$24="Moderado"),CONCATENATE("R3C",'Mapa final SI'!$S$24),"")</f>
        <v/>
      </c>
      <c r="Y28" s="272" t="str">
        <f>IF(AND('Mapa final SI'!$AC$25="Media",'Mapa final SI'!$AE$25="Moderado"),CONCATENATE("R3C",'Mapa final SI'!$S$25),"")</f>
        <v/>
      </c>
      <c r="Z28" s="272" t="str">
        <f>IF(AND('Mapa final SI'!$AC$26="Media",'Mapa final SI'!$AE$26="Moderado"),CONCATENATE("R3C",'Mapa final SI'!$S$26),"")</f>
        <v/>
      </c>
      <c r="AA28" s="273" t="str">
        <f>IF(AND('Mapa final SI'!$AC$27="Media",'Mapa final SI'!$AE$27="Moderado"),CONCATENATE("R3C",'Mapa final SI'!$S$27),"")</f>
        <v/>
      </c>
      <c r="AB28" s="256" t="str">
        <f>IF(AND('Mapa final SI'!$AC$22="Media",'Mapa final SI'!$AE$22="Mayor"),CONCATENATE("R3C",'Mapa final SI'!$S$22),"")</f>
        <v/>
      </c>
      <c r="AC28" s="257" t="str">
        <f>IF(AND('Mapa final SI'!$AC$23="Media",'Mapa final SI'!$AE$23="Mayor"),CONCATENATE("R3C",'Mapa final SI'!$S$23),"")</f>
        <v/>
      </c>
      <c r="AD28" s="257" t="str">
        <f>IF(AND('Mapa final SI'!$AC$24="Media",'Mapa final SI'!$AE$24="Mayor"),CONCATENATE("R3C",'Mapa final SI'!$S$24),"")</f>
        <v/>
      </c>
      <c r="AE28" s="257" t="str">
        <f>IF(AND('Mapa final SI'!$AC$25="Media",'Mapa final SI'!$AE$25="Mayor"),CONCATENATE("R3C",'Mapa final SI'!$S$25),"")</f>
        <v/>
      </c>
      <c r="AF28" s="257" t="str">
        <f>IF(AND('Mapa final SI'!$AC$26="Media",'Mapa final SI'!$AE$26="Mayor"),CONCATENATE("R3C",'Mapa final SI'!$S$26),"")</f>
        <v/>
      </c>
      <c r="AG28" s="258" t="str">
        <f>IF(AND('Mapa final SI'!$AC$27="Media",'Mapa final SI'!$AE$27="Mayor"),CONCATENATE("R3C",'Mapa final SI'!$S$27),"")</f>
        <v/>
      </c>
      <c r="AH28" s="259" t="str">
        <f>IF(AND('Mapa final SI'!$AC$22="Media",'Mapa final SI'!$AE$22="Catastrófico"),CONCATENATE("R3C",'Mapa final SI'!$S$22),"")</f>
        <v/>
      </c>
      <c r="AI28" s="260" t="str">
        <f>IF(AND('Mapa final SI'!$AC$23="Media",'Mapa final SI'!$AE$23="Catastrófico"),CONCATENATE("R3C",'Mapa final SI'!$S$23),"")</f>
        <v/>
      </c>
      <c r="AJ28" s="260" t="str">
        <f>IF(AND('Mapa final SI'!$AC$24="Media",'Mapa final SI'!$AE$24="Catastrófico"),CONCATENATE("R3C",'Mapa final SI'!$S$24),"")</f>
        <v/>
      </c>
      <c r="AK28" s="260" t="str">
        <f>IF(AND('Mapa final SI'!$AC$25="Media",'Mapa final SI'!$AE$25="Catastrófico"),CONCATENATE("R3C",'Mapa final SI'!$S$25),"")</f>
        <v/>
      </c>
      <c r="AL28" s="260" t="str">
        <f>IF(AND('Mapa final SI'!$AC$26="Media",'Mapa final SI'!$AE$26="Catastrófico"),CONCATENATE("R3C",'Mapa final SI'!$S$26),"")</f>
        <v/>
      </c>
      <c r="AM28" s="261" t="str">
        <f>IF(AND('Mapa final SI'!$AC$27="Media",'Mapa final SI'!$AE$27="Catastrófico"),CONCATENATE("R3C",'Mapa final SI'!$S$27),"")</f>
        <v/>
      </c>
      <c r="AN28" s="15"/>
      <c r="AO28" s="695"/>
      <c r="AP28" s="696"/>
      <c r="AQ28" s="696"/>
      <c r="AR28" s="696"/>
      <c r="AS28" s="696"/>
      <c r="AT28" s="69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78"/>
      <c r="C29" s="578"/>
      <c r="D29" s="579"/>
      <c r="E29" s="667"/>
      <c r="F29" s="668"/>
      <c r="G29" s="668"/>
      <c r="H29" s="668"/>
      <c r="I29" s="669"/>
      <c r="J29" s="271" t="str">
        <f>IF(AND('Mapa final SI'!$AC$28="Media",'Mapa final SI'!$AE$28="Leve"),CONCATENATE("R4C",'Mapa final SI'!$S$28),"")</f>
        <v/>
      </c>
      <c r="K29" s="272" t="str">
        <f>IF(AND('Mapa final SI'!$AC$29="Media",'Mapa final SI'!$AE$29="Leve"),CONCATENATE("R4C",'Mapa final SI'!$S$29),"")</f>
        <v/>
      </c>
      <c r="L29" s="272" t="str">
        <f>IF(AND('Mapa final SI'!$AC$30="Media",'Mapa final SI'!$AE$30="Leve"),CONCATENATE("R4C",'Mapa final SI'!$S$30),"")</f>
        <v/>
      </c>
      <c r="M29" s="272" t="str">
        <f>IF(AND('Mapa final SI'!$AC$31="Media",'Mapa final SI'!$AE$31="Leve"),CONCATENATE("R4C",'Mapa final SI'!$S$31),"")</f>
        <v/>
      </c>
      <c r="N29" s="272" t="str">
        <f>IF(AND('Mapa final SI'!$AC$32="Media",'Mapa final SI'!$AE$32="Leve"),CONCATENATE("R4C",'Mapa final SI'!$S$32),"")</f>
        <v/>
      </c>
      <c r="O29" s="273" t="str">
        <f>IF(AND('Mapa final SI'!$AC$33="Media",'Mapa final SI'!$AE$33="Leve"),CONCATENATE("R4C",'Mapa final SI'!$S$33),"")</f>
        <v/>
      </c>
      <c r="P29" s="271" t="str">
        <f>IF(AND('Mapa final SI'!$AC$28="Media",'Mapa final SI'!$AE$28="Menor"),CONCATENATE("R4C",'Mapa final SI'!$S$28),"")</f>
        <v/>
      </c>
      <c r="Q29" s="272" t="str">
        <f>IF(AND('Mapa final SI'!$AC$29="Media",'Mapa final SI'!$AE$29="Menor"),CONCATENATE("R4C",'Mapa final SI'!$S$29),"")</f>
        <v/>
      </c>
      <c r="R29" s="272" t="str">
        <f>IF(AND('Mapa final SI'!$AC$30="Media",'Mapa final SI'!$AE$30="Menor"),CONCATENATE("R4C",'Mapa final SI'!$S$30),"")</f>
        <v/>
      </c>
      <c r="S29" s="272" t="str">
        <f>IF(AND('Mapa final SI'!$AC$31="Media",'Mapa final SI'!$AE$31="Menor"),CONCATENATE("R4C",'Mapa final SI'!$S$31),"")</f>
        <v/>
      </c>
      <c r="T29" s="272" t="str">
        <f>IF(AND('Mapa final SI'!$AC$32="Media",'Mapa final SI'!$AE$32="Menor"),CONCATENATE("R4C",'Mapa final SI'!$S$32),"")</f>
        <v/>
      </c>
      <c r="U29" s="273" t="str">
        <f>IF(AND('Mapa final SI'!$AC$33="Media",'Mapa final SI'!$AE$33="Menor"),CONCATENATE("R4C",'Mapa final SI'!$S$33),"")</f>
        <v/>
      </c>
      <c r="V29" s="271" t="str">
        <f>IF(AND('Mapa final SI'!$AC$28="Media",'Mapa final SI'!$AE$28="Moderado"),CONCATENATE("R4C",'Mapa final SI'!$S$28),"")</f>
        <v/>
      </c>
      <c r="W29" s="272" t="str">
        <f>IF(AND('Mapa final SI'!$AC$29="Media",'Mapa final SI'!$AE$29="Moderado"),CONCATENATE("R4C",'Mapa final SI'!$S$29),"")</f>
        <v/>
      </c>
      <c r="X29" s="272" t="str">
        <f>IF(AND('Mapa final SI'!$AC$30="Media",'Mapa final SI'!$AE$30="Moderado"),CONCATENATE("R4C",'Mapa final SI'!$S$30),"")</f>
        <v/>
      </c>
      <c r="Y29" s="272" t="str">
        <f>IF(AND('Mapa final SI'!$AC$31="Media",'Mapa final SI'!$AE$31="Moderado"),CONCATENATE("R4C",'Mapa final SI'!$S$31),"")</f>
        <v/>
      </c>
      <c r="Z29" s="272" t="str">
        <f>IF(AND('Mapa final SI'!$AC$32="Media",'Mapa final SI'!$AE$32="Moderado"),CONCATENATE("R4C",'Mapa final SI'!$S$32),"")</f>
        <v/>
      </c>
      <c r="AA29" s="273" t="str">
        <f>IF(AND('Mapa final SI'!$AC$33="Media",'Mapa final SI'!$AE$33="Moderado"),CONCATENATE("R4C",'Mapa final SI'!$S$33),"")</f>
        <v/>
      </c>
      <c r="AB29" s="256" t="str">
        <f>IF(AND('Mapa final SI'!$AC$28="Media",'Mapa final SI'!$AE$28="Mayor"),CONCATENATE("R4C",'Mapa final SI'!$S$28),"")</f>
        <v/>
      </c>
      <c r="AC29" s="257" t="str">
        <f>IF(AND('Mapa final SI'!$AC$29="Media",'Mapa final SI'!$AE$29="Mayor"),CONCATENATE("R4C",'Mapa final SI'!$S$29),"")</f>
        <v/>
      </c>
      <c r="AD29" s="257" t="str">
        <f>IF(AND('Mapa final SI'!$AC$30="Media",'Mapa final SI'!$AE$30="Mayor"),CONCATENATE("R4C",'Mapa final SI'!$S$30),"")</f>
        <v/>
      </c>
      <c r="AE29" s="257" t="str">
        <f>IF(AND('Mapa final SI'!$AC$31="Media",'Mapa final SI'!$AE$31="Mayor"),CONCATENATE("R4C",'Mapa final SI'!$S$31),"")</f>
        <v/>
      </c>
      <c r="AF29" s="257" t="str">
        <f>IF(AND('Mapa final SI'!$AC$32="Media",'Mapa final SI'!$AE$32="Mayor"),CONCATENATE("R4C",'Mapa final SI'!$S$32),"")</f>
        <v/>
      </c>
      <c r="AG29" s="258" t="str">
        <f>IF(AND('Mapa final SI'!$AC$33="Media",'Mapa final SI'!$AE$33="Mayor"),CONCATENATE("R4C",'Mapa final SI'!$S$33),"")</f>
        <v/>
      </c>
      <c r="AH29" s="259" t="str">
        <f>IF(AND('Mapa final SI'!$AC$28="Media",'Mapa final SI'!$AE$28="Catastrófico"),CONCATENATE("R4C",'Mapa final SI'!$S$28),"")</f>
        <v/>
      </c>
      <c r="AI29" s="260" t="str">
        <f>IF(AND('Mapa final SI'!$AC$29="Media",'Mapa final SI'!$AE$29="Catastrófico"),CONCATENATE("R4C",'Mapa final SI'!$S$29),"")</f>
        <v/>
      </c>
      <c r="AJ29" s="260" t="str">
        <f>IF(AND('Mapa final SI'!$AC$30="Media",'Mapa final SI'!$AE$30="Catastrófico"),CONCATENATE("R4C",'Mapa final SI'!$S$30),"")</f>
        <v/>
      </c>
      <c r="AK29" s="260" t="str">
        <f>IF(AND('Mapa final SI'!$AC$31="Media",'Mapa final SI'!$AE$31="Catastrófico"),CONCATENATE("R4C",'Mapa final SI'!$S$31),"")</f>
        <v/>
      </c>
      <c r="AL29" s="260" t="str">
        <f>IF(AND('Mapa final SI'!$AC$32="Media",'Mapa final SI'!$AE$32="Catastrófico"),CONCATENATE("R4C",'Mapa final SI'!$S$32),"")</f>
        <v/>
      </c>
      <c r="AM29" s="261" t="str">
        <f>IF(AND('Mapa final SI'!$AC$33="Media",'Mapa final SI'!$AE$33="Catastrófico"),CONCATENATE("R4C",'Mapa final SI'!$S$33),"")</f>
        <v/>
      </c>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78"/>
      <c r="C30" s="578"/>
      <c r="D30" s="579"/>
      <c r="E30" s="667"/>
      <c r="F30" s="668"/>
      <c r="G30" s="668"/>
      <c r="H30" s="668"/>
      <c r="I30" s="669"/>
      <c r="J30" s="271" t="str">
        <f>IF(AND('Mapa final SI'!$AC$34="Media",'Mapa final SI'!$AE$34="Leve"),CONCATENATE("R5C",'Mapa final SI'!$S$34),"")</f>
        <v/>
      </c>
      <c r="K30" s="272" t="str">
        <f>IF(AND('Mapa final SI'!$AC$35="Media",'Mapa final SI'!$AE$35="Leve"),CONCATENATE("R5C",'Mapa final SI'!$S$35),"")</f>
        <v/>
      </c>
      <c r="L30" s="272" t="str">
        <f>IF(AND('Mapa final SI'!$AC$36="Media",'Mapa final SI'!$AE$36="Leve"),CONCATENATE("R5C",'Mapa final SI'!$S$36),"")</f>
        <v/>
      </c>
      <c r="M30" s="272" t="str">
        <f>IF(AND('Mapa final SI'!$AC$37="Media",'Mapa final SI'!$AE$37="Leve"),CONCATENATE("R5C",'Mapa final SI'!$S$37),"")</f>
        <v/>
      </c>
      <c r="N30" s="272" t="str">
        <f>IF(AND('Mapa final SI'!$AC$38="Media",'Mapa final SI'!$AE$38="Leve"),CONCATENATE("R5C",'Mapa final SI'!$S$38),"")</f>
        <v/>
      </c>
      <c r="O30" s="273" t="str">
        <f>IF(AND('Mapa final SI'!$AC$39="Media",'Mapa final SI'!$AE$39="Leve"),CONCATENATE("R5C",'Mapa final SI'!$S$39),"")</f>
        <v/>
      </c>
      <c r="P30" s="271" t="str">
        <f>IF(AND('Mapa final SI'!$AC$34="Media",'Mapa final SI'!$AE$34="Menor"),CONCATENATE("R5C",'Mapa final SI'!$S$34),"")</f>
        <v/>
      </c>
      <c r="Q30" s="272" t="str">
        <f>IF(AND('Mapa final SI'!$AC$35="Media",'Mapa final SI'!$AE$35="Menor"),CONCATENATE("R5C",'Mapa final SI'!$S$35),"")</f>
        <v/>
      </c>
      <c r="R30" s="272" t="str">
        <f>IF(AND('Mapa final SI'!$AC$36="Media",'Mapa final SI'!$AE$36="Menor"),CONCATENATE("R5C",'Mapa final SI'!$S$36),"")</f>
        <v/>
      </c>
      <c r="S30" s="272" t="str">
        <f>IF(AND('Mapa final SI'!$AC$37="Media",'Mapa final SI'!$AE$37="Menor"),CONCATENATE("R5C",'Mapa final SI'!$S$37),"")</f>
        <v/>
      </c>
      <c r="T30" s="272" t="str">
        <f>IF(AND('Mapa final SI'!$AC$38="Media",'Mapa final SI'!$AE$38="Menor"),CONCATENATE("R5C",'Mapa final SI'!$S$38),"")</f>
        <v/>
      </c>
      <c r="U30" s="273" t="str">
        <f>IF(AND('Mapa final SI'!$AC$39="Media",'Mapa final SI'!$AE$39="Menor"),CONCATENATE("R5C",'Mapa final SI'!$S$39),"")</f>
        <v/>
      </c>
      <c r="V30" s="271" t="str">
        <f>IF(AND('Mapa final SI'!$AC$34="Media",'Mapa final SI'!$AE$34="Moderado"),CONCATENATE("R5C",'Mapa final SI'!$S$34),"")</f>
        <v/>
      </c>
      <c r="W30" s="272" t="str">
        <f>IF(AND('Mapa final SI'!$AC$35="Media",'Mapa final SI'!$AE$35="Moderado"),CONCATENATE("R5C",'Mapa final SI'!$S$35),"")</f>
        <v/>
      </c>
      <c r="X30" s="272" t="str">
        <f>IF(AND('Mapa final SI'!$AC$36="Media",'Mapa final SI'!$AE$36="Moderado"),CONCATENATE("R5C",'Mapa final SI'!$S$36),"")</f>
        <v/>
      </c>
      <c r="Y30" s="272" t="str">
        <f>IF(AND('Mapa final SI'!$AC$37="Media",'Mapa final SI'!$AE$37="Moderado"),CONCATENATE("R5C",'Mapa final SI'!$S$37),"")</f>
        <v/>
      </c>
      <c r="Z30" s="272" t="str">
        <f>IF(AND('Mapa final SI'!$AC$38="Media",'Mapa final SI'!$AE$38="Moderado"),CONCATENATE("R5C",'Mapa final SI'!$S$38),"")</f>
        <v/>
      </c>
      <c r="AA30" s="273" t="str">
        <f>IF(AND('Mapa final SI'!$AC$39="Media",'Mapa final SI'!$AE$39="Moderado"),CONCATENATE("R5C",'Mapa final SI'!$S$39),"")</f>
        <v/>
      </c>
      <c r="AB30" s="256" t="str">
        <f>IF(AND('Mapa final SI'!$AC$34="Media",'Mapa final SI'!$AE$34="Mayor"),CONCATENATE("R5C",'Mapa final SI'!$S$34),"")</f>
        <v/>
      </c>
      <c r="AC30" s="257" t="str">
        <f>IF(AND('Mapa final SI'!$AC$35="Media",'Mapa final SI'!$AE$35="Mayor"),CONCATENATE("R5C",'Mapa final SI'!$S$35),"")</f>
        <v/>
      </c>
      <c r="AD30" s="257" t="str">
        <f>IF(AND('Mapa final SI'!$AC$36="Media",'Mapa final SI'!$AE$36="Mayor"),CONCATENATE("R5C",'Mapa final SI'!$S$36),"")</f>
        <v/>
      </c>
      <c r="AE30" s="257" t="str">
        <f>IF(AND('Mapa final SI'!$AC$37="Media",'Mapa final SI'!$AE$37="Mayor"),CONCATENATE("R5C",'Mapa final SI'!$S$37),"")</f>
        <v/>
      </c>
      <c r="AF30" s="257" t="str">
        <f>IF(AND('Mapa final SI'!$AC$38="Media",'Mapa final SI'!$AE$38="Mayor"),CONCATENATE("R5C",'Mapa final SI'!$S$38),"")</f>
        <v/>
      </c>
      <c r="AG30" s="258" t="str">
        <f>IF(AND('Mapa final SI'!$AC$39="Media",'Mapa final SI'!$AE$39="Mayor"),CONCATENATE("R5C",'Mapa final SI'!$S$39),"")</f>
        <v/>
      </c>
      <c r="AH30" s="259" t="str">
        <f>IF(AND('Mapa final SI'!$AC$34="Media",'Mapa final SI'!$AE$34="Catastrófico"),CONCATENATE("R5C",'Mapa final SI'!$S$34),"")</f>
        <v/>
      </c>
      <c r="AI30" s="260" t="str">
        <f>IF(AND('Mapa final SI'!$AC$35="Media",'Mapa final SI'!$AE$35="Catastrófico"),CONCATENATE("R5C",'Mapa final SI'!$S$35),"")</f>
        <v/>
      </c>
      <c r="AJ30" s="260" t="str">
        <f>IF(AND('Mapa final SI'!$AC$36="Media",'Mapa final SI'!$AE$36="Catastrófico"),CONCATENATE("R5C",'Mapa final SI'!$S$36),"")</f>
        <v/>
      </c>
      <c r="AK30" s="260" t="str">
        <f>IF(AND('Mapa final SI'!$AC$37="Media",'Mapa final SI'!$AE$37="Catastrófico"),CONCATENATE("R5C",'Mapa final SI'!$S$37),"")</f>
        <v/>
      </c>
      <c r="AL30" s="260" t="str">
        <f>IF(AND('Mapa final SI'!$AC$38="Media",'Mapa final SI'!$AE$38="Catastrófico"),CONCATENATE("R5C",'Mapa final SI'!$S$38),"")</f>
        <v/>
      </c>
      <c r="AM30" s="261" t="str">
        <f>IF(AND('Mapa final SI'!$AC$39="Media",'Mapa final SI'!$AE$39="Catastrófico"),CONCATENATE("R5C",'Mapa final SI'!$S$39),"")</f>
        <v/>
      </c>
      <c r="AN30" s="15"/>
      <c r="AO30" s="695"/>
      <c r="AP30" s="696"/>
      <c r="AQ30" s="696"/>
      <c r="AR30" s="696"/>
      <c r="AS30" s="696"/>
      <c r="AT30" s="69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78"/>
      <c r="C31" s="578"/>
      <c r="D31" s="579"/>
      <c r="E31" s="667"/>
      <c r="F31" s="668"/>
      <c r="G31" s="668"/>
      <c r="H31" s="668"/>
      <c r="I31" s="669"/>
      <c r="J31" s="271" t="str">
        <f>IF(AND('Mapa final SI'!$AC$40="Media",'Mapa final SI'!$AE$40="Leve"),CONCATENATE("R6C",'Mapa final SI'!$S$40),"")</f>
        <v/>
      </c>
      <c r="K31" s="272" t="str">
        <f>IF(AND('Mapa final SI'!$AC$41="Media",'Mapa final SI'!$AE$41="Leve"),CONCATENATE("R6C",'Mapa final SI'!$S$41),"")</f>
        <v/>
      </c>
      <c r="L31" s="272" t="str">
        <f>IF(AND('Mapa final SI'!$AC$42="Media",'Mapa final SI'!$AE$42="Leve"),CONCATENATE("R6C",'Mapa final SI'!$S$42),"")</f>
        <v/>
      </c>
      <c r="M31" s="272" t="str">
        <f>IF(AND('Mapa final SI'!$AC$43="Media",'Mapa final SI'!$AE$43="Leve"),CONCATENATE("R6C",'Mapa final SI'!$S$43),"")</f>
        <v/>
      </c>
      <c r="N31" s="272" t="str">
        <f>IF(AND('Mapa final SI'!$AC$44="Media",'Mapa final SI'!$AE$44="Leve"),CONCATENATE("R6C",'Mapa final SI'!$S$44),"")</f>
        <v/>
      </c>
      <c r="O31" s="273" t="str">
        <f>IF(AND('Mapa final SI'!$AC$45="Media",'Mapa final SI'!$AE$45="Leve"),CONCATENATE("R6C",'Mapa final SI'!$S$45),"")</f>
        <v/>
      </c>
      <c r="P31" s="271" t="str">
        <f>IF(AND('Mapa final SI'!$AC$40="Media",'Mapa final SI'!$AE$40="Menor"),CONCATENATE("R6C",'Mapa final SI'!$S$40),"")</f>
        <v/>
      </c>
      <c r="Q31" s="272" t="str">
        <f>IF(AND('Mapa final SI'!$AC$41="Media",'Mapa final SI'!$AE$41="Menor"),CONCATENATE("R6C",'Mapa final SI'!$S$41),"")</f>
        <v/>
      </c>
      <c r="R31" s="272" t="str">
        <f>IF(AND('Mapa final SI'!$AC$42="Media",'Mapa final SI'!$AE$42="Menor"),CONCATENATE("R6C",'Mapa final SI'!$S$42),"")</f>
        <v/>
      </c>
      <c r="S31" s="272" t="str">
        <f>IF(AND('Mapa final SI'!$AC$43="Media",'Mapa final SI'!$AE$43="Menor"),CONCATENATE("R6C",'Mapa final SI'!$S$43),"")</f>
        <v/>
      </c>
      <c r="T31" s="272" t="str">
        <f>IF(AND('Mapa final SI'!$AC$44="Media",'Mapa final SI'!$AE$44="Menor"),CONCATENATE("R6C",'Mapa final SI'!$S$44),"")</f>
        <v/>
      </c>
      <c r="U31" s="273" t="str">
        <f>IF(AND('Mapa final SI'!$AC$45="Media",'Mapa final SI'!$AE$45="Menor"),CONCATENATE("R6C",'Mapa final SI'!$S$45),"")</f>
        <v/>
      </c>
      <c r="V31" s="271" t="str">
        <f>IF(AND('Mapa final SI'!$AC$40="Media",'Mapa final SI'!$AE$40="Moderado"),CONCATENATE("R6C",'Mapa final SI'!$S$40),"")</f>
        <v/>
      </c>
      <c r="W31" s="272" t="str">
        <f>IF(AND('Mapa final SI'!$AC$41="Media",'Mapa final SI'!$AE$41="Moderado"),CONCATENATE("R6C",'Mapa final SI'!$S$41),"")</f>
        <v/>
      </c>
      <c r="X31" s="272" t="str">
        <f>IF(AND('Mapa final SI'!$AC$42="Media",'Mapa final SI'!$AE$42="Moderado"),CONCATENATE("R6C",'Mapa final SI'!$S$42),"")</f>
        <v/>
      </c>
      <c r="Y31" s="272" t="str">
        <f>IF(AND('Mapa final SI'!$AC$43="Media",'Mapa final SI'!$AE$43="Moderado"),CONCATENATE("R6C",'Mapa final SI'!$S$43),"")</f>
        <v/>
      </c>
      <c r="Z31" s="272" t="str">
        <f>IF(AND('Mapa final SI'!$AC$44="Media",'Mapa final SI'!$AE$44="Moderado"),CONCATENATE("R6C",'Mapa final SI'!$S$44),"")</f>
        <v/>
      </c>
      <c r="AA31" s="273" t="str">
        <f>IF(AND('Mapa final SI'!$AC$45="Media",'Mapa final SI'!$AE$45="Moderado"),CONCATENATE("R6C",'Mapa final SI'!$S$45),"")</f>
        <v/>
      </c>
      <c r="AB31" s="256" t="str">
        <f>IF(AND('Mapa final SI'!$AC$40="Media",'Mapa final SI'!$AE$40="Mayor"),CONCATENATE("R6C",'Mapa final SI'!$S$40),"")</f>
        <v/>
      </c>
      <c r="AC31" s="257" t="str">
        <f>IF(AND('Mapa final SI'!$AC$41="Media",'Mapa final SI'!$AE$41="Mayor"),CONCATENATE("R6C",'Mapa final SI'!$S$41),"")</f>
        <v/>
      </c>
      <c r="AD31" s="257" t="str">
        <f>IF(AND('Mapa final SI'!$AC$42="Media",'Mapa final SI'!$AE$42="Mayor"),CONCATENATE("R6C",'Mapa final SI'!$S$42),"")</f>
        <v/>
      </c>
      <c r="AE31" s="257" t="str">
        <f>IF(AND('Mapa final SI'!$AC$43="Media",'Mapa final SI'!$AE$43="Mayor"),CONCATENATE("R6C",'Mapa final SI'!$S$43),"")</f>
        <v/>
      </c>
      <c r="AF31" s="257" t="str">
        <f>IF(AND('Mapa final SI'!$AC$44="Media",'Mapa final SI'!$AE$44="Mayor"),CONCATENATE("R6C",'Mapa final SI'!$S$44),"")</f>
        <v/>
      </c>
      <c r="AG31" s="258" t="str">
        <f>IF(AND('Mapa final SI'!$AC$45="Media",'Mapa final SI'!$AE$45="Mayor"),CONCATENATE("R6C",'Mapa final SI'!$S$45),"")</f>
        <v/>
      </c>
      <c r="AH31" s="259" t="str">
        <f>IF(AND('Mapa final SI'!$AC$40="Media",'Mapa final SI'!$AE$40="Catastrófico"),CONCATENATE("R6C",'Mapa final SI'!$S$40),"")</f>
        <v/>
      </c>
      <c r="AI31" s="260" t="str">
        <f>IF(AND('Mapa final SI'!$AC$41="Media",'Mapa final SI'!$AE$41="Catastrófico"),CONCATENATE("R6C",'Mapa final SI'!$S$41),"")</f>
        <v/>
      </c>
      <c r="AJ31" s="260" t="str">
        <f>IF(AND('Mapa final SI'!$AC$42="Media",'Mapa final SI'!$AE$42="Catastrófico"),CONCATENATE("R6C",'Mapa final SI'!$S$42),"")</f>
        <v/>
      </c>
      <c r="AK31" s="260" t="str">
        <f>IF(AND('Mapa final SI'!$AC$43="Media",'Mapa final SI'!$AE$43="Catastrófico"),CONCATENATE("R6C",'Mapa final SI'!$S$43),"")</f>
        <v/>
      </c>
      <c r="AL31" s="260" t="str">
        <f>IF(AND('Mapa final SI'!$AC$44="Media",'Mapa final SI'!$AE$44="Catastrófico"),CONCATENATE("R6C",'Mapa final SI'!$S$44),"")</f>
        <v/>
      </c>
      <c r="AM31" s="261" t="str">
        <f>IF(AND('Mapa final SI'!$AC$45="Media",'Mapa final SI'!$AE$45="Catastrófico"),CONCATENATE("R6C",'Mapa final SI'!$S$45),"")</f>
        <v/>
      </c>
      <c r="AN31" s="15"/>
      <c r="AO31" s="695"/>
      <c r="AP31" s="696"/>
      <c r="AQ31" s="696"/>
      <c r="AR31" s="696"/>
      <c r="AS31" s="696"/>
      <c r="AT31" s="69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78"/>
      <c r="C32" s="578"/>
      <c r="D32" s="579"/>
      <c r="E32" s="667"/>
      <c r="F32" s="668"/>
      <c r="G32" s="668"/>
      <c r="H32" s="668"/>
      <c r="I32" s="669"/>
      <c r="J32" s="271" t="str">
        <f>IF(AND('Mapa final SI'!$AC$46="Media",'Mapa final SI'!$AE$46="Leve"),CONCATENATE("R7C",'Mapa final SI'!$S$46),"")</f>
        <v/>
      </c>
      <c r="K32" s="272" t="str">
        <f>IF(AND('Mapa final SI'!$AC$47="Media",'Mapa final SI'!$AE$47="Leve"),CONCATENATE("R7C",'Mapa final SI'!$S$47),"")</f>
        <v/>
      </c>
      <c r="L32" s="272" t="str">
        <f>IF(AND('Mapa final SI'!$AC$48="Media",'Mapa final SI'!$AE$48="Leve"),CONCATENATE("R7C",'Mapa final SI'!$S$48),"")</f>
        <v/>
      </c>
      <c r="M32" s="272" t="str">
        <f>IF(AND('Mapa final SI'!$AC$49="Media",'Mapa final SI'!$AE$49="Leve"),CONCATENATE("R7C",'Mapa final SI'!$S$49),"")</f>
        <v/>
      </c>
      <c r="N32" s="272" t="str">
        <f>IF(AND('Mapa final SI'!$AC$50="Media",'Mapa final SI'!$AE$50="Leve"),CONCATENATE("R7C",'Mapa final SI'!$S$50),"")</f>
        <v/>
      </c>
      <c r="O32" s="273" t="str">
        <f>IF(AND('Mapa final SI'!$AC$51="Media",'Mapa final SI'!$AE$51="Leve"),CONCATENATE("R7C",'Mapa final SI'!$S$51),"")</f>
        <v/>
      </c>
      <c r="P32" s="271" t="str">
        <f>IF(AND('Mapa final SI'!$AC$46="Media",'Mapa final SI'!$AE$46="Menor"),CONCATENATE("R7C",'Mapa final SI'!$S$46),"")</f>
        <v/>
      </c>
      <c r="Q32" s="272" t="str">
        <f>IF(AND('Mapa final SI'!$AC$47="Media",'Mapa final SI'!$AE$47="Menor"),CONCATENATE("R7C",'Mapa final SI'!$S$47),"")</f>
        <v/>
      </c>
      <c r="R32" s="272" t="str">
        <f>IF(AND('Mapa final SI'!$AC$48="Media",'Mapa final SI'!$AE$48="Menor"),CONCATENATE("R7C",'Mapa final SI'!$S$48),"")</f>
        <v/>
      </c>
      <c r="S32" s="272" t="str">
        <f>IF(AND('Mapa final SI'!$AC$49="Media",'Mapa final SI'!$AE$49="Menor"),CONCATENATE("R7C",'Mapa final SI'!$S$49),"")</f>
        <v/>
      </c>
      <c r="T32" s="272" t="str">
        <f>IF(AND('Mapa final SI'!$AC$50="Media",'Mapa final SI'!$AE$50="Menor"),CONCATENATE("R7C",'Mapa final SI'!$S$50),"")</f>
        <v/>
      </c>
      <c r="U32" s="273" t="str">
        <f>IF(AND('Mapa final SI'!$AC$51="Media",'Mapa final SI'!$AE$51="Menor"),CONCATENATE("R7C",'Mapa final SI'!$S$51),"")</f>
        <v/>
      </c>
      <c r="V32" s="271" t="str">
        <f>IF(AND('Mapa final SI'!$AC$46="Media",'Mapa final SI'!$AE$46="Moderado"),CONCATENATE("R7C",'Mapa final SI'!$S$46),"")</f>
        <v/>
      </c>
      <c r="W32" s="272" t="str">
        <f>IF(AND('Mapa final SI'!$AC$47="Media",'Mapa final SI'!$AE$47="Moderado"),CONCATENATE("R7C",'Mapa final SI'!$S$47),"")</f>
        <v/>
      </c>
      <c r="X32" s="272" t="str">
        <f>IF(AND('Mapa final SI'!$AC$48="Media",'Mapa final SI'!$AE$48="Moderado"),CONCATENATE("R7C",'Mapa final SI'!$S$48),"")</f>
        <v/>
      </c>
      <c r="Y32" s="272" t="str">
        <f>IF(AND('Mapa final SI'!$AC$49="Media",'Mapa final SI'!$AE$49="Moderado"),CONCATENATE("R7C",'Mapa final SI'!$S$49),"")</f>
        <v/>
      </c>
      <c r="Z32" s="272" t="str">
        <f>IF(AND('Mapa final SI'!$AC$50="Media",'Mapa final SI'!$AE$50="Moderado"),CONCATENATE("R7C",'Mapa final SI'!$S$50),"")</f>
        <v/>
      </c>
      <c r="AA32" s="273" t="str">
        <f>IF(AND('Mapa final SI'!$AC$51="Media",'Mapa final SI'!$AE$51="Moderado"),CONCATENATE("R7C",'Mapa final SI'!$S$51),"")</f>
        <v/>
      </c>
      <c r="AB32" s="256" t="str">
        <f>IF(AND('Mapa final SI'!$AC$46="Media",'Mapa final SI'!$AE$46="Mayor"),CONCATENATE("R7C",'Mapa final SI'!$S$46),"")</f>
        <v/>
      </c>
      <c r="AC32" s="257" t="str">
        <f>IF(AND('Mapa final SI'!$AC$47="Media",'Mapa final SI'!$AE$47="Mayor"),CONCATENATE("R7C",'Mapa final SI'!$S$47),"")</f>
        <v/>
      </c>
      <c r="AD32" s="257" t="str">
        <f>IF(AND('Mapa final SI'!$AC$48="Media",'Mapa final SI'!$AE$48="Mayor"),CONCATENATE("R7C",'Mapa final SI'!$S$48),"")</f>
        <v/>
      </c>
      <c r="AE32" s="257" t="str">
        <f>IF(AND('Mapa final SI'!$AC$49="Media",'Mapa final SI'!$AE$49="Mayor"),CONCATENATE("R7C",'Mapa final SI'!$S$49),"")</f>
        <v/>
      </c>
      <c r="AF32" s="257" t="str">
        <f>IF(AND('Mapa final SI'!$AC$50="Media",'Mapa final SI'!$AE$50="Mayor"),CONCATENATE("R7C",'Mapa final SI'!$S$50),"")</f>
        <v/>
      </c>
      <c r="AG32" s="258" t="str">
        <f>IF(AND('Mapa final SI'!$AC$51="Media",'Mapa final SI'!$AE$51="Mayor"),CONCATENATE("R7C",'Mapa final SI'!$S$51),"")</f>
        <v/>
      </c>
      <c r="AH32" s="259" t="str">
        <f>IF(AND('Mapa final SI'!$AC$46="Media",'Mapa final SI'!$AE$46="Catastrófico"),CONCATENATE("R7C",'Mapa final SI'!$S$46),"")</f>
        <v/>
      </c>
      <c r="AI32" s="260" t="str">
        <f>IF(AND('Mapa final SI'!$AC$47="Media",'Mapa final SI'!$AE$47="Catastrófico"),CONCATENATE("R7C",'Mapa final SI'!$S$47),"")</f>
        <v/>
      </c>
      <c r="AJ32" s="260" t="str">
        <f>IF(AND('Mapa final SI'!$AC$48="Media",'Mapa final SI'!$AE$48="Catastrófico"),CONCATENATE("R7C",'Mapa final SI'!$S$48),"")</f>
        <v/>
      </c>
      <c r="AK32" s="260" t="str">
        <f>IF(AND('Mapa final SI'!$AC$49="Media",'Mapa final SI'!$AE$49="Catastrófico"),CONCATENATE("R7C",'Mapa final SI'!$S$49),"")</f>
        <v/>
      </c>
      <c r="AL32" s="260" t="str">
        <f>IF(AND('Mapa final SI'!$AC$50="Media",'Mapa final SI'!$AE$50="Catastrófico"),CONCATENATE("R7C",'Mapa final SI'!$S$50),"")</f>
        <v/>
      </c>
      <c r="AM32" s="261" t="str">
        <f>IF(AND('Mapa final SI'!$AC$51="Media",'Mapa final SI'!$AE$51="Catastrófico"),CONCATENATE("R7C",'Mapa final SI'!$S$51),"")</f>
        <v/>
      </c>
      <c r="AN32" s="15"/>
      <c r="AO32" s="695"/>
      <c r="AP32" s="696"/>
      <c r="AQ32" s="696"/>
      <c r="AR32" s="696"/>
      <c r="AS32" s="696"/>
      <c r="AT32" s="69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78"/>
      <c r="C33" s="578"/>
      <c r="D33" s="579"/>
      <c r="E33" s="667"/>
      <c r="F33" s="668"/>
      <c r="G33" s="668"/>
      <c r="H33" s="668"/>
      <c r="I33" s="669"/>
      <c r="J33" s="271" t="str">
        <f>IF(AND('Mapa final SI'!$AC$52="Media",'Mapa final SI'!$AE$52="Leve"),CONCATENATE("R8C",'Mapa final SI'!$S$52),"")</f>
        <v/>
      </c>
      <c r="K33" s="272" t="str">
        <f>IF(AND('Mapa final SI'!$AC$53="Media",'Mapa final SI'!$AE$53="Leve"),CONCATENATE("R8C",'Mapa final SI'!$S$53),"")</f>
        <v/>
      </c>
      <c r="L33" s="272" t="str">
        <f>IF(AND('Mapa final SI'!$AC$54="Media",'Mapa final SI'!$AE$54="Leve"),CONCATENATE("R8C",'Mapa final SI'!$S$54),"")</f>
        <v/>
      </c>
      <c r="M33" s="272" t="str">
        <f>IF(AND('Mapa final SI'!$AC$55="Media",'Mapa final SI'!$AE$55="Leve"),CONCATENATE("R8C",'Mapa final SI'!$S$55),"")</f>
        <v/>
      </c>
      <c r="N33" s="272" t="str">
        <f>IF(AND('Mapa final SI'!$AC$56="Media",'Mapa final SI'!$AE$56="Leve"),CONCATENATE("R8C",'Mapa final SI'!$S$56),"")</f>
        <v/>
      </c>
      <c r="O33" s="273" t="str">
        <f>IF(AND('Mapa final SI'!$AC$57="Media",'Mapa final SI'!$AE$57="Leve"),CONCATENATE("R8C",'Mapa final SI'!$S$57),"")</f>
        <v/>
      </c>
      <c r="P33" s="271" t="str">
        <f>IF(AND('Mapa final SI'!$AC$52="Media",'Mapa final SI'!$AE$52="Menor"),CONCATENATE("R8C",'Mapa final SI'!$S$52),"")</f>
        <v/>
      </c>
      <c r="Q33" s="272" t="str">
        <f>IF(AND('Mapa final SI'!$AC$53="Media",'Mapa final SI'!$AE$53="Menor"),CONCATENATE("R8C",'Mapa final SI'!$S$53),"")</f>
        <v/>
      </c>
      <c r="R33" s="272" t="str">
        <f>IF(AND('Mapa final SI'!$AC$54="Media",'Mapa final SI'!$AE$54="Menor"),CONCATENATE("R8C",'Mapa final SI'!$S$54),"")</f>
        <v/>
      </c>
      <c r="S33" s="272" t="str">
        <f>IF(AND('Mapa final SI'!$AC$55="Media",'Mapa final SI'!$AE$55="Menor"),CONCATENATE("R8C",'Mapa final SI'!$S$55),"")</f>
        <v/>
      </c>
      <c r="T33" s="272" t="str">
        <f>IF(AND('Mapa final SI'!$AC$56="Media",'Mapa final SI'!$AE$56="Menor"),CONCATENATE("R8C",'Mapa final SI'!$S$56),"")</f>
        <v/>
      </c>
      <c r="U33" s="273" t="str">
        <f>IF(AND('Mapa final SI'!$AC$57="Media",'Mapa final SI'!$AE$57="Menor"),CONCATENATE("R8C",'Mapa final SI'!$S$57),"")</f>
        <v/>
      </c>
      <c r="V33" s="271" t="str">
        <f>IF(AND('Mapa final SI'!$AC$52="Media",'Mapa final SI'!$AE$52="Moderado"),CONCATENATE("R8C",'Mapa final SI'!$S$52),"")</f>
        <v/>
      </c>
      <c r="W33" s="272" t="str">
        <f>IF(AND('Mapa final SI'!$AC$53="Media",'Mapa final SI'!$AE$53="Moderado"),CONCATENATE("R8C",'Mapa final SI'!$S$53),"")</f>
        <v/>
      </c>
      <c r="X33" s="272" t="str">
        <f>IF(AND('Mapa final SI'!$AC$54="Media",'Mapa final SI'!$AE$54="Moderado"),CONCATENATE("R8C",'Mapa final SI'!$S$54),"")</f>
        <v/>
      </c>
      <c r="Y33" s="272" t="str">
        <f>IF(AND('Mapa final SI'!$AC$55="Media",'Mapa final SI'!$AE$55="Moderado"),CONCATENATE("R8C",'Mapa final SI'!$S$55),"")</f>
        <v/>
      </c>
      <c r="Z33" s="272" t="str">
        <f>IF(AND('Mapa final SI'!$AC$56="Media",'Mapa final SI'!$AE$56="Moderado"),CONCATENATE("R8C",'Mapa final SI'!$S$56),"")</f>
        <v/>
      </c>
      <c r="AA33" s="273" t="str">
        <f>IF(AND('Mapa final SI'!$AC$57="Media",'Mapa final SI'!$AE$57="Moderado"),CONCATENATE("R8C",'Mapa final SI'!$S$57),"")</f>
        <v/>
      </c>
      <c r="AB33" s="256" t="str">
        <f>IF(AND('Mapa final SI'!$AC$52="Media",'Mapa final SI'!$AE$52="Mayor"),CONCATENATE("R8C",'Mapa final SI'!$S$52),"")</f>
        <v/>
      </c>
      <c r="AC33" s="257" t="str">
        <f>IF(AND('Mapa final SI'!$AC$53="Media",'Mapa final SI'!$AE$53="Mayor"),CONCATENATE("R8C",'Mapa final SI'!$S$53),"")</f>
        <v/>
      </c>
      <c r="AD33" s="257" t="str">
        <f>IF(AND('Mapa final SI'!$AC$54="Media",'Mapa final SI'!$AE$54="Mayor"),CONCATENATE("R8C",'Mapa final SI'!$S$54),"")</f>
        <v/>
      </c>
      <c r="AE33" s="257" t="str">
        <f>IF(AND('Mapa final SI'!$AC$55="Media",'Mapa final SI'!$AE$55="Mayor"),CONCATENATE("R8C",'Mapa final SI'!$S$55),"")</f>
        <v/>
      </c>
      <c r="AF33" s="257" t="str">
        <f>IF(AND('Mapa final SI'!$AC$56="Media",'Mapa final SI'!$AE$56="Mayor"),CONCATENATE("R8C",'Mapa final SI'!$S$56),"")</f>
        <v/>
      </c>
      <c r="AG33" s="258" t="str">
        <f>IF(AND('Mapa final SI'!$AC$57="Media",'Mapa final SI'!$AE$57="Mayor"),CONCATENATE("R8C",'Mapa final SI'!$S$57),"")</f>
        <v/>
      </c>
      <c r="AH33" s="259" t="str">
        <f>IF(AND('Mapa final SI'!$AC$52="Media",'Mapa final SI'!$AE$52="Catastrófico"),CONCATENATE("R8C",'Mapa final SI'!$S$52),"")</f>
        <v/>
      </c>
      <c r="AI33" s="260" t="str">
        <f>IF(AND('Mapa final SI'!$AC$53="Media",'Mapa final SI'!$AE$53="Catastrófico"),CONCATENATE("R8C",'Mapa final SI'!$S$53),"")</f>
        <v/>
      </c>
      <c r="AJ33" s="260" t="str">
        <f>IF(AND('Mapa final SI'!$AC$54="Media",'Mapa final SI'!$AE$54="Catastrófico"),CONCATENATE("R8C",'Mapa final SI'!$S$54),"")</f>
        <v/>
      </c>
      <c r="AK33" s="260" t="str">
        <f>IF(AND('Mapa final SI'!$AC$55="Media",'Mapa final SI'!$AE$55="Catastrófico"),CONCATENATE("R8C",'Mapa final SI'!$S$55),"")</f>
        <v/>
      </c>
      <c r="AL33" s="260" t="str">
        <f>IF(AND('Mapa final SI'!$AC$56="Media",'Mapa final SI'!$AE$56="Catastrófico"),CONCATENATE("R8C",'Mapa final SI'!$S$56),"")</f>
        <v/>
      </c>
      <c r="AM33" s="261" t="str">
        <f>IF(AND('Mapa final SI'!$AC$57="Media",'Mapa final SI'!$AE$57="Catastrófico"),CONCATENATE("R8C",'Mapa final SI'!$S$57),"")</f>
        <v/>
      </c>
      <c r="AN33" s="15"/>
      <c r="AO33" s="695"/>
      <c r="AP33" s="696"/>
      <c r="AQ33" s="696"/>
      <c r="AR33" s="696"/>
      <c r="AS33" s="696"/>
      <c r="AT33" s="69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78"/>
      <c r="C34" s="578"/>
      <c r="D34" s="579"/>
      <c r="E34" s="667"/>
      <c r="F34" s="668"/>
      <c r="G34" s="668"/>
      <c r="H34" s="668"/>
      <c r="I34" s="669"/>
      <c r="J34" s="271" t="str">
        <f>IF(AND('Mapa final SI'!$AC$58="Media",'Mapa final SI'!$AE$58="Leve"),CONCATENATE("R9C",'Mapa final SI'!$S$58),"")</f>
        <v/>
      </c>
      <c r="K34" s="272" t="str">
        <f>IF(AND('Mapa final SI'!$AC$59="Media",'Mapa final SI'!$AE$59="Leve"),CONCATENATE("R9C",'Mapa final SI'!$S$59),"")</f>
        <v/>
      </c>
      <c r="L34" s="272" t="str">
        <f>IF(AND('Mapa final SI'!$AC$60="Media",'Mapa final SI'!$AE$60="Leve"),CONCATENATE("R9C",'Mapa final SI'!$S$60),"")</f>
        <v/>
      </c>
      <c r="M34" s="272" t="str">
        <f>IF(AND('Mapa final SI'!$AC$61="Media",'Mapa final SI'!$AE$61="Leve"),CONCATENATE("R9C",'Mapa final SI'!$S$61),"")</f>
        <v/>
      </c>
      <c r="N34" s="272" t="str">
        <f>IF(AND('Mapa final SI'!$AC$62="Media",'Mapa final SI'!$AE$62="Leve"),CONCATENATE("R9C",'Mapa final SI'!$S$62),"")</f>
        <v/>
      </c>
      <c r="O34" s="273" t="str">
        <f>IF(AND('Mapa final SI'!$AC$63="Media",'Mapa final SI'!$AE$63="Leve"),CONCATENATE("R9C",'Mapa final SI'!$S$63),"")</f>
        <v/>
      </c>
      <c r="P34" s="271" t="str">
        <f>IF(AND('Mapa final SI'!$AC$58="Media",'Mapa final SI'!$AE$58="Menor"),CONCATENATE("R9C",'Mapa final SI'!$S$58),"")</f>
        <v/>
      </c>
      <c r="Q34" s="272" t="str">
        <f>IF(AND('Mapa final SI'!$AC$59="Media",'Mapa final SI'!$AE$59="Menor"),CONCATENATE("R9C",'Mapa final SI'!$S$59),"")</f>
        <v/>
      </c>
      <c r="R34" s="272" t="str">
        <f>IF(AND('Mapa final SI'!$AC$60="Media",'Mapa final SI'!$AE$60="Menor"),CONCATENATE("R9C",'Mapa final SI'!$S$60),"")</f>
        <v/>
      </c>
      <c r="S34" s="272" t="str">
        <f>IF(AND('Mapa final SI'!$AC$61="Media",'Mapa final SI'!$AE$61="Menor"),CONCATENATE("R9C",'Mapa final SI'!$S$61),"")</f>
        <v/>
      </c>
      <c r="T34" s="272" t="str">
        <f>IF(AND('Mapa final SI'!$AC$62="Media",'Mapa final SI'!$AE$62="Menor"),CONCATENATE("R9C",'Mapa final SI'!$S$62),"")</f>
        <v/>
      </c>
      <c r="U34" s="273" t="str">
        <f>IF(AND('Mapa final SI'!$AC$63="Media",'Mapa final SI'!$AE$63="Menor"),CONCATENATE("R9C",'Mapa final SI'!$S$63),"")</f>
        <v/>
      </c>
      <c r="V34" s="271" t="str">
        <f>IF(AND('Mapa final SI'!$AC$58="Media",'Mapa final SI'!$AE$58="Moderado"),CONCATENATE("R9C",'Mapa final SI'!$S$58),"")</f>
        <v/>
      </c>
      <c r="W34" s="272" t="str">
        <f>IF(AND('Mapa final SI'!$AC$59="Media",'Mapa final SI'!$AE$59="Moderado"),CONCATENATE("R9C",'Mapa final SI'!$S$59),"")</f>
        <v/>
      </c>
      <c r="X34" s="272" t="str">
        <f>IF(AND('Mapa final SI'!$AC$60="Media",'Mapa final SI'!$AE$60="Moderado"),CONCATENATE("R9C",'Mapa final SI'!$S$60),"")</f>
        <v/>
      </c>
      <c r="Y34" s="272" t="str">
        <f>IF(AND('Mapa final SI'!$AC$61="Media",'Mapa final SI'!$AE$61="Moderado"),CONCATENATE("R9C",'Mapa final SI'!$S$61),"")</f>
        <v/>
      </c>
      <c r="Z34" s="272" t="str">
        <f>IF(AND('Mapa final SI'!$AC$62="Media",'Mapa final SI'!$AE$62="Moderado"),CONCATENATE("R9C",'Mapa final SI'!$S$62),"")</f>
        <v/>
      </c>
      <c r="AA34" s="273" t="str">
        <f>IF(AND('Mapa final SI'!$AC$63="Media",'Mapa final SI'!$AE$63="Moderado"),CONCATENATE("R9C",'Mapa final SI'!$S$63),"")</f>
        <v/>
      </c>
      <c r="AB34" s="256" t="str">
        <f>IF(AND('Mapa final SI'!$AC$58="Media",'Mapa final SI'!$AE$58="Mayor"),CONCATENATE("R9C",'Mapa final SI'!$S$58),"")</f>
        <v/>
      </c>
      <c r="AC34" s="257" t="str">
        <f>IF(AND('Mapa final SI'!$AC$59="Media",'Mapa final SI'!$AE$59="Mayor"),CONCATENATE("R9C",'Mapa final SI'!$S$59),"")</f>
        <v/>
      </c>
      <c r="AD34" s="257" t="str">
        <f>IF(AND('Mapa final SI'!$AC$60="Media",'Mapa final SI'!$AE$60="Mayor"),CONCATENATE("R9C",'Mapa final SI'!$S$60),"")</f>
        <v/>
      </c>
      <c r="AE34" s="257" t="str">
        <f>IF(AND('Mapa final SI'!$AC$61="Media",'Mapa final SI'!$AE$61="Mayor"),CONCATENATE("R9C",'Mapa final SI'!$S$61),"")</f>
        <v/>
      </c>
      <c r="AF34" s="257" t="str">
        <f>IF(AND('Mapa final SI'!$AC$62="Media",'Mapa final SI'!$AE$62="Mayor"),CONCATENATE("R9C",'Mapa final SI'!$S$62),"")</f>
        <v/>
      </c>
      <c r="AG34" s="258" t="str">
        <f>IF(AND('Mapa final SI'!$AC$63="Media",'Mapa final SI'!$AE$63="Mayor"),CONCATENATE("R9C",'Mapa final SI'!$S$63),"")</f>
        <v/>
      </c>
      <c r="AH34" s="259" t="str">
        <f>IF(AND('Mapa final SI'!$AC$58="Media",'Mapa final SI'!$AE$58="Catastrófico"),CONCATENATE("R9C",'Mapa final SI'!$S$58),"")</f>
        <v/>
      </c>
      <c r="AI34" s="260" t="str">
        <f>IF(AND('Mapa final SI'!$AC$59="Media",'Mapa final SI'!$AE$59="Catastrófico"),CONCATENATE("R9C",'Mapa final SI'!$S$59),"")</f>
        <v/>
      </c>
      <c r="AJ34" s="260" t="str">
        <f>IF(AND('Mapa final SI'!$AC$60="Media",'Mapa final SI'!$AE$60="Catastrófico"),CONCATENATE("R9C",'Mapa final SI'!$S$60),"")</f>
        <v/>
      </c>
      <c r="AK34" s="260" t="str">
        <f>IF(AND('Mapa final SI'!$AC$61="Media",'Mapa final SI'!$AE$61="Catastrófico"),CONCATENATE("R9C",'Mapa final SI'!$S$61),"")</f>
        <v/>
      </c>
      <c r="AL34" s="260" t="str">
        <f>IF(AND('Mapa final SI'!$AC$62="Media",'Mapa final SI'!$AE$62="Catastrófico"),CONCATENATE("R9C",'Mapa final SI'!$S$62),"")</f>
        <v/>
      </c>
      <c r="AM34" s="261" t="str">
        <f>IF(AND('Mapa final SI'!$AC$63="Media",'Mapa final SI'!$AE$63="Catastrófico"),CONCATENATE("R9C",'Mapa final SI'!$S$63),"")</f>
        <v/>
      </c>
      <c r="AN34" s="15"/>
      <c r="AO34" s="695"/>
      <c r="AP34" s="696"/>
      <c r="AQ34" s="696"/>
      <c r="AR34" s="696"/>
      <c r="AS34" s="696"/>
      <c r="AT34" s="69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78"/>
      <c r="C35" s="578"/>
      <c r="D35" s="579"/>
      <c r="E35" s="670"/>
      <c r="F35" s="671"/>
      <c r="G35" s="671"/>
      <c r="H35" s="671"/>
      <c r="I35" s="672"/>
      <c r="J35" s="271" t="str">
        <f>IF(AND('Mapa final SI'!$AC$64="Media",'Mapa final SI'!$AE$64="Leve"),CONCATENATE("R10C",'Mapa final SI'!$S$64),"")</f>
        <v/>
      </c>
      <c r="K35" s="272" t="str">
        <f>IF(AND('Mapa final SI'!$AC$65="Media",'Mapa final SI'!$AE$65="Leve"),CONCATENATE("R10C",'Mapa final SI'!$S$65),"")</f>
        <v/>
      </c>
      <c r="L35" s="272" t="str">
        <f>IF(AND('Mapa final SI'!$AC$66="Media",'Mapa final SI'!$AE$66="Leve"),CONCATENATE("R10C",'Mapa final SI'!$S$66),"")</f>
        <v/>
      </c>
      <c r="M35" s="272" t="str">
        <f>IF(AND('Mapa final SI'!$AC$67="Media",'Mapa final SI'!$AE$67="Leve"),CONCATENATE("R10C",'Mapa final SI'!$S$67),"")</f>
        <v/>
      </c>
      <c r="N35" s="272" t="str">
        <f>IF(AND('Mapa final SI'!$AC$68="Media",'Mapa final SI'!$AE$68="Leve"),CONCATENATE("R10C",'Mapa final SI'!$S$68),"")</f>
        <v/>
      </c>
      <c r="O35" s="273" t="str">
        <f>IF(AND('Mapa final SI'!$AC$69="Media",'Mapa final SI'!$AE$69="Leve"),CONCATENATE("R10C",'Mapa final SI'!$S$69),"")</f>
        <v/>
      </c>
      <c r="P35" s="271" t="str">
        <f>IF(AND('Mapa final SI'!$AC$64="Media",'Mapa final SI'!$AE$64="Menor"),CONCATENATE("R10C",'Mapa final SI'!$S$64),"")</f>
        <v/>
      </c>
      <c r="Q35" s="272" t="str">
        <f>IF(AND('Mapa final SI'!$AC$65="Media",'Mapa final SI'!$AE$65="Menor"),CONCATENATE("R10C",'Mapa final SI'!$S$65),"")</f>
        <v/>
      </c>
      <c r="R35" s="272" t="str">
        <f>IF(AND('Mapa final SI'!$AC$66="Media",'Mapa final SI'!$AE$66="Menor"),CONCATENATE("R10C",'Mapa final SI'!$S$66),"")</f>
        <v/>
      </c>
      <c r="S35" s="272" t="str">
        <f>IF(AND('Mapa final SI'!$AC$67="Media",'Mapa final SI'!$AE$67="Menor"),CONCATENATE("R10C",'Mapa final SI'!$S$67),"")</f>
        <v/>
      </c>
      <c r="T35" s="272" t="str">
        <f>IF(AND('Mapa final SI'!$AC$68="Media",'Mapa final SI'!$AE$68="Menor"),CONCATENATE("R10C",'Mapa final SI'!$S$68),"")</f>
        <v/>
      </c>
      <c r="U35" s="273" t="str">
        <f>IF(AND('Mapa final SI'!$AC$69="Media",'Mapa final SI'!$AE$69="Menor"),CONCATENATE("R10C",'Mapa final SI'!$S$69),"")</f>
        <v/>
      </c>
      <c r="V35" s="271" t="str">
        <f>IF(AND('Mapa final SI'!$AC$64="Media",'Mapa final SI'!$AE$64="Moderado"),CONCATENATE("R10C",'Mapa final SI'!$S$64),"")</f>
        <v/>
      </c>
      <c r="W35" s="272" t="str">
        <f>IF(AND('Mapa final SI'!$AC$65="Media",'Mapa final SI'!$AE$65="Moderado"),CONCATENATE("R10C",'Mapa final SI'!$S$65),"")</f>
        <v/>
      </c>
      <c r="X35" s="272" t="str">
        <f>IF(AND('Mapa final SI'!$AC$66="Media",'Mapa final SI'!$AE$66="Moderado"),CONCATENATE("R10C",'Mapa final SI'!$S$66),"")</f>
        <v/>
      </c>
      <c r="Y35" s="272" t="str">
        <f>IF(AND('Mapa final SI'!$AC$67="Media",'Mapa final SI'!$AE$67="Moderado"),CONCATENATE("R10C",'Mapa final SI'!$S$67),"")</f>
        <v/>
      </c>
      <c r="Z35" s="272" t="str">
        <f>IF(AND('Mapa final SI'!$AC$68="Media",'Mapa final SI'!$AE$68="Moderado"),CONCATENATE("R10C",'Mapa final SI'!$S$68),"")</f>
        <v/>
      </c>
      <c r="AA35" s="273" t="str">
        <f>IF(AND('Mapa final SI'!$AC$69="Media",'Mapa final SI'!$AE$69="Moderado"),CONCATENATE("R10C",'Mapa final SI'!$S$69),"")</f>
        <v/>
      </c>
      <c r="AB35" s="262" t="str">
        <f>IF(AND('Mapa final SI'!$AC$64="Media",'Mapa final SI'!$AE$64="Mayor"),CONCATENATE("R10C",'Mapa final SI'!$S$64),"")</f>
        <v/>
      </c>
      <c r="AC35" s="263" t="str">
        <f>IF(AND('Mapa final SI'!$AC$65="Media",'Mapa final SI'!$AE$65="Mayor"),CONCATENATE("R10C",'Mapa final SI'!$S$65),"")</f>
        <v/>
      </c>
      <c r="AD35" s="263" t="str">
        <f>IF(AND('Mapa final SI'!$AC$66="Media",'Mapa final SI'!$AE$66="Mayor"),CONCATENATE("R10C",'Mapa final SI'!$S$66),"")</f>
        <v/>
      </c>
      <c r="AE35" s="263" t="str">
        <f>IF(AND('Mapa final SI'!$AC$67="Media",'Mapa final SI'!$AE$67="Mayor"),CONCATENATE("R10C",'Mapa final SI'!$S$67),"")</f>
        <v/>
      </c>
      <c r="AF35" s="263" t="str">
        <f>IF(AND('Mapa final SI'!$AC$68="Media",'Mapa final SI'!$AE$68="Mayor"),CONCATENATE("R10C",'Mapa final SI'!$S$68),"")</f>
        <v/>
      </c>
      <c r="AG35" s="264" t="str">
        <f>IF(AND('Mapa final SI'!$AC$69="Media",'Mapa final SI'!$AE$69="Mayor"),CONCATENATE("R10C",'Mapa final SI'!$S$69),"")</f>
        <v/>
      </c>
      <c r="AH35" s="265" t="str">
        <f>IF(AND('Mapa final SI'!$AC$64="Media",'Mapa final SI'!$AE$64="Catastrófico"),CONCATENATE("R10C",'Mapa final SI'!$S$64),"")</f>
        <v/>
      </c>
      <c r="AI35" s="266" t="str">
        <f>IF(AND('Mapa final SI'!$AC$65="Media",'Mapa final SI'!$AE$65="Catastrófico"),CONCATENATE("R10C",'Mapa final SI'!$S$65),"")</f>
        <v/>
      </c>
      <c r="AJ35" s="266" t="str">
        <f>IF(AND('Mapa final SI'!$AC$66="Media",'Mapa final SI'!$AE$66="Catastrófico"),CONCATENATE("R10C",'Mapa final SI'!$S$66),"")</f>
        <v/>
      </c>
      <c r="AK35" s="266" t="str">
        <f>IF(AND('Mapa final SI'!$AC$67="Media",'Mapa final SI'!$AE$67="Catastrófico"),CONCATENATE("R10C",'Mapa final SI'!$S$67),"")</f>
        <v/>
      </c>
      <c r="AL35" s="266" t="str">
        <f>IF(AND('Mapa final SI'!$AC$68="Media",'Mapa final SI'!$AE$68="Catastrófico"),CONCATENATE("R10C",'Mapa final SI'!$S$68),"")</f>
        <v/>
      </c>
      <c r="AM35" s="267" t="str">
        <f>IF(AND('Mapa final SI'!$AC$69="Media",'Mapa final SI'!$AE$69="Catastrófico"),CONCATENATE("R10C",'Mapa final SI'!$S$69),"")</f>
        <v/>
      </c>
      <c r="AN35" s="15"/>
      <c r="AO35" s="698"/>
      <c r="AP35" s="699"/>
      <c r="AQ35" s="699"/>
      <c r="AR35" s="699"/>
      <c r="AS35" s="699"/>
      <c r="AT35" s="70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78"/>
      <c r="C36" s="578"/>
      <c r="D36" s="579"/>
      <c r="E36" s="664" t="s">
        <v>1059</v>
      </c>
      <c r="F36" s="665"/>
      <c r="G36" s="665"/>
      <c r="H36" s="665"/>
      <c r="I36" s="665"/>
      <c r="J36" s="277" t="str">
        <f>IF(AND('Mapa final SI'!$AC$10="Baja",'Mapa final SI'!$AE$10="Leve"),CONCATENATE("R1C",'Mapa final SI'!$S$10),"")</f>
        <v/>
      </c>
      <c r="K36" s="278" t="str">
        <f>IF(AND('Mapa final SI'!$AC$11="Baja",'Mapa final SI'!$AE$11="Leve"),CONCATENATE("R1C",'Mapa final SI'!$S$11),"")</f>
        <v/>
      </c>
      <c r="L36" s="278" t="str">
        <f>IF(AND('Mapa final SI'!$AC$12="Baja",'Mapa final SI'!$AE$12="Leve"),CONCATENATE("R1C",'Mapa final SI'!$S$12),"")</f>
        <v/>
      </c>
      <c r="M36" s="278" t="str">
        <f>IF(AND('Mapa final SI'!$AC$13="Baja",'Mapa final SI'!$AE$13="Leve"),CONCATENATE("R1C",'Mapa final SI'!$S$13),"")</f>
        <v/>
      </c>
      <c r="N36" s="278" t="str">
        <f>IF(AND('Mapa final SI'!$AC$14="Baja",'Mapa final SI'!$AE$14="Leve"),CONCATENATE("R1C",'Mapa final SI'!$S$14),"")</f>
        <v/>
      </c>
      <c r="O36" s="279" t="str">
        <f>IF(AND('Mapa final SI'!$AC$15="Baja",'Mapa final SI'!$AE$15="Leve"),CONCATENATE("R1C",'Mapa final SI'!$S$15),"")</f>
        <v/>
      </c>
      <c r="P36" s="268" t="str">
        <f>IF(AND('Mapa final SI'!$AC$10="Baja",'Mapa final SI'!$AE$10="Menor"),CONCATENATE("R1C",'Mapa final SI'!$S$10),"")</f>
        <v/>
      </c>
      <c r="Q36" s="269" t="str">
        <f>IF(AND('Mapa final SI'!$AC$11="Baja",'Mapa final SI'!$AE$11="Menor"),CONCATENATE("R1C",'Mapa final SI'!$S$11),"")</f>
        <v/>
      </c>
      <c r="R36" s="269" t="str">
        <f>IF(AND('Mapa final SI'!$AC$12="Baja",'Mapa final SI'!$AE$12="Menor"),CONCATENATE("R1C",'Mapa final SI'!$S$12),"")</f>
        <v/>
      </c>
      <c r="S36" s="269" t="str">
        <f>IF(AND('Mapa final SI'!$AC$13="Baja",'Mapa final SI'!$AE$13="Menor"),CONCATENATE("R1C",'Mapa final SI'!$S$13),"")</f>
        <v/>
      </c>
      <c r="T36" s="269" t="str">
        <f>IF(AND('Mapa final SI'!$AC$14="Baja",'Mapa final SI'!$AE$14="Menor"),CONCATENATE("R1C",'Mapa final SI'!$S$14),"")</f>
        <v/>
      </c>
      <c r="U36" s="270" t="str">
        <f>IF(AND('Mapa final SI'!$AC$15="Baja",'Mapa final SI'!$AE$15="Menor"),CONCATENATE("R1C",'Mapa final SI'!$S$15),"")</f>
        <v/>
      </c>
      <c r="V36" s="268" t="str">
        <f>IF(AND('Mapa final SI'!$AC$10="Baja",'Mapa final SI'!$AE$10="Moderado"),CONCATENATE("R1C",'Mapa final SI'!$S$10),"")</f>
        <v/>
      </c>
      <c r="W36" s="269" t="str">
        <f>IF(AND('Mapa final SI'!$AC$11="Baja",'Mapa final SI'!$AE$11="Moderado"),CONCATENATE("R1C",'Mapa final SI'!$S$11),"")</f>
        <v/>
      </c>
      <c r="X36" s="269" t="str">
        <f>IF(AND('Mapa final SI'!$AC$12="Baja",'Mapa final SI'!$AE$12="Moderado"),CONCATENATE("R1C",'Mapa final SI'!$S$12),"")</f>
        <v/>
      </c>
      <c r="Y36" s="269" t="str">
        <f>IF(AND('Mapa final SI'!$AC$13="Baja",'Mapa final SI'!$AE$13="Moderado"),CONCATENATE("R1C",'Mapa final SI'!$S$13),"")</f>
        <v/>
      </c>
      <c r="Z36" s="269" t="str">
        <f>IF(AND('Mapa final SI'!$AC$14="Baja",'Mapa final SI'!$AE$14="Moderado"),CONCATENATE("R1C",'Mapa final SI'!$S$14),"")</f>
        <v/>
      </c>
      <c r="AA36" s="270" t="str">
        <f>IF(AND('Mapa final SI'!$AC$15="Baja",'Mapa final SI'!$AE$15="Moderado"),CONCATENATE("R1C",'Mapa final SI'!$S$15),"")</f>
        <v/>
      </c>
      <c r="AB36" s="250" t="str">
        <f>IF(AND('Mapa final SI'!$AC$10="Baja",'Mapa final SI'!$AE$10="Mayor"),CONCATENATE("R1C",'Mapa final SI'!$S$10),"")</f>
        <v/>
      </c>
      <c r="AC36" s="251" t="str">
        <f>IF(AND('Mapa final SI'!$AC$11="Baja",'Mapa final SI'!$AE$11="Mayor"),CONCATENATE("R1C",'Mapa final SI'!$S$11),"")</f>
        <v/>
      </c>
      <c r="AD36" s="251" t="str">
        <f>IF(AND('Mapa final SI'!$AC$12="Baja",'Mapa final SI'!$AE$12="Mayor"),CONCATENATE("R1C",'Mapa final SI'!$S$12),"")</f>
        <v/>
      </c>
      <c r="AE36" s="251" t="str">
        <f>IF(AND('Mapa final SI'!$AC$13="Baja",'Mapa final SI'!$AE$13="Mayor"),CONCATENATE("R1C",'Mapa final SI'!$S$13),"")</f>
        <v/>
      </c>
      <c r="AF36" s="251" t="str">
        <f>IF(AND('Mapa final SI'!$AC$14="Baja",'Mapa final SI'!$AE$14="Mayor"),CONCATENATE("R1C",'Mapa final SI'!$S$14),"")</f>
        <v/>
      </c>
      <c r="AG36" s="252" t="str">
        <f>IF(AND('Mapa final SI'!$AC$15="Baja",'Mapa final SI'!$AE$15="Mayor"),CONCATENATE("R1C",'Mapa final SI'!$S$15),"")</f>
        <v/>
      </c>
      <c r="AH36" s="253" t="str">
        <f>IF(AND('Mapa final SI'!$AC$10="Baja",'Mapa final SI'!$AE$10="Catastrófico"),CONCATENATE("R1C",'Mapa final SI'!$S$10),"")</f>
        <v/>
      </c>
      <c r="AI36" s="254" t="str">
        <f>IF(AND('Mapa final SI'!$AC$11="Baja",'Mapa final SI'!$AE$11="Catastrófico"),CONCATENATE("R1C",'Mapa final SI'!$S$11),"")</f>
        <v/>
      </c>
      <c r="AJ36" s="254" t="str">
        <f>IF(AND('Mapa final SI'!$AC$12="Baja",'Mapa final SI'!$AE$12="Catastrófico"),CONCATENATE("R1C",'Mapa final SI'!$S$12),"")</f>
        <v/>
      </c>
      <c r="AK36" s="254" t="str">
        <f>IF(AND('Mapa final SI'!$AC$13="Baja",'Mapa final SI'!$AE$13="Catastrófico"),CONCATENATE("R1C",'Mapa final SI'!$S$13),"")</f>
        <v/>
      </c>
      <c r="AL36" s="254" t="str">
        <f>IF(AND('Mapa final SI'!$AC$14="Baja",'Mapa final SI'!$AE$14="Catastrófico"),CONCATENATE("R1C",'Mapa final SI'!$S$14),"")</f>
        <v/>
      </c>
      <c r="AM36" s="255" t="str">
        <f>IF(AND('Mapa final SI'!$AC$15="Baja",'Mapa final SI'!$AE$15="Catastrófico"),CONCATENATE("R1C",'Mapa final SI'!$S$15),"")</f>
        <v/>
      </c>
      <c r="AN36" s="15"/>
      <c r="AO36" s="701" t="s">
        <v>1060</v>
      </c>
      <c r="AP36" s="702"/>
      <c r="AQ36" s="702"/>
      <c r="AR36" s="702"/>
      <c r="AS36" s="702"/>
      <c r="AT36" s="70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78"/>
      <c r="C37" s="578"/>
      <c r="D37" s="579"/>
      <c r="E37" s="682"/>
      <c r="F37" s="668"/>
      <c r="G37" s="668"/>
      <c r="H37" s="668"/>
      <c r="I37" s="668"/>
      <c r="J37" s="280" t="str">
        <f>IF(AND('Mapa final SI'!$AC$16="Baja",'Mapa final SI'!$AE$16="Leve"),CONCATENATE("R2C",'Mapa final SI'!$S$16),"")</f>
        <v/>
      </c>
      <c r="K37" s="281" t="str">
        <f>IF(AND('Mapa final SI'!$AC$17="Baja",'Mapa final SI'!$AE$17="Leve"),CONCATENATE("R2C",'Mapa final SI'!$S$17),"")</f>
        <v/>
      </c>
      <c r="L37" s="281" t="str">
        <f>IF(AND('Mapa final SI'!$AC$18="Baja",'Mapa final SI'!$AE$18="Leve"),CONCATENATE("R2C",'Mapa final SI'!$S$18),"")</f>
        <v/>
      </c>
      <c r="M37" s="281" t="str">
        <f>IF(AND('Mapa final SI'!$AC$19="Baja",'Mapa final SI'!$AE$19="Leve"),CONCATENATE("R2C",'Mapa final SI'!$S$19),"")</f>
        <v/>
      </c>
      <c r="N37" s="281" t="str">
        <f>IF(AND('Mapa final SI'!$AC$20="Baja",'Mapa final SI'!$AE$20="Leve"),CONCATENATE("R2C",'Mapa final SI'!$S$20),"")</f>
        <v/>
      </c>
      <c r="O37" s="282" t="str">
        <f>IF(AND('Mapa final SI'!$AC$21="Baja",'Mapa final SI'!$AE$21="Leve"),CONCATENATE("R2C",'Mapa final SI'!$S$21),"")</f>
        <v/>
      </c>
      <c r="P37" s="271" t="str">
        <f>IF(AND('Mapa final SI'!$AC$16="Baja",'Mapa final SI'!$AE$16="Menor"),CONCATENATE("R2C",'Mapa final SI'!$S$16),"")</f>
        <v/>
      </c>
      <c r="Q37" s="272" t="str">
        <f>IF(AND('Mapa final SI'!$AC$17="Baja",'Mapa final SI'!$AE$17="Menor"),CONCATENATE("R2C",'Mapa final SI'!$S$17),"")</f>
        <v/>
      </c>
      <c r="R37" s="272" t="str">
        <f>IF(AND('Mapa final SI'!$AC$18="Baja",'Mapa final SI'!$AE$18="Menor"),CONCATENATE("R2C",'Mapa final SI'!$S$18),"")</f>
        <v/>
      </c>
      <c r="S37" s="272" t="str">
        <f>IF(AND('Mapa final SI'!$AC$19="Baja",'Mapa final SI'!$AE$19="Menor"),CONCATENATE("R2C",'Mapa final SI'!$S$19),"")</f>
        <v/>
      </c>
      <c r="T37" s="272" t="str">
        <f>IF(AND('Mapa final SI'!$AC$20="Baja",'Mapa final SI'!$AE$20="Menor"),CONCATENATE("R2C",'Mapa final SI'!$S$20),"")</f>
        <v/>
      </c>
      <c r="U37" s="273" t="str">
        <f>IF(AND('Mapa final SI'!$AC$21="Baja",'Mapa final SI'!$AE$21="Menor"),CONCATENATE("R2C",'Mapa final SI'!$S$21),"")</f>
        <v/>
      </c>
      <c r="V37" s="271" t="str">
        <f>IF(AND('Mapa final SI'!$AC$16="Baja",'Mapa final SI'!$AE$16="Moderado"),CONCATENATE("R2C",'Mapa final SI'!$S$16),"")</f>
        <v/>
      </c>
      <c r="W37" s="272" t="str">
        <f>IF(AND('Mapa final SI'!$AC$17="Baja",'Mapa final SI'!$AE$17="Moderado"),CONCATENATE("R2C",'Mapa final SI'!$S$17),"")</f>
        <v/>
      </c>
      <c r="X37" s="272" t="str">
        <f>IF(AND('Mapa final SI'!$AC$18="Baja",'Mapa final SI'!$AE$18="Moderado"),CONCATENATE("R2C",'Mapa final SI'!$S$18),"")</f>
        <v/>
      </c>
      <c r="Y37" s="272" t="str">
        <f>IF(AND('Mapa final SI'!$AC$19="Baja",'Mapa final SI'!$AE$19="Moderado"),CONCATENATE("R2C",'Mapa final SI'!$S$19),"")</f>
        <v/>
      </c>
      <c r="Z37" s="272" t="str">
        <f>IF(AND('Mapa final SI'!$AC$20="Baja",'Mapa final SI'!$AE$20="Moderado"),CONCATENATE("R2C",'Mapa final SI'!$S$20),"")</f>
        <v/>
      </c>
      <c r="AA37" s="273" t="str">
        <f>IF(AND('Mapa final SI'!$AC$21="Baja",'Mapa final SI'!$AE$21="Moderado"),CONCATENATE("R2C",'Mapa final SI'!$S$21),"")</f>
        <v/>
      </c>
      <c r="AB37" s="256" t="str">
        <f>IF(AND('Mapa final SI'!$AC$16="Baja",'Mapa final SI'!$AE$16="Mayor"),CONCATENATE("R2C",'Mapa final SI'!$S$16),"")</f>
        <v/>
      </c>
      <c r="AC37" s="257" t="str">
        <f>IF(AND('Mapa final SI'!$AC$17="Baja",'Mapa final SI'!$AE$17="Mayor"),CONCATENATE("R2C",'Mapa final SI'!$S$17),"")</f>
        <v/>
      </c>
      <c r="AD37" s="257" t="str">
        <f>IF(AND('Mapa final SI'!$AC$18="Baja",'Mapa final SI'!$AE$18="Mayor"),CONCATENATE("R2C",'Mapa final SI'!$S$18),"")</f>
        <v/>
      </c>
      <c r="AE37" s="257" t="str">
        <f>IF(AND('Mapa final SI'!$AC$19="Baja",'Mapa final SI'!$AE$19="Mayor"),CONCATENATE("R2C",'Mapa final SI'!$S$19),"")</f>
        <v/>
      </c>
      <c r="AF37" s="257" t="str">
        <f>IF(AND('Mapa final SI'!$AC$20="Baja",'Mapa final SI'!$AE$20="Mayor"),CONCATENATE("R2C",'Mapa final SI'!$S$20),"")</f>
        <v/>
      </c>
      <c r="AG37" s="258" t="str">
        <f>IF(AND('Mapa final SI'!$AC$21="Baja",'Mapa final SI'!$AE$21="Mayor"),CONCATENATE("R2C",'Mapa final SI'!$S$21),"")</f>
        <v/>
      </c>
      <c r="AH37" s="259" t="str">
        <f>IF(AND('Mapa final SI'!$AC$16="Baja",'Mapa final SI'!$AE$16="Catastrófico"),CONCATENATE("R2C",'Mapa final SI'!$S$16),"")</f>
        <v/>
      </c>
      <c r="AI37" s="260" t="str">
        <f>IF(AND('Mapa final SI'!$AC$17="Baja",'Mapa final SI'!$AE$17="Catastrófico"),CONCATENATE("R2C",'Mapa final SI'!$S$17),"")</f>
        <v/>
      </c>
      <c r="AJ37" s="260" t="str">
        <f>IF(AND('Mapa final SI'!$AC$18="Baja",'Mapa final SI'!$AE$18="Catastrófico"),CONCATENATE("R2C",'Mapa final SI'!$S$18),"")</f>
        <v/>
      </c>
      <c r="AK37" s="260" t="str">
        <f>IF(AND('Mapa final SI'!$AC$19="Baja",'Mapa final SI'!$AE$19="Catastrófico"),CONCATENATE("R2C",'Mapa final SI'!$S$19),"")</f>
        <v/>
      </c>
      <c r="AL37" s="260" t="str">
        <f>IF(AND('Mapa final SI'!$AC$20="Baja",'Mapa final SI'!$AE$20="Catastrófico"),CONCATENATE("R2C",'Mapa final SI'!$S$20),"")</f>
        <v/>
      </c>
      <c r="AM37" s="261" t="str">
        <f>IF(AND('Mapa final SI'!$AC$21="Baja",'Mapa final SI'!$AE$21="Catastrófico"),CONCATENATE("R2C",'Mapa final SI'!$S$21),"")</f>
        <v/>
      </c>
      <c r="AN37" s="15"/>
      <c r="AO37" s="704"/>
      <c r="AP37" s="705"/>
      <c r="AQ37" s="705"/>
      <c r="AR37" s="705"/>
      <c r="AS37" s="705"/>
      <c r="AT37" s="70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78"/>
      <c r="C38" s="578"/>
      <c r="D38" s="579"/>
      <c r="E38" s="667"/>
      <c r="F38" s="668"/>
      <c r="G38" s="668"/>
      <c r="H38" s="668"/>
      <c r="I38" s="668"/>
      <c r="J38" s="280" t="str">
        <f>IF(AND('Mapa final SI'!$AC$22="Baja",'Mapa final SI'!$AE$22="Leve"),CONCATENATE("R3C",'Mapa final SI'!$S$22),"")</f>
        <v/>
      </c>
      <c r="K38" s="281" t="str">
        <f>IF(AND('Mapa final SI'!$AC$23="Baja",'Mapa final SI'!$AE$23="Leve"),CONCATENATE("R3C",'Mapa final SI'!$S$23),"")</f>
        <v/>
      </c>
      <c r="L38" s="281" t="str">
        <f>IF(AND('Mapa final SI'!$AC$24="Baja",'Mapa final SI'!$AE$24="Leve"),CONCATENATE("R3C",'Mapa final SI'!$S$24),"")</f>
        <v/>
      </c>
      <c r="M38" s="281" t="str">
        <f>IF(AND('Mapa final SI'!$AC$25="Baja",'Mapa final SI'!$AE$25="Leve"),CONCATENATE("R3C",'Mapa final SI'!$S$25),"")</f>
        <v/>
      </c>
      <c r="N38" s="281" t="str">
        <f>IF(AND('Mapa final SI'!$AC$26="Baja",'Mapa final SI'!$AE$26="Leve"),CONCATENATE("R3C",'Mapa final SI'!$S$26),"")</f>
        <v/>
      </c>
      <c r="O38" s="282" t="str">
        <f>IF(AND('Mapa final SI'!$AC$27="Baja",'Mapa final SI'!$AE$27="Leve"),CONCATENATE("R3C",'Mapa final SI'!$S$27),"")</f>
        <v/>
      </c>
      <c r="P38" s="271" t="str">
        <f>IF(AND('Mapa final SI'!$AC$22="Baja",'Mapa final SI'!$AE$22="Menor"),CONCATENATE("R3C",'Mapa final SI'!$S$22),"")</f>
        <v/>
      </c>
      <c r="Q38" s="272" t="str">
        <f>IF(AND('Mapa final SI'!$AC$23="Baja",'Mapa final SI'!$AE$23="Menor"),CONCATENATE("R3C",'Mapa final SI'!$S$23),"")</f>
        <v/>
      </c>
      <c r="R38" s="272" t="str">
        <f>IF(AND('Mapa final SI'!$AC$24="Baja",'Mapa final SI'!$AE$24="Menor"),CONCATENATE("R3C",'Mapa final SI'!$S$24),"")</f>
        <v/>
      </c>
      <c r="S38" s="272" t="str">
        <f>IF(AND('Mapa final SI'!$AC$25="Baja",'Mapa final SI'!$AE$25="Menor"),CONCATENATE("R3C",'Mapa final SI'!$S$25),"")</f>
        <v/>
      </c>
      <c r="T38" s="272" t="str">
        <f>IF(AND('Mapa final SI'!$AC$26="Baja",'Mapa final SI'!$AE$26="Menor"),CONCATENATE("R3C",'Mapa final SI'!$S$26),"")</f>
        <v/>
      </c>
      <c r="U38" s="273" t="str">
        <f>IF(AND('Mapa final SI'!$AC$27="Baja",'Mapa final SI'!$AE$27="Menor"),CONCATENATE("R3C",'Mapa final SI'!$S$27),"")</f>
        <v/>
      </c>
      <c r="V38" s="271" t="str">
        <f>IF(AND('Mapa final SI'!$AC$22="Baja",'Mapa final SI'!$AE$22="Moderado"),CONCATENATE("R3C",'Mapa final SI'!$S$22),"")</f>
        <v/>
      </c>
      <c r="W38" s="272" t="str">
        <f>IF(AND('Mapa final SI'!$AC$23="Baja",'Mapa final SI'!$AE$23="Moderado"),CONCATENATE("R3C",'Mapa final SI'!$S$23),"")</f>
        <v/>
      </c>
      <c r="X38" s="272" t="str">
        <f>IF(AND('Mapa final SI'!$AC$24="Baja",'Mapa final SI'!$AE$24="Moderado"),CONCATENATE("R3C",'Mapa final SI'!$S$24),"")</f>
        <v/>
      </c>
      <c r="Y38" s="272" t="str">
        <f>IF(AND('Mapa final SI'!$AC$25="Baja",'Mapa final SI'!$AE$25="Moderado"),CONCATENATE("R3C",'Mapa final SI'!$S$25),"")</f>
        <v/>
      </c>
      <c r="Z38" s="272" t="str">
        <f>IF(AND('Mapa final SI'!$AC$26="Baja",'Mapa final SI'!$AE$26="Moderado"),CONCATENATE("R3C",'Mapa final SI'!$S$26),"")</f>
        <v/>
      </c>
      <c r="AA38" s="273" t="str">
        <f>IF(AND('Mapa final SI'!$AC$27="Baja",'Mapa final SI'!$AE$27="Moderado"),CONCATENATE("R3C",'Mapa final SI'!$S$27),"")</f>
        <v/>
      </c>
      <c r="AB38" s="256" t="str">
        <f>IF(AND('Mapa final SI'!$AC$22="Baja",'Mapa final SI'!$AE$22="Mayor"),CONCATENATE("R3C",'Mapa final SI'!$S$22),"")</f>
        <v/>
      </c>
      <c r="AC38" s="257" t="str">
        <f>IF(AND('Mapa final SI'!$AC$23="Baja",'Mapa final SI'!$AE$23="Mayor"),CONCATENATE("R3C",'Mapa final SI'!$S$23),"")</f>
        <v/>
      </c>
      <c r="AD38" s="257" t="str">
        <f>IF(AND('Mapa final SI'!$AC$24="Baja",'Mapa final SI'!$AE$24="Mayor"),CONCATENATE("R3C",'Mapa final SI'!$S$24),"")</f>
        <v/>
      </c>
      <c r="AE38" s="257" t="str">
        <f>IF(AND('Mapa final SI'!$AC$25="Baja",'Mapa final SI'!$AE$25="Mayor"),CONCATENATE("R3C",'Mapa final SI'!$S$25),"")</f>
        <v/>
      </c>
      <c r="AF38" s="257" t="str">
        <f>IF(AND('Mapa final SI'!$AC$26="Baja",'Mapa final SI'!$AE$26="Mayor"),CONCATENATE("R3C",'Mapa final SI'!$S$26),"")</f>
        <v/>
      </c>
      <c r="AG38" s="258" t="str">
        <f>IF(AND('Mapa final SI'!$AC$27="Baja",'Mapa final SI'!$AE$27="Mayor"),CONCATENATE("R3C",'Mapa final SI'!$S$27),"")</f>
        <v/>
      </c>
      <c r="AH38" s="259" t="str">
        <f>IF(AND('Mapa final SI'!$AC$22="Baja",'Mapa final SI'!$AE$22="Catastrófico"),CONCATENATE("R3C",'Mapa final SI'!$S$22),"")</f>
        <v/>
      </c>
      <c r="AI38" s="260" t="str">
        <f>IF(AND('Mapa final SI'!$AC$23="Baja",'Mapa final SI'!$AE$23="Catastrófico"),CONCATENATE("R3C",'Mapa final SI'!$S$23),"")</f>
        <v/>
      </c>
      <c r="AJ38" s="260" t="str">
        <f>IF(AND('Mapa final SI'!$AC$24="Baja",'Mapa final SI'!$AE$24="Catastrófico"),CONCATENATE("R3C",'Mapa final SI'!$S$24),"")</f>
        <v/>
      </c>
      <c r="AK38" s="260" t="str">
        <f>IF(AND('Mapa final SI'!$AC$25="Baja",'Mapa final SI'!$AE$25="Catastrófico"),CONCATENATE("R3C",'Mapa final SI'!$S$25),"")</f>
        <v/>
      </c>
      <c r="AL38" s="260" t="str">
        <f>IF(AND('Mapa final SI'!$AC$26="Baja",'Mapa final SI'!$AE$26="Catastrófico"),CONCATENATE("R3C",'Mapa final SI'!$S$26),"")</f>
        <v/>
      </c>
      <c r="AM38" s="261" t="str">
        <f>IF(AND('Mapa final SI'!$AC$27="Baja",'Mapa final SI'!$AE$27="Catastrófico"),CONCATENATE("R3C",'Mapa final SI'!$S$27),"")</f>
        <v/>
      </c>
      <c r="AN38" s="15"/>
      <c r="AO38" s="704"/>
      <c r="AP38" s="705"/>
      <c r="AQ38" s="705"/>
      <c r="AR38" s="705"/>
      <c r="AS38" s="705"/>
      <c r="AT38" s="70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78"/>
      <c r="C39" s="578"/>
      <c r="D39" s="579"/>
      <c r="E39" s="667"/>
      <c r="F39" s="668"/>
      <c r="G39" s="668"/>
      <c r="H39" s="668"/>
      <c r="I39" s="668"/>
      <c r="J39" s="280" t="str">
        <f>IF(AND('Mapa final SI'!$AC$28="Baja",'Mapa final SI'!$AE$28="Leve"),CONCATENATE("R4C",'Mapa final SI'!$S$28),"")</f>
        <v/>
      </c>
      <c r="K39" s="281" t="str">
        <f>IF(AND('Mapa final SI'!$AC$29="Baja",'Mapa final SI'!$AE$29="Leve"),CONCATENATE("R4C",'Mapa final SI'!$S$29),"")</f>
        <v/>
      </c>
      <c r="L39" s="281" t="str">
        <f>IF(AND('Mapa final SI'!$AC$30="Baja",'Mapa final SI'!$AE$30="Leve"),CONCATENATE("R4C",'Mapa final SI'!$S$30),"")</f>
        <v/>
      </c>
      <c r="M39" s="281" t="str">
        <f>IF(AND('Mapa final SI'!$AC$31="Baja",'Mapa final SI'!$AE$31="Leve"),CONCATENATE("R4C",'Mapa final SI'!$S$31),"")</f>
        <v/>
      </c>
      <c r="N39" s="281" t="str">
        <f>IF(AND('Mapa final SI'!$AC$32="Baja",'Mapa final SI'!$AE$32="Leve"),CONCATENATE("R4C",'Mapa final SI'!$S$32),"")</f>
        <v/>
      </c>
      <c r="O39" s="282" t="str">
        <f>IF(AND('Mapa final SI'!$AC$33="Baja",'Mapa final SI'!$AE$33="Leve"),CONCATENATE("R4C",'Mapa final SI'!$S$33),"")</f>
        <v/>
      </c>
      <c r="P39" s="271" t="str">
        <f>IF(AND('Mapa final SI'!$AC$28="Baja",'Mapa final SI'!$AE$28="Menor"),CONCATENATE("R4C",'Mapa final SI'!$S$28),"")</f>
        <v/>
      </c>
      <c r="Q39" s="272" t="str">
        <f>IF(AND('Mapa final SI'!$AC$29="Baja",'Mapa final SI'!$AE$29="Menor"),CONCATENATE("R4C",'Mapa final SI'!$S$29),"")</f>
        <v/>
      </c>
      <c r="R39" s="272" t="str">
        <f>IF(AND('Mapa final SI'!$AC$30="Baja",'Mapa final SI'!$AE$30="Menor"),CONCATENATE("R4C",'Mapa final SI'!$S$30),"")</f>
        <v/>
      </c>
      <c r="S39" s="272" t="str">
        <f>IF(AND('Mapa final SI'!$AC$31="Baja",'Mapa final SI'!$AE$31="Menor"),CONCATENATE("R4C",'Mapa final SI'!$S$31),"")</f>
        <v/>
      </c>
      <c r="T39" s="272" t="str">
        <f>IF(AND('Mapa final SI'!$AC$32="Baja",'Mapa final SI'!$AE$32="Menor"),CONCATENATE("R4C",'Mapa final SI'!$S$32),"")</f>
        <v/>
      </c>
      <c r="U39" s="273" t="str">
        <f>IF(AND('Mapa final SI'!$AC$33="Baja",'Mapa final SI'!$AE$33="Menor"),CONCATENATE("R4C",'Mapa final SI'!$S$33),"")</f>
        <v/>
      </c>
      <c r="V39" s="271" t="str">
        <f>IF(AND('Mapa final SI'!$AC$28="Baja",'Mapa final SI'!$AE$28="Moderado"),CONCATENATE("R4C",'Mapa final SI'!$S$28),"")</f>
        <v/>
      </c>
      <c r="W39" s="272" t="str">
        <f>IF(AND('Mapa final SI'!$AC$29="Baja",'Mapa final SI'!$AE$29="Moderado"),CONCATENATE("R4C",'Mapa final SI'!$S$29),"")</f>
        <v/>
      </c>
      <c r="X39" s="272" t="str">
        <f>IF(AND('Mapa final SI'!$AC$30="Baja",'Mapa final SI'!$AE$30="Moderado"),CONCATENATE("R4C",'Mapa final SI'!$S$30),"")</f>
        <v/>
      </c>
      <c r="Y39" s="272" t="str">
        <f>IF(AND('Mapa final SI'!$AC$31="Baja",'Mapa final SI'!$AE$31="Moderado"),CONCATENATE("R4C",'Mapa final SI'!$S$31),"")</f>
        <v/>
      </c>
      <c r="Z39" s="272" t="str">
        <f>IF(AND('Mapa final SI'!$AC$32="Baja",'Mapa final SI'!$AE$32="Moderado"),CONCATENATE("R4C",'Mapa final SI'!$S$32),"")</f>
        <v/>
      </c>
      <c r="AA39" s="273" t="str">
        <f>IF(AND('Mapa final SI'!$AC$33="Baja",'Mapa final SI'!$AE$33="Moderado"),CONCATENATE("R4C",'Mapa final SI'!$S$33),"")</f>
        <v/>
      </c>
      <c r="AB39" s="256" t="str">
        <f>IF(AND('Mapa final SI'!$AC$28="Baja",'Mapa final SI'!$AE$28="Mayor"),CONCATENATE("R4C",'Mapa final SI'!$S$28),"")</f>
        <v/>
      </c>
      <c r="AC39" s="257" t="str">
        <f>IF(AND('Mapa final SI'!$AC$29="Baja",'Mapa final SI'!$AE$29="Mayor"),CONCATENATE("R4C",'Mapa final SI'!$S$29),"")</f>
        <v/>
      </c>
      <c r="AD39" s="257" t="str">
        <f>IF(AND('Mapa final SI'!$AC$30="Baja",'Mapa final SI'!$AE$30="Mayor"),CONCATENATE("R4C",'Mapa final SI'!$S$30),"")</f>
        <v/>
      </c>
      <c r="AE39" s="257" t="str">
        <f>IF(AND('Mapa final SI'!$AC$31="Baja",'Mapa final SI'!$AE$31="Mayor"),CONCATENATE("R4C",'Mapa final SI'!$S$31),"")</f>
        <v/>
      </c>
      <c r="AF39" s="257" t="str">
        <f>IF(AND('Mapa final SI'!$AC$32="Baja",'Mapa final SI'!$AE$32="Mayor"),CONCATENATE("R4C",'Mapa final SI'!$S$32),"")</f>
        <v/>
      </c>
      <c r="AG39" s="258" t="str">
        <f>IF(AND('Mapa final SI'!$AC$33="Baja",'Mapa final SI'!$AE$33="Mayor"),CONCATENATE("R4C",'Mapa final SI'!$S$33),"")</f>
        <v/>
      </c>
      <c r="AH39" s="259" t="str">
        <f>IF(AND('Mapa final SI'!$AC$28="Baja",'Mapa final SI'!$AE$28="Catastrófico"),CONCATENATE("R4C",'Mapa final SI'!$S$28),"")</f>
        <v/>
      </c>
      <c r="AI39" s="260" t="str">
        <f>IF(AND('Mapa final SI'!$AC$29="Baja",'Mapa final SI'!$AE$29="Catastrófico"),CONCATENATE("R4C",'Mapa final SI'!$S$29),"")</f>
        <v/>
      </c>
      <c r="AJ39" s="260" t="str">
        <f>IF(AND('Mapa final SI'!$AC$30="Baja",'Mapa final SI'!$AE$30="Catastrófico"),CONCATENATE("R4C",'Mapa final SI'!$S$30),"")</f>
        <v/>
      </c>
      <c r="AK39" s="260" t="str">
        <f>IF(AND('Mapa final SI'!$AC$31="Baja",'Mapa final SI'!$AE$31="Catastrófico"),CONCATENATE("R4C",'Mapa final SI'!$S$31),"")</f>
        <v/>
      </c>
      <c r="AL39" s="260" t="str">
        <f>IF(AND('Mapa final SI'!$AC$32="Baja",'Mapa final SI'!$AE$32="Catastrófico"),CONCATENATE("R4C",'Mapa final SI'!$S$32),"")</f>
        <v/>
      </c>
      <c r="AM39" s="261" t="str">
        <f>IF(AND('Mapa final SI'!$AC$33="Baja",'Mapa final SI'!$AE$33="Catastrófico"),CONCATENATE("R4C",'Mapa final SI'!$S$33),"")</f>
        <v/>
      </c>
      <c r="AN39" s="15"/>
      <c r="AO39" s="704"/>
      <c r="AP39" s="705"/>
      <c r="AQ39" s="705"/>
      <c r="AR39" s="705"/>
      <c r="AS39" s="705"/>
      <c r="AT39" s="70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78"/>
      <c r="C40" s="578"/>
      <c r="D40" s="579"/>
      <c r="E40" s="667"/>
      <c r="F40" s="668"/>
      <c r="G40" s="668"/>
      <c r="H40" s="668"/>
      <c r="I40" s="668"/>
      <c r="J40" s="280" t="str">
        <f>IF(AND('Mapa final SI'!$AC$34="Baja",'Mapa final SI'!$AE$34="Leve"),CONCATENATE("R5C",'Mapa final SI'!$S$34),"")</f>
        <v/>
      </c>
      <c r="K40" s="281" t="str">
        <f>IF(AND('Mapa final SI'!$AC$35="Baja",'Mapa final SI'!$AE$35="Leve"),CONCATENATE("R5C",'Mapa final SI'!$S$35),"")</f>
        <v/>
      </c>
      <c r="L40" s="281" t="str">
        <f>IF(AND('Mapa final SI'!$AC$36="Baja",'Mapa final SI'!$AE$36="Leve"),CONCATENATE("R5C",'Mapa final SI'!$S$36),"")</f>
        <v/>
      </c>
      <c r="M40" s="281" t="str">
        <f>IF(AND('Mapa final SI'!$AC$37="Baja",'Mapa final SI'!$AE$37="Leve"),CONCATENATE("R5C",'Mapa final SI'!$S$37),"")</f>
        <v/>
      </c>
      <c r="N40" s="281" t="str">
        <f>IF(AND('Mapa final SI'!$AC$38="Baja",'Mapa final SI'!$AE$38="Leve"),CONCATENATE("R5C",'Mapa final SI'!$S$38),"")</f>
        <v/>
      </c>
      <c r="O40" s="282" t="str">
        <f>IF(AND('Mapa final SI'!$AC$39="Baja",'Mapa final SI'!$AE$39="Leve"),CONCATENATE("R5C",'Mapa final SI'!$S$39),"")</f>
        <v/>
      </c>
      <c r="P40" s="271" t="str">
        <f>IF(AND('Mapa final SI'!$AC$34="Baja",'Mapa final SI'!$AE$34="Menor"),CONCATENATE("R5C",'Mapa final SI'!$S$34),"")</f>
        <v/>
      </c>
      <c r="Q40" s="272" t="str">
        <f>IF(AND('Mapa final SI'!$AC$35="Baja",'Mapa final SI'!$AE$35="Menor"),CONCATENATE("R5C",'Mapa final SI'!$S$35),"")</f>
        <v/>
      </c>
      <c r="R40" s="272" t="str">
        <f>IF(AND('Mapa final SI'!$AC$36="Baja",'Mapa final SI'!$AE$36="Menor"),CONCATENATE("R5C",'Mapa final SI'!$S$36),"")</f>
        <v/>
      </c>
      <c r="S40" s="272" t="str">
        <f>IF(AND('Mapa final SI'!$AC$37="Baja",'Mapa final SI'!$AE$37="Menor"),CONCATENATE("R5C",'Mapa final SI'!$S$37),"")</f>
        <v/>
      </c>
      <c r="T40" s="272" t="str">
        <f>IF(AND('Mapa final SI'!$AC$38="Baja",'Mapa final SI'!$AE$38="Menor"),CONCATENATE("R5C",'Mapa final SI'!$S$38),"")</f>
        <v/>
      </c>
      <c r="U40" s="273" t="str">
        <f>IF(AND('Mapa final SI'!$AC$39="Baja",'Mapa final SI'!$AE$39="Menor"),CONCATENATE("R5C",'Mapa final SI'!$S$39),"")</f>
        <v/>
      </c>
      <c r="V40" s="271" t="str">
        <f>IF(AND('Mapa final SI'!$AC$34="Baja",'Mapa final SI'!$AE$34="Moderado"),CONCATENATE("R5C",'Mapa final SI'!$S$34),"")</f>
        <v/>
      </c>
      <c r="W40" s="272" t="str">
        <f>IF(AND('Mapa final SI'!$AC$35="Baja",'Mapa final SI'!$AE$35="Moderado"),CONCATENATE("R5C",'Mapa final SI'!$S$35),"")</f>
        <v/>
      </c>
      <c r="X40" s="272" t="str">
        <f>IF(AND('Mapa final SI'!$AC$36="Baja",'Mapa final SI'!$AE$36="Moderado"),CONCATENATE("R5C",'Mapa final SI'!$S$36),"")</f>
        <v/>
      </c>
      <c r="Y40" s="272" t="str">
        <f>IF(AND('Mapa final SI'!$AC$37="Baja",'Mapa final SI'!$AE$37="Moderado"),CONCATENATE("R5C",'Mapa final SI'!$S$37),"")</f>
        <v/>
      </c>
      <c r="Z40" s="272" t="str">
        <f>IF(AND('Mapa final SI'!$AC$38="Baja",'Mapa final SI'!$AE$38="Moderado"),CONCATENATE("R5C",'Mapa final SI'!$S$38),"")</f>
        <v/>
      </c>
      <c r="AA40" s="273" t="str">
        <f>IF(AND('Mapa final SI'!$AC$39="Baja",'Mapa final SI'!$AE$39="Moderado"),CONCATENATE("R5C",'Mapa final SI'!$S$39),"")</f>
        <v/>
      </c>
      <c r="AB40" s="256" t="str">
        <f>IF(AND('Mapa final SI'!$AC$34="Baja",'Mapa final SI'!$AE$34="Mayor"),CONCATENATE("R5C",'Mapa final SI'!$S$34),"")</f>
        <v/>
      </c>
      <c r="AC40" s="257" t="str">
        <f>IF(AND('Mapa final SI'!$AC$35="Baja",'Mapa final SI'!$AE$35="Mayor"),CONCATENATE("R5C",'Mapa final SI'!$S$35),"")</f>
        <v/>
      </c>
      <c r="AD40" s="257" t="str">
        <f>IF(AND('Mapa final SI'!$AC$36="Baja",'Mapa final SI'!$AE$36="Mayor"),CONCATENATE("R5C",'Mapa final SI'!$S$36),"")</f>
        <v/>
      </c>
      <c r="AE40" s="257" t="str">
        <f>IF(AND('Mapa final SI'!$AC$37="Baja",'Mapa final SI'!$AE$37="Mayor"),CONCATENATE("R5C",'Mapa final SI'!$S$37),"")</f>
        <v/>
      </c>
      <c r="AF40" s="257" t="str">
        <f>IF(AND('Mapa final SI'!$AC$38="Baja",'Mapa final SI'!$AE$38="Mayor"),CONCATENATE("R5C",'Mapa final SI'!$S$38),"")</f>
        <v/>
      </c>
      <c r="AG40" s="258" t="str">
        <f>IF(AND('Mapa final SI'!$AC$39="Baja",'Mapa final SI'!$AE$39="Mayor"),CONCATENATE("R5C",'Mapa final SI'!$S$39),"")</f>
        <v/>
      </c>
      <c r="AH40" s="259" t="str">
        <f>IF(AND('Mapa final SI'!$AC$34="Baja",'Mapa final SI'!$AE$34="Catastrófico"),CONCATENATE("R5C",'Mapa final SI'!$S$34),"")</f>
        <v/>
      </c>
      <c r="AI40" s="260" t="str">
        <f>IF(AND('Mapa final SI'!$AC$35="Baja",'Mapa final SI'!$AE$35="Catastrófico"),CONCATENATE("R5C",'Mapa final SI'!$S$35),"")</f>
        <v/>
      </c>
      <c r="AJ40" s="260" t="str">
        <f>IF(AND('Mapa final SI'!$AC$36="Baja",'Mapa final SI'!$AE$36="Catastrófico"),CONCATENATE("R5C",'Mapa final SI'!$S$36),"")</f>
        <v/>
      </c>
      <c r="AK40" s="260" t="str">
        <f>IF(AND('Mapa final SI'!$AC$37="Baja",'Mapa final SI'!$AE$37="Catastrófico"),CONCATENATE("R5C",'Mapa final SI'!$S$37),"")</f>
        <v/>
      </c>
      <c r="AL40" s="260" t="str">
        <f>IF(AND('Mapa final SI'!$AC$38="Baja",'Mapa final SI'!$AE$38="Catastrófico"),CONCATENATE("R5C",'Mapa final SI'!$S$38),"")</f>
        <v/>
      </c>
      <c r="AM40" s="261" t="str">
        <f>IF(AND('Mapa final SI'!$AC$39="Baja",'Mapa final SI'!$AE$39="Catastrófico"),CONCATENATE("R5C",'Mapa final SI'!$S$39),"")</f>
        <v/>
      </c>
      <c r="AN40" s="15"/>
      <c r="AO40" s="704"/>
      <c r="AP40" s="705"/>
      <c r="AQ40" s="705"/>
      <c r="AR40" s="705"/>
      <c r="AS40" s="705"/>
      <c r="AT40" s="70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78"/>
      <c r="C41" s="578"/>
      <c r="D41" s="579"/>
      <c r="E41" s="667"/>
      <c r="F41" s="668"/>
      <c r="G41" s="668"/>
      <c r="H41" s="668"/>
      <c r="I41" s="668"/>
      <c r="J41" s="280" t="str">
        <f>IF(AND('Mapa final SI'!$AC$40="Baja",'Mapa final SI'!$AE$40="Leve"),CONCATENATE("R6C",'Mapa final SI'!$S$40),"")</f>
        <v/>
      </c>
      <c r="K41" s="281" t="str">
        <f>IF(AND('Mapa final SI'!$AC$41="Baja",'Mapa final SI'!$AE$41="Leve"),CONCATENATE("R6C",'Mapa final SI'!$S$41),"")</f>
        <v/>
      </c>
      <c r="L41" s="281" t="str">
        <f>IF(AND('Mapa final SI'!$AC$42="Baja",'Mapa final SI'!$AE$42="Leve"),CONCATENATE("R6C",'Mapa final SI'!$S$42),"")</f>
        <v/>
      </c>
      <c r="M41" s="281" t="str">
        <f>IF(AND('Mapa final SI'!$AC$43="Baja",'Mapa final SI'!$AE$43="Leve"),CONCATENATE("R6C",'Mapa final SI'!$S$43),"")</f>
        <v/>
      </c>
      <c r="N41" s="281" t="str">
        <f>IF(AND('Mapa final SI'!$AC$44="Baja",'Mapa final SI'!$AE$44="Leve"),CONCATENATE("R6C",'Mapa final SI'!$S$44),"")</f>
        <v/>
      </c>
      <c r="O41" s="282" t="str">
        <f>IF(AND('Mapa final SI'!$AC$45="Baja",'Mapa final SI'!$AE$45="Leve"),CONCATENATE("R6C",'Mapa final SI'!$S$45),"")</f>
        <v/>
      </c>
      <c r="P41" s="271" t="str">
        <f>IF(AND('Mapa final SI'!$AC$40="Baja",'Mapa final SI'!$AE$40="Menor"),CONCATENATE("R6C",'Mapa final SI'!$S$40),"")</f>
        <v/>
      </c>
      <c r="Q41" s="272" t="str">
        <f>IF(AND('Mapa final SI'!$AC$41="Baja",'Mapa final SI'!$AE$41="Menor"),CONCATENATE("R6C",'Mapa final SI'!$S$41),"")</f>
        <v/>
      </c>
      <c r="R41" s="272" t="str">
        <f>IF(AND('Mapa final SI'!$AC$42="Baja",'Mapa final SI'!$AE$42="Menor"),CONCATENATE("R6C",'Mapa final SI'!$S$42),"")</f>
        <v/>
      </c>
      <c r="S41" s="272" t="str">
        <f>IF(AND('Mapa final SI'!$AC$43="Baja",'Mapa final SI'!$AE$43="Menor"),CONCATENATE("R6C",'Mapa final SI'!$S$43),"")</f>
        <v/>
      </c>
      <c r="T41" s="272" t="str">
        <f>IF(AND('Mapa final SI'!$AC$44="Baja",'Mapa final SI'!$AE$44="Menor"),CONCATENATE("R6C",'Mapa final SI'!$S$44),"")</f>
        <v/>
      </c>
      <c r="U41" s="273" t="str">
        <f>IF(AND('Mapa final SI'!$AC$45="Baja",'Mapa final SI'!$AE$45="Menor"),CONCATENATE("R6C",'Mapa final SI'!$S$45),"")</f>
        <v/>
      </c>
      <c r="V41" s="271" t="str">
        <f>IF(AND('Mapa final SI'!$AC$40="Baja",'Mapa final SI'!$AE$40="Moderado"),CONCATENATE("R6C",'Mapa final SI'!$S$40),"")</f>
        <v/>
      </c>
      <c r="W41" s="272" t="str">
        <f>IF(AND('Mapa final SI'!$AC$41="Baja",'Mapa final SI'!$AE$41="Moderado"),CONCATENATE("R6C",'Mapa final SI'!$S$41),"")</f>
        <v/>
      </c>
      <c r="X41" s="272" t="str">
        <f>IF(AND('Mapa final SI'!$AC$42="Baja",'Mapa final SI'!$AE$42="Moderado"),CONCATENATE("R6C",'Mapa final SI'!$S$42),"")</f>
        <v/>
      </c>
      <c r="Y41" s="272" t="str">
        <f>IF(AND('Mapa final SI'!$AC$43="Baja",'Mapa final SI'!$AE$43="Moderado"),CONCATENATE("R6C",'Mapa final SI'!$S$43),"")</f>
        <v/>
      </c>
      <c r="Z41" s="272" t="str">
        <f>IF(AND('Mapa final SI'!$AC$44="Baja",'Mapa final SI'!$AE$44="Moderado"),CONCATENATE("R6C",'Mapa final SI'!$S$44),"")</f>
        <v/>
      </c>
      <c r="AA41" s="273" t="str">
        <f>IF(AND('Mapa final SI'!$AC$45="Baja",'Mapa final SI'!$AE$45="Moderado"),CONCATENATE("R6C",'Mapa final SI'!$S$45),"")</f>
        <v/>
      </c>
      <c r="AB41" s="256" t="str">
        <f>IF(AND('Mapa final SI'!$AC$40="Baja",'Mapa final SI'!$AE$40="Mayor"),CONCATENATE("R6C",'Mapa final SI'!$S$40),"")</f>
        <v/>
      </c>
      <c r="AC41" s="257" t="str">
        <f>IF(AND('Mapa final SI'!$AC$41="Baja",'Mapa final SI'!$AE$41="Mayor"),CONCATENATE("R6C",'Mapa final SI'!$S$41),"")</f>
        <v/>
      </c>
      <c r="AD41" s="257" t="str">
        <f>IF(AND('Mapa final SI'!$AC$42="Baja",'Mapa final SI'!$AE$42="Mayor"),CONCATENATE("R6C",'Mapa final SI'!$S$42),"")</f>
        <v/>
      </c>
      <c r="AE41" s="257" t="str">
        <f>IF(AND('Mapa final SI'!$AC$43="Baja",'Mapa final SI'!$AE$43="Mayor"),CONCATENATE("R6C",'Mapa final SI'!$S$43),"")</f>
        <v/>
      </c>
      <c r="AF41" s="257" t="str">
        <f>IF(AND('Mapa final SI'!$AC$44="Baja",'Mapa final SI'!$AE$44="Mayor"),CONCATENATE("R6C",'Mapa final SI'!$S$44),"")</f>
        <v/>
      </c>
      <c r="AG41" s="258" t="str">
        <f>IF(AND('Mapa final SI'!$AC$45="Baja",'Mapa final SI'!$AE$45="Mayor"),CONCATENATE("R6C",'Mapa final SI'!$S$45),"")</f>
        <v/>
      </c>
      <c r="AH41" s="259" t="str">
        <f>IF(AND('Mapa final SI'!$AC$40="Baja",'Mapa final SI'!$AE$40="Catastrófico"),CONCATENATE("R6C",'Mapa final SI'!$S$40),"")</f>
        <v/>
      </c>
      <c r="AI41" s="260" t="str">
        <f>IF(AND('Mapa final SI'!$AC$41="Baja",'Mapa final SI'!$AE$41="Catastrófico"),CONCATENATE("R6C",'Mapa final SI'!$S$41),"")</f>
        <v/>
      </c>
      <c r="AJ41" s="260" t="str">
        <f>IF(AND('Mapa final SI'!$AC$42="Baja",'Mapa final SI'!$AE$42="Catastrófico"),CONCATENATE("R6C",'Mapa final SI'!$S$42),"")</f>
        <v/>
      </c>
      <c r="AK41" s="260" t="str">
        <f>IF(AND('Mapa final SI'!$AC$43="Baja",'Mapa final SI'!$AE$43="Catastrófico"),CONCATENATE("R6C",'Mapa final SI'!$S$43),"")</f>
        <v/>
      </c>
      <c r="AL41" s="260" t="str">
        <f>IF(AND('Mapa final SI'!$AC$44="Baja",'Mapa final SI'!$AE$44="Catastrófico"),CONCATENATE("R6C",'Mapa final SI'!$S$44),"")</f>
        <v/>
      </c>
      <c r="AM41" s="261" t="str">
        <f>IF(AND('Mapa final SI'!$AC$45="Baja",'Mapa final SI'!$AE$45="Catastrófico"),CONCATENATE("R6C",'Mapa final SI'!$S$45),"")</f>
        <v/>
      </c>
      <c r="AN41" s="15"/>
      <c r="AO41" s="704"/>
      <c r="AP41" s="705"/>
      <c r="AQ41" s="705"/>
      <c r="AR41" s="705"/>
      <c r="AS41" s="705"/>
      <c r="AT41" s="70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78"/>
      <c r="C42" s="578"/>
      <c r="D42" s="579"/>
      <c r="E42" s="667"/>
      <c r="F42" s="668"/>
      <c r="G42" s="668"/>
      <c r="H42" s="668"/>
      <c r="I42" s="668"/>
      <c r="J42" s="280" t="str">
        <f>IF(AND('Mapa final SI'!$AC$46="Baja",'Mapa final SI'!$AE$46="Leve"),CONCATENATE("R7C",'Mapa final SI'!$S$46),"")</f>
        <v/>
      </c>
      <c r="K42" s="281" t="str">
        <f>IF(AND('Mapa final SI'!$AC$47="Baja",'Mapa final SI'!$AE$47="Leve"),CONCATENATE("R7C",'Mapa final SI'!$S$47),"")</f>
        <v/>
      </c>
      <c r="L42" s="281" t="str">
        <f>IF(AND('Mapa final SI'!$AC$48="Baja",'Mapa final SI'!$AE$48="Leve"),CONCATENATE("R7C",'Mapa final SI'!$S$48),"")</f>
        <v/>
      </c>
      <c r="M42" s="281" t="str">
        <f>IF(AND('Mapa final SI'!$AC$49="Baja",'Mapa final SI'!$AE$49="Leve"),CONCATENATE("R7C",'Mapa final SI'!$S$49),"")</f>
        <v/>
      </c>
      <c r="N42" s="281" t="str">
        <f>IF(AND('Mapa final SI'!$AC$50="Baja",'Mapa final SI'!$AE$50="Leve"),CONCATENATE("R7C",'Mapa final SI'!$S$50),"")</f>
        <v/>
      </c>
      <c r="O42" s="282" t="str">
        <f>IF(AND('Mapa final SI'!$AC$51="Baja",'Mapa final SI'!$AE$51="Leve"),CONCATENATE("R7C",'Mapa final SI'!$S$51),"")</f>
        <v/>
      </c>
      <c r="P42" s="271" t="str">
        <f>IF(AND('Mapa final SI'!$AC$46="Baja",'Mapa final SI'!$AE$46="Menor"),CONCATENATE("R7C",'Mapa final SI'!$S$46),"")</f>
        <v/>
      </c>
      <c r="Q42" s="272" t="str">
        <f>IF(AND('Mapa final SI'!$AC$47="Baja",'Mapa final SI'!$AE$47="Menor"),CONCATENATE("R7C",'Mapa final SI'!$S$47),"")</f>
        <v/>
      </c>
      <c r="R42" s="272" t="str">
        <f>IF(AND('Mapa final SI'!$AC$48="Baja",'Mapa final SI'!$AE$48="Menor"),CONCATENATE("R7C",'Mapa final SI'!$S$48),"")</f>
        <v/>
      </c>
      <c r="S42" s="272" t="str">
        <f>IF(AND('Mapa final SI'!$AC$49="Baja",'Mapa final SI'!$AE$49="Menor"),CONCATENATE("R7C",'Mapa final SI'!$S$49),"")</f>
        <v/>
      </c>
      <c r="T42" s="272" t="str">
        <f>IF(AND('Mapa final SI'!$AC$50="Baja",'Mapa final SI'!$AE$50="Menor"),CONCATENATE("R7C",'Mapa final SI'!$S$50),"")</f>
        <v/>
      </c>
      <c r="U42" s="273" t="str">
        <f>IF(AND('Mapa final SI'!$AC$51="Baja",'Mapa final SI'!$AE$51="Menor"),CONCATENATE("R7C",'Mapa final SI'!$S$51),"")</f>
        <v/>
      </c>
      <c r="V42" s="271" t="str">
        <f>IF(AND('Mapa final SI'!$AC$46="Baja",'Mapa final SI'!$AE$46="Moderado"),CONCATENATE("R7C",'Mapa final SI'!$S$46),"")</f>
        <v/>
      </c>
      <c r="W42" s="272" t="str">
        <f>IF(AND('Mapa final SI'!$AC$47="Baja",'Mapa final SI'!$AE$47="Moderado"),CONCATENATE("R7C",'Mapa final SI'!$S$47),"")</f>
        <v/>
      </c>
      <c r="X42" s="272" t="str">
        <f>IF(AND('Mapa final SI'!$AC$48="Baja",'Mapa final SI'!$AE$48="Moderado"),CONCATENATE("R7C",'Mapa final SI'!$S$48),"")</f>
        <v/>
      </c>
      <c r="Y42" s="272" t="str">
        <f>IF(AND('Mapa final SI'!$AC$49="Baja",'Mapa final SI'!$AE$49="Moderado"),CONCATENATE("R7C",'Mapa final SI'!$S$49),"")</f>
        <v/>
      </c>
      <c r="Z42" s="272" t="str">
        <f>IF(AND('Mapa final SI'!$AC$50="Baja",'Mapa final SI'!$AE$50="Moderado"),CONCATENATE("R7C",'Mapa final SI'!$S$50),"")</f>
        <v/>
      </c>
      <c r="AA42" s="273" t="str">
        <f>IF(AND('Mapa final SI'!$AC$51="Baja",'Mapa final SI'!$AE$51="Moderado"),CONCATENATE("R7C",'Mapa final SI'!$S$51),"")</f>
        <v/>
      </c>
      <c r="AB42" s="256" t="str">
        <f>IF(AND('Mapa final SI'!$AC$46="Baja",'Mapa final SI'!$AE$46="Mayor"),CONCATENATE("R7C",'Mapa final SI'!$S$46),"")</f>
        <v/>
      </c>
      <c r="AC42" s="257" t="str">
        <f>IF(AND('Mapa final SI'!$AC$47="Baja",'Mapa final SI'!$AE$47="Mayor"),CONCATENATE("R7C",'Mapa final SI'!$S$47),"")</f>
        <v/>
      </c>
      <c r="AD42" s="257" t="str">
        <f>IF(AND('Mapa final SI'!$AC$48="Baja",'Mapa final SI'!$AE$48="Mayor"),CONCATENATE("R7C",'Mapa final SI'!$S$48),"")</f>
        <v/>
      </c>
      <c r="AE42" s="257" t="str">
        <f>IF(AND('Mapa final SI'!$AC$49="Baja",'Mapa final SI'!$AE$49="Mayor"),CONCATENATE("R7C",'Mapa final SI'!$S$49),"")</f>
        <v/>
      </c>
      <c r="AF42" s="257" t="str">
        <f>IF(AND('Mapa final SI'!$AC$50="Baja",'Mapa final SI'!$AE$50="Mayor"),CONCATENATE("R7C",'Mapa final SI'!$S$50),"")</f>
        <v/>
      </c>
      <c r="AG42" s="258" t="str">
        <f>IF(AND('Mapa final SI'!$AC$51="Baja",'Mapa final SI'!$AE$51="Mayor"),CONCATENATE("R7C",'Mapa final SI'!$S$51),"")</f>
        <v/>
      </c>
      <c r="AH42" s="259" t="str">
        <f>IF(AND('Mapa final SI'!$AC$46="Baja",'Mapa final SI'!$AE$46="Catastrófico"),CONCATENATE("R7C",'Mapa final SI'!$S$46),"")</f>
        <v/>
      </c>
      <c r="AI42" s="260" t="str">
        <f>IF(AND('Mapa final SI'!$AC$47="Baja",'Mapa final SI'!$AE$47="Catastrófico"),CONCATENATE("R7C",'Mapa final SI'!$S$47),"")</f>
        <v/>
      </c>
      <c r="AJ42" s="260" t="str">
        <f>IF(AND('Mapa final SI'!$AC$48="Baja",'Mapa final SI'!$AE$48="Catastrófico"),CONCATENATE("R7C",'Mapa final SI'!$S$48),"")</f>
        <v/>
      </c>
      <c r="AK42" s="260" t="str">
        <f>IF(AND('Mapa final SI'!$AC$49="Baja",'Mapa final SI'!$AE$49="Catastrófico"),CONCATENATE("R7C",'Mapa final SI'!$S$49),"")</f>
        <v/>
      </c>
      <c r="AL42" s="260" t="str">
        <f>IF(AND('Mapa final SI'!$AC$50="Baja",'Mapa final SI'!$AE$50="Catastrófico"),CONCATENATE("R7C",'Mapa final SI'!$S$50),"")</f>
        <v/>
      </c>
      <c r="AM42" s="261" t="str">
        <f>IF(AND('Mapa final SI'!$AC$51="Baja",'Mapa final SI'!$AE$51="Catastrófico"),CONCATENATE("R7C",'Mapa final SI'!$S$51),"")</f>
        <v/>
      </c>
      <c r="AN42" s="15"/>
      <c r="AO42" s="704"/>
      <c r="AP42" s="705"/>
      <c r="AQ42" s="705"/>
      <c r="AR42" s="705"/>
      <c r="AS42" s="705"/>
      <c r="AT42" s="70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78"/>
      <c r="C43" s="578"/>
      <c r="D43" s="579"/>
      <c r="E43" s="667"/>
      <c r="F43" s="668"/>
      <c r="G43" s="668"/>
      <c r="H43" s="668"/>
      <c r="I43" s="668"/>
      <c r="J43" s="280" t="str">
        <f>IF(AND('Mapa final SI'!$AC$52="Baja",'Mapa final SI'!$AE$52="Leve"),CONCATENATE("R8C",'Mapa final SI'!$S$52),"")</f>
        <v/>
      </c>
      <c r="K43" s="281" t="str">
        <f>IF(AND('Mapa final SI'!$AC$53="Baja",'Mapa final SI'!$AE$53="Leve"),CONCATENATE("R8C",'Mapa final SI'!$S$53),"")</f>
        <v/>
      </c>
      <c r="L43" s="281" t="str">
        <f>IF(AND('Mapa final SI'!$AC$54="Baja",'Mapa final SI'!$AE$54="Leve"),CONCATENATE("R8C",'Mapa final SI'!$S$54),"")</f>
        <v/>
      </c>
      <c r="M43" s="281" t="str">
        <f>IF(AND('Mapa final SI'!$AC$55="Baja",'Mapa final SI'!$AE$55="Leve"),CONCATENATE("R8C",'Mapa final SI'!$S$55),"")</f>
        <v/>
      </c>
      <c r="N43" s="281" t="str">
        <f>IF(AND('Mapa final SI'!$AC$56="Baja",'Mapa final SI'!$AE$56="Leve"),CONCATENATE("R8C",'Mapa final SI'!$S$56),"")</f>
        <v/>
      </c>
      <c r="O43" s="282" t="str">
        <f>IF(AND('Mapa final SI'!$AC$57="Baja",'Mapa final SI'!$AE$57="Leve"),CONCATENATE("R8C",'Mapa final SI'!$S$57),"")</f>
        <v/>
      </c>
      <c r="P43" s="271" t="str">
        <f>IF(AND('Mapa final SI'!$AC$52="Baja",'Mapa final SI'!$AE$52="Menor"),CONCATENATE("R8C",'Mapa final SI'!$S$52),"")</f>
        <v/>
      </c>
      <c r="Q43" s="272" t="str">
        <f>IF(AND('Mapa final SI'!$AC$53="Baja",'Mapa final SI'!$AE$53="Menor"),CONCATENATE("R8C",'Mapa final SI'!$S$53),"")</f>
        <v/>
      </c>
      <c r="R43" s="272" t="str">
        <f>IF(AND('Mapa final SI'!$AC$54="Baja",'Mapa final SI'!$AE$54="Menor"),CONCATENATE("R8C",'Mapa final SI'!$S$54),"")</f>
        <v/>
      </c>
      <c r="S43" s="272" t="str">
        <f>IF(AND('Mapa final SI'!$AC$55="Baja",'Mapa final SI'!$AE$55="Menor"),CONCATENATE("R8C",'Mapa final SI'!$S$55),"")</f>
        <v/>
      </c>
      <c r="T43" s="272" t="str">
        <f>IF(AND('Mapa final SI'!$AC$56="Baja",'Mapa final SI'!$AE$56="Menor"),CONCATENATE("R8C",'Mapa final SI'!$S$56),"")</f>
        <v/>
      </c>
      <c r="U43" s="273" t="str">
        <f>IF(AND('Mapa final SI'!$AC$57="Baja",'Mapa final SI'!$AE$57="Menor"),CONCATENATE("R8C",'Mapa final SI'!$S$57),"")</f>
        <v/>
      </c>
      <c r="V43" s="271" t="str">
        <f>IF(AND('Mapa final SI'!$AC$52="Baja",'Mapa final SI'!$AE$52="Moderado"),CONCATENATE("R8C",'Mapa final SI'!$S$52),"")</f>
        <v/>
      </c>
      <c r="W43" s="272" t="str">
        <f>IF(AND('Mapa final SI'!$AC$53="Baja",'Mapa final SI'!$AE$53="Moderado"),CONCATENATE("R8C",'Mapa final SI'!$S$53),"")</f>
        <v/>
      </c>
      <c r="X43" s="272" t="str">
        <f>IF(AND('Mapa final SI'!$AC$54="Baja",'Mapa final SI'!$AE$54="Moderado"),CONCATENATE("R8C",'Mapa final SI'!$S$54),"")</f>
        <v/>
      </c>
      <c r="Y43" s="272" t="str">
        <f>IF(AND('Mapa final SI'!$AC$55="Baja",'Mapa final SI'!$AE$55="Moderado"),CONCATENATE("R8C",'Mapa final SI'!$S$55),"")</f>
        <v/>
      </c>
      <c r="Z43" s="272" t="str">
        <f>IF(AND('Mapa final SI'!$AC$56="Baja",'Mapa final SI'!$AE$56="Moderado"),CONCATENATE("R8C",'Mapa final SI'!$S$56),"")</f>
        <v/>
      </c>
      <c r="AA43" s="273" t="str">
        <f>IF(AND('Mapa final SI'!$AC$57="Baja",'Mapa final SI'!$AE$57="Moderado"),CONCATENATE("R8C",'Mapa final SI'!$S$57),"")</f>
        <v/>
      </c>
      <c r="AB43" s="256" t="str">
        <f>IF(AND('Mapa final SI'!$AC$52="Baja",'Mapa final SI'!$AE$52="Mayor"),CONCATENATE("R8C",'Mapa final SI'!$S$52),"")</f>
        <v/>
      </c>
      <c r="AC43" s="257" t="str">
        <f>IF(AND('Mapa final SI'!$AC$53="Baja",'Mapa final SI'!$AE$53="Mayor"),CONCATENATE("R8C",'Mapa final SI'!$S$53),"")</f>
        <v/>
      </c>
      <c r="AD43" s="257" t="str">
        <f>IF(AND('Mapa final SI'!$AC$54="Baja",'Mapa final SI'!$AE$54="Mayor"),CONCATENATE("R8C",'Mapa final SI'!$S$54),"")</f>
        <v/>
      </c>
      <c r="AE43" s="257" t="str">
        <f>IF(AND('Mapa final SI'!$AC$55="Baja",'Mapa final SI'!$AE$55="Mayor"),CONCATENATE("R8C",'Mapa final SI'!$S$55),"")</f>
        <v/>
      </c>
      <c r="AF43" s="257" t="str">
        <f>IF(AND('Mapa final SI'!$AC$56="Baja",'Mapa final SI'!$AE$56="Mayor"),CONCATENATE("R8C",'Mapa final SI'!$S$56),"")</f>
        <v/>
      </c>
      <c r="AG43" s="258" t="str">
        <f>IF(AND('Mapa final SI'!$AC$57="Baja",'Mapa final SI'!$AE$57="Mayor"),CONCATENATE("R8C",'Mapa final SI'!$S$57),"")</f>
        <v/>
      </c>
      <c r="AH43" s="259" t="str">
        <f>IF(AND('Mapa final SI'!$AC$52="Baja",'Mapa final SI'!$AE$52="Catastrófico"),CONCATENATE("R8C",'Mapa final SI'!$S$52),"")</f>
        <v/>
      </c>
      <c r="AI43" s="260" t="str">
        <f>IF(AND('Mapa final SI'!$AC$53="Baja",'Mapa final SI'!$AE$53="Catastrófico"),CONCATENATE("R8C",'Mapa final SI'!$S$53),"")</f>
        <v/>
      </c>
      <c r="AJ43" s="260" t="str">
        <f>IF(AND('Mapa final SI'!$AC$54="Baja",'Mapa final SI'!$AE$54="Catastrófico"),CONCATENATE("R8C",'Mapa final SI'!$S$54),"")</f>
        <v/>
      </c>
      <c r="AK43" s="260" t="str">
        <f>IF(AND('Mapa final SI'!$AC$55="Baja",'Mapa final SI'!$AE$55="Catastrófico"),CONCATENATE("R8C",'Mapa final SI'!$S$55),"")</f>
        <v/>
      </c>
      <c r="AL43" s="260" t="str">
        <f>IF(AND('Mapa final SI'!$AC$56="Baja",'Mapa final SI'!$AE$56="Catastrófico"),CONCATENATE("R8C",'Mapa final SI'!$S$56),"")</f>
        <v/>
      </c>
      <c r="AM43" s="261" t="str">
        <f>IF(AND('Mapa final SI'!$AC$57="Baja",'Mapa final SI'!$AE$57="Catastrófico"),CONCATENATE("R8C",'Mapa final SI'!$S$57),"")</f>
        <v/>
      </c>
      <c r="AN43" s="15"/>
      <c r="AO43" s="704"/>
      <c r="AP43" s="705"/>
      <c r="AQ43" s="705"/>
      <c r="AR43" s="705"/>
      <c r="AS43" s="705"/>
      <c r="AT43" s="70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78"/>
      <c r="C44" s="578"/>
      <c r="D44" s="579"/>
      <c r="E44" s="667"/>
      <c r="F44" s="668"/>
      <c r="G44" s="668"/>
      <c r="H44" s="668"/>
      <c r="I44" s="668"/>
      <c r="J44" s="280" t="str">
        <f>IF(AND('Mapa final SI'!$AC$58="Baja",'Mapa final SI'!$AE$58="Leve"),CONCATENATE("R9C",'Mapa final SI'!$S$58),"")</f>
        <v/>
      </c>
      <c r="K44" s="281" t="str">
        <f>IF(AND('Mapa final SI'!$AC$59="Baja",'Mapa final SI'!$AE$59="Leve"),CONCATENATE("R9C",'Mapa final SI'!$S$59),"")</f>
        <v/>
      </c>
      <c r="L44" s="281" t="str">
        <f>IF(AND('Mapa final SI'!$AC$60="Baja",'Mapa final SI'!$AE$60="Leve"),CONCATENATE("R9C",'Mapa final SI'!$S$60),"")</f>
        <v/>
      </c>
      <c r="M44" s="281" t="str">
        <f>IF(AND('Mapa final SI'!$AC$61="Baja",'Mapa final SI'!$AE$61="Leve"),CONCATENATE("R9C",'Mapa final SI'!$S$61),"")</f>
        <v/>
      </c>
      <c r="N44" s="281" t="str">
        <f>IF(AND('Mapa final SI'!$AC$62="Baja",'Mapa final SI'!$AE$62="Leve"),CONCATENATE("R9C",'Mapa final SI'!$S$62),"")</f>
        <v/>
      </c>
      <c r="O44" s="282" t="str">
        <f>IF(AND('Mapa final SI'!$AC$63="Baja",'Mapa final SI'!$AE$63="Leve"),CONCATENATE("R9C",'Mapa final SI'!$S$63),"")</f>
        <v/>
      </c>
      <c r="P44" s="271" t="str">
        <f>IF(AND('Mapa final SI'!$AC$58="Baja",'Mapa final SI'!$AE$58="Menor"),CONCATENATE("R9C",'Mapa final SI'!$S$58),"")</f>
        <v/>
      </c>
      <c r="Q44" s="272" t="str">
        <f>IF(AND('Mapa final SI'!$AC$59="Baja",'Mapa final SI'!$AE$59="Menor"),CONCATENATE("R9C",'Mapa final SI'!$S$59),"")</f>
        <v/>
      </c>
      <c r="R44" s="272" t="str">
        <f>IF(AND('Mapa final SI'!$AC$60="Baja",'Mapa final SI'!$AE$60="Menor"),CONCATENATE("R9C",'Mapa final SI'!$S$60),"")</f>
        <v/>
      </c>
      <c r="S44" s="272" t="str">
        <f>IF(AND('Mapa final SI'!$AC$61="Baja",'Mapa final SI'!$AE$61="Menor"),CONCATENATE("R9C",'Mapa final SI'!$S$61),"")</f>
        <v/>
      </c>
      <c r="T44" s="272" t="str">
        <f>IF(AND('Mapa final SI'!$AC$62="Baja",'Mapa final SI'!$AE$62="Menor"),CONCATENATE("R9C",'Mapa final SI'!$S$62),"")</f>
        <v/>
      </c>
      <c r="U44" s="273" t="str">
        <f>IF(AND('Mapa final SI'!$AC$63="Baja",'Mapa final SI'!$AE$63="Menor"),CONCATENATE("R9C",'Mapa final SI'!$S$63),"")</f>
        <v/>
      </c>
      <c r="V44" s="271" t="str">
        <f>IF(AND('Mapa final SI'!$AC$58="Baja",'Mapa final SI'!$AE$58="Moderado"),CONCATENATE("R9C",'Mapa final SI'!$S$58),"")</f>
        <v/>
      </c>
      <c r="W44" s="272" t="str">
        <f>IF(AND('Mapa final SI'!$AC$59="Baja",'Mapa final SI'!$AE$59="Moderado"),CONCATENATE("R9C",'Mapa final SI'!$S$59),"")</f>
        <v/>
      </c>
      <c r="X44" s="272" t="str">
        <f>IF(AND('Mapa final SI'!$AC$60="Baja",'Mapa final SI'!$AE$60="Moderado"),CONCATENATE("R9C",'Mapa final SI'!$S$60),"")</f>
        <v/>
      </c>
      <c r="Y44" s="272" t="str">
        <f>IF(AND('Mapa final SI'!$AC$61="Baja",'Mapa final SI'!$AE$61="Moderado"),CONCATENATE("R9C",'Mapa final SI'!$S$61),"")</f>
        <v/>
      </c>
      <c r="Z44" s="272" t="str">
        <f>IF(AND('Mapa final SI'!$AC$62="Baja",'Mapa final SI'!$AE$62="Moderado"),CONCATENATE("R9C",'Mapa final SI'!$S$62),"")</f>
        <v/>
      </c>
      <c r="AA44" s="273" t="str">
        <f>IF(AND('Mapa final SI'!$AC$63="Baja",'Mapa final SI'!$AE$63="Moderado"),CONCATENATE("R9C",'Mapa final SI'!$S$63),"")</f>
        <v/>
      </c>
      <c r="AB44" s="256" t="str">
        <f>IF(AND('Mapa final SI'!$AC$58="Baja",'Mapa final SI'!$AE$58="Mayor"),CONCATENATE("R9C",'Mapa final SI'!$S$58),"")</f>
        <v/>
      </c>
      <c r="AC44" s="257" t="str">
        <f>IF(AND('Mapa final SI'!$AC$59="Baja",'Mapa final SI'!$AE$59="Mayor"),CONCATENATE("R9C",'Mapa final SI'!$S$59),"")</f>
        <v/>
      </c>
      <c r="AD44" s="257" t="str">
        <f>IF(AND('Mapa final SI'!$AC$60="Baja",'Mapa final SI'!$AE$60="Mayor"),CONCATENATE("R9C",'Mapa final SI'!$S$60),"")</f>
        <v/>
      </c>
      <c r="AE44" s="257" t="str">
        <f>IF(AND('Mapa final SI'!$AC$61="Baja",'Mapa final SI'!$AE$61="Mayor"),CONCATENATE("R9C",'Mapa final SI'!$S$61),"")</f>
        <v/>
      </c>
      <c r="AF44" s="257" t="str">
        <f>IF(AND('Mapa final SI'!$AC$62="Baja",'Mapa final SI'!$AE$62="Mayor"),CONCATENATE("R9C",'Mapa final SI'!$S$62),"")</f>
        <v/>
      </c>
      <c r="AG44" s="258" t="str">
        <f>IF(AND('Mapa final SI'!$AC$63="Baja",'Mapa final SI'!$AE$63="Mayor"),CONCATENATE("R9C",'Mapa final SI'!$S$63),"")</f>
        <v/>
      </c>
      <c r="AH44" s="259" t="str">
        <f>IF(AND('Mapa final SI'!$AC$58="Baja",'Mapa final SI'!$AE$58="Catastrófico"),CONCATENATE("R9C",'Mapa final SI'!$S$58),"")</f>
        <v/>
      </c>
      <c r="AI44" s="260" t="str">
        <f>IF(AND('Mapa final SI'!$AC$59="Baja",'Mapa final SI'!$AE$59="Catastrófico"),CONCATENATE("R9C",'Mapa final SI'!$S$59),"")</f>
        <v/>
      </c>
      <c r="AJ44" s="260" t="str">
        <f>IF(AND('Mapa final SI'!$AC$60="Baja",'Mapa final SI'!$AE$60="Catastrófico"),CONCATENATE("R9C",'Mapa final SI'!$S$60),"")</f>
        <v/>
      </c>
      <c r="AK44" s="260" t="str">
        <f>IF(AND('Mapa final SI'!$AC$61="Baja",'Mapa final SI'!$AE$61="Catastrófico"),CONCATENATE("R9C",'Mapa final SI'!$S$61),"")</f>
        <v/>
      </c>
      <c r="AL44" s="260" t="str">
        <f>IF(AND('Mapa final SI'!$AC$62="Baja",'Mapa final SI'!$AE$62="Catastrófico"),CONCATENATE("R9C",'Mapa final SI'!$S$62),"")</f>
        <v/>
      </c>
      <c r="AM44" s="261" t="str">
        <f>IF(AND('Mapa final SI'!$AC$63="Baja",'Mapa final SI'!$AE$63="Catastrófico"),CONCATENATE("R9C",'Mapa final SI'!$S$63),"")</f>
        <v/>
      </c>
      <c r="AN44" s="15"/>
      <c r="AO44" s="704"/>
      <c r="AP44" s="705"/>
      <c r="AQ44" s="705"/>
      <c r="AR44" s="705"/>
      <c r="AS44" s="705"/>
      <c r="AT44" s="70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78"/>
      <c r="C45" s="578"/>
      <c r="D45" s="579"/>
      <c r="E45" s="670"/>
      <c r="F45" s="671"/>
      <c r="G45" s="671"/>
      <c r="H45" s="671"/>
      <c r="I45" s="671"/>
      <c r="J45" s="283" t="str">
        <f>IF(AND('Mapa final SI'!$AC$64="Baja",'Mapa final SI'!$AE$64="Leve"),CONCATENATE("R10C",'Mapa final SI'!$S$64),"")</f>
        <v/>
      </c>
      <c r="K45" s="284" t="str">
        <f>IF(AND('Mapa final SI'!$AC$65="Baja",'Mapa final SI'!$AE$65="Leve"),CONCATENATE("R10C",'Mapa final SI'!$S$65),"")</f>
        <v/>
      </c>
      <c r="L45" s="284" t="str">
        <f>IF(AND('Mapa final SI'!$AC$66="Baja",'Mapa final SI'!$AE$66="Leve"),CONCATENATE("R10C",'Mapa final SI'!$S$66),"")</f>
        <v/>
      </c>
      <c r="M45" s="284" t="str">
        <f>IF(AND('Mapa final SI'!$AC$67="Baja",'Mapa final SI'!$AE$67="Leve"),CONCATENATE("R10C",'Mapa final SI'!$S$67),"")</f>
        <v/>
      </c>
      <c r="N45" s="284" t="str">
        <f>IF(AND('Mapa final SI'!$AC$68="Baja",'Mapa final SI'!$AE$68="Leve"),CONCATENATE("R10C",'Mapa final SI'!$S$68),"")</f>
        <v/>
      </c>
      <c r="O45" s="285" t="str">
        <f>IF(AND('Mapa final SI'!$AC$69="Baja",'Mapa final SI'!$AE$69="Leve"),CONCATENATE("R10C",'Mapa final SI'!$S$69),"")</f>
        <v/>
      </c>
      <c r="P45" s="271" t="str">
        <f>IF(AND('Mapa final SI'!$AC$64="Baja",'Mapa final SI'!$AE$64="Menor"),CONCATENATE("R10C",'Mapa final SI'!$S$64),"")</f>
        <v/>
      </c>
      <c r="Q45" s="272" t="str">
        <f>IF(AND('Mapa final SI'!$AC$65="Baja",'Mapa final SI'!$AE$65="Menor"),CONCATENATE("R10C",'Mapa final SI'!$S$65),"")</f>
        <v/>
      </c>
      <c r="R45" s="272" t="str">
        <f>IF(AND('Mapa final SI'!$AC$66="Baja",'Mapa final SI'!$AE$66="Menor"),CONCATENATE("R10C",'Mapa final SI'!$S$66),"")</f>
        <v/>
      </c>
      <c r="S45" s="272" t="str">
        <f>IF(AND('Mapa final SI'!$AC$67="Baja",'Mapa final SI'!$AE$67="Menor"),CONCATENATE("R10C",'Mapa final SI'!$S$67),"")</f>
        <v/>
      </c>
      <c r="T45" s="272" t="str">
        <f>IF(AND('Mapa final SI'!$AC$68="Baja",'Mapa final SI'!$AE$68="Menor"),CONCATENATE("R10C",'Mapa final SI'!$S$68),"")</f>
        <v/>
      </c>
      <c r="U45" s="273" t="str">
        <f>IF(AND('Mapa final SI'!$AC$69="Baja",'Mapa final SI'!$AE$69="Menor"),CONCATENATE("R10C",'Mapa final SI'!$S$69),"")</f>
        <v/>
      </c>
      <c r="V45" s="274" t="str">
        <f>IF(AND('Mapa final SI'!$AC$64="Baja",'Mapa final SI'!$AE$64="Moderado"),CONCATENATE("R10C",'Mapa final SI'!$S$64),"")</f>
        <v/>
      </c>
      <c r="W45" s="275" t="str">
        <f>IF(AND('Mapa final SI'!$AC$65="Baja",'Mapa final SI'!$AE$65="Moderado"),CONCATENATE("R10C",'Mapa final SI'!$S$65),"")</f>
        <v/>
      </c>
      <c r="X45" s="275" t="str">
        <f>IF(AND('Mapa final SI'!$AC$66="Baja",'Mapa final SI'!$AE$66="Moderado"),CONCATENATE("R10C",'Mapa final SI'!$S$66),"")</f>
        <v/>
      </c>
      <c r="Y45" s="275" t="str">
        <f>IF(AND('Mapa final SI'!$AC$67="Baja",'Mapa final SI'!$AE$67="Moderado"),CONCATENATE("R10C",'Mapa final SI'!$S$67),"")</f>
        <v/>
      </c>
      <c r="Z45" s="275" t="str">
        <f>IF(AND('Mapa final SI'!$AC$68="Baja",'Mapa final SI'!$AE$68="Moderado"),CONCATENATE("R10C",'Mapa final SI'!$S$68),"")</f>
        <v/>
      </c>
      <c r="AA45" s="276" t="str">
        <f>IF(AND('Mapa final SI'!$AC$69="Baja",'Mapa final SI'!$AE$69="Moderado"),CONCATENATE("R10C",'Mapa final SI'!$S$69),"")</f>
        <v/>
      </c>
      <c r="AB45" s="262" t="str">
        <f>IF(AND('Mapa final SI'!$AC$64="Baja",'Mapa final SI'!$AE$64="Mayor"),CONCATENATE("R10C",'Mapa final SI'!$S$64),"")</f>
        <v/>
      </c>
      <c r="AC45" s="263" t="str">
        <f>IF(AND('Mapa final SI'!$AC$65="Baja",'Mapa final SI'!$AE$65="Mayor"),CONCATENATE("R10C",'Mapa final SI'!$S$65),"")</f>
        <v/>
      </c>
      <c r="AD45" s="263" t="str">
        <f>IF(AND('Mapa final SI'!$AC$66="Baja",'Mapa final SI'!$AE$66="Mayor"),CONCATENATE("R10C",'Mapa final SI'!$S$66),"")</f>
        <v/>
      </c>
      <c r="AE45" s="263" t="str">
        <f>IF(AND('Mapa final SI'!$AC$67="Baja",'Mapa final SI'!$AE$67="Mayor"),CONCATENATE("R10C",'Mapa final SI'!$S$67),"")</f>
        <v/>
      </c>
      <c r="AF45" s="263" t="str">
        <f>IF(AND('Mapa final SI'!$AC$68="Baja",'Mapa final SI'!$AE$68="Mayor"),CONCATENATE("R10C",'Mapa final SI'!$S$68),"")</f>
        <v/>
      </c>
      <c r="AG45" s="264" t="str">
        <f>IF(AND('Mapa final SI'!$AC$69="Baja",'Mapa final SI'!$AE$69="Mayor"),CONCATENATE("R10C",'Mapa final SI'!$S$69),"")</f>
        <v/>
      </c>
      <c r="AH45" s="265" t="str">
        <f>IF(AND('Mapa final SI'!$AC$64="Baja",'Mapa final SI'!$AE$64="Catastrófico"),CONCATENATE("R10C",'Mapa final SI'!$S$64),"")</f>
        <v/>
      </c>
      <c r="AI45" s="266" t="str">
        <f>IF(AND('Mapa final SI'!$AC$65="Baja",'Mapa final SI'!$AE$65="Catastrófico"),CONCATENATE("R10C",'Mapa final SI'!$S$65),"")</f>
        <v/>
      </c>
      <c r="AJ45" s="266" t="str">
        <f>IF(AND('Mapa final SI'!$AC$66="Baja",'Mapa final SI'!$AE$66="Catastrófico"),CONCATENATE("R10C",'Mapa final SI'!$S$66),"")</f>
        <v/>
      </c>
      <c r="AK45" s="266" t="str">
        <f>IF(AND('Mapa final SI'!$AC$67="Baja",'Mapa final SI'!$AE$67="Catastrófico"),CONCATENATE("R10C",'Mapa final SI'!$S$67),"")</f>
        <v/>
      </c>
      <c r="AL45" s="266" t="str">
        <f>IF(AND('Mapa final SI'!$AC$68="Baja",'Mapa final SI'!$AE$68="Catastrófico"),CONCATENATE("R10C",'Mapa final SI'!$S$68),"")</f>
        <v/>
      </c>
      <c r="AM45" s="267" t="str">
        <f>IF(AND('Mapa final SI'!$AC$69="Baja",'Mapa final SI'!$AE$69="Catastrófico"),CONCATENATE("R10C",'Mapa final SI'!$S$69),"")</f>
        <v/>
      </c>
      <c r="AN45" s="15"/>
      <c r="AO45" s="707"/>
      <c r="AP45" s="708"/>
      <c r="AQ45" s="708"/>
      <c r="AR45" s="708"/>
      <c r="AS45" s="708"/>
      <c r="AT45" s="709"/>
    </row>
    <row r="46" spans="1:80" ht="46.5" customHeight="1" x14ac:dyDescent="0.35">
      <c r="A46" s="15"/>
      <c r="B46" s="578"/>
      <c r="C46" s="578"/>
      <c r="D46" s="579"/>
      <c r="E46" s="664" t="s">
        <v>1061</v>
      </c>
      <c r="F46" s="665"/>
      <c r="G46" s="665"/>
      <c r="H46" s="665"/>
      <c r="I46" s="666"/>
      <c r="J46" s="277" t="str">
        <f>IF(AND('Mapa final SI'!$AC$10="Muy Baja",'Mapa final SI'!$AE$10="Leve"),CONCATENATE("R1C",'Mapa final SI'!$S$10),"")</f>
        <v/>
      </c>
      <c r="K46" s="278" t="str">
        <f>IF(AND('Mapa final SI'!$AC$11="Muy Baja",'Mapa final SI'!$AE$11="Leve"),CONCATENATE("R1C",'Mapa final SI'!$S$11),"")</f>
        <v/>
      </c>
      <c r="L46" s="278" t="str">
        <f>IF(AND('Mapa final SI'!$AC$12="Muy Baja",'Mapa final SI'!$AE$12="Leve"),CONCATENATE("R1C",'Mapa final SI'!$S$12),"")</f>
        <v/>
      </c>
      <c r="M46" s="278" t="str">
        <f>IF(AND('Mapa final SI'!$AC$13="Muy Baja",'Mapa final SI'!$AE$13="Leve"),CONCATENATE("R1C",'Mapa final SI'!$S$13),"")</f>
        <v/>
      </c>
      <c r="N46" s="278" t="str">
        <f>IF(AND('Mapa final SI'!$AC$14="Muy Baja",'Mapa final SI'!$AE$14="Leve"),CONCATENATE("R1C",'Mapa final SI'!$S$14),"")</f>
        <v/>
      </c>
      <c r="O46" s="279" t="str">
        <f>IF(AND('Mapa final SI'!$AC$15="Muy Baja",'Mapa final SI'!$AE$15="Leve"),CONCATENATE("R1C",'Mapa final SI'!$S$15),"")</f>
        <v/>
      </c>
      <c r="P46" s="277" t="str">
        <f>IF(AND('Mapa final SI'!$AC$10="Muy Baja",'Mapa final SI'!$AE$10="Menor"),CONCATENATE("R1C",'Mapa final SI'!$S$10),"")</f>
        <v/>
      </c>
      <c r="Q46" s="278" t="str">
        <f>IF(AND('Mapa final SI'!$AC$11="Muy Baja",'Mapa final SI'!$AE$11="Menor"),CONCATENATE("R1C",'Mapa final SI'!$S$11),"")</f>
        <v/>
      </c>
      <c r="R46" s="278" t="str">
        <f>IF(AND('Mapa final SI'!$AC$12="Muy Baja",'Mapa final SI'!$AE$12="Menor"),CONCATENATE("R1C",'Mapa final SI'!$S$12),"")</f>
        <v/>
      </c>
      <c r="S46" s="278" t="str">
        <f>IF(AND('Mapa final SI'!$AC$13="Muy Baja",'Mapa final SI'!$AE$13="Menor"),CONCATENATE("R1C",'Mapa final SI'!$S$13),"")</f>
        <v/>
      </c>
      <c r="T46" s="278" t="str">
        <f>IF(AND('Mapa final SI'!$AC$14="Muy Baja",'Mapa final SI'!$AE$14="Menor"),CONCATENATE("R1C",'Mapa final SI'!$S$14),"")</f>
        <v/>
      </c>
      <c r="U46" s="279" t="str">
        <f>IF(AND('Mapa final SI'!$AC$15="Muy Baja",'Mapa final SI'!$AE$15="Menor"),CONCATENATE("R1C",'Mapa final SI'!$S$15),"")</f>
        <v/>
      </c>
      <c r="V46" s="268" t="str">
        <f>IF(AND('Mapa final SI'!$AC$10="Muy Baja",'Mapa final SI'!$AE$10="Moderado"),CONCATENATE("R1C",'Mapa final SI'!$S$10),"")</f>
        <v/>
      </c>
      <c r="W46" s="286" t="str">
        <f>IF(AND('Mapa final SI'!$AC$11="Muy Baja",'Mapa final SI'!$AE$11="Moderado"),CONCATENATE("R1C",'Mapa final SI'!$S$11),"")</f>
        <v/>
      </c>
      <c r="X46" s="269" t="str">
        <f>IF(AND('Mapa final SI'!$AC$12="Muy Baja",'Mapa final SI'!$AE$12="Moderado"),CONCATENATE("R1C",'Mapa final SI'!$S$12),"")</f>
        <v/>
      </c>
      <c r="Y46" s="269" t="str">
        <f>IF(AND('Mapa final SI'!$AC$13="Muy Baja",'Mapa final SI'!$AE$13="Moderado"),CONCATENATE("R1C",'Mapa final SI'!$S$13),"")</f>
        <v/>
      </c>
      <c r="Z46" s="269" t="str">
        <f>IF(AND('Mapa final SI'!$AC$14="Muy Baja",'Mapa final SI'!$AE$14="Moderado"),CONCATENATE("R1C",'Mapa final SI'!$S$14),"")</f>
        <v/>
      </c>
      <c r="AA46" s="270" t="str">
        <f>IF(AND('Mapa final SI'!$AC$15="Muy Baja",'Mapa final SI'!$AE$15="Moderado"),CONCATENATE("R1C",'Mapa final SI'!$S$15),"")</f>
        <v/>
      </c>
      <c r="AB46" s="250" t="str">
        <f>IF(AND('Mapa final SI'!$AC$10="Muy Baja",'Mapa final SI'!$AE$10="Mayor"),CONCATENATE("R1C",'Mapa final SI'!$S$10),"")</f>
        <v/>
      </c>
      <c r="AC46" s="251" t="str">
        <f>IF(AND('Mapa final SI'!$AC$11="Muy Baja",'Mapa final SI'!$AE$11="Mayor"),CONCATENATE("R1C",'Mapa final SI'!$S$11),"")</f>
        <v/>
      </c>
      <c r="AD46" s="251" t="str">
        <f>IF(AND('Mapa final SI'!$AC$12="Muy Baja",'Mapa final SI'!$AE$12="Mayor"),CONCATENATE("R1C",'Mapa final SI'!$S$12),"")</f>
        <v/>
      </c>
      <c r="AE46" s="251" t="str">
        <f>IF(AND('Mapa final SI'!$AC$13="Muy Baja",'Mapa final SI'!$AE$13="Mayor"),CONCATENATE("R1C",'Mapa final SI'!$S$13),"")</f>
        <v/>
      </c>
      <c r="AF46" s="251" t="str">
        <f>IF(AND('Mapa final SI'!$AC$14="Muy Baja",'Mapa final SI'!$AE$14="Mayor"),CONCATENATE("R1C",'Mapa final SI'!$S$14),"")</f>
        <v/>
      </c>
      <c r="AG46" s="252" t="str">
        <f>IF(AND('Mapa final SI'!$AC$15="Muy Baja",'Mapa final SI'!$AE$15="Mayor"),CONCATENATE("R1C",'Mapa final SI'!$S$15),"")</f>
        <v/>
      </c>
      <c r="AH46" s="253" t="str">
        <f>IF(AND('Mapa final SI'!$AC$10="Muy Baja",'Mapa final SI'!$AE$10="Catastrófico"),CONCATENATE("R1C",'Mapa final SI'!$S$10),"")</f>
        <v/>
      </c>
      <c r="AI46" s="254" t="str">
        <f>IF(AND('Mapa final SI'!$AC$11="Muy Baja",'Mapa final SI'!$AE$11="Catastrófico"),CONCATENATE("R1C",'Mapa final SI'!$S$11),"")</f>
        <v/>
      </c>
      <c r="AJ46" s="254" t="str">
        <f>IF(AND('Mapa final SI'!$AC$12="Muy Baja",'Mapa final SI'!$AE$12="Catastrófico"),CONCATENATE("R1C",'Mapa final SI'!$S$12),"")</f>
        <v/>
      </c>
      <c r="AK46" s="254" t="str">
        <f>IF(AND('Mapa final SI'!$AC$13="Muy Baja",'Mapa final SI'!$AE$13="Catastrófico"),CONCATENATE("R1C",'Mapa final SI'!$S$13),"")</f>
        <v/>
      </c>
      <c r="AL46" s="254" t="str">
        <f>IF(AND('Mapa final SI'!$AC$14="Muy Baja",'Mapa final SI'!$AE$14="Catastrófico"),CONCATENATE("R1C",'Mapa final SI'!$S$14),"")</f>
        <v/>
      </c>
      <c r="AM46" s="25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78"/>
      <c r="C47" s="578"/>
      <c r="D47" s="579"/>
      <c r="E47" s="682"/>
      <c r="F47" s="668"/>
      <c r="G47" s="668"/>
      <c r="H47" s="668"/>
      <c r="I47" s="669"/>
      <c r="J47" s="280" t="str">
        <f>IF(AND('Mapa final SI'!$AC$16="Muy Baja",'Mapa final SI'!$AE$16="Leve"),CONCATENATE("R2C",'Mapa final SI'!$S$16),"")</f>
        <v/>
      </c>
      <c r="K47" s="281" t="str">
        <f>IF(AND('Mapa final SI'!$AC$17="Muy Baja",'Mapa final SI'!$AE$17="Leve"),CONCATENATE("R2C",'Mapa final SI'!$S$17),"")</f>
        <v/>
      </c>
      <c r="L47" s="281" t="str">
        <f>IF(AND('Mapa final SI'!$AC$18="Muy Baja",'Mapa final SI'!$AE$18="Leve"),CONCATENATE("R2C",'Mapa final SI'!$S$18),"")</f>
        <v/>
      </c>
      <c r="M47" s="281" t="str">
        <f>IF(AND('Mapa final SI'!$AC$19="Muy Baja",'Mapa final SI'!$AE$19="Leve"),CONCATENATE("R2C",'Mapa final SI'!$S$19),"")</f>
        <v/>
      </c>
      <c r="N47" s="281" t="str">
        <f>IF(AND('Mapa final SI'!$AC$20="Muy Baja",'Mapa final SI'!$AE$20="Leve"),CONCATENATE("R2C",'Mapa final SI'!$S$20),"")</f>
        <v/>
      </c>
      <c r="O47" s="282" t="str">
        <f>IF(AND('Mapa final SI'!$AC$21="Muy Baja",'Mapa final SI'!$AE$21="Leve"),CONCATENATE("R2C",'Mapa final SI'!$S$21),"")</f>
        <v/>
      </c>
      <c r="P47" s="280" t="str">
        <f>IF(AND('Mapa final SI'!$AC$16="Muy Baja",'Mapa final SI'!$AE$16="Menor"),CONCATENATE("R2C",'Mapa final SI'!$S$16),"")</f>
        <v/>
      </c>
      <c r="Q47" s="281" t="str">
        <f>IF(AND('Mapa final SI'!$AC$17="Muy Baja",'Mapa final SI'!$AE$17="Menor"),CONCATENATE("R2C",'Mapa final SI'!$S$17),"")</f>
        <v/>
      </c>
      <c r="R47" s="281" t="str">
        <f>IF(AND('Mapa final SI'!$AC$18="Muy Baja",'Mapa final SI'!$AE$18="Menor"),CONCATENATE("R2C",'Mapa final SI'!$S$18),"")</f>
        <v/>
      </c>
      <c r="S47" s="281" t="str">
        <f>IF(AND('Mapa final SI'!$AC$19="Muy Baja",'Mapa final SI'!$AE$19="Menor"),CONCATENATE("R2C",'Mapa final SI'!$S$19),"")</f>
        <v/>
      </c>
      <c r="T47" s="281" t="str">
        <f>IF(AND('Mapa final SI'!$AC$20="Muy Baja",'Mapa final SI'!$AE$20="Menor"),CONCATENATE("R2C",'Mapa final SI'!$S$20),"")</f>
        <v/>
      </c>
      <c r="U47" s="282" t="str">
        <f>IF(AND('Mapa final SI'!$AC$21="Muy Baja",'Mapa final SI'!$AE$21="Menor"),CONCATENATE("R2C",'Mapa final SI'!$S$21),"")</f>
        <v/>
      </c>
      <c r="V47" s="271" t="str">
        <f>IF(AND('Mapa final SI'!$AC$16="Muy Baja",'Mapa final SI'!$AE$16="Moderado"),CONCATENATE("R2C",'Mapa final SI'!$S$16),"")</f>
        <v/>
      </c>
      <c r="W47" s="272" t="str">
        <f>IF(AND('Mapa final SI'!$AC$17="Muy Baja",'Mapa final SI'!$AE$17="Moderado"),CONCATENATE("R2C",'Mapa final SI'!$S$17),"")</f>
        <v/>
      </c>
      <c r="X47" s="272" t="str">
        <f>IF(AND('Mapa final SI'!$AC$18="Muy Baja",'Mapa final SI'!$AE$18="Moderado"),CONCATENATE("R2C",'Mapa final SI'!$S$18),"")</f>
        <v/>
      </c>
      <c r="Y47" s="272" t="str">
        <f>IF(AND('Mapa final SI'!$AC$19="Muy Baja",'Mapa final SI'!$AE$19="Moderado"),CONCATENATE("R2C",'Mapa final SI'!$S$19),"")</f>
        <v/>
      </c>
      <c r="Z47" s="272" t="str">
        <f>IF(AND('Mapa final SI'!$AC$20="Muy Baja",'Mapa final SI'!$AE$20="Moderado"),CONCATENATE("R2C",'Mapa final SI'!$S$20),"")</f>
        <v/>
      </c>
      <c r="AA47" s="273" t="str">
        <f>IF(AND('Mapa final SI'!$AC$21="Muy Baja",'Mapa final SI'!$AE$21="Moderado"),CONCATENATE("R2C",'Mapa final SI'!$S$21),"")</f>
        <v/>
      </c>
      <c r="AB47" s="256" t="str">
        <f>IF(AND('Mapa final SI'!$AC$16="Muy Baja",'Mapa final SI'!$AE$16="Mayor"),CONCATENATE("R2C",'Mapa final SI'!$S$16),"")</f>
        <v/>
      </c>
      <c r="AC47" s="257" t="str">
        <f>IF(AND('Mapa final SI'!$AC$17="Muy Baja",'Mapa final SI'!$AE$17="Mayor"),CONCATENATE("R2C",'Mapa final SI'!$S$17),"")</f>
        <v/>
      </c>
      <c r="AD47" s="257" t="str">
        <f>IF(AND('Mapa final SI'!$AC$18="Muy Baja",'Mapa final SI'!$AE$18="Mayor"),CONCATENATE("R2C",'Mapa final SI'!$S$18),"")</f>
        <v/>
      </c>
      <c r="AE47" s="257" t="str">
        <f>IF(AND('Mapa final SI'!$AC$19="Muy Baja",'Mapa final SI'!$AE$19="Mayor"),CONCATENATE("R2C",'Mapa final SI'!$S$19),"")</f>
        <v/>
      </c>
      <c r="AF47" s="257" t="str">
        <f>IF(AND('Mapa final SI'!$AC$20="Muy Baja",'Mapa final SI'!$AE$20="Mayor"),CONCATENATE("R2C",'Mapa final SI'!$S$20),"")</f>
        <v/>
      </c>
      <c r="AG47" s="258" t="str">
        <f>IF(AND('Mapa final SI'!$AC$21="Muy Baja",'Mapa final SI'!$AE$21="Mayor"),CONCATENATE("R2C",'Mapa final SI'!$S$21),"")</f>
        <v/>
      </c>
      <c r="AH47" s="259" t="str">
        <f>IF(AND('Mapa final SI'!$AC$16="Muy Baja",'Mapa final SI'!$AE$16="Catastrófico"),CONCATENATE("R2C",'Mapa final SI'!$S$16),"")</f>
        <v/>
      </c>
      <c r="AI47" s="260" t="str">
        <f>IF(AND('Mapa final SI'!$AC$17="Muy Baja",'Mapa final SI'!$AE$17="Catastrófico"),CONCATENATE("R2C",'Mapa final SI'!$S$17),"")</f>
        <v/>
      </c>
      <c r="AJ47" s="260" t="str">
        <f>IF(AND('Mapa final SI'!$AC$18="Muy Baja",'Mapa final SI'!$AE$18="Catastrófico"),CONCATENATE("R2C",'Mapa final SI'!$S$18),"")</f>
        <v/>
      </c>
      <c r="AK47" s="260" t="str">
        <f>IF(AND('Mapa final SI'!$AC$19="Muy Baja",'Mapa final SI'!$AE$19="Catastrófico"),CONCATENATE("R2C",'Mapa final SI'!$S$19),"")</f>
        <v/>
      </c>
      <c r="AL47" s="260" t="str">
        <f>IF(AND('Mapa final SI'!$AC$20="Muy Baja",'Mapa final SI'!$AE$20="Catastrófico"),CONCATENATE("R2C",'Mapa final SI'!$S$20),"")</f>
        <v/>
      </c>
      <c r="AM47" s="26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78"/>
      <c r="C48" s="578"/>
      <c r="D48" s="579"/>
      <c r="E48" s="682"/>
      <c r="F48" s="668"/>
      <c r="G48" s="668"/>
      <c r="H48" s="668"/>
      <c r="I48" s="669"/>
      <c r="J48" s="280" t="str">
        <f>IF(AND('Mapa final SI'!$AC$22="Muy Baja",'Mapa final SI'!$AE$22="Leve"),CONCATENATE("R3C",'Mapa final SI'!$S$22),"")</f>
        <v/>
      </c>
      <c r="K48" s="281" t="str">
        <f>IF(AND('Mapa final SI'!$AC$23="Muy Baja",'Mapa final SI'!$AE$23="Leve"),CONCATENATE("R3C",'Mapa final SI'!$S$23),"")</f>
        <v/>
      </c>
      <c r="L48" s="281" t="str">
        <f>IF(AND('Mapa final SI'!$AC$24="Muy Baja",'Mapa final SI'!$AE$24="Leve"),CONCATENATE("R3C",'Mapa final SI'!$S$24),"")</f>
        <v/>
      </c>
      <c r="M48" s="281" t="str">
        <f>IF(AND('Mapa final SI'!$AC$25="Muy Baja",'Mapa final SI'!$AE$25="Leve"),CONCATENATE("R3C",'Mapa final SI'!$S$25),"")</f>
        <v/>
      </c>
      <c r="N48" s="281" t="str">
        <f>IF(AND('Mapa final SI'!$AC$26="Muy Baja",'Mapa final SI'!$AE$26="Leve"),CONCATENATE("R3C",'Mapa final SI'!$S$26),"")</f>
        <v/>
      </c>
      <c r="O48" s="282" t="str">
        <f>IF(AND('Mapa final SI'!$AC$27="Muy Baja",'Mapa final SI'!$AE$27="Leve"),CONCATENATE("R3C",'Mapa final SI'!$S$27),"")</f>
        <v/>
      </c>
      <c r="P48" s="280" t="str">
        <f>IF(AND('Mapa final SI'!$AC$22="Muy Baja",'Mapa final SI'!$AE$22="Menor"),CONCATENATE("R3C",'Mapa final SI'!$S$22),"")</f>
        <v/>
      </c>
      <c r="Q48" s="281" t="str">
        <f>IF(AND('Mapa final SI'!$AC$23="Muy Baja",'Mapa final SI'!$AE$23="Menor"),CONCATENATE("R3C",'Mapa final SI'!$S$23),"")</f>
        <v/>
      </c>
      <c r="R48" s="281" t="str">
        <f>IF(AND('Mapa final SI'!$AC$24="Muy Baja",'Mapa final SI'!$AE$24="Menor"),CONCATENATE("R3C",'Mapa final SI'!$S$24),"")</f>
        <v/>
      </c>
      <c r="S48" s="281" t="str">
        <f>IF(AND('Mapa final SI'!$AC$25="Muy Baja",'Mapa final SI'!$AE$25="Menor"),CONCATENATE("R3C",'Mapa final SI'!$S$25),"")</f>
        <v/>
      </c>
      <c r="T48" s="281" t="str">
        <f>IF(AND('Mapa final SI'!$AC$26="Muy Baja",'Mapa final SI'!$AE$26="Menor"),CONCATENATE("R3C",'Mapa final SI'!$S$26),"")</f>
        <v/>
      </c>
      <c r="U48" s="282" t="str">
        <f>IF(AND('Mapa final SI'!$AC$27="Muy Baja",'Mapa final SI'!$AE$27="Menor"),CONCATENATE("R3C",'Mapa final SI'!$S$27),"")</f>
        <v/>
      </c>
      <c r="V48" s="271" t="str">
        <f>IF(AND('Mapa final SI'!$AC$22="Muy Baja",'Mapa final SI'!$AE$22="Moderado"),CONCATENATE("R3C",'Mapa final SI'!$S$22),"")</f>
        <v/>
      </c>
      <c r="W48" s="272" t="str">
        <f>IF(AND('Mapa final SI'!$AC$23="Muy Baja",'Mapa final SI'!$AE$23="Moderado"),CONCATENATE("R3C",'Mapa final SI'!$S$23),"")</f>
        <v/>
      </c>
      <c r="X48" s="272" t="str">
        <f>IF(AND('Mapa final SI'!$AC$24="Muy Baja",'Mapa final SI'!$AE$24="Moderado"),CONCATENATE("R3C",'Mapa final SI'!$S$24),"")</f>
        <v/>
      </c>
      <c r="Y48" s="272" t="str">
        <f>IF(AND('Mapa final SI'!$AC$25="Muy Baja",'Mapa final SI'!$AE$25="Moderado"),CONCATENATE("R3C",'Mapa final SI'!$S$25),"")</f>
        <v/>
      </c>
      <c r="Z48" s="272" t="str">
        <f>IF(AND('Mapa final SI'!$AC$26="Muy Baja",'Mapa final SI'!$AE$26="Moderado"),CONCATENATE("R3C",'Mapa final SI'!$S$26),"")</f>
        <v/>
      </c>
      <c r="AA48" s="273" t="str">
        <f>IF(AND('Mapa final SI'!$AC$27="Muy Baja",'Mapa final SI'!$AE$27="Moderado"),CONCATENATE("R3C",'Mapa final SI'!$S$27),"")</f>
        <v/>
      </c>
      <c r="AB48" s="256" t="str">
        <f>IF(AND('Mapa final SI'!$AC$22="Muy Baja",'Mapa final SI'!$AE$22="Mayor"),CONCATENATE("R3C",'Mapa final SI'!$S$22),"")</f>
        <v/>
      </c>
      <c r="AC48" s="257" t="str">
        <f>IF(AND('Mapa final SI'!$AC$23="Muy Baja",'Mapa final SI'!$AE$23="Mayor"),CONCATENATE("R3C",'Mapa final SI'!$S$23),"")</f>
        <v/>
      </c>
      <c r="AD48" s="257" t="str">
        <f>IF(AND('Mapa final SI'!$AC$24="Muy Baja",'Mapa final SI'!$AE$24="Mayor"),CONCATENATE("R3C",'Mapa final SI'!$S$24),"")</f>
        <v/>
      </c>
      <c r="AE48" s="257" t="str">
        <f>IF(AND('Mapa final SI'!$AC$25="Muy Baja",'Mapa final SI'!$AE$25="Mayor"),CONCATENATE("R3C",'Mapa final SI'!$S$25),"")</f>
        <v/>
      </c>
      <c r="AF48" s="257" t="str">
        <f>IF(AND('Mapa final SI'!$AC$26="Muy Baja",'Mapa final SI'!$AE$26="Mayor"),CONCATENATE("R3C",'Mapa final SI'!$S$26),"")</f>
        <v/>
      </c>
      <c r="AG48" s="258" t="str">
        <f>IF(AND('Mapa final SI'!$AC$27="Muy Baja",'Mapa final SI'!$AE$27="Mayor"),CONCATENATE("R3C",'Mapa final SI'!$S$27),"")</f>
        <v/>
      </c>
      <c r="AH48" s="259" t="str">
        <f>IF(AND('Mapa final SI'!$AC$22="Muy Baja",'Mapa final SI'!$AE$22="Catastrófico"),CONCATENATE("R3C",'Mapa final SI'!$S$22),"")</f>
        <v/>
      </c>
      <c r="AI48" s="260" t="str">
        <f>IF(AND('Mapa final SI'!$AC$23="Muy Baja",'Mapa final SI'!$AE$23="Catastrófico"),CONCATENATE("R3C",'Mapa final SI'!$S$23),"")</f>
        <v/>
      </c>
      <c r="AJ48" s="260" t="str">
        <f>IF(AND('Mapa final SI'!$AC$24="Muy Baja",'Mapa final SI'!$AE$24="Catastrófico"),CONCATENATE("R3C",'Mapa final SI'!$S$24),"")</f>
        <v/>
      </c>
      <c r="AK48" s="260" t="str">
        <f>IF(AND('Mapa final SI'!$AC$25="Muy Baja",'Mapa final SI'!$AE$25="Catastrófico"),CONCATENATE("R3C",'Mapa final SI'!$S$25),"")</f>
        <v/>
      </c>
      <c r="AL48" s="260" t="str">
        <f>IF(AND('Mapa final SI'!$AC$26="Muy Baja",'Mapa final SI'!$AE$26="Catastrófico"),CONCATENATE("R3C",'Mapa final SI'!$S$26),"")</f>
        <v/>
      </c>
      <c r="AM48" s="26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78"/>
      <c r="C49" s="578"/>
      <c r="D49" s="579"/>
      <c r="E49" s="667"/>
      <c r="F49" s="668"/>
      <c r="G49" s="668"/>
      <c r="H49" s="668"/>
      <c r="I49" s="669"/>
      <c r="J49" s="280" t="str">
        <f>IF(AND('Mapa final SI'!$AC$28="Muy Baja",'Mapa final SI'!$AE$28="Leve"),CONCATENATE("R4C",'Mapa final SI'!$S$28),"")</f>
        <v/>
      </c>
      <c r="K49" s="281" t="str">
        <f>IF(AND('Mapa final SI'!$AC$29="Muy Baja",'Mapa final SI'!$AE$29="Leve"),CONCATENATE("R4C",'Mapa final SI'!$S$29),"")</f>
        <v/>
      </c>
      <c r="L49" s="281" t="str">
        <f>IF(AND('Mapa final SI'!$AC$30="Muy Baja",'Mapa final SI'!$AE$30="Leve"),CONCATENATE("R4C",'Mapa final SI'!$S$30),"")</f>
        <v/>
      </c>
      <c r="M49" s="281" t="str">
        <f>IF(AND('Mapa final SI'!$AC$31="Muy Baja",'Mapa final SI'!$AE$31="Leve"),CONCATENATE("R4C",'Mapa final SI'!$S$31),"")</f>
        <v/>
      </c>
      <c r="N49" s="281" t="str">
        <f>IF(AND('Mapa final SI'!$AC$32="Muy Baja",'Mapa final SI'!$AE$32="Leve"),CONCATENATE("R4C",'Mapa final SI'!$S$32),"")</f>
        <v/>
      </c>
      <c r="O49" s="282" t="str">
        <f>IF(AND('Mapa final SI'!$AC$33="Muy Baja",'Mapa final SI'!$AE$33="Leve"),CONCATENATE("R4C",'Mapa final SI'!$S$33),"")</f>
        <v/>
      </c>
      <c r="P49" s="280" t="str">
        <f>IF(AND('Mapa final SI'!$AC$28="Muy Baja",'Mapa final SI'!$AE$28="Menor"),CONCATENATE("R4C",'Mapa final SI'!$S$28),"")</f>
        <v/>
      </c>
      <c r="Q49" s="281" t="str">
        <f>IF(AND('Mapa final SI'!$AC$29="Muy Baja",'Mapa final SI'!$AE$29="Menor"),CONCATENATE("R4C",'Mapa final SI'!$S$29),"")</f>
        <v/>
      </c>
      <c r="R49" s="281" t="str">
        <f>IF(AND('Mapa final SI'!$AC$30="Muy Baja",'Mapa final SI'!$AE$30="Menor"),CONCATENATE("R4C",'Mapa final SI'!$S$30),"")</f>
        <v/>
      </c>
      <c r="S49" s="281" t="str">
        <f>IF(AND('Mapa final SI'!$AC$31="Muy Baja",'Mapa final SI'!$AE$31="Menor"),CONCATENATE("R4C",'Mapa final SI'!$S$31),"")</f>
        <v/>
      </c>
      <c r="T49" s="281" t="str">
        <f>IF(AND('Mapa final SI'!$AC$32="Muy Baja",'Mapa final SI'!$AE$32="Menor"),CONCATENATE("R4C",'Mapa final SI'!$S$32),"")</f>
        <v/>
      </c>
      <c r="U49" s="282" t="str">
        <f>IF(AND('Mapa final SI'!$AC$33="Muy Baja",'Mapa final SI'!$AE$33="Menor"),CONCATENATE("R4C",'Mapa final SI'!$S$33),"")</f>
        <v/>
      </c>
      <c r="V49" s="271" t="str">
        <f>IF(AND('Mapa final SI'!$AC$28="Muy Baja",'Mapa final SI'!$AE$28="Moderado"),CONCATENATE("R4C",'Mapa final SI'!$S$28),"")</f>
        <v/>
      </c>
      <c r="W49" s="272" t="str">
        <f>IF(AND('Mapa final SI'!$AC$29="Muy Baja",'Mapa final SI'!$AE$29="Moderado"),CONCATENATE("R4C",'Mapa final SI'!$S$29),"")</f>
        <v/>
      </c>
      <c r="X49" s="272" t="str">
        <f>IF(AND('Mapa final SI'!$AC$30="Muy Baja",'Mapa final SI'!$AE$30="Moderado"),CONCATENATE("R4C",'Mapa final SI'!$S$30),"")</f>
        <v/>
      </c>
      <c r="Y49" s="272" t="str">
        <f>IF(AND('Mapa final SI'!$AC$31="Muy Baja",'Mapa final SI'!$AE$31="Moderado"),CONCATENATE("R4C",'Mapa final SI'!$S$31),"")</f>
        <v/>
      </c>
      <c r="Z49" s="272" t="str">
        <f>IF(AND('Mapa final SI'!$AC$32="Muy Baja",'Mapa final SI'!$AE$32="Moderado"),CONCATENATE("R4C",'Mapa final SI'!$S$32),"")</f>
        <v/>
      </c>
      <c r="AA49" s="273" t="str">
        <f>IF(AND('Mapa final SI'!$AC$33="Muy Baja",'Mapa final SI'!$AE$33="Moderado"),CONCATENATE("R4C",'Mapa final SI'!$S$33),"")</f>
        <v/>
      </c>
      <c r="AB49" s="256" t="str">
        <f>IF(AND('Mapa final SI'!$AC$28="Muy Baja",'Mapa final SI'!$AE$28="Mayor"),CONCATENATE("R4C",'Mapa final SI'!$S$28),"")</f>
        <v/>
      </c>
      <c r="AC49" s="257" t="str">
        <f>IF(AND('Mapa final SI'!$AC$29="Muy Baja",'Mapa final SI'!$AE$29="Mayor"),CONCATENATE("R4C",'Mapa final SI'!$S$29),"")</f>
        <v/>
      </c>
      <c r="AD49" s="257" t="str">
        <f>IF(AND('Mapa final SI'!$AC$30="Muy Baja",'Mapa final SI'!$AE$30="Mayor"),CONCATENATE("R4C",'Mapa final SI'!$S$30),"")</f>
        <v/>
      </c>
      <c r="AE49" s="257" t="str">
        <f>IF(AND('Mapa final SI'!$AC$31="Muy Baja",'Mapa final SI'!$AE$31="Mayor"),CONCATENATE("R4C",'Mapa final SI'!$S$31),"")</f>
        <v/>
      </c>
      <c r="AF49" s="257" t="str">
        <f>IF(AND('Mapa final SI'!$AC$32="Muy Baja",'Mapa final SI'!$AE$32="Mayor"),CONCATENATE("R4C",'Mapa final SI'!$S$32),"")</f>
        <v/>
      </c>
      <c r="AG49" s="258" t="str">
        <f>IF(AND('Mapa final SI'!$AC$33="Muy Baja",'Mapa final SI'!$AE$33="Mayor"),CONCATENATE("R4C",'Mapa final SI'!$S$33),"")</f>
        <v/>
      </c>
      <c r="AH49" s="259" t="str">
        <f>IF(AND('Mapa final SI'!$AC$28="Muy Baja",'Mapa final SI'!$AE$28="Catastrófico"),CONCATENATE("R4C",'Mapa final SI'!$S$28),"")</f>
        <v/>
      </c>
      <c r="AI49" s="260" t="str">
        <f>IF(AND('Mapa final SI'!$AC$29="Muy Baja",'Mapa final SI'!$AE$29="Catastrófico"),CONCATENATE("R4C",'Mapa final SI'!$S$29),"")</f>
        <v/>
      </c>
      <c r="AJ49" s="260" t="str">
        <f>IF(AND('Mapa final SI'!$AC$30="Muy Baja",'Mapa final SI'!$AE$30="Catastrófico"),CONCATENATE("R4C",'Mapa final SI'!$S$30),"")</f>
        <v/>
      </c>
      <c r="AK49" s="260" t="str">
        <f>IF(AND('Mapa final SI'!$AC$31="Muy Baja",'Mapa final SI'!$AE$31="Catastrófico"),CONCATENATE("R4C",'Mapa final SI'!$S$31),"")</f>
        <v/>
      </c>
      <c r="AL49" s="260" t="str">
        <f>IF(AND('Mapa final SI'!$AC$32="Muy Baja",'Mapa final SI'!$AE$32="Catastrófico"),CONCATENATE("R4C",'Mapa final SI'!$S$32),"")</f>
        <v/>
      </c>
      <c r="AM49" s="26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78"/>
      <c r="C50" s="578"/>
      <c r="D50" s="579"/>
      <c r="E50" s="667"/>
      <c r="F50" s="668"/>
      <c r="G50" s="668"/>
      <c r="H50" s="668"/>
      <c r="I50" s="669"/>
      <c r="J50" s="280" t="str">
        <f>IF(AND('Mapa final SI'!$AC$34="Muy Baja",'Mapa final SI'!$AE$34="Leve"),CONCATENATE("R5C",'Mapa final SI'!$S$34),"")</f>
        <v/>
      </c>
      <c r="K50" s="281" t="str">
        <f>IF(AND('Mapa final SI'!$AC$35="Muy Baja",'Mapa final SI'!$AE$35="Leve"),CONCATENATE("R5C",'Mapa final SI'!$S$35),"")</f>
        <v/>
      </c>
      <c r="L50" s="281" t="str">
        <f>IF(AND('Mapa final SI'!$AC$36="Muy Baja",'Mapa final SI'!$AE$36="Leve"),CONCATENATE("R5C",'Mapa final SI'!$S$36),"")</f>
        <v/>
      </c>
      <c r="M50" s="281" t="str">
        <f>IF(AND('Mapa final SI'!$AC$37="Muy Baja",'Mapa final SI'!$AE$37="Leve"),CONCATENATE("R5C",'Mapa final SI'!$S$37),"")</f>
        <v/>
      </c>
      <c r="N50" s="281" t="str">
        <f>IF(AND('Mapa final SI'!$AC$38="Muy Baja",'Mapa final SI'!$AE$38="Leve"),CONCATENATE("R5C",'Mapa final SI'!$S$38),"")</f>
        <v/>
      </c>
      <c r="O50" s="282" t="str">
        <f>IF(AND('Mapa final SI'!$AC$39="Muy Baja",'Mapa final SI'!$AE$39="Leve"),CONCATENATE("R5C",'Mapa final SI'!$S$39),"")</f>
        <v/>
      </c>
      <c r="P50" s="280" t="str">
        <f>IF(AND('Mapa final SI'!$AC$34="Muy Baja",'Mapa final SI'!$AE$34="Menor"),CONCATENATE("R5C",'Mapa final SI'!$S$34),"")</f>
        <v/>
      </c>
      <c r="Q50" s="281" t="str">
        <f>IF(AND('Mapa final SI'!$AC$35="Muy Baja",'Mapa final SI'!$AE$35="Menor"),CONCATENATE("R5C",'Mapa final SI'!$S$35),"")</f>
        <v/>
      </c>
      <c r="R50" s="281" t="str">
        <f>IF(AND('Mapa final SI'!$AC$36="Muy Baja",'Mapa final SI'!$AE$36="Menor"),CONCATENATE("R5C",'Mapa final SI'!$S$36),"")</f>
        <v/>
      </c>
      <c r="S50" s="281" t="str">
        <f>IF(AND('Mapa final SI'!$AC$37="Muy Baja",'Mapa final SI'!$AE$37="Menor"),CONCATENATE("R5C",'Mapa final SI'!$S$37),"")</f>
        <v/>
      </c>
      <c r="T50" s="281" t="str">
        <f>IF(AND('Mapa final SI'!$AC$38="Muy Baja",'Mapa final SI'!$AE$38="Menor"),CONCATENATE("R5C",'Mapa final SI'!$S$38),"")</f>
        <v/>
      </c>
      <c r="U50" s="282" t="str">
        <f>IF(AND('Mapa final SI'!$AC$39="Muy Baja",'Mapa final SI'!$AE$39="Menor"),CONCATENATE("R5C",'Mapa final SI'!$S$39),"")</f>
        <v/>
      </c>
      <c r="V50" s="271" t="str">
        <f>IF(AND('Mapa final SI'!$AC$34="Muy Baja",'Mapa final SI'!$AE$34="Moderado"),CONCATENATE("R5C",'Mapa final SI'!$S$34),"")</f>
        <v/>
      </c>
      <c r="W50" s="272" t="str">
        <f>IF(AND('Mapa final SI'!$AC$35="Muy Baja",'Mapa final SI'!$AE$35="Moderado"),CONCATENATE("R5C",'Mapa final SI'!$S$35),"")</f>
        <v/>
      </c>
      <c r="X50" s="272" t="str">
        <f>IF(AND('Mapa final SI'!$AC$36="Muy Baja",'Mapa final SI'!$AE$36="Moderado"),CONCATENATE("R5C",'Mapa final SI'!$S$36),"")</f>
        <v/>
      </c>
      <c r="Y50" s="272" t="str">
        <f>IF(AND('Mapa final SI'!$AC$37="Muy Baja",'Mapa final SI'!$AE$37="Moderado"),CONCATENATE("R5C",'Mapa final SI'!$S$37),"")</f>
        <v/>
      </c>
      <c r="Z50" s="272" t="str">
        <f>IF(AND('Mapa final SI'!$AC$38="Muy Baja",'Mapa final SI'!$AE$38="Moderado"),CONCATENATE("R5C",'Mapa final SI'!$S$38),"")</f>
        <v/>
      </c>
      <c r="AA50" s="273" t="str">
        <f>IF(AND('Mapa final SI'!$AC$39="Muy Baja",'Mapa final SI'!$AE$39="Moderado"),CONCATENATE("R5C",'Mapa final SI'!$S$39),"")</f>
        <v/>
      </c>
      <c r="AB50" s="256" t="str">
        <f>IF(AND('Mapa final SI'!$AC$34="Muy Baja",'Mapa final SI'!$AE$34="Mayor"),CONCATENATE("R5C",'Mapa final SI'!$S$34),"")</f>
        <v/>
      </c>
      <c r="AC50" s="257" t="str">
        <f>IF(AND('Mapa final SI'!$AC$35="Muy Baja",'Mapa final SI'!$AE$35="Mayor"),CONCATENATE("R5C",'Mapa final SI'!$S$35),"")</f>
        <v/>
      </c>
      <c r="AD50" s="257" t="str">
        <f>IF(AND('Mapa final SI'!$AC$36="Muy Baja",'Mapa final SI'!$AE$36="Mayor"),CONCATENATE("R5C",'Mapa final SI'!$S$36),"")</f>
        <v/>
      </c>
      <c r="AE50" s="257" t="str">
        <f>IF(AND('Mapa final SI'!$AC$37="Muy Baja",'Mapa final SI'!$AE$37="Mayor"),CONCATENATE("R5C",'Mapa final SI'!$S$37),"")</f>
        <v/>
      </c>
      <c r="AF50" s="257" t="str">
        <f>IF(AND('Mapa final SI'!$AC$38="Muy Baja",'Mapa final SI'!$AE$38="Mayor"),CONCATENATE("R5C",'Mapa final SI'!$S$38),"")</f>
        <v/>
      </c>
      <c r="AG50" s="258" t="str">
        <f>IF(AND('Mapa final SI'!$AC$39="Muy Baja",'Mapa final SI'!$AE$39="Mayor"),CONCATENATE("R5C",'Mapa final SI'!$S$39),"")</f>
        <v/>
      </c>
      <c r="AH50" s="259" t="str">
        <f>IF(AND('Mapa final SI'!$AC$34="Muy Baja",'Mapa final SI'!$AE$34="Catastrófico"),CONCATENATE("R5C",'Mapa final SI'!$S$34),"")</f>
        <v/>
      </c>
      <c r="AI50" s="260" t="str">
        <f>IF(AND('Mapa final SI'!$AC$35="Muy Baja",'Mapa final SI'!$AE$35="Catastrófico"),CONCATENATE("R5C",'Mapa final SI'!$S$35),"")</f>
        <v/>
      </c>
      <c r="AJ50" s="260" t="str">
        <f>IF(AND('Mapa final SI'!$AC$36="Muy Baja",'Mapa final SI'!$AE$36="Catastrófico"),CONCATENATE("R5C",'Mapa final SI'!$S$36),"")</f>
        <v/>
      </c>
      <c r="AK50" s="260" t="str">
        <f>IF(AND('Mapa final SI'!$AC$37="Muy Baja",'Mapa final SI'!$AE$37="Catastrófico"),CONCATENATE("R5C",'Mapa final SI'!$S$37),"")</f>
        <v/>
      </c>
      <c r="AL50" s="260" t="str">
        <f>IF(AND('Mapa final SI'!$AC$38="Muy Baja",'Mapa final SI'!$AE$38="Catastrófico"),CONCATENATE("R5C",'Mapa final SI'!$S$38),"")</f>
        <v/>
      </c>
      <c r="AM50" s="26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78"/>
      <c r="C51" s="578"/>
      <c r="D51" s="579"/>
      <c r="E51" s="667"/>
      <c r="F51" s="668"/>
      <c r="G51" s="668"/>
      <c r="H51" s="668"/>
      <c r="I51" s="669"/>
      <c r="J51" s="280" t="str">
        <f>IF(AND('Mapa final SI'!$AC$40="Muy Baja",'Mapa final SI'!$AE$40="Leve"),CONCATENATE("R6C",'Mapa final SI'!$S$40),"")</f>
        <v/>
      </c>
      <c r="K51" s="281" t="str">
        <f>IF(AND('Mapa final SI'!$AC$41="Muy Baja",'Mapa final SI'!$AE$41="Leve"),CONCATENATE("R6C",'Mapa final SI'!$S$41),"")</f>
        <v/>
      </c>
      <c r="L51" s="281" t="str">
        <f>IF(AND('Mapa final SI'!$AC$42="Muy Baja",'Mapa final SI'!$AE$42="Leve"),CONCATENATE("R6C",'Mapa final SI'!$S$42),"")</f>
        <v/>
      </c>
      <c r="M51" s="281" t="str">
        <f>IF(AND('Mapa final SI'!$AC$43="Muy Baja",'Mapa final SI'!$AE$43="Leve"),CONCATENATE("R6C",'Mapa final SI'!$S$43),"")</f>
        <v/>
      </c>
      <c r="N51" s="281" t="str">
        <f>IF(AND('Mapa final SI'!$AC$44="Muy Baja",'Mapa final SI'!$AE$44="Leve"),CONCATENATE("R6C",'Mapa final SI'!$S$44),"")</f>
        <v/>
      </c>
      <c r="O51" s="282" t="str">
        <f>IF(AND('Mapa final SI'!$AC$45="Muy Baja",'Mapa final SI'!$AE$45="Leve"),CONCATENATE("R6C",'Mapa final SI'!$S$45),"")</f>
        <v/>
      </c>
      <c r="P51" s="280" t="str">
        <f>IF(AND('Mapa final SI'!$AC$40="Muy Baja",'Mapa final SI'!$AE$40="Menor"),CONCATENATE("R6C",'Mapa final SI'!$S$40),"")</f>
        <v/>
      </c>
      <c r="Q51" s="281" t="str">
        <f>IF(AND('Mapa final SI'!$AC$41="Muy Baja",'Mapa final SI'!$AE$41="Menor"),CONCATENATE("R6C",'Mapa final SI'!$S$41),"")</f>
        <v/>
      </c>
      <c r="R51" s="281" t="str">
        <f>IF(AND('Mapa final SI'!$AC$42="Muy Baja",'Mapa final SI'!$AE$42="Menor"),CONCATENATE("R6C",'Mapa final SI'!$S$42),"")</f>
        <v/>
      </c>
      <c r="S51" s="281" t="str">
        <f>IF(AND('Mapa final SI'!$AC$43="Muy Baja",'Mapa final SI'!$AE$43="Menor"),CONCATENATE("R6C",'Mapa final SI'!$S$43),"")</f>
        <v/>
      </c>
      <c r="T51" s="281" t="str">
        <f>IF(AND('Mapa final SI'!$AC$44="Muy Baja",'Mapa final SI'!$AE$44="Menor"),CONCATENATE("R6C",'Mapa final SI'!$S$44),"")</f>
        <v/>
      </c>
      <c r="U51" s="282" t="str">
        <f>IF(AND('Mapa final SI'!$AC$45="Muy Baja",'Mapa final SI'!$AE$45="Menor"),CONCATENATE("R6C",'Mapa final SI'!$S$45),"")</f>
        <v/>
      </c>
      <c r="V51" s="271" t="str">
        <f>IF(AND('Mapa final SI'!$AC$40="Muy Baja",'Mapa final SI'!$AE$40="Moderado"),CONCATENATE("R6C",'Mapa final SI'!$S$40),"")</f>
        <v/>
      </c>
      <c r="W51" s="272" t="str">
        <f>IF(AND('Mapa final SI'!$AC$41="Muy Baja",'Mapa final SI'!$AE$41="Moderado"),CONCATENATE("R6C",'Mapa final SI'!$S$41),"")</f>
        <v/>
      </c>
      <c r="X51" s="272" t="str">
        <f>IF(AND('Mapa final SI'!$AC$42="Muy Baja",'Mapa final SI'!$AE$42="Moderado"),CONCATENATE("R6C",'Mapa final SI'!$S$42),"")</f>
        <v/>
      </c>
      <c r="Y51" s="272" t="str">
        <f>IF(AND('Mapa final SI'!$AC$43="Muy Baja",'Mapa final SI'!$AE$43="Moderado"),CONCATENATE("R6C",'Mapa final SI'!$S$43),"")</f>
        <v/>
      </c>
      <c r="Z51" s="272" t="str">
        <f>IF(AND('Mapa final SI'!$AC$44="Muy Baja",'Mapa final SI'!$AE$44="Moderado"),CONCATENATE("R6C",'Mapa final SI'!$S$44),"")</f>
        <v/>
      </c>
      <c r="AA51" s="273" t="str">
        <f>IF(AND('Mapa final SI'!$AC$45="Muy Baja",'Mapa final SI'!$AE$45="Moderado"),CONCATENATE("R6C",'Mapa final SI'!$S$45),"")</f>
        <v/>
      </c>
      <c r="AB51" s="256" t="str">
        <f>IF(AND('Mapa final SI'!$AC$40="Muy Baja",'Mapa final SI'!$AE$40="Mayor"),CONCATENATE("R6C",'Mapa final SI'!$S$40),"")</f>
        <v/>
      </c>
      <c r="AC51" s="257" t="str">
        <f>IF(AND('Mapa final SI'!$AC$41="Muy Baja",'Mapa final SI'!$AE$41="Mayor"),CONCATENATE("R6C",'Mapa final SI'!$S$41),"")</f>
        <v/>
      </c>
      <c r="AD51" s="257" t="str">
        <f>IF(AND('Mapa final SI'!$AC$42="Muy Baja",'Mapa final SI'!$AE$42="Mayor"),CONCATENATE("R6C",'Mapa final SI'!$S$42),"")</f>
        <v/>
      </c>
      <c r="AE51" s="257" t="str">
        <f>IF(AND('Mapa final SI'!$AC$43="Muy Baja",'Mapa final SI'!$AE$43="Mayor"),CONCATENATE("R6C",'Mapa final SI'!$S$43),"")</f>
        <v/>
      </c>
      <c r="AF51" s="257" t="str">
        <f>IF(AND('Mapa final SI'!$AC$44="Muy Baja",'Mapa final SI'!$AE$44="Mayor"),CONCATENATE("R6C",'Mapa final SI'!$S$44),"")</f>
        <v/>
      </c>
      <c r="AG51" s="258" t="str">
        <f>IF(AND('Mapa final SI'!$AC$45="Muy Baja",'Mapa final SI'!$AE$45="Mayor"),CONCATENATE("R6C",'Mapa final SI'!$S$45),"")</f>
        <v/>
      </c>
      <c r="AH51" s="259" t="str">
        <f>IF(AND('Mapa final SI'!$AC$40="Muy Baja",'Mapa final SI'!$AE$40="Catastrófico"),CONCATENATE("R6C",'Mapa final SI'!$S$40),"")</f>
        <v/>
      </c>
      <c r="AI51" s="260" t="str">
        <f>IF(AND('Mapa final SI'!$AC$41="Muy Baja",'Mapa final SI'!$AE$41="Catastrófico"),CONCATENATE("R6C",'Mapa final SI'!$S$41),"")</f>
        <v/>
      </c>
      <c r="AJ51" s="260" t="str">
        <f>IF(AND('Mapa final SI'!$AC$42="Muy Baja",'Mapa final SI'!$AE$42="Catastrófico"),CONCATENATE("R6C",'Mapa final SI'!$S$42),"")</f>
        <v/>
      </c>
      <c r="AK51" s="260" t="str">
        <f>IF(AND('Mapa final SI'!$AC$43="Muy Baja",'Mapa final SI'!$AE$43="Catastrófico"),CONCATENATE("R6C",'Mapa final SI'!$S$43),"")</f>
        <v/>
      </c>
      <c r="AL51" s="260" t="str">
        <f>IF(AND('Mapa final SI'!$AC$44="Muy Baja",'Mapa final SI'!$AE$44="Catastrófico"),CONCATENATE("R6C",'Mapa final SI'!$S$44),"")</f>
        <v/>
      </c>
      <c r="AM51" s="26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78"/>
      <c r="C52" s="578"/>
      <c r="D52" s="579"/>
      <c r="E52" s="667"/>
      <c r="F52" s="668"/>
      <c r="G52" s="668"/>
      <c r="H52" s="668"/>
      <c r="I52" s="669"/>
      <c r="J52" s="280" t="str">
        <f>IF(AND('Mapa final SI'!$AC$46="Muy Baja",'Mapa final SI'!$AE$46="Leve"),CONCATENATE("R7C",'Mapa final SI'!$S$46),"")</f>
        <v/>
      </c>
      <c r="K52" s="281" t="str">
        <f>IF(AND('Mapa final SI'!$AC$47="Muy Baja",'Mapa final SI'!$AE$47="Leve"),CONCATENATE("R7C",'Mapa final SI'!$S$47),"")</f>
        <v/>
      </c>
      <c r="L52" s="281" t="str">
        <f>IF(AND('Mapa final SI'!$AC$48="Muy Baja",'Mapa final SI'!$AE$48="Leve"),CONCATENATE("R7C",'Mapa final SI'!$S$48),"")</f>
        <v/>
      </c>
      <c r="M52" s="281" t="str">
        <f>IF(AND('Mapa final SI'!$AC$49="Muy Baja",'Mapa final SI'!$AE$49="Leve"),CONCATENATE("R7C",'Mapa final SI'!$S$49),"")</f>
        <v/>
      </c>
      <c r="N52" s="281" t="str">
        <f>IF(AND('Mapa final SI'!$AC$50="Muy Baja",'Mapa final SI'!$AE$50="Leve"),CONCATENATE("R7C",'Mapa final SI'!$S$50),"")</f>
        <v/>
      </c>
      <c r="O52" s="282" t="str">
        <f>IF(AND('Mapa final SI'!$AC$51="Muy Baja",'Mapa final SI'!$AE$51="Leve"),CONCATENATE("R7C",'Mapa final SI'!$S$51),"")</f>
        <v/>
      </c>
      <c r="P52" s="280" t="str">
        <f>IF(AND('Mapa final SI'!$AC$46="Muy Baja",'Mapa final SI'!$AE$46="Menor"),CONCATENATE("R7C",'Mapa final SI'!$S$46),"")</f>
        <v/>
      </c>
      <c r="Q52" s="281" t="str">
        <f>IF(AND('Mapa final SI'!$AC$47="Muy Baja",'Mapa final SI'!$AE$47="Menor"),CONCATENATE("R7C",'Mapa final SI'!$S$47),"")</f>
        <v/>
      </c>
      <c r="R52" s="281" t="str">
        <f>IF(AND('Mapa final SI'!$AC$48="Muy Baja",'Mapa final SI'!$AE$48="Menor"),CONCATENATE("R7C",'Mapa final SI'!$S$48),"")</f>
        <v/>
      </c>
      <c r="S52" s="281" t="str">
        <f>IF(AND('Mapa final SI'!$AC$49="Muy Baja",'Mapa final SI'!$AE$49="Menor"),CONCATENATE("R7C",'Mapa final SI'!$S$49),"")</f>
        <v/>
      </c>
      <c r="T52" s="281" t="str">
        <f>IF(AND('Mapa final SI'!$AC$50="Muy Baja",'Mapa final SI'!$AE$50="Menor"),CONCATENATE("R7C",'Mapa final SI'!$S$50),"")</f>
        <v/>
      </c>
      <c r="U52" s="282" t="str">
        <f>IF(AND('Mapa final SI'!$AC$51="Muy Baja",'Mapa final SI'!$AE$51="Menor"),CONCATENATE("R7C",'Mapa final SI'!$S$51),"")</f>
        <v/>
      </c>
      <c r="V52" s="271" t="str">
        <f>IF(AND('Mapa final SI'!$AC$46="Muy Baja",'Mapa final SI'!$AE$46="Moderado"),CONCATENATE("R7C",'Mapa final SI'!$S$46),"")</f>
        <v/>
      </c>
      <c r="W52" s="272" t="str">
        <f>IF(AND('Mapa final SI'!$AC$47="Muy Baja",'Mapa final SI'!$AE$47="Moderado"),CONCATENATE("R7C",'Mapa final SI'!$S$47),"")</f>
        <v/>
      </c>
      <c r="X52" s="272" t="str">
        <f>IF(AND('Mapa final SI'!$AC$48="Muy Baja",'Mapa final SI'!$AE$48="Moderado"),CONCATENATE("R7C",'Mapa final SI'!$S$48),"")</f>
        <v/>
      </c>
      <c r="Y52" s="272" t="str">
        <f>IF(AND('Mapa final SI'!$AC$49="Muy Baja",'Mapa final SI'!$AE$49="Moderado"),CONCATENATE("R7C",'Mapa final SI'!$S$49),"")</f>
        <v/>
      </c>
      <c r="Z52" s="272" t="str">
        <f>IF(AND('Mapa final SI'!$AC$50="Muy Baja",'Mapa final SI'!$AE$50="Moderado"),CONCATENATE("R7C",'Mapa final SI'!$S$50),"")</f>
        <v/>
      </c>
      <c r="AA52" s="273" t="str">
        <f>IF(AND('Mapa final SI'!$AC$51="Muy Baja",'Mapa final SI'!$AE$51="Moderado"),CONCATENATE("R7C",'Mapa final SI'!$S$51),"")</f>
        <v/>
      </c>
      <c r="AB52" s="256" t="str">
        <f>IF(AND('Mapa final SI'!$AC$46="Muy Baja",'Mapa final SI'!$AE$46="Mayor"),CONCATENATE("R7C",'Mapa final SI'!$S$46),"")</f>
        <v/>
      </c>
      <c r="AC52" s="257" t="str">
        <f>IF(AND('Mapa final SI'!$AC$47="Muy Baja",'Mapa final SI'!$AE$47="Mayor"),CONCATENATE("R7C",'Mapa final SI'!$S$47),"")</f>
        <v/>
      </c>
      <c r="AD52" s="257" t="str">
        <f>IF(AND('Mapa final SI'!$AC$48="Muy Baja",'Mapa final SI'!$AE$48="Mayor"),CONCATENATE("R7C",'Mapa final SI'!$S$48),"")</f>
        <v/>
      </c>
      <c r="AE52" s="257" t="str">
        <f>IF(AND('Mapa final SI'!$AC$49="Muy Baja",'Mapa final SI'!$AE$49="Mayor"),CONCATENATE("R7C",'Mapa final SI'!$S$49),"")</f>
        <v/>
      </c>
      <c r="AF52" s="257" t="str">
        <f>IF(AND('Mapa final SI'!$AC$50="Muy Baja",'Mapa final SI'!$AE$50="Mayor"),CONCATENATE("R7C",'Mapa final SI'!$S$50),"")</f>
        <v/>
      </c>
      <c r="AG52" s="258" t="str">
        <f>IF(AND('Mapa final SI'!$AC$51="Muy Baja",'Mapa final SI'!$AE$51="Mayor"),CONCATENATE("R7C",'Mapa final SI'!$S$51),"")</f>
        <v/>
      </c>
      <c r="AH52" s="259" t="str">
        <f>IF(AND('Mapa final SI'!$AC$46="Muy Baja",'Mapa final SI'!$AE$46="Catastrófico"),CONCATENATE("R7C",'Mapa final SI'!$S$46),"")</f>
        <v/>
      </c>
      <c r="AI52" s="260" t="str">
        <f>IF(AND('Mapa final SI'!$AC$47="Muy Baja",'Mapa final SI'!$AE$47="Catastrófico"),CONCATENATE("R7C",'Mapa final SI'!$S$47),"")</f>
        <v/>
      </c>
      <c r="AJ52" s="260" t="str">
        <f>IF(AND('Mapa final SI'!$AC$48="Muy Baja",'Mapa final SI'!$AE$48="Catastrófico"),CONCATENATE("R7C",'Mapa final SI'!$S$48),"")</f>
        <v/>
      </c>
      <c r="AK52" s="260" t="str">
        <f>IF(AND('Mapa final SI'!$AC$49="Muy Baja",'Mapa final SI'!$AE$49="Catastrófico"),CONCATENATE("R7C",'Mapa final SI'!$S$49),"")</f>
        <v/>
      </c>
      <c r="AL52" s="260" t="str">
        <f>IF(AND('Mapa final SI'!$AC$50="Muy Baja",'Mapa final SI'!$AE$50="Catastrófico"),CONCATENATE("R7C",'Mapa final SI'!$S$50),"")</f>
        <v/>
      </c>
      <c r="AM52" s="26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78"/>
      <c r="C53" s="578"/>
      <c r="D53" s="579"/>
      <c r="E53" s="667"/>
      <c r="F53" s="668"/>
      <c r="G53" s="668"/>
      <c r="H53" s="668"/>
      <c r="I53" s="669"/>
      <c r="J53" s="280" t="str">
        <f>IF(AND('Mapa final SI'!$AC$52="Muy Baja",'Mapa final SI'!$AE$52="Leve"),CONCATENATE("R8C",'Mapa final SI'!$S$52),"")</f>
        <v/>
      </c>
      <c r="K53" s="281" t="str">
        <f>IF(AND('Mapa final SI'!$AC$53="Muy Baja",'Mapa final SI'!$AE$53="Leve"),CONCATENATE("R8C",'Mapa final SI'!$S$53),"")</f>
        <v/>
      </c>
      <c r="L53" s="281" t="str">
        <f>IF(AND('Mapa final SI'!$AC$54="Muy Baja",'Mapa final SI'!$AE$54="Leve"),CONCATENATE("R8C",'Mapa final SI'!$S$54),"")</f>
        <v/>
      </c>
      <c r="M53" s="281" t="str">
        <f>IF(AND('Mapa final SI'!$AC$55="Muy Baja",'Mapa final SI'!$AE$55="Leve"),CONCATENATE("R8C",'Mapa final SI'!$S$55),"")</f>
        <v/>
      </c>
      <c r="N53" s="281" t="str">
        <f>IF(AND('Mapa final SI'!$AC$56="Muy Baja",'Mapa final SI'!$AE$56="Leve"),CONCATENATE("R8C",'Mapa final SI'!$S$56),"")</f>
        <v/>
      </c>
      <c r="O53" s="282" t="str">
        <f>IF(AND('Mapa final SI'!$AC$57="Muy Baja",'Mapa final SI'!$AE$57="Leve"),CONCATENATE("R8C",'Mapa final SI'!$S$57),"")</f>
        <v/>
      </c>
      <c r="P53" s="280" t="str">
        <f>IF(AND('Mapa final SI'!$AC$52="Muy Baja",'Mapa final SI'!$AE$52="Menor"),CONCATENATE("R8C",'Mapa final SI'!$S$52),"")</f>
        <v/>
      </c>
      <c r="Q53" s="281" t="str">
        <f>IF(AND('Mapa final SI'!$AC$53="Muy Baja",'Mapa final SI'!$AE$53="Menor"),CONCATENATE("R8C",'Mapa final SI'!$S$53),"")</f>
        <v/>
      </c>
      <c r="R53" s="281" t="str">
        <f>IF(AND('Mapa final SI'!$AC$54="Muy Baja",'Mapa final SI'!$AE$54="Menor"),CONCATENATE("R8C",'Mapa final SI'!$S$54),"")</f>
        <v/>
      </c>
      <c r="S53" s="281" t="str">
        <f>IF(AND('Mapa final SI'!$AC$55="Muy Baja",'Mapa final SI'!$AE$55="Menor"),CONCATENATE("R8C",'Mapa final SI'!$S$55),"")</f>
        <v/>
      </c>
      <c r="T53" s="281" t="str">
        <f>IF(AND('Mapa final SI'!$AC$56="Muy Baja",'Mapa final SI'!$AE$56="Menor"),CONCATENATE("R8C",'Mapa final SI'!$S$56),"")</f>
        <v/>
      </c>
      <c r="U53" s="282" t="str">
        <f>IF(AND('Mapa final SI'!$AC$57="Muy Baja",'Mapa final SI'!$AE$57="Menor"),CONCATENATE("R8C",'Mapa final SI'!$S$57),"")</f>
        <v/>
      </c>
      <c r="V53" s="271" t="str">
        <f>IF(AND('Mapa final SI'!$AC$52="Muy Baja",'Mapa final SI'!$AE$52="Moderado"),CONCATENATE("R8C",'Mapa final SI'!$S$52),"")</f>
        <v/>
      </c>
      <c r="W53" s="272" t="str">
        <f>IF(AND('Mapa final SI'!$AC$53="Muy Baja",'Mapa final SI'!$AE$53="Moderado"),CONCATENATE("R8C",'Mapa final SI'!$S$53),"")</f>
        <v/>
      </c>
      <c r="X53" s="272" t="str">
        <f>IF(AND('Mapa final SI'!$AC$54="Muy Baja",'Mapa final SI'!$AE$54="Moderado"),CONCATENATE("R8C",'Mapa final SI'!$S$54),"")</f>
        <v/>
      </c>
      <c r="Y53" s="272" t="str">
        <f>IF(AND('Mapa final SI'!$AC$55="Muy Baja",'Mapa final SI'!$AE$55="Moderado"),CONCATENATE("R8C",'Mapa final SI'!$S$55),"")</f>
        <v/>
      </c>
      <c r="Z53" s="272" t="str">
        <f>IF(AND('Mapa final SI'!$AC$56="Muy Baja",'Mapa final SI'!$AE$56="Moderado"),CONCATENATE("R8C",'Mapa final SI'!$S$56),"")</f>
        <v/>
      </c>
      <c r="AA53" s="273" t="str">
        <f>IF(AND('Mapa final SI'!$AC$57="Muy Baja",'Mapa final SI'!$AE$57="Moderado"),CONCATENATE("R8C",'Mapa final SI'!$S$57),"")</f>
        <v/>
      </c>
      <c r="AB53" s="256" t="str">
        <f>IF(AND('Mapa final SI'!$AC$52="Muy Baja",'Mapa final SI'!$AE$52="Mayor"),CONCATENATE("R8C",'Mapa final SI'!$S$52),"")</f>
        <v/>
      </c>
      <c r="AC53" s="257" t="str">
        <f>IF(AND('Mapa final SI'!$AC$53="Muy Baja",'Mapa final SI'!$AE$53="Mayor"),CONCATENATE("R8C",'Mapa final SI'!$S$53),"")</f>
        <v/>
      </c>
      <c r="AD53" s="257" t="str">
        <f>IF(AND('Mapa final SI'!$AC$54="Muy Baja",'Mapa final SI'!$AE$54="Mayor"),CONCATENATE("R8C",'Mapa final SI'!$S$54),"")</f>
        <v/>
      </c>
      <c r="AE53" s="257" t="str">
        <f>IF(AND('Mapa final SI'!$AC$55="Muy Baja",'Mapa final SI'!$AE$55="Mayor"),CONCATENATE("R8C",'Mapa final SI'!$S$55),"")</f>
        <v/>
      </c>
      <c r="AF53" s="257" t="str">
        <f>IF(AND('Mapa final SI'!$AC$56="Muy Baja",'Mapa final SI'!$AE$56="Mayor"),CONCATENATE("R8C",'Mapa final SI'!$S$56),"")</f>
        <v/>
      </c>
      <c r="AG53" s="258" t="str">
        <f>IF(AND('Mapa final SI'!$AC$57="Muy Baja",'Mapa final SI'!$AE$57="Mayor"),CONCATENATE("R8C",'Mapa final SI'!$S$57),"")</f>
        <v/>
      </c>
      <c r="AH53" s="259" t="str">
        <f>IF(AND('Mapa final SI'!$AC$52="Muy Baja",'Mapa final SI'!$AE$52="Catastrófico"),CONCATENATE("R8C",'Mapa final SI'!$S$52),"")</f>
        <v/>
      </c>
      <c r="AI53" s="260" t="str">
        <f>IF(AND('Mapa final SI'!$AC$53="Muy Baja",'Mapa final SI'!$AE$53="Catastrófico"),CONCATENATE("R8C",'Mapa final SI'!$S$53),"")</f>
        <v/>
      </c>
      <c r="AJ53" s="260" t="str">
        <f>IF(AND('Mapa final SI'!$AC$54="Muy Baja",'Mapa final SI'!$AE$54="Catastrófico"),CONCATENATE("R8C",'Mapa final SI'!$S$54),"")</f>
        <v/>
      </c>
      <c r="AK53" s="260" t="str">
        <f>IF(AND('Mapa final SI'!$AC$55="Muy Baja",'Mapa final SI'!$AE$55="Catastrófico"),CONCATENATE("R8C",'Mapa final SI'!$S$55),"")</f>
        <v/>
      </c>
      <c r="AL53" s="260" t="str">
        <f>IF(AND('Mapa final SI'!$AC$56="Muy Baja",'Mapa final SI'!$AE$56="Catastrófico"),CONCATENATE("R8C",'Mapa final SI'!$S$56),"")</f>
        <v/>
      </c>
      <c r="AM53" s="26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78"/>
      <c r="C54" s="578"/>
      <c r="D54" s="579"/>
      <c r="E54" s="667"/>
      <c r="F54" s="668"/>
      <c r="G54" s="668"/>
      <c r="H54" s="668"/>
      <c r="I54" s="669"/>
      <c r="J54" s="280" t="str">
        <f>IF(AND('Mapa final SI'!$AC$58="Muy Baja",'Mapa final SI'!$AE$58="Leve"),CONCATENATE("R9C",'Mapa final SI'!$S$58),"")</f>
        <v/>
      </c>
      <c r="K54" s="281" t="str">
        <f>IF(AND('Mapa final SI'!$AC$59="Muy Baja",'Mapa final SI'!$AE$59="Leve"),CONCATENATE("R9C",'Mapa final SI'!$S$59),"")</f>
        <v/>
      </c>
      <c r="L54" s="281" t="str">
        <f>IF(AND('Mapa final SI'!$AC$60="Muy Baja",'Mapa final SI'!$AE$60="Leve"),CONCATENATE("R9C",'Mapa final SI'!$S$60),"")</f>
        <v/>
      </c>
      <c r="M54" s="281" t="str">
        <f>IF(AND('Mapa final SI'!$AC$61="Muy Baja",'Mapa final SI'!$AE$61="Leve"),CONCATENATE("R9C",'Mapa final SI'!$S$61),"")</f>
        <v/>
      </c>
      <c r="N54" s="281" t="str">
        <f>IF(AND('Mapa final SI'!$AC$62="Muy Baja",'Mapa final SI'!$AE$62="Leve"),CONCATENATE("R9C",'Mapa final SI'!$S$62),"")</f>
        <v/>
      </c>
      <c r="O54" s="282" t="str">
        <f>IF(AND('Mapa final SI'!$AC$63="Muy Baja",'Mapa final SI'!$AE$63="Leve"),CONCATENATE("R9C",'Mapa final SI'!$S$63),"")</f>
        <v/>
      </c>
      <c r="P54" s="280" t="str">
        <f>IF(AND('Mapa final SI'!$AC$58="Muy Baja",'Mapa final SI'!$AE$58="Menor"),CONCATENATE("R9C",'Mapa final SI'!$S$58),"")</f>
        <v/>
      </c>
      <c r="Q54" s="281" t="str">
        <f>IF(AND('Mapa final SI'!$AC$59="Muy Baja",'Mapa final SI'!$AE$59="Menor"),CONCATENATE("R9C",'Mapa final SI'!$S$59),"")</f>
        <v/>
      </c>
      <c r="R54" s="281" t="str">
        <f>IF(AND('Mapa final SI'!$AC$60="Muy Baja",'Mapa final SI'!$AE$60="Menor"),CONCATENATE("R9C",'Mapa final SI'!$S$60),"")</f>
        <v/>
      </c>
      <c r="S54" s="281" t="str">
        <f>IF(AND('Mapa final SI'!$AC$61="Muy Baja",'Mapa final SI'!$AE$61="Menor"),CONCATENATE("R9C",'Mapa final SI'!$S$61),"")</f>
        <v/>
      </c>
      <c r="T54" s="281" t="str">
        <f>IF(AND('Mapa final SI'!$AC$62="Muy Baja",'Mapa final SI'!$AE$62="Menor"),CONCATENATE("R9C",'Mapa final SI'!$S$62),"")</f>
        <v/>
      </c>
      <c r="U54" s="282" t="str">
        <f>IF(AND('Mapa final SI'!$AC$63="Muy Baja",'Mapa final SI'!$AE$63="Menor"),CONCATENATE("R9C",'Mapa final SI'!$S$63),"")</f>
        <v/>
      </c>
      <c r="V54" s="271" t="str">
        <f>IF(AND('Mapa final SI'!$AC$58="Muy Baja",'Mapa final SI'!$AE$58="Moderado"),CONCATENATE("R9C",'Mapa final SI'!$S$58),"")</f>
        <v/>
      </c>
      <c r="W54" s="272" t="str">
        <f>IF(AND('Mapa final SI'!$AC$59="Muy Baja",'Mapa final SI'!$AE$59="Moderado"),CONCATENATE("R9C",'Mapa final SI'!$S$59),"")</f>
        <v/>
      </c>
      <c r="X54" s="272" t="str">
        <f>IF(AND('Mapa final SI'!$AC$60="Muy Baja",'Mapa final SI'!$AE$60="Moderado"),CONCATENATE("R9C",'Mapa final SI'!$S$60),"")</f>
        <v/>
      </c>
      <c r="Y54" s="272" t="str">
        <f>IF(AND('Mapa final SI'!$AC$61="Muy Baja",'Mapa final SI'!$AE$61="Moderado"),CONCATENATE("R9C",'Mapa final SI'!$S$61),"")</f>
        <v/>
      </c>
      <c r="Z54" s="272" t="str">
        <f>IF(AND('Mapa final SI'!$AC$62="Muy Baja",'Mapa final SI'!$AE$62="Moderado"),CONCATENATE("R9C",'Mapa final SI'!$S$62),"")</f>
        <v/>
      </c>
      <c r="AA54" s="273" t="str">
        <f>IF(AND('Mapa final SI'!$AC$63="Muy Baja",'Mapa final SI'!$AE$63="Moderado"),CONCATENATE("R9C",'Mapa final SI'!$S$63),"")</f>
        <v/>
      </c>
      <c r="AB54" s="256" t="str">
        <f>IF(AND('Mapa final SI'!$AC$58="Muy Baja",'Mapa final SI'!$AE$58="Mayor"),CONCATENATE("R9C",'Mapa final SI'!$S$58),"")</f>
        <v/>
      </c>
      <c r="AC54" s="257" t="str">
        <f>IF(AND('Mapa final SI'!$AC$59="Muy Baja",'Mapa final SI'!$AE$59="Mayor"),CONCATENATE("R9C",'Mapa final SI'!$S$59),"")</f>
        <v/>
      </c>
      <c r="AD54" s="257" t="str">
        <f>IF(AND('Mapa final SI'!$AC$60="Muy Baja",'Mapa final SI'!$AE$60="Mayor"),CONCATENATE("R9C",'Mapa final SI'!$S$60),"")</f>
        <v/>
      </c>
      <c r="AE54" s="257" t="str">
        <f>IF(AND('Mapa final SI'!$AC$61="Muy Baja",'Mapa final SI'!$AE$61="Mayor"),CONCATENATE("R9C",'Mapa final SI'!$S$61),"")</f>
        <v/>
      </c>
      <c r="AF54" s="257" t="str">
        <f>IF(AND('Mapa final SI'!$AC$62="Muy Baja",'Mapa final SI'!$AE$62="Mayor"),CONCATENATE("R9C",'Mapa final SI'!$S$62),"")</f>
        <v/>
      </c>
      <c r="AG54" s="258" t="str">
        <f>IF(AND('Mapa final SI'!$AC$63="Muy Baja",'Mapa final SI'!$AE$63="Mayor"),CONCATENATE("R9C",'Mapa final SI'!$S$63),"")</f>
        <v/>
      </c>
      <c r="AH54" s="259" t="str">
        <f>IF(AND('Mapa final SI'!$AC$58="Muy Baja",'Mapa final SI'!$AE$58="Catastrófico"),CONCATENATE("R9C",'Mapa final SI'!$S$58),"")</f>
        <v/>
      </c>
      <c r="AI54" s="260" t="str">
        <f>IF(AND('Mapa final SI'!$AC$59="Muy Baja",'Mapa final SI'!$AE$59="Catastrófico"),CONCATENATE("R9C",'Mapa final SI'!$S$59),"")</f>
        <v/>
      </c>
      <c r="AJ54" s="260" t="str">
        <f>IF(AND('Mapa final SI'!$AC$60="Muy Baja",'Mapa final SI'!$AE$60="Catastrófico"),CONCATENATE("R9C",'Mapa final SI'!$S$60),"")</f>
        <v/>
      </c>
      <c r="AK54" s="260" t="str">
        <f>IF(AND('Mapa final SI'!$AC$61="Muy Baja",'Mapa final SI'!$AE$61="Catastrófico"),CONCATENATE("R9C",'Mapa final SI'!$S$61),"")</f>
        <v/>
      </c>
      <c r="AL54" s="260" t="str">
        <f>IF(AND('Mapa final SI'!$AC$62="Muy Baja",'Mapa final SI'!$AE$62="Catastrófico"),CONCATENATE("R9C",'Mapa final SI'!$S$62),"")</f>
        <v/>
      </c>
      <c r="AM54" s="26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78"/>
      <c r="C55" s="578"/>
      <c r="D55" s="579"/>
      <c r="E55" s="670"/>
      <c r="F55" s="671"/>
      <c r="G55" s="671"/>
      <c r="H55" s="671"/>
      <c r="I55" s="672"/>
      <c r="J55" s="283" t="str">
        <f>IF(AND('Mapa final SI'!$AC$64="Muy Baja",'Mapa final SI'!$AE$64="Leve"),CONCATENATE("R10C",'Mapa final SI'!$S$64),"")</f>
        <v/>
      </c>
      <c r="K55" s="284" t="str">
        <f>IF(AND('Mapa final SI'!$AC$65="Muy Baja",'Mapa final SI'!$AE$65="Leve"),CONCATENATE("R10C",'Mapa final SI'!$S$65),"")</f>
        <v/>
      </c>
      <c r="L55" s="284" t="str">
        <f>IF(AND('Mapa final SI'!$AC$66="Muy Baja",'Mapa final SI'!$AE$66="Leve"),CONCATENATE("R10C",'Mapa final SI'!$S$66),"")</f>
        <v/>
      </c>
      <c r="M55" s="284" t="str">
        <f>IF(AND('Mapa final SI'!$AC$67="Muy Baja",'Mapa final SI'!$AE$67="Leve"),CONCATENATE("R10C",'Mapa final SI'!$S$67),"")</f>
        <v/>
      </c>
      <c r="N55" s="284" t="str">
        <f>IF(AND('Mapa final SI'!$AC$68="Muy Baja",'Mapa final SI'!$AE$68="Leve"),CONCATENATE("R10C",'Mapa final SI'!$S$68),"")</f>
        <v/>
      </c>
      <c r="O55" s="285" t="str">
        <f>IF(AND('Mapa final SI'!$AC$69="Muy Baja",'Mapa final SI'!$AE$69="Leve"),CONCATENATE("R10C",'Mapa final SI'!$S$69),"")</f>
        <v/>
      </c>
      <c r="P55" s="283" t="str">
        <f>IF(AND('Mapa final SI'!$AC$64="Muy Baja",'Mapa final SI'!$AE$64="Menor"),CONCATENATE("R10C",'Mapa final SI'!$S$64),"")</f>
        <v/>
      </c>
      <c r="Q55" s="284" t="str">
        <f>IF(AND('Mapa final SI'!$AC$65="Muy Baja",'Mapa final SI'!$AE$65="Menor"),CONCATENATE("R10C",'Mapa final SI'!$S$65),"")</f>
        <v/>
      </c>
      <c r="R55" s="284" t="str">
        <f>IF(AND('Mapa final SI'!$AC$66="Muy Baja",'Mapa final SI'!$AE$66="Menor"),CONCATENATE("R10C",'Mapa final SI'!$S$66),"")</f>
        <v/>
      </c>
      <c r="S55" s="284" t="str">
        <f>IF(AND('Mapa final SI'!$AC$67="Muy Baja",'Mapa final SI'!$AE$67="Menor"),CONCATENATE("R10C",'Mapa final SI'!$S$67),"")</f>
        <v/>
      </c>
      <c r="T55" s="284" t="str">
        <f>IF(AND('Mapa final SI'!$AC$68="Muy Baja",'Mapa final SI'!$AE$68="Menor"),CONCATENATE("R10C",'Mapa final SI'!$S$68),"")</f>
        <v/>
      </c>
      <c r="U55" s="285" t="str">
        <f>IF(AND('Mapa final SI'!$AC$69="Muy Baja",'Mapa final SI'!$AE$69="Menor"),CONCATENATE("R10C",'Mapa final SI'!$S$69),"")</f>
        <v/>
      </c>
      <c r="V55" s="274" t="str">
        <f>IF(AND('Mapa final SI'!$AC$64="Muy Baja",'Mapa final SI'!$AE$64="Moderado"),CONCATENATE("R10C",'Mapa final SI'!$S$64),"")</f>
        <v/>
      </c>
      <c r="W55" s="275" t="str">
        <f>IF(AND('Mapa final SI'!$AC$65="Muy Baja",'Mapa final SI'!$AE$65="Moderado"),CONCATENATE("R10C",'Mapa final SI'!$S$65),"")</f>
        <v/>
      </c>
      <c r="X55" s="275" t="str">
        <f>IF(AND('Mapa final SI'!$AC$66="Muy Baja",'Mapa final SI'!$AE$66="Moderado"),CONCATENATE("R10C",'Mapa final SI'!$S$66),"")</f>
        <v/>
      </c>
      <c r="Y55" s="275" t="str">
        <f>IF(AND('Mapa final SI'!$AC$67="Muy Baja",'Mapa final SI'!$AE$67="Moderado"),CONCATENATE("R10C",'Mapa final SI'!$S$67),"")</f>
        <v/>
      </c>
      <c r="Z55" s="275" t="str">
        <f>IF(AND('Mapa final SI'!$AC$68="Muy Baja",'Mapa final SI'!$AE$68="Moderado"),CONCATENATE("R10C",'Mapa final SI'!$S$68),"")</f>
        <v/>
      </c>
      <c r="AA55" s="276" t="str">
        <f>IF(AND('Mapa final SI'!$AC$69="Muy Baja",'Mapa final SI'!$AE$69="Moderado"),CONCATENATE("R10C",'Mapa final SI'!$S$69),"")</f>
        <v/>
      </c>
      <c r="AB55" s="262" t="str">
        <f>IF(AND('Mapa final SI'!$AC$64="Muy Baja",'Mapa final SI'!$AE$64="Mayor"),CONCATENATE("R10C",'Mapa final SI'!$S$64),"")</f>
        <v/>
      </c>
      <c r="AC55" s="263" t="str">
        <f>IF(AND('Mapa final SI'!$AC$65="Muy Baja",'Mapa final SI'!$AE$65="Mayor"),CONCATENATE("R10C",'Mapa final SI'!$S$65),"")</f>
        <v/>
      </c>
      <c r="AD55" s="263" t="str">
        <f>IF(AND('Mapa final SI'!$AC$66="Muy Baja",'Mapa final SI'!$AE$66="Mayor"),CONCATENATE("R10C",'Mapa final SI'!$S$66),"")</f>
        <v/>
      </c>
      <c r="AE55" s="263" t="str">
        <f>IF(AND('Mapa final SI'!$AC$67="Muy Baja",'Mapa final SI'!$AE$67="Mayor"),CONCATENATE("R10C",'Mapa final SI'!$S$67),"")</f>
        <v/>
      </c>
      <c r="AF55" s="263" t="str">
        <f>IF(AND('Mapa final SI'!$AC$68="Muy Baja",'Mapa final SI'!$AE$68="Mayor"),CONCATENATE("R10C",'Mapa final SI'!$S$68),"")</f>
        <v/>
      </c>
      <c r="AG55" s="264" t="str">
        <f>IF(AND('Mapa final SI'!$AC$69="Muy Baja",'Mapa final SI'!$AE$69="Mayor"),CONCATENATE("R10C",'Mapa final SI'!$S$69),"")</f>
        <v/>
      </c>
      <c r="AH55" s="265" t="str">
        <f>IF(AND('Mapa final SI'!$AC$64="Muy Baja",'Mapa final SI'!$AE$64="Catastrófico"),CONCATENATE("R10C",'Mapa final SI'!$S$64),"")</f>
        <v/>
      </c>
      <c r="AI55" s="266" t="str">
        <f>IF(AND('Mapa final SI'!$AC$65="Muy Baja",'Mapa final SI'!$AE$65="Catastrófico"),CONCATENATE("R10C",'Mapa final SI'!$S$65),"")</f>
        <v/>
      </c>
      <c r="AJ55" s="266" t="str">
        <f>IF(AND('Mapa final SI'!$AC$66="Muy Baja",'Mapa final SI'!$AE$66="Catastrófico"),CONCATENATE("R10C",'Mapa final SI'!$S$66),"")</f>
        <v/>
      </c>
      <c r="AK55" s="266" t="str">
        <f>IF(AND('Mapa final SI'!$AC$67="Muy Baja",'Mapa final SI'!$AE$67="Catastrófico"),CONCATENATE("R10C",'Mapa final SI'!$S$67),"")</f>
        <v/>
      </c>
      <c r="AL55" s="266" t="str">
        <f>IF(AND('Mapa final SI'!$AC$68="Muy Baja",'Mapa final SI'!$AE$68="Catastrófico"),CONCATENATE("R10C",'Mapa final SI'!$S$68),"")</f>
        <v/>
      </c>
      <c r="AM55" s="26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4" t="s">
        <v>1062</v>
      </c>
      <c r="K56" s="665"/>
      <c r="L56" s="665"/>
      <c r="M56" s="665"/>
      <c r="N56" s="665"/>
      <c r="O56" s="666"/>
      <c r="P56" s="664" t="s">
        <v>1063</v>
      </c>
      <c r="Q56" s="665"/>
      <c r="R56" s="665"/>
      <c r="S56" s="665"/>
      <c r="T56" s="665"/>
      <c r="U56" s="666"/>
      <c r="V56" s="664" t="s">
        <v>1064</v>
      </c>
      <c r="W56" s="665"/>
      <c r="X56" s="665"/>
      <c r="Y56" s="665"/>
      <c r="Z56" s="665"/>
      <c r="AA56" s="666"/>
      <c r="AB56" s="664" t="s">
        <v>1065</v>
      </c>
      <c r="AC56" s="710"/>
      <c r="AD56" s="665"/>
      <c r="AE56" s="665"/>
      <c r="AF56" s="665"/>
      <c r="AG56" s="666"/>
      <c r="AH56" s="664" t="s">
        <v>1066</v>
      </c>
      <c r="AI56" s="665"/>
      <c r="AJ56" s="665"/>
      <c r="AK56" s="665"/>
      <c r="AL56" s="665"/>
      <c r="AM56" s="66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67"/>
      <c r="K57" s="668"/>
      <c r="L57" s="668"/>
      <c r="M57" s="668"/>
      <c r="N57" s="668"/>
      <c r="O57" s="669"/>
      <c r="P57" s="667"/>
      <c r="Q57" s="668"/>
      <c r="R57" s="668"/>
      <c r="S57" s="668"/>
      <c r="T57" s="668"/>
      <c r="U57" s="669"/>
      <c r="V57" s="667"/>
      <c r="W57" s="668"/>
      <c r="X57" s="668"/>
      <c r="Y57" s="668"/>
      <c r="Z57" s="668"/>
      <c r="AA57" s="669"/>
      <c r="AB57" s="667"/>
      <c r="AC57" s="668"/>
      <c r="AD57" s="668"/>
      <c r="AE57" s="668"/>
      <c r="AF57" s="668"/>
      <c r="AG57" s="669"/>
      <c r="AH57" s="667"/>
      <c r="AI57" s="668"/>
      <c r="AJ57" s="668"/>
      <c r="AK57" s="668"/>
      <c r="AL57" s="668"/>
      <c r="AM57" s="66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67"/>
      <c r="K58" s="668"/>
      <c r="L58" s="668"/>
      <c r="M58" s="668"/>
      <c r="N58" s="668"/>
      <c r="O58" s="669"/>
      <c r="P58" s="667"/>
      <c r="Q58" s="668"/>
      <c r="R58" s="668"/>
      <c r="S58" s="668"/>
      <c r="T58" s="668"/>
      <c r="U58" s="669"/>
      <c r="V58" s="667"/>
      <c r="W58" s="668"/>
      <c r="X58" s="668"/>
      <c r="Y58" s="668"/>
      <c r="Z58" s="668"/>
      <c r="AA58" s="669"/>
      <c r="AB58" s="667"/>
      <c r="AC58" s="668"/>
      <c r="AD58" s="668"/>
      <c r="AE58" s="668"/>
      <c r="AF58" s="668"/>
      <c r="AG58" s="669"/>
      <c r="AH58" s="667"/>
      <c r="AI58" s="668"/>
      <c r="AJ58" s="668"/>
      <c r="AK58" s="668"/>
      <c r="AL58" s="668"/>
      <c r="AM58" s="66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67"/>
      <c r="K59" s="668"/>
      <c r="L59" s="668"/>
      <c r="M59" s="668"/>
      <c r="N59" s="668"/>
      <c r="O59" s="669"/>
      <c r="P59" s="667"/>
      <c r="Q59" s="668"/>
      <c r="R59" s="668"/>
      <c r="S59" s="668"/>
      <c r="T59" s="668"/>
      <c r="U59" s="669"/>
      <c r="V59" s="667"/>
      <c r="W59" s="668"/>
      <c r="X59" s="668"/>
      <c r="Y59" s="668"/>
      <c r="Z59" s="668"/>
      <c r="AA59" s="669"/>
      <c r="AB59" s="667"/>
      <c r="AC59" s="668"/>
      <c r="AD59" s="668"/>
      <c r="AE59" s="668"/>
      <c r="AF59" s="668"/>
      <c r="AG59" s="669"/>
      <c r="AH59" s="667"/>
      <c r="AI59" s="668"/>
      <c r="AJ59" s="668"/>
      <c r="AK59" s="668"/>
      <c r="AL59" s="668"/>
      <c r="AM59" s="66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67"/>
      <c r="K60" s="668"/>
      <c r="L60" s="668"/>
      <c r="M60" s="668"/>
      <c r="N60" s="668"/>
      <c r="O60" s="669"/>
      <c r="P60" s="667"/>
      <c r="Q60" s="668"/>
      <c r="R60" s="668"/>
      <c r="S60" s="668"/>
      <c r="T60" s="668"/>
      <c r="U60" s="669"/>
      <c r="V60" s="667"/>
      <c r="W60" s="668"/>
      <c r="X60" s="668"/>
      <c r="Y60" s="668"/>
      <c r="Z60" s="668"/>
      <c r="AA60" s="669"/>
      <c r="AB60" s="667"/>
      <c r="AC60" s="668"/>
      <c r="AD60" s="668"/>
      <c r="AE60" s="668"/>
      <c r="AF60" s="668"/>
      <c r="AG60" s="669"/>
      <c r="AH60" s="667"/>
      <c r="AI60" s="668"/>
      <c r="AJ60" s="668"/>
      <c r="AK60" s="668"/>
      <c r="AL60" s="668"/>
      <c r="AM60" s="66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0"/>
      <c r="K61" s="671"/>
      <c r="L61" s="671"/>
      <c r="M61" s="671"/>
      <c r="N61" s="671"/>
      <c r="O61" s="672"/>
      <c r="P61" s="670"/>
      <c r="Q61" s="671"/>
      <c r="R61" s="671"/>
      <c r="S61" s="671"/>
      <c r="T61" s="671"/>
      <c r="U61" s="672"/>
      <c r="V61" s="670"/>
      <c r="W61" s="671"/>
      <c r="X61" s="671"/>
      <c r="Y61" s="671"/>
      <c r="Z61" s="671"/>
      <c r="AA61" s="672"/>
      <c r="AB61" s="670"/>
      <c r="AC61" s="671"/>
      <c r="AD61" s="671"/>
      <c r="AE61" s="671"/>
      <c r="AF61" s="671"/>
      <c r="AG61" s="672"/>
      <c r="AH61" s="670"/>
      <c r="AI61" s="671"/>
      <c r="AJ61" s="671"/>
      <c r="AK61" s="671"/>
      <c r="AL61" s="671"/>
      <c r="AM61" s="67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N5ALO6urF2elQ9emazdLGTzTJTC2Ipho5SjqoSNl8veGFNqsXjFGfd9uIS7tm7JJwIDJISMyMfiPu+xdi6cOuw==" saltValue="qfslYgp+HWsRXzxGky+Av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C5" sqref="C5"/>
    </sheetView>
  </sheetViews>
  <sheetFormatPr baseColWidth="10"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6"/>
      <c r="C1" s="148"/>
      <c r="D1" s="721" t="s">
        <v>469</v>
      </c>
      <c r="E1" s="723" t="s">
        <v>1233</v>
      </c>
      <c r="F1" s="724"/>
      <c r="G1" s="724"/>
      <c r="H1" s="724"/>
      <c r="I1" s="724"/>
      <c r="J1" s="724"/>
      <c r="K1" s="724"/>
      <c r="L1" s="724"/>
      <c r="M1" s="724"/>
      <c r="N1" s="724"/>
      <c r="O1" s="724"/>
      <c r="P1" s="153" t="s">
        <v>963</v>
      </c>
      <c r="Q1" s="15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5" t="s">
        <v>13</v>
      </c>
      <c r="CL1" s="726"/>
    </row>
    <row r="2" spans="1:90" ht="24" customHeight="1" thickBot="1" x14ac:dyDescent="0.3">
      <c r="A2" s="116"/>
      <c r="B2" s="145"/>
      <c r="C2" s="149"/>
      <c r="D2" s="722"/>
      <c r="E2" s="723"/>
      <c r="F2" s="724"/>
      <c r="G2" s="724"/>
      <c r="H2" s="724"/>
      <c r="I2" s="724"/>
      <c r="J2" s="724"/>
      <c r="K2" s="724"/>
      <c r="L2" s="724"/>
      <c r="M2" s="724"/>
      <c r="N2" s="724"/>
      <c r="O2" s="724"/>
      <c r="P2" s="153" t="s">
        <v>964</v>
      </c>
      <c r="Q2" s="153" t="s">
        <v>1238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5" t="s">
        <v>12</v>
      </c>
      <c r="CL2" s="726"/>
    </row>
    <row r="3" spans="1:90" s="110" customFormat="1" ht="36.75" customHeight="1" thickBot="1" x14ac:dyDescent="0.3">
      <c r="A3" s="116"/>
      <c r="B3" s="145"/>
      <c r="C3" s="150"/>
      <c r="D3" s="155" t="s">
        <v>962</v>
      </c>
      <c r="E3" s="727" t="s">
        <v>1240</v>
      </c>
      <c r="F3" s="727"/>
      <c r="G3" s="727"/>
      <c r="H3" s="727"/>
      <c r="I3" s="727"/>
      <c r="J3" s="727"/>
      <c r="K3" s="727"/>
      <c r="L3" s="727"/>
      <c r="M3" s="727"/>
      <c r="N3" s="727"/>
      <c r="O3" s="723"/>
      <c r="P3" s="153" t="s">
        <v>965</v>
      </c>
      <c r="Q3" s="15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8" t="s">
        <v>156</v>
      </c>
      <c r="CL3" s="729"/>
    </row>
    <row r="4" spans="1:90" ht="27" customHeight="1" x14ac:dyDescent="0.25">
      <c r="A4" s="116"/>
      <c r="B4" s="408"/>
      <c r="C4" s="409"/>
      <c r="D4" s="410"/>
      <c r="E4" s="413" t="s">
        <v>961</v>
      </c>
      <c r="F4" s="413"/>
      <c r="G4" s="413"/>
      <c r="H4" s="413"/>
      <c r="I4" s="413"/>
      <c r="J4" s="413"/>
      <c r="K4" s="413"/>
      <c r="L4" s="413"/>
      <c r="M4" s="413"/>
      <c r="N4" s="413"/>
      <c r="O4" s="413"/>
      <c r="P4" s="411"/>
      <c r="Q4" s="412"/>
    </row>
    <row r="5" spans="1:90" customFormat="1" ht="41.25" customHeight="1" thickBot="1" x14ac:dyDescent="0.3">
      <c r="A5" s="117"/>
      <c r="B5" s="398" t="s">
        <v>473</v>
      </c>
      <c r="C5" s="202" t="str">
        <f>IF('Mapa final SI'!E4="","",'Mapa final SI'!E4)</f>
        <v xml:space="preserve">Gestión Administrativa </v>
      </c>
      <c r="D5" s="399"/>
      <c r="Q5" s="400"/>
    </row>
    <row r="6" spans="1:90" s="1" customFormat="1" ht="114" customHeight="1" thickBot="1" x14ac:dyDescent="0.3">
      <c r="A6" s="346" t="s">
        <v>462</v>
      </c>
      <c r="B6" s="406" t="s">
        <v>159</v>
      </c>
      <c r="C6" s="379" t="s">
        <v>25</v>
      </c>
      <c r="D6" s="402" t="s">
        <v>27</v>
      </c>
      <c r="E6" s="403" t="s">
        <v>2</v>
      </c>
      <c r="F6" s="404" t="s">
        <v>3</v>
      </c>
      <c r="G6" s="404" t="s">
        <v>5</v>
      </c>
      <c r="H6" s="404" t="s">
        <v>185</v>
      </c>
      <c r="I6" s="404" t="s">
        <v>3</v>
      </c>
      <c r="J6" s="404" t="s">
        <v>5</v>
      </c>
      <c r="K6" s="404" t="s">
        <v>160</v>
      </c>
      <c r="L6" s="404" t="s">
        <v>161</v>
      </c>
      <c r="M6" s="379" t="s">
        <v>88</v>
      </c>
      <c r="N6" s="379" t="s">
        <v>162</v>
      </c>
      <c r="O6" s="379" t="s">
        <v>0</v>
      </c>
      <c r="P6" s="379" t="s">
        <v>163</v>
      </c>
      <c r="Q6" s="379" t="s">
        <v>164</v>
      </c>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row>
    <row r="7" spans="1:90" ht="52.5" customHeight="1" x14ac:dyDescent="0.25">
      <c r="A7" s="119" t="s">
        <v>545</v>
      </c>
      <c r="B7" s="712"/>
      <c r="C7" s="714" t="str">
        <f>IF('Mapa final SI'!G10="","",'Mapa final SI'!G10)</f>
        <v/>
      </c>
      <c r="D7" s="716"/>
      <c r="E7" s="714" t="str">
        <f>IF('Mapa final SI'!F10="","",'Mapa final SI'!F10)</f>
        <v/>
      </c>
      <c r="F7" s="720" t="str">
        <f>IF('Mapa final SI'!L10="","",'Mapa final SI'!L10)</f>
        <v/>
      </c>
      <c r="G7" s="720" t="str">
        <f>IF('Mapa final SI'!P10="","",'Mapa final SI'!P10)</f>
        <v/>
      </c>
      <c r="H7" s="82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4" t="str">
        <f>IF('Mapa final SI'!AC10="","",'Mapa final SI'!AC10)</f>
        <v/>
      </c>
      <c r="J7" s="344" t="str">
        <f>IF('Mapa final SI'!AE10="","",'Mapa final SI'!AE10)</f>
        <v/>
      </c>
      <c r="K7" s="34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4" t="str">
        <f>IF('Mapa final SI'!AH10="","",'Mapa final SI'!AH10)</f>
        <v/>
      </c>
      <c r="M7" s="345" t="str">
        <f>IF('Mapa final SI'!T10="","",'Mapa final SI'!T10)</f>
        <v/>
      </c>
      <c r="N7" s="176"/>
      <c r="O7" s="70"/>
      <c r="P7" s="70"/>
      <c r="Q7" s="177"/>
    </row>
    <row r="8" spans="1:90" ht="43.5" customHeight="1" x14ac:dyDescent="0.25">
      <c r="A8" s="119" t="s">
        <v>546</v>
      </c>
      <c r="B8" s="713"/>
      <c r="C8" s="715"/>
      <c r="D8" s="717"/>
      <c r="E8" s="715"/>
      <c r="F8" s="718"/>
      <c r="G8" s="718"/>
      <c r="H8" s="824"/>
      <c r="I8" s="344" t="str">
        <f>IF('Mapa final SI'!AC11="","",'Mapa final SI'!AC11)</f>
        <v/>
      </c>
      <c r="J8" s="344" t="str">
        <f>IF('Mapa final SI'!AE11="","",'Mapa final SI'!AE11)</f>
        <v/>
      </c>
      <c r="K8" s="34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4" t="str">
        <f>IF('Mapa final SI'!AH11="","",'Mapa final SI'!AH11)</f>
        <v/>
      </c>
      <c r="M8" s="345" t="str">
        <f>IF('Mapa final SI'!T11="","",'Mapa final SI'!T11)</f>
        <v/>
      </c>
      <c r="N8" s="70"/>
      <c r="O8" s="70"/>
      <c r="P8" s="70"/>
      <c r="Q8" s="177"/>
    </row>
    <row r="9" spans="1:90" ht="43.5" customHeight="1" x14ac:dyDescent="0.25">
      <c r="A9" s="119" t="s">
        <v>547</v>
      </c>
      <c r="B9" s="713"/>
      <c r="C9" s="715"/>
      <c r="D9" s="717"/>
      <c r="E9" s="715"/>
      <c r="F9" s="718"/>
      <c r="G9" s="718"/>
      <c r="H9" s="824"/>
      <c r="I9" s="344" t="str">
        <f>IF('Mapa final SI'!AC12="","",'Mapa final SI'!AC12)</f>
        <v/>
      </c>
      <c r="J9" s="344" t="str">
        <f>IF('Mapa final SI'!AE12="","",'Mapa final SI'!AE12)</f>
        <v/>
      </c>
      <c r="K9" s="344" t="str">
        <f t="shared" si="0"/>
        <v/>
      </c>
      <c r="L9" s="344" t="str">
        <f>IF('Mapa final SI'!AH12="","",'Mapa final SI'!AH12)</f>
        <v/>
      </c>
      <c r="M9" s="345" t="str">
        <f>IF('Mapa final SI'!T12="","",'Mapa final SI'!T12)</f>
        <v/>
      </c>
      <c r="N9" s="70"/>
      <c r="O9" s="70"/>
      <c r="P9" s="70"/>
      <c r="Q9" s="177"/>
    </row>
    <row r="10" spans="1:90" ht="43.5" customHeight="1" x14ac:dyDescent="0.25">
      <c r="A10" s="119" t="s">
        <v>548</v>
      </c>
      <c r="B10" s="713"/>
      <c r="C10" s="715"/>
      <c r="D10" s="717"/>
      <c r="E10" s="715"/>
      <c r="F10" s="718"/>
      <c r="G10" s="718"/>
      <c r="H10" s="824"/>
      <c r="I10" s="344" t="str">
        <f>IF('Mapa final SI'!AC13="","",'Mapa final SI'!AC13)</f>
        <v/>
      </c>
      <c r="J10" s="344" t="str">
        <f>IF('Mapa final SI'!AE13="","",'Mapa final SI'!AE13)</f>
        <v/>
      </c>
      <c r="K10" s="344" t="str">
        <f t="shared" si="0"/>
        <v/>
      </c>
      <c r="L10" s="344" t="str">
        <f>IF('Mapa final SI'!AH13="","",'Mapa final SI'!AH13)</f>
        <v/>
      </c>
      <c r="M10" s="345" t="str">
        <f>IF('Mapa final SI'!T13="","",'Mapa final SI'!T13)</f>
        <v/>
      </c>
      <c r="N10" s="70"/>
      <c r="O10" s="70"/>
      <c r="P10" s="70"/>
      <c r="Q10" s="177"/>
    </row>
    <row r="11" spans="1:90" ht="43.5" customHeight="1" x14ac:dyDescent="0.25">
      <c r="A11" s="119" t="s">
        <v>549</v>
      </c>
      <c r="B11" s="713"/>
      <c r="C11" s="715"/>
      <c r="D11" s="717"/>
      <c r="E11" s="715"/>
      <c r="F11" s="718"/>
      <c r="G11" s="718"/>
      <c r="H11" s="824"/>
      <c r="I11" s="344" t="str">
        <f>IF('Mapa final SI'!AC14="","",'Mapa final SI'!AC14)</f>
        <v/>
      </c>
      <c r="J11" s="344" t="str">
        <f>IF('Mapa final SI'!AE14="","",'Mapa final SI'!AE14)</f>
        <v/>
      </c>
      <c r="K11" s="344" t="str">
        <f t="shared" si="0"/>
        <v/>
      </c>
      <c r="L11" s="344" t="str">
        <f>IF('Mapa final SI'!AH14="","",'Mapa final SI'!AH14)</f>
        <v/>
      </c>
      <c r="M11" s="345" t="str">
        <f>IF('Mapa final SI'!T14="","",'Mapa final SI'!T14)</f>
        <v/>
      </c>
      <c r="N11" s="70"/>
      <c r="O11" s="70"/>
      <c r="P11" s="70"/>
      <c r="Q11" s="177"/>
    </row>
    <row r="12" spans="1:90" ht="43.5" customHeight="1" x14ac:dyDescent="0.25">
      <c r="A12" s="119" t="s">
        <v>550</v>
      </c>
      <c r="B12" s="713"/>
      <c r="C12" s="715"/>
      <c r="D12" s="717"/>
      <c r="E12" s="715"/>
      <c r="F12" s="718"/>
      <c r="G12" s="718"/>
      <c r="H12" s="719"/>
      <c r="I12" s="344" t="str">
        <f>IF('Mapa final SI'!AC15="","",'Mapa final SI'!AC15)</f>
        <v/>
      </c>
      <c r="J12" s="344" t="str">
        <f>IF('Mapa final SI'!AE15="","",'Mapa final SI'!AE15)</f>
        <v/>
      </c>
      <c r="K12" s="344" t="str">
        <f t="shared" si="0"/>
        <v/>
      </c>
      <c r="L12" s="344" t="str">
        <f>IF('Mapa final SI'!AH15="","",'Mapa final SI'!AH15)</f>
        <v/>
      </c>
      <c r="M12" s="345" t="str">
        <f>IF('Mapa final SI'!T15="","",'Mapa final SI'!T15)</f>
        <v/>
      </c>
      <c r="N12" s="70"/>
      <c r="O12" s="70"/>
      <c r="P12" s="70"/>
      <c r="Q12" s="177"/>
    </row>
    <row r="13" spans="1:90" ht="43.5" customHeight="1" x14ac:dyDescent="0.25">
      <c r="A13" s="119" t="s">
        <v>551</v>
      </c>
      <c r="B13" s="712"/>
      <c r="C13" s="714" t="str">
        <f>IF('Mapa final SI'!G16="","",'Mapa final SI'!G16)</f>
        <v/>
      </c>
      <c r="D13" s="716"/>
      <c r="E13" s="714" t="str">
        <f>IF('Mapa final SI'!F16="","",'Mapa final SI'!F16)</f>
        <v/>
      </c>
      <c r="F13" s="720" t="str">
        <f>IF('Mapa final SI'!L16="","",'Mapa final SI'!L16)</f>
        <v/>
      </c>
      <c r="G13" s="720" t="str">
        <f>IF('Mapa final SI'!P16="","",'Mapa final SI'!P16)</f>
        <v/>
      </c>
      <c r="H13" s="82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4" t="str">
        <f>IF('Mapa final SI'!AC16="","",'Mapa final SI'!AC16)</f>
        <v/>
      </c>
      <c r="J13" s="344" t="str">
        <f>IF('Mapa final SI'!AE16="","",'Mapa final SI'!AE16)</f>
        <v/>
      </c>
      <c r="K13" s="344" t="str">
        <f t="shared" si="0"/>
        <v/>
      </c>
      <c r="L13" s="344" t="str">
        <f>IF('Mapa final SI'!AH16="","",'Mapa final SI'!AH16)</f>
        <v/>
      </c>
      <c r="M13" s="345" t="str">
        <f>IF('Mapa final SI'!T16="","",'Mapa final SI'!T16)</f>
        <v/>
      </c>
      <c r="N13" s="70"/>
      <c r="O13" s="70"/>
      <c r="P13" s="70"/>
      <c r="Q13" s="177"/>
    </row>
    <row r="14" spans="1:90" ht="43.5" customHeight="1" x14ac:dyDescent="0.25">
      <c r="A14" s="119" t="s">
        <v>552</v>
      </c>
      <c r="B14" s="713"/>
      <c r="C14" s="715"/>
      <c r="D14" s="717"/>
      <c r="E14" s="715"/>
      <c r="F14" s="718"/>
      <c r="G14" s="718"/>
      <c r="H14" s="824"/>
      <c r="I14" s="344" t="str">
        <f>IF('Mapa final SI'!AC17="","",'Mapa final SI'!AC17)</f>
        <v/>
      </c>
      <c r="J14" s="344" t="str">
        <f>IF('Mapa final SI'!AE17="","",'Mapa final SI'!AE17)</f>
        <v/>
      </c>
      <c r="K14" s="344" t="str">
        <f t="shared" si="0"/>
        <v/>
      </c>
      <c r="L14" s="344" t="str">
        <f>IF('Mapa final SI'!AH17="","",'Mapa final SI'!AH17)</f>
        <v/>
      </c>
      <c r="M14" s="345" t="str">
        <f>IF('Mapa final SI'!T17="","",'Mapa final SI'!T17)</f>
        <v/>
      </c>
      <c r="N14" s="70"/>
      <c r="O14" s="70"/>
      <c r="P14" s="70"/>
      <c r="Q14" s="177"/>
    </row>
    <row r="15" spans="1:90" ht="43.5" customHeight="1" x14ac:dyDescent="0.25">
      <c r="A15" s="119" t="s">
        <v>553</v>
      </c>
      <c r="B15" s="713"/>
      <c r="C15" s="715"/>
      <c r="D15" s="717"/>
      <c r="E15" s="715"/>
      <c r="F15" s="718"/>
      <c r="G15" s="718"/>
      <c r="H15" s="824"/>
      <c r="I15" s="344" t="str">
        <f>IF('Mapa final SI'!AC18="","",'Mapa final SI'!AC18)</f>
        <v/>
      </c>
      <c r="J15" s="344" t="str">
        <f>IF('Mapa final SI'!AE18="","",'Mapa final SI'!AE18)</f>
        <v/>
      </c>
      <c r="K15" s="344" t="str">
        <f t="shared" si="0"/>
        <v/>
      </c>
      <c r="L15" s="344" t="str">
        <f>IF('Mapa final SI'!AH18="","",'Mapa final SI'!AH18)</f>
        <v/>
      </c>
      <c r="M15" s="345" t="str">
        <f>IF('Mapa final SI'!T18="","",'Mapa final SI'!T18)</f>
        <v/>
      </c>
      <c r="N15" s="70"/>
      <c r="O15" s="70"/>
      <c r="P15" s="70"/>
      <c r="Q15" s="177"/>
    </row>
    <row r="16" spans="1:90" ht="43.5" customHeight="1" x14ac:dyDescent="0.25">
      <c r="A16" s="119" t="s">
        <v>554</v>
      </c>
      <c r="B16" s="713"/>
      <c r="C16" s="715"/>
      <c r="D16" s="717"/>
      <c r="E16" s="715"/>
      <c r="F16" s="718"/>
      <c r="G16" s="718"/>
      <c r="H16" s="824"/>
      <c r="I16" s="344" t="str">
        <f>IF('Mapa final SI'!AC19="","",'Mapa final SI'!AC19)</f>
        <v/>
      </c>
      <c r="J16" s="344" t="str">
        <f>IF('Mapa final SI'!AE19="","",'Mapa final SI'!AE19)</f>
        <v/>
      </c>
      <c r="K16" s="344" t="str">
        <f t="shared" si="0"/>
        <v/>
      </c>
      <c r="L16" s="344" t="str">
        <f>IF('Mapa final SI'!AH19="","",'Mapa final SI'!AH19)</f>
        <v/>
      </c>
      <c r="M16" s="345" t="str">
        <f>IF('Mapa final SI'!T19="","",'Mapa final SI'!T19)</f>
        <v/>
      </c>
      <c r="N16" s="70"/>
      <c r="O16" s="70"/>
      <c r="P16" s="70"/>
      <c r="Q16" s="177"/>
    </row>
    <row r="17" spans="1:17" ht="43.5" customHeight="1" x14ac:dyDescent="0.25">
      <c r="A17" s="119" t="s">
        <v>555</v>
      </c>
      <c r="B17" s="713"/>
      <c r="C17" s="715"/>
      <c r="D17" s="717"/>
      <c r="E17" s="715"/>
      <c r="F17" s="718"/>
      <c r="G17" s="718"/>
      <c r="H17" s="824"/>
      <c r="I17" s="344" t="str">
        <f>IF('Mapa final SI'!AC20="","",'Mapa final SI'!AC20)</f>
        <v/>
      </c>
      <c r="J17" s="344" t="str">
        <f>IF('Mapa final SI'!AE20="","",'Mapa final SI'!AE20)</f>
        <v/>
      </c>
      <c r="K17" s="344" t="str">
        <f t="shared" si="0"/>
        <v/>
      </c>
      <c r="L17" s="344" t="str">
        <f>IF('Mapa final SI'!AH20="","",'Mapa final SI'!AH20)</f>
        <v/>
      </c>
      <c r="M17" s="345" t="str">
        <f>IF('Mapa final SI'!T20="","",'Mapa final SI'!T20)</f>
        <v/>
      </c>
      <c r="N17" s="70"/>
      <c r="O17" s="70"/>
      <c r="P17" s="70"/>
      <c r="Q17" s="177"/>
    </row>
    <row r="18" spans="1:17" ht="43.5" customHeight="1" x14ac:dyDescent="0.25">
      <c r="A18" s="119" t="s">
        <v>556</v>
      </c>
      <c r="B18" s="713"/>
      <c r="C18" s="715"/>
      <c r="D18" s="717"/>
      <c r="E18" s="715"/>
      <c r="F18" s="718"/>
      <c r="G18" s="718"/>
      <c r="H18" s="719"/>
      <c r="I18" s="344" t="str">
        <f>IF('Mapa final SI'!AC21="","",'Mapa final SI'!AC21)</f>
        <v/>
      </c>
      <c r="J18" s="344" t="str">
        <f>IF('Mapa final SI'!AE21="","",'Mapa final SI'!AE21)</f>
        <v/>
      </c>
      <c r="K18" s="344" t="str">
        <f t="shared" si="0"/>
        <v/>
      </c>
      <c r="L18" s="344" t="str">
        <f>IF('Mapa final SI'!AH21="","",'Mapa final SI'!AH21)</f>
        <v/>
      </c>
      <c r="M18" s="345" t="str">
        <f>IF('Mapa final SI'!T21="","",'Mapa final SI'!T21)</f>
        <v/>
      </c>
      <c r="N18" s="70"/>
      <c r="O18" s="70"/>
      <c r="P18" s="70"/>
      <c r="Q18" s="177"/>
    </row>
    <row r="19" spans="1:17" ht="43.5" customHeight="1" x14ac:dyDescent="0.25">
      <c r="A19" s="119" t="s">
        <v>557</v>
      </c>
      <c r="B19" s="712"/>
      <c r="C19" s="714" t="str">
        <f>IF('Mapa final SI'!G22="","",'Mapa final SI'!G22)</f>
        <v/>
      </c>
      <c r="D19" s="716"/>
      <c r="E19" s="714" t="str">
        <f>IF('Mapa final SI'!F22="","",'Mapa final SI'!F22)</f>
        <v/>
      </c>
      <c r="F19" s="720" t="str">
        <f>IF('Mapa final SI'!L22="","",'Mapa final SI'!L22)</f>
        <v/>
      </c>
      <c r="G19" s="720" t="str">
        <f>IF('Mapa final SI'!P22="","",'Mapa final SI'!P22)</f>
        <v/>
      </c>
      <c r="H19" s="82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4" t="str">
        <f>IF('Mapa final SI'!AC22="","",'Mapa final SI'!AC22)</f>
        <v/>
      </c>
      <c r="J19" s="344" t="str">
        <f>IF('Mapa final SI'!AE22="","",'Mapa final SI'!AE22)</f>
        <v/>
      </c>
      <c r="K19" s="344" t="str">
        <f t="shared" si="0"/>
        <v/>
      </c>
      <c r="L19" s="344" t="str">
        <f>IF('Mapa final SI'!AH22="","",'Mapa final SI'!AH22)</f>
        <v/>
      </c>
      <c r="M19" s="345" t="str">
        <f>IF('Mapa final SI'!T22="","",'Mapa final SI'!T22)</f>
        <v/>
      </c>
      <c r="N19" s="70"/>
      <c r="O19" s="70"/>
      <c r="P19" s="70"/>
      <c r="Q19" s="177"/>
    </row>
    <row r="20" spans="1:17" ht="43.5" customHeight="1" x14ac:dyDescent="0.25">
      <c r="A20" s="119" t="s">
        <v>558</v>
      </c>
      <c r="B20" s="713"/>
      <c r="C20" s="715"/>
      <c r="D20" s="717"/>
      <c r="E20" s="715"/>
      <c r="F20" s="718"/>
      <c r="G20" s="718"/>
      <c r="H20" s="824"/>
      <c r="I20" s="344" t="str">
        <f>IF('Mapa final SI'!AC23="","",'Mapa final SI'!AC23)</f>
        <v/>
      </c>
      <c r="J20" s="344" t="str">
        <f>IF('Mapa final SI'!AE23="","",'Mapa final SI'!AE23)</f>
        <v/>
      </c>
      <c r="K20" s="344" t="str">
        <f t="shared" si="0"/>
        <v/>
      </c>
      <c r="L20" s="344" t="str">
        <f>IF('Mapa final SI'!AH23="","",'Mapa final SI'!AH23)</f>
        <v/>
      </c>
      <c r="M20" s="345" t="str">
        <f>IF('Mapa final SI'!T23="","",'Mapa final SI'!T23)</f>
        <v/>
      </c>
      <c r="N20" s="70"/>
      <c r="O20" s="70"/>
      <c r="P20" s="70"/>
      <c r="Q20" s="177"/>
    </row>
    <row r="21" spans="1:17" ht="43.5" customHeight="1" x14ac:dyDescent="0.25">
      <c r="A21" s="119" t="s">
        <v>559</v>
      </c>
      <c r="B21" s="713"/>
      <c r="C21" s="715"/>
      <c r="D21" s="717"/>
      <c r="E21" s="715"/>
      <c r="F21" s="718"/>
      <c r="G21" s="718"/>
      <c r="H21" s="824"/>
      <c r="I21" s="344" t="str">
        <f>IF('Mapa final SI'!AC24="","",'Mapa final SI'!AC24)</f>
        <v/>
      </c>
      <c r="J21" s="344" t="str">
        <f>IF('Mapa final SI'!AE24="","",'Mapa final SI'!AE24)</f>
        <v/>
      </c>
      <c r="K21" s="344" t="str">
        <f t="shared" si="0"/>
        <v/>
      </c>
      <c r="L21" s="344" t="str">
        <f>IF('Mapa final SI'!AH24="","",'Mapa final SI'!AH24)</f>
        <v/>
      </c>
      <c r="M21" s="345" t="str">
        <f>IF('Mapa final SI'!T24="","",'Mapa final SI'!T24)</f>
        <v/>
      </c>
      <c r="N21" s="70"/>
      <c r="O21" s="70"/>
      <c r="P21" s="70"/>
      <c r="Q21" s="177"/>
    </row>
    <row r="22" spans="1:17" ht="43.5" customHeight="1" x14ac:dyDescent="0.25">
      <c r="A22" s="119" t="s">
        <v>560</v>
      </c>
      <c r="B22" s="713"/>
      <c r="C22" s="715"/>
      <c r="D22" s="717"/>
      <c r="E22" s="715"/>
      <c r="F22" s="718"/>
      <c r="G22" s="718"/>
      <c r="H22" s="824"/>
      <c r="I22" s="344" t="str">
        <f>IF('Mapa final SI'!AC25="","",'Mapa final SI'!AC25)</f>
        <v/>
      </c>
      <c r="J22" s="344" t="str">
        <f>IF('Mapa final SI'!AE25="","",'Mapa final SI'!AE25)</f>
        <v/>
      </c>
      <c r="K22" s="344" t="str">
        <f t="shared" si="0"/>
        <v/>
      </c>
      <c r="L22" s="344" t="str">
        <f>IF('Mapa final SI'!AH25="","",'Mapa final SI'!AH25)</f>
        <v/>
      </c>
      <c r="M22" s="345" t="str">
        <f>IF('Mapa final SI'!T25="","",'Mapa final SI'!T25)</f>
        <v/>
      </c>
      <c r="N22" s="70"/>
      <c r="O22" s="70"/>
      <c r="P22" s="70"/>
      <c r="Q22" s="177"/>
    </row>
    <row r="23" spans="1:17" ht="43.5" customHeight="1" x14ac:dyDescent="0.25">
      <c r="A23" s="119" t="s">
        <v>561</v>
      </c>
      <c r="B23" s="713"/>
      <c r="C23" s="715"/>
      <c r="D23" s="717"/>
      <c r="E23" s="715"/>
      <c r="F23" s="718"/>
      <c r="G23" s="718"/>
      <c r="H23" s="824"/>
      <c r="I23" s="344" t="str">
        <f>IF('Mapa final SI'!AC26="","",'Mapa final SI'!AC26)</f>
        <v/>
      </c>
      <c r="J23" s="344" t="str">
        <f>IF('Mapa final SI'!AE26="","",'Mapa final SI'!AE26)</f>
        <v/>
      </c>
      <c r="K23" s="344" t="str">
        <f t="shared" si="0"/>
        <v/>
      </c>
      <c r="L23" s="344" t="str">
        <f>IF('Mapa final SI'!AH26="","",'Mapa final SI'!AH26)</f>
        <v/>
      </c>
      <c r="M23" s="345" t="str">
        <f>IF('Mapa final SI'!T26="","",'Mapa final SI'!T26)</f>
        <v/>
      </c>
      <c r="N23" s="70"/>
      <c r="O23" s="70"/>
      <c r="P23" s="70"/>
      <c r="Q23" s="177"/>
    </row>
    <row r="24" spans="1:17" ht="43.5" customHeight="1" x14ac:dyDescent="0.25">
      <c r="A24" s="119" t="s">
        <v>562</v>
      </c>
      <c r="B24" s="713"/>
      <c r="C24" s="715"/>
      <c r="D24" s="717"/>
      <c r="E24" s="715"/>
      <c r="F24" s="718"/>
      <c r="G24" s="718"/>
      <c r="H24" s="719"/>
      <c r="I24" s="344" t="str">
        <f>IF('Mapa final SI'!AC27="","",'Mapa final SI'!AC27)</f>
        <v/>
      </c>
      <c r="J24" s="344" t="str">
        <f>IF('Mapa final SI'!AE27="","",'Mapa final SI'!AE27)</f>
        <v/>
      </c>
      <c r="K24" s="344" t="str">
        <f t="shared" si="0"/>
        <v/>
      </c>
      <c r="L24" s="344" t="str">
        <f>IF('Mapa final SI'!AH27="","",'Mapa final SI'!AH27)</f>
        <v/>
      </c>
      <c r="M24" s="345" t="str">
        <f>IF('Mapa final SI'!T27="","",'Mapa final SI'!T27)</f>
        <v/>
      </c>
      <c r="N24" s="70"/>
      <c r="O24" s="70"/>
      <c r="P24" s="70"/>
      <c r="Q24" s="177"/>
    </row>
    <row r="25" spans="1:17" ht="43.5" customHeight="1" x14ac:dyDescent="0.25">
      <c r="A25" s="119" t="s">
        <v>563</v>
      </c>
      <c r="B25" s="712"/>
      <c r="C25" s="714" t="str">
        <f>IF('Mapa final SI'!G28="","",'Mapa final SI'!G28)</f>
        <v/>
      </c>
      <c r="D25" s="716"/>
      <c r="E25" s="714" t="str">
        <f>IF('Mapa final SI'!F28="","",'Mapa final SI'!F28)</f>
        <v/>
      </c>
      <c r="F25" s="720" t="str">
        <f>IF('Mapa final SI'!L28="","",'Mapa final SI'!L28)</f>
        <v/>
      </c>
      <c r="G25" s="720" t="str">
        <f>IF('Mapa final SI'!P28="","",'Mapa final SI'!P28)</f>
        <v/>
      </c>
      <c r="H25" s="82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4" t="str">
        <f>IF('Mapa final SI'!AC28="","",'Mapa final SI'!AC28)</f>
        <v/>
      </c>
      <c r="J25" s="344" t="str">
        <f>IF('Mapa final SI'!AE28="","",'Mapa final SI'!AE28)</f>
        <v/>
      </c>
      <c r="K25" s="344" t="str">
        <f t="shared" si="0"/>
        <v/>
      </c>
      <c r="L25" s="344" t="str">
        <f>IF('Mapa final SI'!AH28="","",'Mapa final SI'!AH28)</f>
        <v/>
      </c>
      <c r="M25" s="345" t="str">
        <f>IF('Mapa final SI'!T28="","",'Mapa final SI'!T28)</f>
        <v/>
      </c>
      <c r="N25" s="70"/>
      <c r="O25" s="70"/>
      <c r="P25" s="70"/>
      <c r="Q25" s="177"/>
    </row>
    <row r="26" spans="1:17" ht="43.5" customHeight="1" x14ac:dyDescent="0.25">
      <c r="A26" s="119" t="s">
        <v>564</v>
      </c>
      <c r="B26" s="713"/>
      <c r="C26" s="715"/>
      <c r="D26" s="717"/>
      <c r="E26" s="715"/>
      <c r="F26" s="718"/>
      <c r="G26" s="718"/>
      <c r="H26" s="824"/>
      <c r="I26" s="344" t="str">
        <f>IF('Mapa final SI'!AC29="","",'Mapa final SI'!AC29)</f>
        <v/>
      </c>
      <c r="J26" s="344" t="str">
        <f>IF('Mapa final SI'!AE29="","",'Mapa final SI'!AE29)</f>
        <v/>
      </c>
      <c r="K26" s="344" t="str">
        <f t="shared" si="0"/>
        <v/>
      </c>
      <c r="L26" s="344" t="str">
        <f>IF('Mapa final SI'!AH29="","",'Mapa final SI'!AH29)</f>
        <v/>
      </c>
      <c r="M26" s="345" t="str">
        <f>IF('Mapa final SI'!T29="","",'Mapa final SI'!T29)</f>
        <v/>
      </c>
      <c r="N26" s="70"/>
      <c r="O26" s="70"/>
      <c r="P26" s="70"/>
      <c r="Q26" s="177"/>
    </row>
    <row r="27" spans="1:17" ht="43.5" customHeight="1" x14ac:dyDescent="0.25">
      <c r="A27" s="119" t="s">
        <v>565</v>
      </c>
      <c r="B27" s="713"/>
      <c r="C27" s="715"/>
      <c r="D27" s="717"/>
      <c r="E27" s="715"/>
      <c r="F27" s="718"/>
      <c r="G27" s="718"/>
      <c r="H27" s="824"/>
      <c r="I27" s="344" t="str">
        <f>IF('Mapa final SI'!AC30="","",'Mapa final SI'!AC30)</f>
        <v/>
      </c>
      <c r="J27" s="344" t="str">
        <f>IF('Mapa final SI'!AE30="","",'Mapa final SI'!AE30)</f>
        <v/>
      </c>
      <c r="K27" s="344" t="str">
        <f t="shared" si="0"/>
        <v/>
      </c>
      <c r="L27" s="344" t="str">
        <f>IF('Mapa final SI'!AH30="","",'Mapa final SI'!AH30)</f>
        <v/>
      </c>
      <c r="M27" s="345" t="str">
        <f>IF('Mapa final SI'!T30="","",'Mapa final SI'!T30)</f>
        <v/>
      </c>
      <c r="N27" s="70"/>
      <c r="O27" s="70"/>
      <c r="P27" s="70"/>
      <c r="Q27" s="177"/>
    </row>
    <row r="28" spans="1:17" ht="43.5" customHeight="1" x14ac:dyDescent="0.25">
      <c r="A28" s="119" t="s">
        <v>566</v>
      </c>
      <c r="B28" s="713"/>
      <c r="C28" s="715"/>
      <c r="D28" s="717"/>
      <c r="E28" s="715"/>
      <c r="F28" s="718"/>
      <c r="G28" s="718"/>
      <c r="H28" s="824"/>
      <c r="I28" s="344" t="str">
        <f>IF('Mapa final SI'!AC31="","",'Mapa final SI'!AC31)</f>
        <v/>
      </c>
      <c r="J28" s="344" t="str">
        <f>IF('Mapa final SI'!AE31="","",'Mapa final SI'!AE31)</f>
        <v/>
      </c>
      <c r="K28" s="344" t="str">
        <f t="shared" si="0"/>
        <v/>
      </c>
      <c r="L28" s="344" t="str">
        <f>IF('Mapa final SI'!AH31="","",'Mapa final SI'!AH31)</f>
        <v/>
      </c>
      <c r="M28" s="345" t="str">
        <f>IF('Mapa final SI'!T31="","",'Mapa final SI'!T31)</f>
        <v/>
      </c>
      <c r="N28" s="70"/>
      <c r="O28" s="70"/>
      <c r="P28" s="70"/>
      <c r="Q28" s="177"/>
    </row>
    <row r="29" spans="1:17" ht="43.5" customHeight="1" x14ac:dyDescent="0.25">
      <c r="A29" s="119" t="s">
        <v>567</v>
      </c>
      <c r="B29" s="713"/>
      <c r="C29" s="715"/>
      <c r="D29" s="717"/>
      <c r="E29" s="715"/>
      <c r="F29" s="718"/>
      <c r="G29" s="718"/>
      <c r="H29" s="824"/>
      <c r="I29" s="344" t="str">
        <f>IF('Mapa final SI'!AC32="","",'Mapa final SI'!AC32)</f>
        <v/>
      </c>
      <c r="J29" s="344" t="str">
        <f>IF('Mapa final SI'!AE32="","",'Mapa final SI'!AE32)</f>
        <v/>
      </c>
      <c r="K29" s="344" t="str">
        <f t="shared" si="0"/>
        <v/>
      </c>
      <c r="L29" s="344" t="str">
        <f>IF('Mapa final SI'!AH32="","",'Mapa final SI'!AH32)</f>
        <v/>
      </c>
      <c r="M29" s="345" t="str">
        <f>IF('Mapa final SI'!T32="","",'Mapa final SI'!T32)</f>
        <v/>
      </c>
      <c r="N29" s="70"/>
      <c r="O29" s="70"/>
      <c r="P29" s="70"/>
      <c r="Q29" s="177"/>
    </row>
    <row r="30" spans="1:17" ht="43.5" customHeight="1" x14ac:dyDescent="0.25">
      <c r="A30" s="119" t="s">
        <v>568</v>
      </c>
      <c r="B30" s="713"/>
      <c r="C30" s="715"/>
      <c r="D30" s="717"/>
      <c r="E30" s="715"/>
      <c r="F30" s="718"/>
      <c r="G30" s="718"/>
      <c r="H30" s="719"/>
      <c r="I30" s="344" t="str">
        <f>IF('Mapa final SI'!AC33="","",'Mapa final SI'!AC33)</f>
        <v/>
      </c>
      <c r="J30" s="344" t="str">
        <f>IF('Mapa final SI'!AE33="","",'Mapa final SI'!AE33)</f>
        <v/>
      </c>
      <c r="K30" s="344" t="str">
        <f t="shared" si="0"/>
        <v/>
      </c>
      <c r="L30" s="344" t="str">
        <f>IF('Mapa final SI'!AH33="","",'Mapa final SI'!AH33)</f>
        <v/>
      </c>
      <c r="M30" s="345" t="str">
        <f>IF('Mapa final SI'!T33="","",'Mapa final SI'!T33)</f>
        <v/>
      </c>
      <c r="N30" s="70"/>
      <c r="O30" s="70"/>
      <c r="P30" s="70"/>
      <c r="Q30" s="177"/>
    </row>
    <row r="31" spans="1:17" ht="43.5" customHeight="1" x14ac:dyDescent="0.25">
      <c r="A31" s="119" t="s">
        <v>569</v>
      </c>
      <c r="B31" s="712"/>
      <c r="C31" s="714" t="str">
        <f>IF('Mapa final SI'!G34="","",'Mapa final SI'!G34)</f>
        <v/>
      </c>
      <c r="D31" s="716"/>
      <c r="E31" s="714" t="str">
        <f>IF('Mapa final SI'!F34="","",'Mapa final SI'!F34)</f>
        <v/>
      </c>
      <c r="F31" s="720" t="str">
        <f>IF('Mapa final SI'!L34="","",'Mapa final SI'!L34)</f>
        <v/>
      </c>
      <c r="G31" s="720" t="str">
        <f>IF('Mapa final SI'!P34="","",'Mapa final SI'!P34)</f>
        <v/>
      </c>
      <c r="H31" s="82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4" t="str">
        <f>IF('Mapa final SI'!AC34="","",'Mapa final SI'!AC34)</f>
        <v/>
      </c>
      <c r="J31" s="344" t="str">
        <f>IF('Mapa final SI'!AE34="","",'Mapa final SI'!AE34)</f>
        <v/>
      </c>
      <c r="K31" s="344" t="str">
        <f t="shared" si="0"/>
        <v/>
      </c>
      <c r="L31" s="344" t="str">
        <f>IF('Mapa final SI'!AH34="","",'Mapa final SI'!AH34)</f>
        <v/>
      </c>
      <c r="M31" s="345" t="str">
        <f>IF('Mapa final SI'!T34="","",'Mapa final SI'!T34)</f>
        <v/>
      </c>
      <c r="N31" s="70"/>
      <c r="O31" s="70"/>
      <c r="P31" s="70"/>
      <c r="Q31" s="177"/>
    </row>
    <row r="32" spans="1:17" ht="43.5" customHeight="1" x14ac:dyDescent="0.25">
      <c r="A32" s="119" t="s">
        <v>570</v>
      </c>
      <c r="B32" s="713"/>
      <c r="C32" s="715"/>
      <c r="D32" s="717"/>
      <c r="E32" s="715"/>
      <c r="F32" s="718"/>
      <c r="G32" s="718"/>
      <c r="H32" s="824"/>
      <c r="I32" s="344" t="str">
        <f>IF('Mapa final SI'!AC35="","",'Mapa final SI'!AC35)</f>
        <v/>
      </c>
      <c r="J32" s="344" t="str">
        <f>IF('Mapa final SI'!AE35="","",'Mapa final SI'!AE35)</f>
        <v/>
      </c>
      <c r="K32" s="344" t="str">
        <f t="shared" si="0"/>
        <v/>
      </c>
      <c r="L32" s="344" t="str">
        <f>IF('Mapa final SI'!AH35="","",'Mapa final SI'!AH35)</f>
        <v/>
      </c>
      <c r="M32" s="345" t="str">
        <f>IF('Mapa final SI'!T35="","",'Mapa final SI'!T35)</f>
        <v/>
      </c>
      <c r="N32" s="70"/>
      <c r="O32" s="70"/>
      <c r="P32" s="70"/>
      <c r="Q32" s="177"/>
    </row>
    <row r="33" spans="1:17" ht="43.5" customHeight="1" x14ac:dyDescent="0.25">
      <c r="A33" s="119" t="s">
        <v>571</v>
      </c>
      <c r="B33" s="713"/>
      <c r="C33" s="715"/>
      <c r="D33" s="717"/>
      <c r="E33" s="715"/>
      <c r="F33" s="718"/>
      <c r="G33" s="718"/>
      <c r="H33" s="824"/>
      <c r="I33" s="344" t="str">
        <f>IF('Mapa final SI'!AC36="","",'Mapa final SI'!AC36)</f>
        <v/>
      </c>
      <c r="J33" s="344" t="str">
        <f>IF('Mapa final SI'!AE36="","",'Mapa final SI'!AE36)</f>
        <v/>
      </c>
      <c r="K33" s="344" t="str">
        <f t="shared" si="0"/>
        <v/>
      </c>
      <c r="L33" s="344" t="str">
        <f>IF('Mapa final SI'!AH36="","",'Mapa final SI'!AH36)</f>
        <v/>
      </c>
      <c r="M33" s="345" t="str">
        <f>IF('Mapa final SI'!T36="","",'Mapa final SI'!T36)</f>
        <v/>
      </c>
      <c r="N33" s="70"/>
      <c r="O33" s="70"/>
      <c r="P33" s="70"/>
      <c r="Q33" s="177"/>
    </row>
    <row r="34" spans="1:17" ht="43.5" customHeight="1" x14ac:dyDescent="0.25">
      <c r="A34" s="119" t="s">
        <v>572</v>
      </c>
      <c r="B34" s="713"/>
      <c r="C34" s="715"/>
      <c r="D34" s="717"/>
      <c r="E34" s="715"/>
      <c r="F34" s="718"/>
      <c r="G34" s="718"/>
      <c r="H34" s="824"/>
      <c r="I34" s="344" t="str">
        <f>IF('Mapa final SI'!AC37="","",'Mapa final SI'!AC37)</f>
        <v/>
      </c>
      <c r="J34" s="344" t="str">
        <f>IF('Mapa final SI'!AE37="","",'Mapa final SI'!AE37)</f>
        <v/>
      </c>
      <c r="K34" s="344" t="str">
        <f t="shared" si="0"/>
        <v/>
      </c>
      <c r="L34" s="344" t="str">
        <f>IF('Mapa final SI'!AH37="","",'Mapa final SI'!AH37)</f>
        <v/>
      </c>
      <c r="M34" s="345" t="str">
        <f>IF('Mapa final SI'!T37="","",'Mapa final SI'!T37)</f>
        <v/>
      </c>
      <c r="N34" s="70"/>
      <c r="O34" s="70"/>
      <c r="P34" s="70"/>
      <c r="Q34" s="177"/>
    </row>
    <row r="35" spans="1:17" ht="43.5" customHeight="1" x14ac:dyDescent="0.25">
      <c r="A35" s="119" t="s">
        <v>573</v>
      </c>
      <c r="B35" s="713"/>
      <c r="C35" s="715"/>
      <c r="D35" s="717"/>
      <c r="E35" s="715"/>
      <c r="F35" s="718"/>
      <c r="G35" s="718"/>
      <c r="H35" s="824"/>
      <c r="I35" s="344" t="str">
        <f>IF('Mapa final SI'!AC38="","",'Mapa final SI'!AC38)</f>
        <v/>
      </c>
      <c r="J35" s="344" t="str">
        <f>IF('Mapa final SI'!AE38="","",'Mapa final SI'!AE38)</f>
        <v/>
      </c>
      <c r="K35" s="344" t="str">
        <f t="shared" si="0"/>
        <v/>
      </c>
      <c r="L35" s="344" t="str">
        <f>IF('Mapa final SI'!AH38="","",'Mapa final SI'!AH38)</f>
        <v/>
      </c>
      <c r="M35" s="345" t="str">
        <f>IF('Mapa final SI'!T38="","",'Mapa final SI'!T38)</f>
        <v/>
      </c>
      <c r="N35" s="70"/>
      <c r="O35" s="70"/>
      <c r="P35" s="70"/>
      <c r="Q35" s="177"/>
    </row>
    <row r="36" spans="1:17" ht="43.5" customHeight="1" x14ac:dyDescent="0.25">
      <c r="A36" s="119" t="s">
        <v>574</v>
      </c>
      <c r="B36" s="713"/>
      <c r="C36" s="715"/>
      <c r="D36" s="717"/>
      <c r="E36" s="715"/>
      <c r="F36" s="718"/>
      <c r="G36" s="718"/>
      <c r="H36" s="719"/>
      <c r="I36" s="344" t="str">
        <f>IF('Mapa final SI'!AC39="","",'Mapa final SI'!AC39)</f>
        <v/>
      </c>
      <c r="J36" s="344" t="str">
        <f>IF('Mapa final SI'!AE39="","",'Mapa final SI'!AE39)</f>
        <v/>
      </c>
      <c r="K36" s="344" t="str">
        <f t="shared" si="0"/>
        <v/>
      </c>
      <c r="L36" s="344" t="str">
        <f>IF('Mapa final SI'!AH39="","",'Mapa final SI'!AH39)</f>
        <v/>
      </c>
      <c r="M36" s="345" t="str">
        <f>IF('Mapa final SI'!T39="","",'Mapa final SI'!T39)</f>
        <v/>
      </c>
      <c r="N36" s="70"/>
      <c r="O36" s="70"/>
      <c r="P36" s="70"/>
      <c r="Q36" s="177"/>
    </row>
    <row r="37" spans="1:17" ht="43.5" customHeight="1" x14ac:dyDescent="0.25">
      <c r="A37" s="119" t="s">
        <v>967</v>
      </c>
      <c r="B37" s="712"/>
      <c r="C37" s="714" t="str">
        <f>IF('Mapa final SI'!G40="","",'Mapa final SI'!G40)</f>
        <v/>
      </c>
      <c r="D37" s="716"/>
      <c r="E37" s="714" t="str">
        <f>IF('Mapa final SI'!F40="","",'Mapa final SI'!F40)</f>
        <v/>
      </c>
      <c r="F37" s="720" t="str">
        <f>IF('Mapa final SI'!L40="","",'Mapa final SI'!L40)</f>
        <v/>
      </c>
      <c r="G37" s="720" t="str">
        <f>IF('Mapa final SI'!P40="","",'Mapa final SI'!P40)</f>
        <v/>
      </c>
      <c r="H37" s="82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4" t="str">
        <f>IF('Mapa final SI'!AC40="","",'Mapa final SI'!AC40)</f>
        <v/>
      </c>
      <c r="J37" s="344" t="str">
        <f>IF('Mapa final SI'!AE40="","",'Mapa final SI'!AE40)</f>
        <v/>
      </c>
      <c r="K37" s="344" t="str">
        <f t="shared" si="0"/>
        <v/>
      </c>
      <c r="L37" s="344" t="str">
        <f>IF('Mapa final SI'!AH40="","",'Mapa final SI'!AH40)</f>
        <v/>
      </c>
      <c r="M37" s="345" t="str">
        <f>IF('Mapa final SI'!T40="","",'Mapa final SI'!T40)</f>
        <v/>
      </c>
      <c r="N37" s="70"/>
      <c r="O37" s="70"/>
      <c r="P37" s="70"/>
      <c r="Q37" s="177"/>
    </row>
    <row r="38" spans="1:17" ht="43.5" customHeight="1" x14ac:dyDescent="0.25">
      <c r="A38" s="119" t="s">
        <v>968</v>
      </c>
      <c r="B38" s="713"/>
      <c r="C38" s="715"/>
      <c r="D38" s="717"/>
      <c r="E38" s="715"/>
      <c r="F38" s="718"/>
      <c r="G38" s="718"/>
      <c r="H38" s="824"/>
      <c r="I38" s="344" t="str">
        <f>IF('Mapa final SI'!AC41="","",'Mapa final SI'!AC41)</f>
        <v/>
      </c>
      <c r="J38" s="344" t="str">
        <f>IF('Mapa final SI'!AE41="","",'Mapa final SI'!AE41)</f>
        <v/>
      </c>
      <c r="K38" s="344" t="str">
        <f t="shared" si="0"/>
        <v/>
      </c>
      <c r="L38" s="344" t="str">
        <f>IF('Mapa final SI'!AH41="","",'Mapa final SI'!AH41)</f>
        <v/>
      </c>
      <c r="M38" s="345" t="str">
        <f>IF('Mapa final SI'!T41="","",'Mapa final SI'!T41)</f>
        <v/>
      </c>
      <c r="N38" s="70"/>
      <c r="O38" s="70"/>
      <c r="P38" s="70"/>
      <c r="Q38" s="177"/>
    </row>
    <row r="39" spans="1:17" ht="43.5" customHeight="1" x14ac:dyDescent="0.25">
      <c r="A39" s="119" t="s">
        <v>969</v>
      </c>
      <c r="B39" s="713"/>
      <c r="C39" s="715"/>
      <c r="D39" s="717"/>
      <c r="E39" s="715"/>
      <c r="F39" s="718"/>
      <c r="G39" s="718"/>
      <c r="H39" s="824"/>
      <c r="I39" s="344" t="str">
        <f>IF('Mapa final SI'!AC42="","",'Mapa final SI'!AC42)</f>
        <v/>
      </c>
      <c r="J39" s="344" t="str">
        <f>IF('Mapa final SI'!AE42="","",'Mapa final SI'!AE42)</f>
        <v/>
      </c>
      <c r="K39" s="344" t="str">
        <f t="shared" si="0"/>
        <v/>
      </c>
      <c r="L39" s="344" t="str">
        <f>IF('Mapa final SI'!AH42="","",'Mapa final SI'!AH42)</f>
        <v/>
      </c>
      <c r="M39" s="345" t="str">
        <f>IF('Mapa final SI'!T42="","",'Mapa final SI'!T42)</f>
        <v/>
      </c>
      <c r="N39" s="70"/>
      <c r="O39" s="70"/>
      <c r="P39" s="70"/>
      <c r="Q39" s="177"/>
    </row>
    <row r="40" spans="1:17" ht="43.5" customHeight="1" x14ac:dyDescent="0.25">
      <c r="A40" s="119" t="s">
        <v>970</v>
      </c>
      <c r="B40" s="713"/>
      <c r="C40" s="715"/>
      <c r="D40" s="717"/>
      <c r="E40" s="715"/>
      <c r="F40" s="718"/>
      <c r="G40" s="718"/>
      <c r="H40" s="824"/>
      <c r="I40" s="344" t="str">
        <f>IF('Mapa final SI'!AC43="","",'Mapa final SI'!AC43)</f>
        <v/>
      </c>
      <c r="J40" s="344" t="str">
        <f>IF('Mapa final SI'!AE43="","",'Mapa final SI'!AE43)</f>
        <v/>
      </c>
      <c r="K40" s="344" t="str">
        <f t="shared" si="0"/>
        <v/>
      </c>
      <c r="L40" s="344" t="str">
        <f>IF('Mapa final SI'!AH43="","",'Mapa final SI'!AH43)</f>
        <v/>
      </c>
      <c r="M40" s="345" t="str">
        <f>IF('Mapa final SI'!T43="","",'Mapa final SI'!T43)</f>
        <v/>
      </c>
      <c r="N40" s="70"/>
      <c r="O40" s="70"/>
      <c r="P40" s="70"/>
      <c r="Q40" s="177"/>
    </row>
    <row r="41" spans="1:17" ht="43.5" customHeight="1" x14ac:dyDescent="0.25">
      <c r="A41" s="119" t="s">
        <v>971</v>
      </c>
      <c r="B41" s="713"/>
      <c r="C41" s="715"/>
      <c r="D41" s="717"/>
      <c r="E41" s="715"/>
      <c r="F41" s="718"/>
      <c r="G41" s="718"/>
      <c r="H41" s="824"/>
      <c r="I41" s="344" t="str">
        <f>IF('Mapa final SI'!AC44="","",'Mapa final SI'!AC44)</f>
        <v/>
      </c>
      <c r="J41" s="344" t="str">
        <f>IF('Mapa final SI'!AE44="","",'Mapa final SI'!AE44)</f>
        <v/>
      </c>
      <c r="K41" s="344" t="str">
        <f t="shared" si="0"/>
        <v/>
      </c>
      <c r="L41" s="344" t="str">
        <f>IF('Mapa final SI'!AH44="","",'Mapa final SI'!AH44)</f>
        <v/>
      </c>
      <c r="M41" s="345" t="str">
        <f>IF('Mapa final SI'!T44="","",'Mapa final SI'!T44)</f>
        <v/>
      </c>
      <c r="N41" s="70"/>
      <c r="O41" s="70"/>
      <c r="P41" s="70"/>
      <c r="Q41" s="177"/>
    </row>
    <row r="42" spans="1:17" ht="43.5" customHeight="1" x14ac:dyDescent="0.25">
      <c r="A42" s="119" t="s">
        <v>972</v>
      </c>
      <c r="B42" s="713"/>
      <c r="C42" s="715"/>
      <c r="D42" s="717"/>
      <c r="E42" s="715"/>
      <c r="F42" s="718"/>
      <c r="G42" s="718"/>
      <c r="H42" s="719"/>
      <c r="I42" s="344" t="str">
        <f>IF('Mapa final SI'!AC45="","",'Mapa final SI'!AC45)</f>
        <v/>
      </c>
      <c r="J42" s="344" t="str">
        <f>IF('Mapa final SI'!AE45="","",'Mapa final SI'!AE45)</f>
        <v/>
      </c>
      <c r="K42" s="344" t="str">
        <f t="shared" si="0"/>
        <v/>
      </c>
      <c r="L42" s="344" t="str">
        <f>IF('Mapa final SI'!AH45="","",'Mapa final SI'!AH45)</f>
        <v/>
      </c>
      <c r="M42" s="345" t="str">
        <f>IF('Mapa final SI'!T45="","",'Mapa final SI'!T45)</f>
        <v/>
      </c>
      <c r="N42" s="70"/>
      <c r="O42" s="70"/>
      <c r="P42" s="70"/>
      <c r="Q42" s="177"/>
    </row>
    <row r="43" spans="1:17" ht="43.5" customHeight="1" x14ac:dyDescent="0.25">
      <c r="A43" s="119" t="s">
        <v>575</v>
      </c>
      <c r="B43" s="712"/>
      <c r="C43" s="714" t="str">
        <f>IF('Mapa final SI'!G46="","",'Mapa final SI'!G46)</f>
        <v/>
      </c>
      <c r="D43" s="716"/>
      <c r="E43" s="714" t="str">
        <f>IF('Mapa final SI'!F46="","",'Mapa final SI'!F46)</f>
        <v/>
      </c>
      <c r="F43" s="720" t="str">
        <f>IF('Mapa final SI'!L46="","",'Mapa final SI'!L46)</f>
        <v/>
      </c>
      <c r="G43" s="720" t="str">
        <f>IF('Mapa final SI'!P46="","",'Mapa final SI'!P46)</f>
        <v/>
      </c>
      <c r="H43" s="82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4" t="str">
        <f>IF('Mapa final SI'!AC46="","",'Mapa final SI'!AC46)</f>
        <v/>
      </c>
      <c r="J43" s="344" t="str">
        <f>IF('Mapa final SI'!AE46="","",'Mapa final SI'!AE46)</f>
        <v/>
      </c>
      <c r="K43" s="344" t="str">
        <f t="shared" si="0"/>
        <v/>
      </c>
      <c r="L43" s="344" t="str">
        <f>IF('Mapa final SI'!AH46="","",'Mapa final SI'!AH46)</f>
        <v/>
      </c>
      <c r="M43" s="345" t="str">
        <f>IF('Mapa final SI'!T46="","",'Mapa final SI'!T46)</f>
        <v/>
      </c>
      <c r="N43" s="70"/>
      <c r="O43" s="70"/>
      <c r="P43" s="70"/>
      <c r="Q43" s="177"/>
    </row>
    <row r="44" spans="1:17" ht="43.5" customHeight="1" x14ac:dyDescent="0.25">
      <c r="A44" s="119" t="s">
        <v>576</v>
      </c>
      <c r="B44" s="713"/>
      <c r="C44" s="715"/>
      <c r="D44" s="717"/>
      <c r="E44" s="715"/>
      <c r="F44" s="718"/>
      <c r="G44" s="718"/>
      <c r="H44" s="824"/>
      <c r="I44" s="344" t="str">
        <f>IF('Mapa final SI'!AC47="","",'Mapa final SI'!AC47)</f>
        <v/>
      </c>
      <c r="J44" s="344" t="str">
        <f>IF('Mapa final SI'!AE47="","",'Mapa final SI'!AE47)</f>
        <v/>
      </c>
      <c r="K44" s="344" t="str">
        <f t="shared" si="0"/>
        <v/>
      </c>
      <c r="L44" s="344" t="str">
        <f>IF('Mapa final SI'!AH47="","",'Mapa final SI'!AH47)</f>
        <v/>
      </c>
      <c r="M44" s="345" t="str">
        <f>IF('Mapa final SI'!T47="","",'Mapa final SI'!T47)</f>
        <v/>
      </c>
      <c r="N44" s="70"/>
      <c r="O44" s="70"/>
      <c r="P44" s="70"/>
      <c r="Q44" s="177"/>
    </row>
    <row r="45" spans="1:17" ht="43.5" customHeight="1" x14ac:dyDescent="0.25">
      <c r="A45" s="119" t="s">
        <v>577</v>
      </c>
      <c r="B45" s="713"/>
      <c r="C45" s="715"/>
      <c r="D45" s="717"/>
      <c r="E45" s="715"/>
      <c r="F45" s="718"/>
      <c r="G45" s="718"/>
      <c r="H45" s="824"/>
      <c r="I45" s="344" t="str">
        <f>IF('Mapa final SI'!AC48="","",'Mapa final SI'!AC48)</f>
        <v/>
      </c>
      <c r="J45" s="344" t="str">
        <f>IF('Mapa final SI'!AE48="","",'Mapa final SI'!AE48)</f>
        <v/>
      </c>
      <c r="K45" s="344" t="str">
        <f t="shared" si="0"/>
        <v/>
      </c>
      <c r="L45" s="344" t="str">
        <f>IF('Mapa final SI'!AH48="","",'Mapa final SI'!AH48)</f>
        <v/>
      </c>
      <c r="M45" s="345" t="str">
        <f>IF('Mapa final SI'!T48="","",'Mapa final SI'!T48)</f>
        <v/>
      </c>
      <c r="N45" s="70"/>
      <c r="O45" s="70"/>
      <c r="P45" s="70"/>
      <c r="Q45" s="177"/>
    </row>
    <row r="46" spans="1:17" ht="43.5" customHeight="1" x14ac:dyDescent="0.25">
      <c r="A46" s="119" t="s">
        <v>578</v>
      </c>
      <c r="B46" s="713"/>
      <c r="C46" s="715"/>
      <c r="D46" s="717"/>
      <c r="E46" s="715"/>
      <c r="F46" s="718"/>
      <c r="G46" s="718"/>
      <c r="H46" s="824"/>
      <c r="I46" s="344" t="str">
        <f>IF('Mapa final SI'!AC49="","",'Mapa final SI'!AC49)</f>
        <v/>
      </c>
      <c r="J46" s="344" t="str">
        <f>IF('Mapa final SI'!AE49="","",'Mapa final SI'!AE49)</f>
        <v/>
      </c>
      <c r="K46" s="344" t="str">
        <f t="shared" si="0"/>
        <v/>
      </c>
      <c r="L46" s="344" t="str">
        <f>IF('Mapa final SI'!AH49="","",'Mapa final SI'!AH49)</f>
        <v/>
      </c>
      <c r="M46" s="345" t="str">
        <f>IF('Mapa final SI'!T49="","",'Mapa final SI'!T49)</f>
        <v/>
      </c>
      <c r="N46" s="70"/>
      <c r="O46" s="70"/>
      <c r="P46" s="70"/>
      <c r="Q46" s="177"/>
    </row>
    <row r="47" spans="1:17" ht="43.5" customHeight="1" x14ac:dyDescent="0.25">
      <c r="A47" s="119" t="s">
        <v>579</v>
      </c>
      <c r="B47" s="713"/>
      <c r="C47" s="715"/>
      <c r="D47" s="717"/>
      <c r="E47" s="715"/>
      <c r="F47" s="718"/>
      <c r="G47" s="718"/>
      <c r="H47" s="824"/>
      <c r="I47" s="344" t="str">
        <f>IF('Mapa final SI'!AC50="","",'Mapa final SI'!AC50)</f>
        <v/>
      </c>
      <c r="J47" s="344" t="str">
        <f>IF('Mapa final SI'!AE50="","",'Mapa final SI'!AE50)</f>
        <v/>
      </c>
      <c r="K47" s="344" t="str">
        <f t="shared" si="0"/>
        <v/>
      </c>
      <c r="L47" s="344" t="str">
        <f>IF('Mapa final SI'!AH50="","",'Mapa final SI'!AH50)</f>
        <v/>
      </c>
      <c r="M47" s="345" t="str">
        <f>IF('Mapa final SI'!T50="","",'Mapa final SI'!T50)</f>
        <v/>
      </c>
      <c r="N47" s="70"/>
      <c r="O47" s="70"/>
      <c r="P47" s="70"/>
      <c r="Q47" s="177"/>
    </row>
    <row r="48" spans="1:17" ht="43.5" customHeight="1" x14ac:dyDescent="0.25">
      <c r="A48" s="119" t="s">
        <v>580</v>
      </c>
      <c r="B48" s="713"/>
      <c r="C48" s="715"/>
      <c r="D48" s="717"/>
      <c r="E48" s="715"/>
      <c r="F48" s="718"/>
      <c r="G48" s="718"/>
      <c r="H48" s="719"/>
      <c r="I48" s="344" t="str">
        <f>IF('Mapa final SI'!AC51="","",'Mapa final SI'!AC51)</f>
        <v/>
      </c>
      <c r="J48" s="344" t="str">
        <f>IF('Mapa final SI'!AE51="","",'Mapa final SI'!AE51)</f>
        <v/>
      </c>
      <c r="K48" s="344" t="str">
        <f t="shared" si="0"/>
        <v/>
      </c>
      <c r="L48" s="344" t="str">
        <f>IF('Mapa final SI'!AH51="","",'Mapa final SI'!AH51)</f>
        <v/>
      </c>
      <c r="M48" s="345" t="str">
        <f>IF('Mapa final SI'!T51="","",'Mapa final SI'!T51)</f>
        <v/>
      </c>
      <c r="N48" s="70"/>
      <c r="O48" s="70"/>
      <c r="P48" s="70"/>
      <c r="Q48" s="177"/>
    </row>
    <row r="49" spans="1:17" ht="43.5" customHeight="1" x14ac:dyDescent="0.25">
      <c r="A49" s="119" t="s">
        <v>581</v>
      </c>
      <c r="B49" s="712"/>
      <c r="C49" s="714" t="str">
        <f>IF('Mapa final SI'!G52="","",'Mapa final SI'!G52)</f>
        <v/>
      </c>
      <c r="D49" s="716"/>
      <c r="E49" s="714" t="str">
        <f>IF('Mapa final SI'!F52="","",'Mapa final SI'!F52)</f>
        <v/>
      </c>
      <c r="F49" s="720" t="str">
        <f>IF('Mapa final SI'!L52="","",'Mapa final SI'!L52)</f>
        <v/>
      </c>
      <c r="G49" s="720" t="str">
        <f>IF('Mapa final SI'!P52="","",'Mapa final SI'!P52)</f>
        <v/>
      </c>
      <c r="H49" s="82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4" t="str">
        <f>IF('Mapa final SI'!AC52="","",'Mapa final SI'!AC52)</f>
        <v/>
      </c>
      <c r="J49" s="344" t="str">
        <f>IF('Mapa final SI'!AE52="","",'Mapa final SI'!AE52)</f>
        <v/>
      </c>
      <c r="K49" s="344" t="str">
        <f t="shared" si="0"/>
        <v/>
      </c>
      <c r="L49" s="344" t="str">
        <f>IF('Mapa final SI'!AH52="","",'Mapa final SI'!AH52)</f>
        <v/>
      </c>
      <c r="M49" s="345" t="str">
        <f>IF('Mapa final SI'!T52="","",'Mapa final SI'!T52)</f>
        <v/>
      </c>
      <c r="N49" s="70"/>
      <c r="O49" s="70"/>
      <c r="P49" s="70"/>
      <c r="Q49" s="177"/>
    </row>
    <row r="50" spans="1:17" ht="43.5" customHeight="1" x14ac:dyDescent="0.25">
      <c r="A50" s="119" t="s">
        <v>582</v>
      </c>
      <c r="B50" s="713"/>
      <c r="C50" s="715"/>
      <c r="D50" s="717"/>
      <c r="E50" s="715"/>
      <c r="F50" s="718"/>
      <c r="G50" s="718"/>
      <c r="H50" s="824"/>
      <c r="I50" s="344" t="str">
        <f>IF('Mapa final SI'!AC53="","",'Mapa final SI'!AC53)</f>
        <v/>
      </c>
      <c r="J50" s="344" t="str">
        <f>IF('Mapa final SI'!AE53="","",'Mapa final SI'!AE53)</f>
        <v/>
      </c>
      <c r="K50" s="344" t="str">
        <f t="shared" si="0"/>
        <v/>
      </c>
      <c r="L50" s="344" t="str">
        <f>IF('Mapa final SI'!AH53="","",'Mapa final SI'!AH53)</f>
        <v/>
      </c>
      <c r="M50" s="345" t="str">
        <f>IF('Mapa final SI'!T53="","",'Mapa final SI'!T53)</f>
        <v/>
      </c>
      <c r="N50" s="70"/>
      <c r="O50" s="70"/>
      <c r="P50" s="70"/>
      <c r="Q50" s="177"/>
    </row>
    <row r="51" spans="1:17" ht="43.5" customHeight="1" x14ac:dyDescent="0.25">
      <c r="A51" s="119" t="s">
        <v>583</v>
      </c>
      <c r="B51" s="713"/>
      <c r="C51" s="715"/>
      <c r="D51" s="717"/>
      <c r="E51" s="715"/>
      <c r="F51" s="718"/>
      <c r="G51" s="718"/>
      <c r="H51" s="824"/>
      <c r="I51" s="344" t="str">
        <f>IF('Mapa final SI'!AC54="","",'Mapa final SI'!AC54)</f>
        <v/>
      </c>
      <c r="J51" s="344" t="str">
        <f>IF('Mapa final SI'!AE54="","",'Mapa final SI'!AE54)</f>
        <v/>
      </c>
      <c r="K51" s="344" t="str">
        <f t="shared" si="0"/>
        <v/>
      </c>
      <c r="L51" s="344" t="str">
        <f>IF('Mapa final SI'!AH54="","",'Mapa final SI'!AH54)</f>
        <v/>
      </c>
      <c r="M51" s="345" t="str">
        <f>IF('Mapa final SI'!T54="","",'Mapa final SI'!T54)</f>
        <v/>
      </c>
      <c r="N51" s="70"/>
      <c r="O51" s="70"/>
      <c r="P51" s="70"/>
      <c r="Q51" s="177"/>
    </row>
    <row r="52" spans="1:17" ht="43.5" customHeight="1" x14ac:dyDescent="0.25">
      <c r="A52" s="119" t="s">
        <v>584</v>
      </c>
      <c r="B52" s="713"/>
      <c r="C52" s="715"/>
      <c r="D52" s="717"/>
      <c r="E52" s="715"/>
      <c r="F52" s="718"/>
      <c r="G52" s="718"/>
      <c r="H52" s="824"/>
      <c r="I52" s="344" t="str">
        <f>IF('Mapa final SI'!AC55="","",'Mapa final SI'!AC55)</f>
        <v/>
      </c>
      <c r="J52" s="344" t="str">
        <f>IF('Mapa final SI'!AE55="","",'Mapa final SI'!AE55)</f>
        <v/>
      </c>
      <c r="K52" s="344" t="str">
        <f t="shared" si="0"/>
        <v/>
      </c>
      <c r="L52" s="344" t="str">
        <f>IF('Mapa final SI'!AH55="","",'Mapa final SI'!AH55)</f>
        <v/>
      </c>
      <c r="M52" s="345" t="str">
        <f>IF('Mapa final SI'!T55="","",'Mapa final SI'!T55)</f>
        <v/>
      </c>
      <c r="N52" s="70"/>
      <c r="O52" s="70"/>
      <c r="P52" s="70"/>
      <c r="Q52" s="177"/>
    </row>
    <row r="53" spans="1:17" ht="43.5" customHeight="1" x14ac:dyDescent="0.25">
      <c r="A53" s="119" t="s">
        <v>585</v>
      </c>
      <c r="B53" s="713"/>
      <c r="C53" s="715"/>
      <c r="D53" s="717"/>
      <c r="E53" s="715"/>
      <c r="F53" s="718"/>
      <c r="G53" s="718"/>
      <c r="H53" s="824"/>
      <c r="I53" s="344" t="str">
        <f>IF('Mapa final SI'!AC56="","",'Mapa final SI'!AC56)</f>
        <v/>
      </c>
      <c r="J53" s="344" t="str">
        <f>IF('Mapa final SI'!AE56="","",'Mapa final SI'!AE56)</f>
        <v/>
      </c>
      <c r="K53" s="344" t="str">
        <f t="shared" si="0"/>
        <v/>
      </c>
      <c r="L53" s="344" t="str">
        <f>IF('Mapa final SI'!AH56="","",'Mapa final SI'!AH56)</f>
        <v/>
      </c>
      <c r="M53" s="345" t="str">
        <f>IF('Mapa final SI'!T56="","",'Mapa final SI'!T56)</f>
        <v/>
      </c>
      <c r="N53" s="70"/>
      <c r="O53" s="70"/>
      <c r="P53" s="70"/>
      <c r="Q53" s="177"/>
    </row>
    <row r="54" spans="1:17" ht="43.5" customHeight="1" x14ac:dyDescent="0.25">
      <c r="A54" s="119" t="s">
        <v>586</v>
      </c>
      <c r="B54" s="713"/>
      <c r="C54" s="715"/>
      <c r="D54" s="717"/>
      <c r="E54" s="715"/>
      <c r="F54" s="718"/>
      <c r="G54" s="718"/>
      <c r="H54" s="719"/>
      <c r="I54" s="344" t="str">
        <f>IF('Mapa final SI'!AC57="","",'Mapa final SI'!AC57)</f>
        <v/>
      </c>
      <c r="J54" s="344" t="str">
        <f>IF('Mapa final SI'!AE57="","",'Mapa final SI'!AE57)</f>
        <v/>
      </c>
      <c r="K54" s="344" t="str">
        <f t="shared" si="0"/>
        <v/>
      </c>
      <c r="L54" s="344" t="str">
        <f>IF('Mapa final SI'!AH57="","",'Mapa final SI'!AH57)</f>
        <v/>
      </c>
      <c r="M54" s="345" t="str">
        <f>IF('Mapa final SI'!T57="","",'Mapa final SI'!T57)</f>
        <v/>
      </c>
      <c r="N54" s="70"/>
      <c r="O54" s="70"/>
      <c r="P54" s="70"/>
      <c r="Q54" s="177"/>
    </row>
    <row r="55" spans="1:17" ht="43.5" customHeight="1" x14ac:dyDescent="0.25">
      <c r="A55" s="119" t="s">
        <v>587</v>
      </c>
      <c r="B55" s="712"/>
      <c r="C55" s="714" t="str">
        <f>IF('Mapa final SI'!G58="","",'Mapa final SI'!G58)</f>
        <v/>
      </c>
      <c r="D55" s="716"/>
      <c r="E55" s="714" t="str">
        <f>IF('Mapa final SI'!F58="","",'Mapa final SI'!F58)</f>
        <v/>
      </c>
      <c r="F55" s="720" t="str">
        <f>IF('Mapa final SI'!L58="","",'Mapa final SI'!L58)</f>
        <v/>
      </c>
      <c r="G55" s="720" t="str">
        <f>IF('Mapa final SI'!P58="","",'Mapa final SI'!P58)</f>
        <v/>
      </c>
      <c r="H55" s="82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4" t="str">
        <f>IF('Mapa final SI'!AC58="","",'Mapa final SI'!AC58)</f>
        <v/>
      </c>
      <c r="J55" s="344" t="str">
        <f>IF('Mapa final SI'!AE58="","",'Mapa final SI'!AE58)</f>
        <v/>
      </c>
      <c r="K55" s="344" t="str">
        <f t="shared" si="0"/>
        <v/>
      </c>
      <c r="L55" s="344" t="str">
        <f>IF('Mapa final SI'!AH58="","",'Mapa final SI'!AH58)</f>
        <v/>
      </c>
      <c r="M55" s="345" t="str">
        <f>IF('Mapa final SI'!T58="","",'Mapa final SI'!T58)</f>
        <v/>
      </c>
      <c r="N55" s="70"/>
      <c r="O55" s="70"/>
      <c r="P55" s="70"/>
      <c r="Q55" s="177"/>
    </row>
    <row r="56" spans="1:17" ht="43.5" customHeight="1" x14ac:dyDescent="0.25">
      <c r="A56" s="119" t="s">
        <v>588</v>
      </c>
      <c r="B56" s="713"/>
      <c r="C56" s="715"/>
      <c r="D56" s="717"/>
      <c r="E56" s="715"/>
      <c r="F56" s="718"/>
      <c r="G56" s="718"/>
      <c r="H56" s="824"/>
      <c r="I56" s="344" t="str">
        <f>IF('Mapa final SI'!AC59="","",'Mapa final SI'!AC59)</f>
        <v/>
      </c>
      <c r="J56" s="344" t="str">
        <f>IF('Mapa final SI'!AE59="","",'Mapa final SI'!AE59)</f>
        <v/>
      </c>
      <c r="K56" s="344" t="str">
        <f t="shared" si="0"/>
        <v/>
      </c>
      <c r="L56" s="344" t="str">
        <f>IF('Mapa final SI'!AH59="","",'Mapa final SI'!AH59)</f>
        <v/>
      </c>
      <c r="M56" s="345" t="str">
        <f>IF('Mapa final SI'!T59="","",'Mapa final SI'!T59)</f>
        <v/>
      </c>
      <c r="N56" s="70"/>
      <c r="O56" s="70"/>
      <c r="P56" s="70"/>
      <c r="Q56" s="177"/>
    </row>
    <row r="57" spans="1:17" ht="43.5" customHeight="1" x14ac:dyDescent="0.25">
      <c r="A57" s="119" t="s">
        <v>589</v>
      </c>
      <c r="B57" s="713"/>
      <c r="C57" s="715"/>
      <c r="D57" s="717"/>
      <c r="E57" s="715"/>
      <c r="F57" s="718"/>
      <c r="G57" s="718"/>
      <c r="H57" s="824"/>
      <c r="I57" s="344" t="str">
        <f>IF('Mapa final SI'!AC60="","",'Mapa final SI'!AC60)</f>
        <v/>
      </c>
      <c r="J57" s="344" t="str">
        <f>IF('Mapa final SI'!AE60="","",'Mapa final SI'!AE60)</f>
        <v/>
      </c>
      <c r="K57" s="344" t="str">
        <f t="shared" si="0"/>
        <v/>
      </c>
      <c r="L57" s="344" t="str">
        <f>IF('Mapa final SI'!AH60="","",'Mapa final SI'!AH60)</f>
        <v/>
      </c>
      <c r="M57" s="345" t="str">
        <f>IF('Mapa final SI'!T60="","",'Mapa final SI'!T60)</f>
        <v/>
      </c>
      <c r="N57" s="70"/>
      <c r="O57" s="70"/>
      <c r="P57" s="70"/>
      <c r="Q57" s="177"/>
    </row>
    <row r="58" spans="1:17" ht="43.5" customHeight="1" x14ac:dyDescent="0.25">
      <c r="A58" s="119" t="s">
        <v>590</v>
      </c>
      <c r="B58" s="713"/>
      <c r="C58" s="715"/>
      <c r="D58" s="717"/>
      <c r="E58" s="715"/>
      <c r="F58" s="718"/>
      <c r="G58" s="718"/>
      <c r="H58" s="824"/>
      <c r="I58" s="344" t="str">
        <f>IF('Mapa final SI'!AC61="","",'Mapa final SI'!AC61)</f>
        <v/>
      </c>
      <c r="J58" s="344" t="str">
        <f>IF('Mapa final SI'!AE61="","",'Mapa final SI'!AE61)</f>
        <v/>
      </c>
      <c r="K58" s="344" t="str">
        <f t="shared" si="0"/>
        <v/>
      </c>
      <c r="L58" s="344" t="str">
        <f>IF('Mapa final SI'!AH61="","",'Mapa final SI'!AH61)</f>
        <v/>
      </c>
      <c r="M58" s="345" t="str">
        <f>IF('Mapa final SI'!T61="","",'Mapa final SI'!T61)</f>
        <v/>
      </c>
      <c r="N58" s="70"/>
      <c r="O58" s="70"/>
      <c r="P58" s="70"/>
      <c r="Q58" s="177"/>
    </row>
    <row r="59" spans="1:17" ht="43.5" customHeight="1" x14ac:dyDescent="0.25">
      <c r="A59" s="119" t="s">
        <v>591</v>
      </c>
      <c r="B59" s="713"/>
      <c r="C59" s="715"/>
      <c r="D59" s="717"/>
      <c r="E59" s="715"/>
      <c r="F59" s="718"/>
      <c r="G59" s="718"/>
      <c r="H59" s="824"/>
      <c r="I59" s="344" t="str">
        <f>IF('Mapa final SI'!AC62="","",'Mapa final SI'!AC62)</f>
        <v/>
      </c>
      <c r="J59" s="344" t="str">
        <f>IF('Mapa final SI'!AE62="","",'Mapa final SI'!AE62)</f>
        <v/>
      </c>
      <c r="K59" s="344" t="str">
        <f t="shared" si="0"/>
        <v/>
      </c>
      <c r="L59" s="344" t="str">
        <f>IF('Mapa final SI'!AH62="","",'Mapa final SI'!AH62)</f>
        <v/>
      </c>
      <c r="M59" s="345" t="str">
        <f>IF('Mapa final SI'!T62="","",'Mapa final SI'!T62)</f>
        <v/>
      </c>
      <c r="N59" s="70"/>
      <c r="O59" s="70"/>
      <c r="P59" s="70"/>
      <c r="Q59" s="177"/>
    </row>
    <row r="60" spans="1:17" ht="43.5" customHeight="1" x14ac:dyDescent="0.25">
      <c r="A60" s="119" t="s">
        <v>592</v>
      </c>
      <c r="B60" s="713"/>
      <c r="C60" s="715"/>
      <c r="D60" s="717"/>
      <c r="E60" s="715"/>
      <c r="F60" s="718"/>
      <c r="G60" s="718"/>
      <c r="H60" s="719"/>
      <c r="I60" s="344" t="str">
        <f>IF('Mapa final SI'!AC63="","",'Mapa final SI'!AC63)</f>
        <v/>
      </c>
      <c r="J60" s="344" t="str">
        <f>IF('Mapa final SI'!AE63="","",'Mapa final SI'!AE63)</f>
        <v/>
      </c>
      <c r="K60" s="344" t="str">
        <f t="shared" si="0"/>
        <v/>
      </c>
      <c r="L60" s="344" t="str">
        <f>IF('Mapa final SI'!AH63="","",'Mapa final SI'!AH63)</f>
        <v/>
      </c>
      <c r="M60" s="345" t="str">
        <f>IF('Mapa final SI'!T63="","",'Mapa final SI'!T63)</f>
        <v/>
      </c>
      <c r="N60" s="70"/>
      <c r="O60" s="70"/>
      <c r="P60" s="70"/>
      <c r="Q60" s="177"/>
    </row>
    <row r="61" spans="1:17" ht="43.5" customHeight="1" x14ac:dyDescent="0.25">
      <c r="A61" s="119" t="s">
        <v>593</v>
      </c>
      <c r="B61" s="712"/>
      <c r="C61" s="714" t="str">
        <f>IF('Mapa final SI'!G64="","",'Mapa final SI'!G64)</f>
        <v/>
      </c>
      <c r="D61" s="716"/>
      <c r="E61" s="714" t="str">
        <f>IF('Mapa final SI'!F64="","",'Mapa final SI'!F64)</f>
        <v/>
      </c>
      <c r="F61" s="720" t="str">
        <f>IF('Mapa final SI'!L64="","",'Mapa final SI'!L64)</f>
        <v/>
      </c>
      <c r="G61" s="720" t="str">
        <f>IF('Mapa final SI'!P64="","",'Mapa final SI'!P64)</f>
        <v/>
      </c>
      <c r="H61" s="82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4" t="str">
        <f>IF('Mapa final SI'!AC64="","",'Mapa final SI'!AC64)</f>
        <v/>
      </c>
      <c r="J61" s="344" t="str">
        <f>IF('Mapa final SI'!AE64="","",'Mapa final SI'!AE64)</f>
        <v/>
      </c>
      <c r="K61" s="344" t="str">
        <f t="shared" si="0"/>
        <v/>
      </c>
      <c r="L61" s="344" t="str">
        <f>IF('Mapa final SI'!AH64="","",'Mapa final SI'!AH64)</f>
        <v/>
      </c>
      <c r="M61" s="345" t="str">
        <f>IF('Mapa final SI'!T64="","",'Mapa final SI'!T64)</f>
        <v/>
      </c>
      <c r="N61" s="70"/>
      <c r="O61" s="70"/>
      <c r="P61" s="70"/>
      <c r="Q61" s="177"/>
    </row>
    <row r="62" spans="1:17" ht="43.5" customHeight="1" x14ac:dyDescent="0.25">
      <c r="A62" s="119" t="s">
        <v>594</v>
      </c>
      <c r="B62" s="713"/>
      <c r="C62" s="715"/>
      <c r="D62" s="717"/>
      <c r="E62" s="715"/>
      <c r="F62" s="718"/>
      <c r="G62" s="718"/>
      <c r="H62" s="824"/>
      <c r="I62" s="344" t="str">
        <f>IF('Mapa final SI'!AC65="","",'Mapa final SI'!AC65)</f>
        <v/>
      </c>
      <c r="J62" s="344" t="str">
        <f>IF('Mapa final SI'!AE65="","",'Mapa final SI'!AE65)</f>
        <v/>
      </c>
      <c r="K62" s="344" t="str">
        <f t="shared" si="0"/>
        <v/>
      </c>
      <c r="L62" s="344" t="str">
        <f>IF('Mapa final SI'!AH65="","",'Mapa final SI'!AH65)</f>
        <v/>
      </c>
      <c r="M62" s="345" t="str">
        <f>IF('Mapa final SI'!T65="","",'Mapa final SI'!T65)</f>
        <v/>
      </c>
      <c r="N62" s="70"/>
      <c r="O62" s="70"/>
      <c r="P62" s="70"/>
      <c r="Q62" s="177"/>
    </row>
    <row r="63" spans="1:17" ht="43.5" customHeight="1" x14ac:dyDescent="0.25">
      <c r="A63" s="119" t="s">
        <v>595</v>
      </c>
      <c r="B63" s="713"/>
      <c r="C63" s="715"/>
      <c r="D63" s="717"/>
      <c r="E63" s="715"/>
      <c r="F63" s="718"/>
      <c r="G63" s="718"/>
      <c r="H63" s="824"/>
      <c r="I63" s="344" t="str">
        <f>IF('Mapa final SI'!AC66="","",'Mapa final SI'!AC66)</f>
        <v/>
      </c>
      <c r="J63" s="344" t="str">
        <f>IF('Mapa final SI'!AE66="","",'Mapa final SI'!AE66)</f>
        <v/>
      </c>
      <c r="K63" s="344" t="str">
        <f t="shared" si="0"/>
        <v/>
      </c>
      <c r="L63" s="344" t="str">
        <f>IF('Mapa final SI'!AH66="","",'Mapa final SI'!AH66)</f>
        <v/>
      </c>
      <c r="M63" s="345" t="str">
        <f>IF('Mapa final SI'!T66="","",'Mapa final SI'!T66)</f>
        <v/>
      </c>
      <c r="N63" s="70"/>
      <c r="O63" s="70"/>
      <c r="P63" s="70"/>
      <c r="Q63" s="177"/>
    </row>
    <row r="64" spans="1:17" ht="43.5" customHeight="1" x14ac:dyDescent="0.25">
      <c r="A64" s="119" t="s">
        <v>596</v>
      </c>
      <c r="B64" s="713"/>
      <c r="C64" s="715"/>
      <c r="D64" s="717"/>
      <c r="E64" s="715"/>
      <c r="F64" s="718"/>
      <c r="G64" s="718"/>
      <c r="H64" s="824"/>
      <c r="I64" s="344" t="str">
        <f>IF('Mapa final SI'!AC67="","",'Mapa final SI'!AC67)</f>
        <v/>
      </c>
      <c r="J64" s="344" t="str">
        <f>IF('Mapa final SI'!AE67="","",'Mapa final SI'!AE67)</f>
        <v/>
      </c>
      <c r="K64" s="344" t="str">
        <f t="shared" si="0"/>
        <v/>
      </c>
      <c r="L64" s="344" t="str">
        <f>IF('Mapa final SI'!AH67="","",'Mapa final SI'!AH67)</f>
        <v/>
      </c>
      <c r="M64" s="345" t="str">
        <f>IF('Mapa final SI'!T67="","",'Mapa final SI'!T67)</f>
        <v/>
      </c>
      <c r="N64" s="70"/>
      <c r="O64" s="70"/>
      <c r="P64" s="70"/>
      <c r="Q64" s="177"/>
    </row>
    <row r="65" spans="1:17" ht="43.5" customHeight="1" x14ac:dyDescent="0.25">
      <c r="A65" s="119" t="s">
        <v>597</v>
      </c>
      <c r="B65" s="713"/>
      <c r="C65" s="715"/>
      <c r="D65" s="717"/>
      <c r="E65" s="715"/>
      <c r="F65" s="718"/>
      <c r="G65" s="718"/>
      <c r="H65" s="824"/>
      <c r="I65" s="344" t="str">
        <f>IF('Mapa final SI'!AC68="","",'Mapa final SI'!AC68)</f>
        <v/>
      </c>
      <c r="J65" s="344" t="str">
        <f>IF('Mapa final SI'!AE68="","",'Mapa final SI'!AE68)</f>
        <v/>
      </c>
      <c r="K65" s="344" t="str">
        <f t="shared" si="0"/>
        <v/>
      </c>
      <c r="L65" s="344" t="str">
        <f>IF('Mapa final SI'!AH68="","",'Mapa final SI'!AH68)</f>
        <v/>
      </c>
      <c r="M65" s="345" t="str">
        <f>IF('Mapa final SI'!T68="","",'Mapa final SI'!T68)</f>
        <v/>
      </c>
      <c r="N65" s="70"/>
      <c r="O65" s="70"/>
      <c r="P65" s="70"/>
      <c r="Q65" s="177"/>
    </row>
    <row r="66" spans="1:17" ht="43.5" customHeight="1" x14ac:dyDescent="0.25">
      <c r="A66" s="119" t="s">
        <v>598</v>
      </c>
      <c r="B66" s="713"/>
      <c r="C66" s="715"/>
      <c r="D66" s="717"/>
      <c r="E66" s="715"/>
      <c r="F66" s="718"/>
      <c r="G66" s="718"/>
      <c r="H66" s="719"/>
      <c r="I66" s="344" t="str">
        <f>IF('Mapa final SI'!AC69="","",'Mapa final SI'!AC69)</f>
        <v/>
      </c>
      <c r="J66" s="344" t="str">
        <f>IF('Mapa final SI'!AE69="","",'Mapa final SI'!AE69)</f>
        <v/>
      </c>
      <c r="K66" s="344" t="str">
        <f t="shared" si="0"/>
        <v/>
      </c>
      <c r="L66" s="344" t="str">
        <f>IF('Mapa final SI'!AH69="","",'Mapa final SI'!AH69)</f>
        <v/>
      </c>
      <c r="M66" s="345" t="str">
        <f>IF('Mapa final SI'!T69="","",'Mapa final SI'!T69)</f>
        <v/>
      </c>
      <c r="N66" s="70"/>
      <c r="O66" s="70"/>
      <c r="P66" s="70"/>
      <c r="Q66" s="177"/>
    </row>
    <row r="67" spans="1:17" ht="43.5" customHeight="1" x14ac:dyDescent="0.25">
      <c r="A67" s="119" t="s">
        <v>599</v>
      </c>
      <c r="B67" s="712"/>
      <c r="C67" s="714" t="str">
        <f>IF('Mapa final SI'!G70="","",'Mapa final SI'!G70)</f>
        <v/>
      </c>
      <c r="D67" s="716"/>
      <c r="E67" s="714" t="str">
        <f>IF('Mapa final SI'!F70="","",'Mapa final SI'!F70)</f>
        <v/>
      </c>
      <c r="F67" s="720" t="str">
        <f>IF('Mapa final SI'!L70="","",'Mapa final SI'!L70)</f>
        <v/>
      </c>
      <c r="G67" s="720" t="str">
        <f>IF('Mapa final SI'!P70="","",'Mapa final SI'!P70)</f>
        <v/>
      </c>
      <c r="H67" s="82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4" t="str">
        <f>IF('Mapa final SI'!AC70="","",'Mapa final SI'!AC70)</f>
        <v/>
      </c>
      <c r="J67" s="344" t="str">
        <f>IF('Mapa final SI'!AE70="","",'Mapa final SI'!AE70)</f>
        <v/>
      </c>
      <c r="K67" s="344" t="str">
        <f t="shared" si="0"/>
        <v/>
      </c>
      <c r="L67" s="344" t="str">
        <f>IF('Mapa final SI'!AH70="","",'Mapa final SI'!AH70)</f>
        <v/>
      </c>
      <c r="M67" s="345" t="str">
        <f>IF('Mapa final SI'!T70="","",'Mapa final SI'!T70)</f>
        <v/>
      </c>
      <c r="N67" s="70"/>
      <c r="O67" s="70"/>
      <c r="P67" s="70"/>
      <c r="Q67" s="177"/>
    </row>
    <row r="68" spans="1:17" ht="43.5" customHeight="1" x14ac:dyDescent="0.25">
      <c r="A68" s="119" t="s">
        <v>600</v>
      </c>
      <c r="B68" s="713"/>
      <c r="C68" s="715"/>
      <c r="D68" s="717"/>
      <c r="E68" s="715"/>
      <c r="F68" s="718"/>
      <c r="G68" s="718"/>
      <c r="H68" s="824"/>
      <c r="I68" s="344" t="str">
        <f>IF('Mapa final SI'!AC71="","",'Mapa final SI'!AC71)</f>
        <v/>
      </c>
      <c r="J68" s="344" t="str">
        <f>IF('Mapa final SI'!AE71="","",'Mapa final SI'!AE71)</f>
        <v/>
      </c>
      <c r="K68" s="344" t="str">
        <f t="shared" si="0"/>
        <v/>
      </c>
      <c r="L68" s="344" t="str">
        <f>IF('Mapa final SI'!AH71="","",'Mapa final SI'!AH71)</f>
        <v/>
      </c>
      <c r="M68" s="345" t="str">
        <f>IF('Mapa final SI'!T71="","",'Mapa final SI'!T71)</f>
        <v/>
      </c>
      <c r="N68" s="70"/>
      <c r="O68" s="70"/>
      <c r="P68" s="70"/>
      <c r="Q68" s="177"/>
    </row>
    <row r="69" spans="1:17" ht="43.5" customHeight="1" x14ac:dyDescent="0.25">
      <c r="A69" s="119" t="s">
        <v>601</v>
      </c>
      <c r="B69" s="713"/>
      <c r="C69" s="715"/>
      <c r="D69" s="717"/>
      <c r="E69" s="715"/>
      <c r="F69" s="718"/>
      <c r="G69" s="718"/>
      <c r="H69" s="824"/>
      <c r="I69" s="344" t="str">
        <f>IF('Mapa final SI'!AC72="","",'Mapa final SI'!AC72)</f>
        <v/>
      </c>
      <c r="J69" s="344" t="str">
        <f>IF('Mapa final SI'!AE72="","",'Mapa final SI'!AE72)</f>
        <v/>
      </c>
      <c r="K69" s="344" t="str">
        <f t="shared" si="0"/>
        <v/>
      </c>
      <c r="L69" s="344" t="str">
        <f>IF('Mapa final SI'!AH72="","",'Mapa final SI'!AH72)</f>
        <v/>
      </c>
      <c r="M69" s="345" t="str">
        <f>IF('Mapa final SI'!T72="","",'Mapa final SI'!T72)</f>
        <v/>
      </c>
      <c r="N69" s="70"/>
      <c r="O69" s="70"/>
      <c r="P69" s="70"/>
      <c r="Q69" s="177"/>
    </row>
    <row r="70" spans="1:17" ht="43.5" customHeight="1" x14ac:dyDescent="0.25">
      <c r="A70" s="119" t="s">
        <v>602</v>
      </c>
      <c r="B70" s="713"/>
      <c r="C70" s="715"/>
      <c r="D70" s="717"/>
      <c r="E70" s="715"/>
      <c r="F70" s="718"/>
      <c r="G70" s="718"/>
      <c r="H70" s="824"/>
      <c r="I70" s="344" t="str">
        <f>IF('Mapa final SI'!AC73="","",'Mapa final SI'!AC73)</f>
        <v/>
      </c>
      <c r="J70" s="344" t="str">
        <f>IF('Mapa final SI'!AE73="","",'Mapa final SI'!AE73)</f>
        <v/>
      </c>
      <c r="K70" s="344" t="str">
        <f t="shared" si="0"/>
        <v/>
      </c>
      <c r="L70" s="344" t="str">
        <f>IF('Mapa final SI'!AH73="","",'Mapa final SI'!AH73)</f>
        <v/>
      </c>
      <c r="M70" s="345" t="str">
        <f>IF('Mapa final SI'!T73="","",'Mapa final SI'!T73)</f>
        <v/>
      </c>
      <c r="N70" s="70"/>
      <c r="O70" s="70"/>
      <c r="P70" s="70"/>
      <c r="Q70" s="177"/>
    </row>
    <row r="71" spans="1:17" ht="43.5" customHeight="1" x14ac:dyDescent="0.25">
      <c r="A71" s="119" t="s">
        <v>603</v>
      </c>
      <c r="B71" s="713"/>
      <c r="C71" s="715"/>
      <c r="D71" s="717"/>
      <c r="E71" s="715"/>
      <c r="F71" s="718"/>
      <c r="G71" s="718"/>
      <c r="H71" s="824"/>
      <c r="I71" s="344" t="str">
        <f>IF('Mapa final SI'!AC74="","",'Mapa final SI'!AC74)</f>
        <v/>
      </c>
      <c r="J71" s="344" t="str">
        <f>IF('Mapa final SI'!AE74="","",'Mapa final SI'!AE74)</f>
        <v/>
      </c>
      <c r="K71" s="344" t="str">
        <f t="shared" si="0"/>
        <v/>
      </c>
      <c r="L71" s="344" t="str">
        <f>IF('Mapa final SI'!AH74="","",'Mapa final SI'!AH74)</f>
        <v/>
      </c>
      <c r="M71" s="345" t="str">
        <f>IF('Mapa final SI'!T74="","",'Mapa final SI'!T74)</f>
        <v/>
      </c>
      <c r="N71" s="70"/>
      <c r="O71" s="70"/>
      <c r="P71" s="70"/>
      <c r="Q71" s="177"/>
    </row>
    <row r="72" spans="1:17" ht="43.5" customHeight="1" x14ac:dyDescent="0.25">
      <c r="A72" s="119" t="s">
        <v>604</v>
      </c>
      <c r="B72" s="713"/>
      <c r="C72" s="715"/>
      <c r="D72" s="717"/>
      <c r="E72" s="715"/>
      <c r="F72" s="718"/>
      <c r="G72" s="718"/>
      <c r="H72" s="719"/>
      <c r="I72" s="344" t="str">
        <f>IF('Mapa final SI'!AC75="","",'Mapa final SI'!AC75)</f>
        <v/>
      </c>
      <c r="J72" s="344" t="str">
        <f>IF('Mapa final SI'!AE75="","",'Mapa final SI'!AE75)</f>
        <v/>
      </c>
      <c r="K72" s="34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4" t="str">
        <f>IF('Mapa final SI'!AH75="","",'Mapa final SI'!AH75)</f>
        <v/>
      </c>
      <c r="M72" s="345" t="str">
        <f>IF('Mapa final SI'!T75="","",'Mapa final SI'!T75)</f>
        <v/>
      </c>
      <c r="N72" s="70"/>
      <c r="O72" s="70"/>
      <c r="P72" s="70"/>
      <c r="Q72" s="177"/>
    </row>
    <row r="73" spans="1:17" ht="43.5" customHeight="1" x14ac:dyDescent="0.25">
      <c r="A73" s="119" t="s">
        <v>605</v>
      </c>
      <c r="B73" s="712"/>
      <c r="C73" s="714" t="str">
        <f>IF('Mapa final SI'!G76="","",'Mapa final SI'!G76)</f>
        <v/>
      </c>
      <c r="D73" s="716"/>
      <c r="E73" s="714" t="str">
        <f>IF('Mapa final SI'!F76="","",'Mapa final SI'!F76)</f>
        <v/>
      </c>
      <c r="F73" s="720" t="str">
        <f>IF('Mapa final SI'!L76="","",'Mapa final SI'!L76)</f>
        <v/>
      </c>
      <c r="G73" s="720" t="str">
        <f>IF('Mapa final SI'!P76="","",'Mapa final SI'!P76)</f>
        <v/>
      </c>
      <c r="H73" s="82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4" t="str">
        <f>IF('Mapa final SI'!AC76="","",'Mapa final SI'!AC76)</f>
        <v/>
      </c>
      <c r="J73" s="344" t="str">
        <f>IF('Mapa final SI'!AE76="","",'Mapa final SI'!AE76)</f>
        <v/>
      </c>
      <c r="K73" s="344" t="str">
        <f t="shared" si="1"/>
        <v/>
      </c>
      <c r="L73" s="344" t="str">
        <f>IF('Mapa final SI'!AH76="","",'Mapa final SI'!AH76)</f>
        <v/>
      </c>
      <c r="M73" s="345" t="str">
        <f>IF('Mapa final SI'!T76="","",'Mapa final SI'!T76)</f>
        <v/>
      </c>
      <c r="N73" s="70"/>
      <c r="O73" s="70"/>
      <c r="P73" s="70"/>
      <c r="Q73" s="177"/>
    </row>
    <row r="74" spans="1:17" ht="43.5" customHeight="1" x14ac:dyDescent="0.25">
      <c r="A74" s="119" t="s">
        <v>606</v>
      </c>
      <c r="B74" s="713"/>
      <c r="C74" s="715"/>
      <c r="D74" s="717"/>
      <c r="E74" s="715"/>
      <c r="F74" s="718"/>
      <c r="G74" s="718"/>
      <c r="H74" s="824"/>
      <c r="I74" s="344" t="str">
        <f>IF('Mapa final SI'!AC77="","",'Mapa final SI'!AC77)</f>
        <v/>
      </c>
      <c r="J74" s="344" t="str">
        <f>IF('Mapa final SI'!AE77="","",'Mapa final SI'!AE77)</f>
        <v/>
      </c>
      <c r="K74" s="344" t="str">
        <f t="shared" si="1"/>
        <v/>
      </c>
      <c r="L74" s="344" t="str">
        <f>IF('Mapa final SI'!AH77="","",'Mapa final SI'!AH77)</f>
        <v/>
      </c>
      <c r="M74" s="345" t="str">
        <f>IF('Mapa final SI'!T77="","",'Mapa final SI'!T77)</f>
        <v/>
      </c>
      <c r="N74" s="70"/>
      <c r="O74" s="70"/>
      <c r="P74" s="70"/>
      <c r="Q74" s="177"/>
    </row>
    <row r="75" spans="1:17" ht="43.5" customHeight="1" x14ac:dyDescent="0.25">
      <c r="A75" s="119" t="s">
        <v>607</v>
      </c>
      <c r="B75" s="713"/>
      <c r="C75" s="715"/>
      <c r="D75" s="717"/>
      <c r="E75" s="715"/>
      <c r="F75" s="718"/>
      <c r="G75" s="718"/>
      <c r="H75" s="824"/>
      <c r="I75" s="344" t="str">
        <f>IF('Mapa final SI'!AC78="","",'Mapa final SI'!AC78)</f>
        <v/>
      </c>
      <c r="J75" s="344" t="str">
        <f>IF('Mapa final SI'!AE78="","",'Mapa final SI'!AE78)</f>
        <v/>
      </c>
      <c r="K75" s="344" t="str">
        <f t="shared" si="1"/>
        <v/>
      </c>
      <c r="L75" s="344" t="str">
        <f>IF('Mapa final SI'!AH78="","",'Mapa final SI'!AH78)</f>
        <v/>
      </c>
      <c r="M75" s="345" t="str">
        <f>IF('Mapa final SI'!T78="","",'Mapa final SI'!T78)</f>
        <v/>
      </c>
      <c r="N75" s="70"/>
      <c r="O75" s="70"/>
      <c r="P75" s="70"/>
      <c r="Q75" s="177"/>
    </row>
    <row r="76" spans="1:17" ht="43.5" customHeight="1" x14ac:dyDescent="0.25">
      <c r="A76" s="119" t="s">
        <v>608</v>
      </c>
      <c r="B76" s="713"/>
      <c r="C76" s="715"/>
      <c r="D76" s="717"/>
      <c r="E76" s="715"/>
      <c r="F76" s="718"/>
      <c r="G76" s="718"/>
      <c r="H76" s="824"/>
      <c r="I76" s="344" t="str">
        <f>IF('Mapa final SI'!AC79="","",'Mapa final SI'!AC79)</f>
        <v/>
      </c>
      <c r="J76" s="344" t="str">
        <f>IF('Mapa final SI'!AE79="","",'Mapa final SI'!AE79)</f>
        <v/>
      </c>
      <c r="K76" s="344" t="str">
        <f t="shared" si="1"/>
        <v/>
      </c>
      <c r="L76" s="344" t="str">
        <f>IF('Mapa final SI'!AH79="","",'Mapa final SI'!AH79)</f>
        <v/>
      </c>
      <c r="M76" s="345" t="str">
        <f>IF('Mapa final SI'!T79="","",'Mapa final SI'!T79)</f>
        <v/>
      </c>
      <c r="N76" s="70"/>
      <c r="O76" s="70"/>
      <c r="P76" s="70"/>
      <c r="Q76" s="177"/>
    </row>
    <row r="77" spans="1:17" ht="43.5" customHeight="1" x14ac:dyDescent="0.25">
      <c r="A77" s="119" t="s">
        <v>609</v>
      </c>
      <c r="B77" s="713"/>
      <c r="C77" s="715"/>
      <c r="D77" s="717"/>
      <c r="E77" s="715"/>
      <c r="F77" s="718"/>
      <c r="G77" s="718"/>
      <c r="H77" s="824"/>
      <c r="I77" s="344" t="str">
        <f>IF('Mapa final SI'!AC80="","",'Mapa final SI'!AC80)</f>
        <v/>
      </c>
      <c r="J77" s="344" t="str">
        <f>IF('Mapa final SI'!AE80="","",'Mapa final SI'!AE80)</f>
        <v/>
      </c>
      <c r="K77" s="344" t="str">
        <f t="shared" si="1"/>
        <v/>
      </c>
      <c r="L77" s="344" t="str">
        <f>IF('Mapa final SI'!AH80="","",'Mapa final SI'!AH80)</f>
        <v/>
      </c>
      <c r="M77" s="345" t="str">
        <f>IF('Mapa final SI'!T80="","",'Mapa final SI'!T80)</f>
        <v/>
      </c>
      <c r="N77" s="70"/>
      <c r="O77" s="70"/>
      <c r="P77" s="70"/>
      <c r="Q77" s="177"/>
    </row>
    <row r="78" spans="1:17" ht="43.5" customHeight="1" x14ac:dyDescent="0.25">
      <c r="A78" s="119" t="s">
        <v>610</v>
      </c>
      <c r="B78" s="713"/>
      <c r="C78" s="715"/>
      <c r="D78" s="717"/>
      <c r="E78" s="715"/>
      <c r="F78" s="718"/>
      <c r="G78" s="718"/>
      <c r="H78" s="719"/>
      <c r="I78" s="344" t="str">
        <f>IF('Mapa final SI'!AC81="","",'Mapa final SI'!AC81)</f>
        <v/>
      </c>
      <c r="J78" s="344" t="str">
        <f>IF('Mapa final SI'!AE81="","",'Mapa final SI'!AE81)</f>
        <v/>
      </c>
      <c r="K78" s="344" t="str">
        <f t="shared" si="1"/>
        <v/>
      </c>
      <c r="L78" s="344" t="str">
        <f>IF('Mapa final SI'!AH81="","",'Mapa final SI'!AH81)</f>
        <v/>
      </c>
      <c r="M78" s="345" t="str">
        <f>IF('Mapa final SI'!T81="","",'Mapa final SI'!T81)</f>
        <v/>
      </c>
      <c r="N78" s="70"/>
      <c r="O78" s="70"/>
      <c r="P78" s="70"/>
      <c r="Q78" s="177"/>
    </row>
    <row r="79" spans="1:17" ht="43.5" customHeight="1" x14ac:dyDescent="0.25">
      <c r="A79" s="119" t="s">
        <v>611</v>
      </c>
      <c r="B79" s="712"/>
      <c r="C79" s="714" t="str">
        <f>IF('Mapa final SI'!G82="","",'Mapa final SI'!G82)</f>
        <v/>
      </c>
      <c r="D79" s="716"/>
      <c r="E79" s="714" t="str">
        <f>IF('Mapa final SI'!F82="","",'Mapa final SI'!F82)</f>
        <v/>
      </c>
      <c r="F79" s="720" t="str">
        <f>IF('Mapa final SI'!L82="","",'Mapa final SI'!L82)</f>
        <v/>
      </c>
      <c r="G79" s="720" t="str">
        <f>IF('Mapa final SI'!P82="","",'Mapa final SI'!P82)</f>
        <v/>
      </c>
      <c r="H79" s="82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4" t="str">
        <f>IF('Mapa final SI'!AC82="","",'Mapa final SI'!AC82)</f>
        <v/>
      </c>
      <c r="J79" s="344" t="str">
        <f>IF('Mapa final SI'!AE82="","",'Mapa final SI'!AE82)</f>
        <v/>
      </c>
      <c r="K79" s="344" t="str">
        <f t="shared" si="1"/>
        <v/>
      </c>
      <c r="L79" s="344" t="str">
        <f>IF('Mapa final SI'!AH82="","",'Mapa final SI'!AH82)</f>
        <v/>
      </c>
      <c r="M79" s="345" t="str">
        <f>IF('Mapa final SI'!T82="","",'Mapa final SI'!T82)</f>
        <v/>
      </c>
      <c r="N79" s="70"/>
      <c r="O79" s="70"/>
      <c r="P79" s="70"/>
      <c r="Q79" s="177"/>
    </row>
    <row r="80" spans="1:17" ht="43.5" customHeight="1" x14ac:dyDescent="0.25">
      <c r="A80" s="119" t="s">
        <v>612</v>
      </c>
      <c r="B80" s="713"/>
      <c r="C80" s="715"/>
      <c r="D80" s="717"/>
      <c r="E80" s="715"/>
      <c r="F80" s="718"/>
      <c r="G80" s="718"/>
      <c r="H80" s="824"/>
      <c r="I80" s="344" t="str">
        <f>IF('Mapa final SI'!AC83="","",'Mapa final SI'!AC83)</f>
        <v/>
      </c>
      <c r="J80" s="344" t="str">
        <f>IF('Mapa final SI'!AE83="","",'Mapa final SI'!AE83)</f>
        <v/>
      </c>
      <c r="K80" s="344" t="str">
        <f t="shared" si="1"/>
        <v/>
      </c>
      <c r="L80" s="344" t="str">
        <f>IF('Mapa final SI'!AH83="","",'Mapa final SI'!AH83)</f>
        <v/>
      </c>
      <c r="M80" s="345" t="str">
        <f>IF('Mapa final SI'!T83="","",'Mapa final SI'!T83)</f>
        <v/>
      </c>
      <c r="N80" s="70"/>
      <c r="O80" s="70"/>
      <c r="P80" s="70"/>
      <c r="Q80" s="177"/>
    </row>
    <row r="81" spans="1:17" ht="43.5" customHeight="1" x14ac:dyDescent="0.25">
      <c r="A81" s="119" t="s">
        <v>613</v>
      </c>
      <c r="B81" s="713"/>
      <c r="C81" s="715"/>
      <c r="D81" s="717"/>
      <c r="E81" s="715"/>
      <c r="F81" s="718"/>
      <c r="G81" s="718"/>
      <c r="H81" s="824"/>
      <c r="I81" s="344" t="str">
        <f>IF('Mapa final SI'!AC84="","",'Mapa final SI'!AC84)</f>
        <v/>
      </c>
      <c r="J81" s="344" t="str">
        <f>IF('Mapa final SI'!AE84="","",'Mapa final SI'!AE84)</f>
        <v/>
      </c>
      <c r="K81" s="344" t="str">
        <f t="shared" si="1"/>
        <v/>
      </c>
      <c r="L81" s="344" t="str">
        <f>IF('Mapa final SI'!AH84="","",'Mapa final SI'!AH84)</f>
        <v/>
      </c>
      <c r="M81" s="345" t="str">
        <f>IF('Mapa final SI'!T84="","",'Mapa final SI'!T84)</f>
        <v/>
      </c>
      <c r="N81" s="70"/>
      <c r="O81" s="70"/>
      <c r="P81" s="70"/>
      <c r="Q81" s="177"/>
    </row>
    <row r="82" spans="1:17" ht="43.5" customHeight="1" x14ac:dyDescent="0.25">
      <c r="A82" s="119" t="s">
        <v>614</v>
      </c>
      <c r="B82" s="713"/>
      <c r="C82" s="715"/>
      <c r="D82" s="717"/>
      <c r="E82" s="715"/>
      <c r="F82" s="718"/>
      <c r="G82" s="718"/>
      <c r="H82" s="824"/>
      <c r="I82" s="344" t="str">
        <f>IF('Mapa final SI'!AC85="","",'Mapa final SI'!AC85)</f>
        <v/>
      </c>
      <c r="J82" s="344" t="str">
        <f>IF('Mapa final SI'!AE85="","",'Mapa final SI'!AE85)</f>
        <v/>
      </c>
      <c r="K82" s="344" t="str">
        <f t="shared" si="1"/>
        <v/>
      </c>
      <c r="L82" s="344" t="str">
        <f>IF('Mapa final SI'!AH85="","",'Mapa final SI'!AH85)</f>
        <v/>
      </c>
      <c r="M82" s="345" t="str">
        <f>IF('Mapa final SI'!T85="","",'Mapa final SI'!T85)</f>
        <v/>
      </c>
      <c r="N82" s="70"/>
      <c r="O82" s="70"/>
      <c r="P82" s="70"/>
      <c r="Q82" s="177"/>
    </row>
    <row r="83" spans="1:17" ht="43.5" customHeight="1" x14ac:dyDescent="0.25">
      <c r="A83" s="119" t="s">
        <v>615</v>
      </c>
      <c r="B83" s="713"/>
      <c r="C83" s="715"/>
      <c r="D83" s="717"/>
      <c r="E83" s="715"/>
      <c r="F83" s="718"/>
      <c r="G83" s="718"/>
      <c r="H83" s="824"/>
      <c r="I83" s="344" t="str">
        <f>IF('Mapa final SI'!AC86="","",'Mapa final SI'!AC86)</f>
        <v/>
      </c>
      <c r="J83" s="344" t="str">
        <f>IF('Mapa final SI'!AE86="","",'Mapa final SI'!AE86)</f>
        <v/>
      </c>
      <c r="K83" s="344" t="str">
        <f t="shared" si="1"/>
        <v/>
      </c>
      <c r="L83" s="344" t="str">
        <f>IF('Mapa final SI'!AH86="","",'Mapa final SI'!AH86)</f>
        <v/>
      </c>
      <c r="M83" s="345" t="str">
        <f>IF('Mapa final SI'!T86="","",'Mapa final SI'!T86)</f>
        <v/>
      </c>
      <c r="N83" s="70"/>
      <c r="O83" s="70"/>
      <c r="P83" s="70"/>
      <c r="Q83" s="177"/>
    </row>
    <row r="84" spans="1:17" ht="43.5" customHeight="1" x14ac:dyDescent="0.25">
      <c r="A84" s="119" t="s">
        <v>616</v>
      </c>
      <c r="B84" s="713"/>
      <c r="C84" s="715"/>
      <c r="D84" s="717"/>
      <c r="E84" s="715"/>
      <c r="F84" s="718"/>
      <c r="G84" s="718"/>
      <c r="H84" s="719"/>
      <c r="I84" s="344" t="str">
        <f>IF('Mapa final SI'!AC87="","",'Mapa final SI'!AC87)</f>
        <v/>
      </c>
      <c r="J84" s="344" t="str">
        <f>IF('Mapa final SI'!AE87="","",'Mapa final SI'!AE87)</f>
        <v/>
      </c>
      <c r="K84" s="344" t="str">
        <f t="shared" si="1"/>
        <v/>
      </c>
      <c r="L84" s="344" t="str">
        <f>IF('Mapa final SI'!AH87="","",'Mapa final SI'!AH87)</f>
        <v/>
      </c>
      <c r="M84" s="345" t="str">
        <f>IF('Mapa final SI'!T87="","",'Mapa final SI'!T87)</f>
        <v/>
      </c>
      <c r="N84" s="70"/>
      <c r="O84" s="70"/>
      <c r="P84" s="70"/>
      <c r="Q84" s="177"/>
    </row>
    <row r="85" spans="1:17" ht="43.5" customHeight="1" x14ac:dyDescent="0.25">
      <c r="A85" s="119" t="s">
        <v>617</v>
      </c>
      <c r="B85" s="712"/>
      <c r="C85" s="714" t="str">
        <f>IF('Mapa final SI'!G88="","",'Mapa final SI'!G88)</f>
        <v/>
      </c>
      <c r="D85" s="716"/>
      <c r="E85" s="714" t="str">
        <f>IF('Mapa final SI'!F88="","",'Mapa final SI'!F88)</f>
        <v/>
      </c>
      <c r="F85" s="720" t="str">
        <f>IF('Mapa final SI'!L88="","",'Mapa final SI'!L88)</f>
        <v/>
      </c>
      <c r="G85" s="720" t="str">
        <f>IF('Mapa final SI'!P88="","",'Mapa final SI'!P88)</f>
        <v/>
      </c>
      <c r="H85" s="82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4" t="str">
        <f>IF('Mapa final SI'!AC88="","",'Mapa final SI'!AC88)</f>
        <v/>
      </c>
      <c r="J85" s="344" t="str">
        <f>IF('Mapa final SI'!AE88="","",'Mapa final SI'!AE88)</f>
        <v/>
      </c>
      <c r="K85" s="344" t="str">
        <f t="shared" si="1"/>
        <v/>
      </c>
      <c r="L85" s="344" t="str">
        <f>IF('Mapa final SI'!AH88="","",'Mapa final SI'!AH88)</f>
        <v/>
      </c>
      <c r="M85" s="345" t="str">
        <f>IF('Mapa final SI'!T88="","",'Mapa final SI'!T88)</f>
        <v/>
      </c>
      <c r="N85" s="70"/>
      <c r="O85" s="70"/>
      <c r="P85" s="70"/>
      <c r="Q85" s="177"/>
    </row>
    <row r="86" spans="1:17" ht="43.5" customHeight="1" x14ac:dyDescent="0.25">
      <c r="A86" s="119" t="s">
        <v>618</v>
      </c>
      <c r="B86" s="713"/>
      <c r="C86" s="715"/>
      <c r="D86" s="717"/>
      <c r="E86" s="715"/>
      <c r="F86" s="718"/>
      <c r="G86" s="718"/>
      <c r="H86" s="824"/>
      <c r="I86" s="344" t="str">
        <f>IF('Mapa final SI'!AC89="","",'Mapa final SI'!AC89)</f>
        <v/>
      </c>
      <c r="J86" s="344" t="str">
        <f>IF('Mapa final SI'!AE89="","",'Mapa final SI'!AE89)</f>
        <v/>
      </c>
      <c r="K86" s="344" t="str">
        <f t="shared" si="1"/>
        <v/>
      </c>
      <c r="L86" s="344" t="str">
        <f>IF('Mapa final SI'!AH89="","",'Mapa final SI'!AH89)</f>
        <v/>
      </c>
      <c r="M86" s="345" t="str">
        <f>IF('Mapa final SI'!T89="","",'Mapa final SI'!T89)</f>
        <v/>
      </c>
      <c r="N86" s="70"/>
      <c r="O86" s="70"/>
      <c r="P86" s="70"/>
      <c r="Q86" s="177"/>
    </row>
    <row r="87" spans="1:17" ht="43.5" customHeight="1" x14ac:dyDescent="0.25">
      <c r="A87" s="119" t="s">
        <v>619</v>
      </c>
      <c r="B87" s="713"/>
      <c r="C87" s="715"/>
      <c r="D87" s="717"/>
      <c r="E87" s="715"/>
      <c r="F87" s="718"/>
      <c r="G87" s="718"/>
      <c r="H87" s="824"/>
      <c r="I87" s="344" t="str">
        <f>IF('Mapa final SI'!AC90="","",'Mapa final SI'!AC90)</f>
        <v/>
      </c>
      <c r="J87" s="344" t="str">
        <f>IF('Mapa final SI'!AE90="","",'Mapa final SI'!AE90)</f>
        <v/>
      </c>
      <c r="K87" s="344" t="str">
        <f t="shared" si="1"/>
        <v/>
      </c>
      <c r="L87" s="344" t="str">
        <f>IF('Mapa final SI'!AH90="","",'Mapa final SI'!AH90)</f>
        <v/>
      </c>
      <c r="M87" s="345" t="str">
        <f>IF('Mapa final SI'!T90="","",'Mapa final SI'!T90)</f>
        <v/>
      </c>
      <c r="N87" s="70"/>
      <c r="O87" s="70"/>
      <c r="P87" s="70"/>
      <c r="Q87" s="177"/>
    </row>
    <row r="88" spans="1:17" ht="43.5" customHeight="1" x14ac:dyDescent="0.25">
      <c r="A88" s="119" t="s">
        <v>620</v>
      </c>
      <c r="B88" s="713"/>
      <c r="C88" s="715"/>
      <c r="D88" s="717"/>
      <c r="E88" s="715"/>
      <c r="F88" s="718"/>
      <c r="G88" s="718"/>
      <c r="H88" s="824"/>
      <c r="I88" s="344" t="str">
        <f>IF('Mapa final SI'!AC91="","",'Mapa final SI'!AC91)</f>
        <v/>
      </c>
      <c r="J88" s="344" t="str">
        <f>IF('Mapa final SI'!AE91="","",'Mapa final SI'!AE91)</f>
        <v/>
      </c>
      <c r="K88" s="344" t="str">
        <f t="shared" si="1"/>
        <v/>
      </c>
      <c r="L88" s="344" t="str">
        <f>IF('Mapa final SI'!AH91="","",'Mapa final SI'!AH91)</f>
        <v/>
      </c>
      <c r="M88" s="345" t="str">
        <f>IF('Mapa final SI'!T91="","",'Mapa final SI'!T91)</f>
        <v/>
      </c>
      <c r="N88" s="70"/>
      <c r="O88" s="70"/>
      <c r="P88" s="70"/>
      <c r="Q88" s="177"/>
    </row>
    <row r="89" spans="1:17" ht="43.5" customHeight="1" x14ac:dyDescent="0.25">
      <c r="A89" s="119" t="s">
        <v>621</v>
      </c>
      <c r="B89" s="713"/>
      <c r="C89" s="715"/>
      <c r="D89" s="717"/>
      <c r="E89" s="715"/>
      <c r="F89" s="718"/>
      <c r="G89" s="718"/>
      <c r="H89" s="824"/>
      <c r="I89" s="344" t="str">
        <f>IF('Mapa final SI'!AC92="","",'Mapa final SI'!AC92)</f>
        <v/>
      </c>
      <c r="J89" s="344" t="str">
        <f>IF('Mapa final SI'!AE92="","",'Mapa final SI'!AE92)</f>
        <v/>
      </c>
      <c r="K89" s="344" t="str">
        <f t="shared" si="1"/>
        <v/>
      </c>
      <c r="L89" s="344" t="str">
        <f>IF('Mapa final SI'!AH92="","",'Mapa final SI'!AH92)</f>
        <v/>
      </c>
      <c r="M89" s="345" t="str">
        <f>IF('Mapa final SI'!T92="","",'Mapa final SI'!T92)</f>
        <v/>
      </c>
      <c r="N89" s="70"/>
      <c r="O89" s="70"/>
      <c r="P89" s="70"/>
      <c r="Q89" s="177"/>
    </row>
    <row r="90" spans="1:17" ht="43.5" customHeight="1" x14ac:dyDescent="0.25">
      <c r="A90" s="119" t="s">
        <v>622</v>
      </c>
      <c r="B90" s="713"/>
      <c r="C90" s="715"/>
      <c r="D90" s="717"/>
      <c r="E90" s="715"/>
      <c r="F90" s="718"/>
      <c r="G90" s="718"/>
      <c r="H90" s="719"/>
      <c r="I90" s="344" t="str">
        <f>IF('Mapa final SI'!AC93="","",'Mapa final SI'!AC93)</f>
        <v/>
      </c>
      <c r="J90" s="344" t="str">
        <f>IF('Mapa final SI'!AE93="","",'Mapa final SI'!AE93)</f>
        <v/>
      </c>
      <c r="K90" s="344" t="str">
        <f t="shared" si="1"/>
        <v/>
      </c>
      <c r="L90" s="344" t="str">
        <f>IF('Mapa final SI'!AH93="","",'Mapa final SI'!AH93)</f>
        <v/>
      </c>
      <c r="M90" s="345" t="str">
        <f>IF('Mapa final SI'!T93="","",'Mapa final SI'!T93)</f>
        <v/>
      </c>
      <c r="N90" s="70"/>
      <c r="O90" s="70"/>
      <c r="P90" s="70"/>
      <c r="Q90" s="177"/>
    </row>
    <row r="91" spans="1:17" ht="43.5" customHeight="1" x14ac:dyDescent="0.25">
      <c r="A91" s="119" t="s">
        <v>623</v>
      </c>
      <c r="B91" s="712"/>
      <c r="C91" s="714" t="str">
        <f>IF('Mapa final SI'!G94="","",'Mapa final SI'!G94)</f>
        <v/>
      </c>
      <c r="D91" s="716"/>
      <c r="E91" s="714" t="str">
        <f>IF('Mapa final SI'!F94="","",'Mapa final SI'!F94)</f>
        <v/>
      </c>
      <c r="F91" s="720" t="str">
        <f>IF('Mapa final SI'!L94="","",'Mapa final SI'!L94)</f>
        <v/>
      </c>
      <c r="G91" s="720" t="str">
        <f>IF('Mapa final SI'!P94="","",'Mapa final SI'!P94)</f>
        <v/>
      </c>
      <c r="H91" s="82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4" t="str">
        <f>IF('Mapa final SI'!AC94="","",'Mapa final SI'!AC94)</f>
        <v/>
      </c>
      <c r="J91" s="344" t="str">
        <f>IF('Mapa final SI'!AE94="","",'Mapa final SI'!AE94)</f>
        <v/>
      </c>
      <c r="K91" s="344" t="str">
        <f t="shared" si="1"/>
        <v/>
      </c>
      <c r="L91" s="344" t="str">
        <f>IF('Mapa final SI'!AH94="","",'Mapa final SI'!AH94)</f>
        <v/>
      </c>
      <c r="M91" s="345" t="str">
        <f>IF('Mapa final SI'!T94="","",'Mapa final SI'!T94)</f>
        <v/>
      </c>
      <c r="N91" s="70"/>
      <c r="O91" s="70"/>
      <c r="P91" s="70"/>
      <c r="Q91" s="177"/>
    </row>
    <row r="92" spans="1:17" ht="43.5" customHeight="1" x14ac:dyDescent="0.25">
      <c r="A92" s="119" t="s">
        <v>624</v>
      </c>
      <c r="B92" s="713"/>
      <c r="C92" s="715"/>
      <c r="D92" s="717"/>
      <c r="E92" s="715"/>
      <c r="F92" s="718"/>
      <c r="G92" s="718"/>
      <c r="H92" s="824"/>
      <c r="I92" s="344" t="str">
        <f>IF('Mapa final SI'!AC95="","",'Mapa final SI'!AC95)</f>
        <v/>
      </c>
      <c r="J92" s="344" t="str">
        <f>IF('Mapa final SI'!AE95="","",'Mapa final SI'!AE95)</f>
        <v/>
      </c>
      <c r="K92" s="344" t="str">
        <f t="shared" si="1"/>
        <v/>
      </c>
      <c r="L92" s="344" t="str">
        <f>IF('Mapa final SI'!AH95="","",'Mapa final SI'!AH95)</f>
        <v/>
      </c>
      <c r="M92" s="345" t="str">
        <f>IF('Mapa final SI'!T95="","",'Mapa final SI'!T95)</f>
        <v/>
      </c>
      <c r="N92" s="70"/>
      <c r="O92" s="70"/>
      <c r="P92" s="70"/>
      <c r="Q92" s="177"/>
    </row>
    <row r="93" spans="1:17" ht="43.5" customHeight="1" x14ac:dyDescent="0.25">
      <c r="A93" s="119" t="s">
        <v>625</v>
      </c>
      <c r="B93" s="713"/>
      <c r="C93" s="715"/>
      <c r="D93" s="717"/>
      <c r="E93" s="715"/>
      <c r="F93" s="718"/>
      <c r="G93" s="718"/>
      <c r="H93" s="824"/>
      <c r="I93" s="344" t="str">
        <f>IF('Mapa final SI'!AC96="","",'Mapa final SI'!AC96)</f>
        <v/>
      </c>
      <c r="J93" s="344" t="str">
        <f>IF('Mapa final SI'!AE96="","",'Mapa final SI'!AE96)</f>
        <v/>
      </c>
      <c r="K93" s="344" t="str">
        <f t="shared" si="1"/>
        <v/>
      </c>
      <c r="L93" s="344" t="str">
        <f>IF('Mapa final SI'!AH96="","",'Mapa final SI'!AH96)</f>
        <v/>
      </c>
      <c r="M93" s="345" t="str">
        <f>IF('Mapa final SI'!T96="","",'Mapa final SI'!T96)</f>
        <v/>
      </c>
      <c r="N93" s="70"/>
      <c r="O93" s="70"/>
      <c r="P93" s="70"/>
      <c r="Q93" s="177"/>
    </row>
    <row r="94" spans="1:17" ht="43.5" customHeight="1" x14ac:dyDescent="0.25">
      <c r="A94" s="119" t="s">
        <v>626</v>
      </c>
      <c r="B94" s="713"/>
      <c r="C94" s="715"/>
      <c r="D94" s="717"/>
      <c r="E94" s="715"/>
      <c r="F94" s="718"/>
      <c r="G94" s="718"/>
      <c r="H94" s="824"/>
      <c r="I94" s="344" t="str">
        <f>IF('Mapa final SI'!AC97="","",'Mapa final SI'!AC97)</f>
        <v/>
      </c>
      <c r="J94" s="344" t="str">
        <f>IF('Mapa final SI'!AE97="","",'Mapa final SI'!AE97)</f>
        <v/>
      </c>
      <c r="K94" s="344" t="str">
        <f t="shared" si="1"/>
        <v/>
      </c>
      <c r="L94" s="344" t="str">
        <f>IF('Mapa final SI'!AH97="","",'Mapa final SI'!AH97)</f>
        <v/>
      </c>
      <c r="M94" s="345" t="str">
        <f>IF('Mapa final SI'!T97="","",'Mapa final SI'!T97)</f>
        <v/>
      </c>
      <c r="N94" s="70"/>
      <c r="O94" s="70"/>
      <c r="P94" s="70"/>
      <c r="Q94" s="177"/>
    </row>
    <row r="95" spans="1:17" ht="43.5" customHeight="1" x14ac:dyDescent="0.25">
      <c r="A95" s="119" t="s">
        <v>627</v>
      </c>
      <c r="B95" s="713"/>
      <c r="C95" s="715"/>
      <c r="D95" s="717"/>
      <c r="E95" s="715"/>
      <c r="F95" s="718"/>
      <c r="G95" s="718"/>
      <c r="H95" s="824"/>
      <c r="I95" s="344" t="str">
        <f>IF('Mapa final SI'!AC98="","",'Mapa final SI'!AC98)</f>
        <v/>
      </c>
      <c r="J95" s="344" t="str">
        <f>IF('Mapa final SI'!AE98="","",'Mapa final SI'!AE98)</f>
        <v/>
      </c>
      <c r="K95" s="344" t="str">
        <f t="shared" si="1"/>
        <v/>
      </c>
      <c r="L95" s="344" t="str">
        <f>IF('Mapa final SI'!AH98="","",'Mapa final SI'!AH98)</f>
        <v/>
      </c>
      <c r="M95" s="345" t="str">
        <f>IF('Mapa final SI'!T98="","",'Mapa final SI'!T98)</f>
        <v/>
      </c>
      <c r="N95" s="70"/>
      <c r="O95" s="70"/>
      <c r="P95" s="70"/>
      <c r="Q95" s="177"/>
    </row>
    <row r="96" spans="1:17" ht="43.5" customHeight="1" x14ac:dyDescent="0.25">
      <c r="A96" s="119" t="s">
        <v>628</v>
      </c>
      <c r="B96" s="713"/>
      <c r="C96" s="715"/>
      <c r="D96" s="717"/>
      <c r="E96" s="715"/>
      <c r="F96" s="718"/>
      <c r="G96" s="718"/>
      <c r="H96" s="719"/>
      <c r="I96" s="344" t="str">
        <f>IF('Mapa final SI'!AC99="","",'Mapa final SI'!AC99)</f>
        <v/>
      </c>
      <c r="J96" s="344" t="str">
        <f>IF('Mapa final SI'!AE99="","",'Mapa final SI'!AE99)</f>
        <v/>
      </c>
      <c r="K96" s="344" t="str">
        <f t="shared" si="1"/>
        <v/>
      </c>
      <c r="L96" s="344" t="str">
        <f>IF('Mapa final SI'!AH99="","",'Mapa final SI'!AH99)</f>
        <v/>
      </c>
      <c r="M96" s="345" t="str">
        <f>IF('Mapa final SI'!T99="","",'Mapa final SI'!T99)</f>
        <v/>
      </c>
      <c r="N96" s="70"/>
      <c r="O96" s="70"/>
      <c r="P96" s="70"/>
      <c r="Q96" s="177"/>
    </row>
    <row r="97" spans="1:17" ht="43.5" customHeight="1" x14ac:dyDescent="0.25">
      <c r="A97" s="119" t="s">
        <v>629</v>
      </c>
      <c r="B97" s="712"/>
      <c r="C97" s="714" t="str">
        <f>IF('Mapa final SI'!G100="","",'Mapa final SI'!G100)</f>
        <v/>
      </c>
      <c r="D97" s="716"/>
      <c r="E97" s="714" t="str">
        <f>IF('Mapa final SI'!F100="","",'Mapa final SI'!F100)</f>
        <v/>
      </c>
      <c r="F97" s="720" t="str">
        <f>IF('Mapa final SI'!L100="","",'Mapa final SI'!L100)</f>
        <v/>
      </c>
      <c r="G97" s="720" t="str">
        <f>IF('Mapa final SI'!P100="","",'Mapa final SI'!P100)</f>
        <v/>
      </c>
      <c r="H97" s="82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4" t="str">
        <f>IF('Mapa final SI'!AC100="","",'Mapa final SI'!AC100)</f>
        <v/>
      </c>
      <c r="J97" s="344" t="str">
        <f>IF('Mapa final SI'!AE100="","",'Mapa final SI'!AE100)</f>
        <v/>
      </c>
      <c r="K97" s="344" t="str">
        <f t="shared" si="1"/>
        <v/>
      </c>
      <c r="L97" s="344" t="str">
        <f>IF('Mapa final SI'!AH100="","",'Mapa final SI'!AH100)</f>
        <v/>
      </c>
      <c r="M97" s="345" t="str">
        <f>IF('Mapa final SI'!T100="","",'Mapa final SI'!T100)</f>
        <v/>
      </c>
      <c r="N97" s="70"/>
      <c r="O97" s="70"/>
      <c r="P97" s="70"/>
      <c r="Q97" s="177"/>
    </row>
    <row r="98" spans="1:17" ht="43.5" customHeight="1" x14ac:dyDescent="0.25">
      <c r="A98" s="119" t="s">
        <v>630</v>
      </c>
      <c r="B98" s="713"/>
      <c r="C98" s="715"/>
      <c r="D98" s="717"/>
      <c r="E98" s="715"/>
      <c r="F98" s="718"/>
      <c r="G98" s="718"/>
      <c r="H98" s="824"/>
      <c r="I98" s="344" t="str">
        <f>IF('Mapa final SI'!AC101="","",'Mapa final SI'!AC101)</f>
        <v/>
      </c>
      <c r="J98" s="344" t="str">
        <f>IF('Mapa final SI'!AE101="","",'Mapa final SI'!AE101)</f>
        <v/>
      </c>
      <c r="K98" s="344" t="str">
        <f t="shared" si="1"/>
        <v/>
      </c>
      <c r="L98" s="344" t="str">
        <f>IF('Mapa final SI'!AH101="","",'Mapa final SI'!AH101)</f>
        <v/>
      </c>
      <c r="M98" s="345" t="str">
        <f>IF('Mapa final SI'!T101="","",'Mapa final SI'!T101)</f>
        <v/>
      </c>
      <c r="N98" s="70"/>
      <c r="O98" s="70"/>
      <c r="P98" s="70"/>
      <c r="Q98" s="177"/>
    </row>
    <row r="99" spans="1:17" ht="43.5" customHeight="1" x14ac:dyDescent="0.25">
      <c r="A99" s="119" t="s">
        <v>631</v>
      </c>
      <c r="B99" s="713"/>
      <c r="C99" s="715"/>
      <c r="D99" s="717"/>
      <c r="E99" s="715"/>
      <c r="F99" s="718"/>
      <c r="G99" s="718"/>
      <c r="H99" s="824"/>
      <c r="I99" s="344" t="str">
        <f>IF('Mapa final SI'!AC102="","",'Mapa final SI'!AC102)</f>
        <v/>
      </c>
      <c r="J99" s="344" t="str">
        <f>IF('Mapa final SI'!AE102="","",'Mapa final SI'!AE102)</f>
        <v/>
      </c>
      <c r="K99" s="344" t="str">
        <f t="shared" si="1"/>
        <v/>
      </c>
      <c r="L99" s="344" t="str">
        <f>IF('Mapa final SI'!AH102="","",'Mapa final SI'!AH102)</f>
        <v/>
      </c>
      <c r="M99" s="345" t="str">
        <f>IF('Mapa final SI'!T102="","",'Mapa final SI'!T102)</f>
        <v/>
      </c>
      <c r="N99" s="70"/>
      <c r="O99" s="70"/>
      <c r="P99" s="70"/>
      <c r="Q99" s="177"/>
    </row>
    <row r="100" spans="1:17" ht="43.5" customHeight="1" x14ac:dyDescent="0.25">
      <c r="A100" s="119" t="s">
        <v>632</v>
      </c>
      <c r="B100" s="713"/>
      <c r="C100" s="715"/>
      <c r="D100" s="717"/>
      <c r="E100" s="715"/>
      <c r="F100" s="718"/>
      <c r="G100" s="718"/>
      <c r="H100" s="824"/>
      <c r="I100" s="344" t="str">
        <f>IF('Mapa final SI'!AC103="","",'Mapa final SI'!AC103)</f>
        <v/>
      </c>
      <c r="J100" s="344" t="str">
        <f>IF('Mapa final SI'!AE103="","",'Mapa final SI'!AE103)</f>
        <v/>
      </c>
      <c r="K100" s="344" t="str">
        <f t="shared" si="1"/>
        <v/>
      </c>
      <c r="L100" s="344" t="str">
        <f>IF('Mapa final SI'!AH103="","",'Mapa final SI'!AH103)</f>
        <v/>
      </c>
      <c r="M100" s="345" t="str">
        <f>IF('Mapa final SI'!T103="","",'Mapa final SI'!T103)</f>
        <v/>
      </c>
      <c r="N100" s="70"/>
      <c r="O100" s="70"/>
      <c r="P100" s="70"/>
      <c r="Q100" s="177"/>
    </row>
    <row r="101" spans="1:17" ht="43.5" customHeight="1" x14ac:dyDescent="0.25">
      <c r="A101" s="119" t="s">
        <v>633</v>
      </c>
      <c r="B101" s="713"/>
      <c r="C101" s="715"/>
      <c r="D101" s="717"/>
      <c r="E101" s="715"/>
      <c r="F101" s="718"/>
      <c r="G101" s="718"/>
      <c r="H101" s="824"/>
      <c r="I101" s="344" t="str">
        <f>IF('Mapa final SI'!AC104="","",'Mapa final SI'!AC104)</f>
        <v/>
      </c>
      <c r="J101" s="344" t="str">
        <f>IF('Mapa final SI'!AE104="","",'Mapa final SI'!AE104)</f>
        <v/>
      </c>
      <c r="K101" s="344" t="str">
        <f t="shared" si="1"/>
        <v/>
      </c>
      <c r="L101" s="344" t="str">
        <f>IF('Mapa final SI'!AH104="","",'Mapa final SI'!AH104)</f>
        <v/>
      </c>
      <c r="M101" s="345" t="str">
        <f>IF('Mapa final SI'!T104="","",'Mapa final SI'!T104)</f>
        <v/>
      </c>
      <c r="N101" s="70"/>
      <c r="O101" s="70"/>
      <c r="P101" s="70"/>
      <c r="Q101" s="177"/>
    </row>
    <row r="102" spans="1:17" ht="43.5" customHeight="1" x14ac:dyDescent="0.25">
      <c r="A102" s="119" t="s">
        <v>634</v>
      </c>
      <c r="B102" s="713"/>
      <c r="C102" s="715"/>
      <c r="D102" s="717"/>
      <c r="E102" s="715"/>
      <c r="F102" s="718"/>
      <c r="G102" s="718"/>
      <c r="H102" s="719"/>
      <c r="I102" s="344" t="str">
        <f>IF('Mapa final SI'!AC105="","",'Mapa final SI'!AC105)</f>
        <v/>
      </c>
      <c r="J102" s="344" t="str">
        <f>IF('Mapa final SI'!AE105="","",'Mapa final SI'!AE105)</f>
        <v/>
      </c>
      <c r="K102" s="344" t="str">
        <f t="shared" si="1"/>
        <v/>
      </c>
      <c r="L102" s="344" t="str">
        <f>IF('Mapa final SI'!AH105="","",'Mapa final SI'!AH105)</f>
        <v/>
      </c>
      <c r="M102" s="345" t="str">
        <f>IF('Mapa final SI'!T105="","",'Mapa final SI'!T105)</f>
        <v/>
      </c>
      <c r="N102" s="70"/>
      <c r="O102" s="70"/>
      <c r="P102" s="70"/>
      <c r="Q102" s="177"/>
    </row>
    <row r="103" spans="1:17" ht="43.5" customHeight="1" x14ac:dyDescent="0.25">
      <c r="A103" s="119" t="s">
        <v>635</v>
      </c>
      <c r="B103" s="712"/>
      <c r="C103" s="714" t="str">
        <f>IF('Mapa final SI'!G106="","",'Mapa final SI'!G106)</f>
        <v/>
      </c>
      <c r="D103" s="716"/>
      <c r="E103" s="714" t="str">
        <f>IF('Mapa final SI'!F106="","",'Mapa final SI'!F106)</f>
        <v/>
      </c>
      <c r="F103" s="720" t="str">
        <f>IF('Mapa final SI'!L106="","",'Mapa final SI'!L106)</f>
        <v/>
      </c>
      <c r="G103" s="720" t="str">
        <f>IF('Mapa final SI'!P106="","",'Mapa final SI'!P106)</f>
        <v/>
      </c>
      <c r="H103" s="82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4" t="str">
        <f>IF('Mapa final SI'!AC106="","",'Mapa final SI'!AC106)</f>
        <v/>
      </c>
      <c r="J103" s="344" t="str">
        <f>IF('Mapa final SI'!AE106="","",'Mapa final SI'!AE106)</f>
        <v/>
      </c>
      <c r="K103" s="344" t="str">
        <f t="shared" si="1"/>
        <v/>
      </c>
      <c r="L103" s="344" t="str">
        <f>IF('Mapa final SI'!AH106="","",'Mapa final SI'!AH106)</f>
        <v/>
      </c>
      <c r="M103" s="345" t="str">
        <f>IF('Mapa final SI'!T106="","",'Mapa final SI'!T106)</f>
        <v/>
      </c>
      <c r="N103" s="70"/>
      <c r="O103" s="70"/>
      <c r="P103" s="70"/>
      <c r="Q103" s="177"/>
    </row>
    <row r="104" spans="1:17" ht="43.5" customHeight="1" x14ac:dyDescent="0.25">
      <c r="A104" s="119" t="s">
        <v>636</v>
      </c>
      <c r="B104" s="713"/>
      <c r="C104" s="715"/>
      <c r="D104" s="717"/>
      <c r="E104" s="715"/>
      <c r="F104" s="718"/>
      <c r="G104" s="718"/>
      <c r="H104" s="824"/>
      <c r="I104" s="344" t="str">
        <f>IF('Mapa final SI'!AC107="","",'Mapa final SI'!AC107)</f>
        <v/>
      </c>
      <c r="J104" s="344" t="str">
        <f>IF('Mapa final SI'!AE107="","",'Mapa final SI'!AE107)</f>
        <v/>
      </c>
      <c r="K104" s="344" t="str">
        <f t="shared" si="1"/>
        <v/>
      </c>
      <c r="L104" s="344" t="str">
        <f>IF('Mapa final SI'!AH107="","",'Mapa final SI'!AH107)</f>
        <v/>
      </c>
      <c r="M104" s="345" t="str">
        <f>IF('Mapa final SI'!T107="","",'Mapa final SI'!T107)</f>
        <v/>
      </c>
      <c r="N104" s="70"/>
      <c r="O104" s="70"/>
      <c r="P104" s="70"/>
      <c r="Q104" s="177"/>
    </row>
    <row r="105" spans="1:17" ht="43.5" customHeight="1" x14ac:dyDescent="0.25">
      <c r="A105" s="119" t="s">
        <v>637</v>
      </c>
      <c r="B105" s="713"/>
      <c r="C105" s="715"/>
      <c r="D105" s="717"/>
      <c r="E105" s="715"/>
      <c r="F105" s="718"/>
      <c r="G105" s="718"/>
      <c r="H105" s="824"/>
      <c r="I105" s="344" t="str">
        <f>IF('Mapa final SI'!AC108="","",'Mapa final SI'!AC108)</f>
        <v/>
      </c>
      <c r="J105" s="344" t="str">
        <f>IF('Mapa final SI'!AE108="","",'Mapa final SI'!AE108)</f>
        <v/>
      </c>
      <c r="K105" s="344" t="str">
        <f t="shared" si="1"/>
        <v/>
      </c>
      <c r="L105" s="344" t="str">
        <f>IF('Mapa final SI'!AH108="","",'Mapa final SI'!AH108)</f>
        <v/>
      </c>
      <c r="M105" s="345" t="str">
        <f>IF('Mapa final SI'!T108="","",'Mapa final SI'!T108)</f>
        <v/>
      </c>
      <c r="N105" s="70"/>
      <c r="O105" s="70"/>
      <c r="P105" s="70"/>
      <c r="Q105" s="177"/>
    </row>
    <row r="106" spans="1:17" ht="43.5" customHeight="1" x14ac:dyDescent="0.25">
      <c r="A106" s="119" t="s">
        <v>638</v>
      </c>
      <c r="B106" s="713"/>
      <c r="C106" s="715"/>
      <c r="D106" s="717"/>
      <c r="E106" s="715"/>
      <c r="F106" s="718"/>
      <c r="G106" s="718"/>
      <c r="H106" s="824"/>
      <c r="I106" s="344" t="str">
        <f>IF('Mapa final SI'!AC109="","",'Mapa final SI'!AC109)</f>
        <v/>
      </c>
      <c r="J106" s="344" t="str">
        <f>IF('Mapa final SI'!AE109="","",'Mapa final SI'!AE109)</f>
        <v/>
      </c>
      <c r="K106" s="344" t="str">
        <f t="shared" si="1"/>
        <v/>
      </c>
      <c r="L106" s="344" t="str">
        <f>IF('Mapa final SI'!AH109="","",'Mapa final SI'!AH109)</f>
        <v/>
      </c>
      <c r="M106" s="345" t="str">
        <f>IF('Mapa final SI'!T109="","",'Mapa final SI'!T109)</f>
        <v/>
      </c>
      <c r="N106" s="70"/>
      <c r="O106" s="70"/>
      <c r="P106" s="70"/>
      <c r="Q106" s="177"/>
    </row>
    <row r="107" spans="1:17" ht="43.5" customHeight="1" x14ac:dyDescent="0.25">
      <c r="A107" s="119" t="s">
        <v>639</v>
      </c>
      <c r="B107" s="713"/>
      <c r="C107" s="715"/>
      <c r="D107" s="717"/>
      <c r="E107" s="715"/>
      <c r="F107" s="718"/>
      <c r="G107" s="718"/>
      <c r="H107" s="824"/>
      <c r="I107" s="344" t="str">
        <f>IF('Mapa final SI'!AC110="","",'Mapa final SI'!AC110)</f>
        <v/>
      </c>
      <c r="J107" s="344" t="str">
        <f>IF('Mapa final SI'!AE110="","",'Mapa final SI'!AE110)</f>
        <v/>
      </c>
      <c r="K107" s="344" t="str">
        <f t="shared" si="1"/>
        <v/>
      </c>
      <c r="L107" s="344" t="str">
        <f>IF('Mapa final SI'!AH110="","",'Mapa final SI'!AH110)</f>
        <v/>
      </c>
      <c r="M107" s="345" t="str">
        <f>IF('Mapa final SI'!T110="","",'Mapa final SI'!T110)</f>
        <v/>
      </c>
      <c r="N107" s="70"/>
      <c r="O107" s="70"/>
      <c r="P107" s="70"/>
      <c r="Q107" s="177"/>
    </row>
    <row r="108" spans="1:17" ht="43.5" customHeight="1" x14ac:dyDescent="0.25">
      <c r="A108" s="119" t="s">
        <v>640</v>
      </c>
      <c r="B108" s="713"/>
      <c r="C108" s="715"/>
      <c r="D108" s="717"/>
      <c r="E108" s="715"/>
      <c r="F108" s="718"/>
      <c r="G108" s="718"/>
      <c r="H108" s="719"/>
      <c r="I108" s="344" t="str">
        <f>IF('Mapa final SI'!AC111="","",'Mapa final SI'!AC111)</f>
        <v/>
      </c>
      <c r="J108" s="344" t="str">
        <f>IF('Mapa final SI'!AE111="","",'Mapa final SI'!AE111)</f>
        <v/>
      </c>
      <c r="K108" s="344" t="str">
        <f t="shared" si="1"/>
        <v/>
      </c>
      <c r="L108" s="344" t="str">
        <f>IF('Mapa final SI'!AH111="","",'Mapa final SI'!AH111)</f>
        <v/>
      </c>
      <c r="M108" s="345" t="str">
        <f>IF('Mapa final SI'!T111="","",'Mapa final SI'!T111)</f>
        <v/>
      </c>
      <c r="N108" s="70"/>
      <c r="O108" s="70"/>
      <c r="P108" s="70"/>
      <c r="Q108" s="177"/>
    </row>
    <row r="109" spans="1:17" ht="43.5" customHeight="1" x14ac:dyDescent="0.25">
      <c r="A109" s="119" t="s">
        <v>641</v>
      </c>
      <c r="B109" s="712"/>
      <c r="C109" s="714" t="str">
        <f>IF('Mapa final SI'!G112="","",'Mapa final SI'!G112)</f>
        <v/>
      </c>
      <c r="D109" s="716"/>
      <c r="E109" s="714" t="str">
        <f>IF('Mapa final SI'!F112="","",'Mapa final SI'!F112)</f>
        <v/>
      </c>
      <c r="F109" s="720" t="str">
        <f>IF('Mapa final SI'!L112="","",'Mapa final SI'!L112)</f>
        <v/>
      </c>
      <c r="G109" s="720" t="str">
        <f>IF('Mapa final SI'!P112="","",'Mapa final SI'!P112)</f>
        <v/>
      </c>
      <c r="H109" s="82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4" t="str">
        <f>IF('Mapa final SI'!AC112="","",'Mapa final SI'!AC112)</f>
        <v/>
      </c>
      <c r="J109" s="344" t="str">
        <f>IF('Mapa final SI'!AE112="","",'Mapa final SI'!AE112)</f>
        <v/>
      </c>
      <c r="K109" s="344" t="str">
        <f t="shared" si="1"/>
        <v/>
      </c>
      <c r="L109" s="344" t="str">
        <f>IF('Mapa final SI'!AH112="","",'Mapa final SI'!AH112)</f>
        <v/>
      </c>
      <c r="M109" s="345" t="str">
        <f>IF('Mapa final SI'!T112="","",'Mapa final SI'!T112)</f>
        <v/>
      </c>
      <c r="N109" s="70"/>
      <c r="O109" s="70"/>
      <c r="P109" s="70"/>
      <c r="Q109" s="177"/>
    </row>
    <row r="110" spans="1:17" ht="43.5" customHeight="1" x14ac:dyDescent="0.25">
      <c r="A110" s="119" t="s">
        <v>642</v>
      </c>
      <c r="B110" s="713"/>
      <c r="C110" s="715"/>
      <c r="D110" s="717"/>
      <c r="E110" s="715"/>
      <c r="F110" s="718"/>
      <c r="G110" s="718"/>
      <c r="H110" s="824"/>
      <c r="I110" s="344" t="str">
        <f>IF('Mapa final SI'!AC113="","",'Mapa final SI'!AC113)</f>
        <v/>
      </c>
      <c r="J110" s="344" t="str">
        <f>IF('Mapa final SI'!AE113="","",'Mapa final SI'!AE113)</f>
        <v/>
      </c>
      <c r="K110" s="344" t="str">
        <f t="shared" si="1"/>
        <v/>
      </c>
      <c r="L110" s="344" t="str">
        <f>IF('Mapa final SI'!AH113="","",'Mapa final SI'!AH113)</f>
        <v/>
      </c>
      <c r="M110" s="345" t="str">
        <f>IF('Mapa final SI'!T113="","",'Mapa final SI'!T113)</f>
        <v/>
      </c>
      <c r="N110" s="70"/>
      <c r="O110" s="70"/>
      <c r="P110" s="70"/>
      <c r="Q110" s="177"/>
    </row>
    <row r="111" spans="1:17" ht="43.5" customHeight="1" x14ac:dyDescent="0.25">
      <c r="A111" s="119" t="s">
        <v>643</v>
      </c>
      <c r="B111" s="713"/>
      <c r="C111" s="715"/>
      <c r="D111" s="717"/>
      <c r="E111" s="715"/>
      <c r="F111" s="718"/>
      <c r="G111" s="718"/>
      <c r="H111" s="824"/>
      <c r="I111" s="344" t="str">
        <f>IF('Mapa final SI'!AC114="","",'Mapa final SI'!AC114)</f>
        <v/>
      </c>
      <c r="J111" s="344" t="str">
        <f>IF('Mapa final SI'!AE114="","",'Mapa final SI'!AE114)</f>
        <v/>
      </c>
      <c r="K111" s="344" t="str">
        <f t="shared" si="1"/>
        <v/>
      </c>
      <c r="L111" s="344" t="str">
        <f>IF('Mapa final SI'!AH114="","",'Mapa final SI'!AH114)</f>
        <v/>
      </c>
      <c r="M111" s="345" t="str">
        <f>IF('Mapa final SI'!T114="","",'Mapa final SI'!T114)</f>
        <v/>
      </c>
      <c r="N111" s="70"/>
      <c r="O111" s="70"/>
      <c r="P111" s="70"/>
      <c r="Q111" s="177"/>
    </row>
    <row r="112" spans="1:17" ht="43.5" customHeight="1" x14ac:dyDescent="0.25">
      <c r="A112" s="119" t="s">
        <v>644</v>
      </c>
      <c r="B112" s="713"/>
      <c r="C112" s="715"/>
      <c r="D112" s="717"/>
      <c r="E112" s="715"/>
      <c r="F112" s="718"/>
      <c r="G112" s="718"/>
      <c r="H112" s="824"/>
      <c r="I112" s="344" t="str">
        <f>IF('Mapa final SI'!AC115="","",'Mapa final SI'!AC115)</f>
        <v/>
      </c>
      <c r="J112" s="344" t="str">
        <f>IF('Mapa final SI'!AE115="","",'Mapa final SI'!AE115)</f>
        <v/>
      </c>
      <c r="K112" s="344" t="str">
        <f t="shared" si="1"/>
        <v/>
      </c>
      <c r="L112" s="344" t="str">
        <f>IF('Mapa final SI'!AH115="","",'Mapa final SI'!AH115)</f>
        <v/>
      </c>
      <c r="M112" s="345" t="str">
        <f>IF('Mapa final SI'!T115="","",'Mapa final SI'!T115)</f>
        <v/>
      </c>
      <c r="N112" s="70"/>
      <c r="O112" s="70"/>
      <c r="P112" s="70"/>
      <c r="Q112" s="177"/>
    </row>
    <row r="113" spans="1:17" ht="43.5" customHeight="1" x14ac:dyDescent="0.25">
      <c r="A113" s="119" t="s">
        <v>645</v>
      </c>
      <c r="B113" s="713"/>
      <c r="C113" s="715"/>
      <c r="D113" s="717"/>
      <c r="E113" s="715"/>
      <c r="F113" s="718"/>
      <c r="G113" s="718"/>
      <c r="H113" s="824"/>
      <c r="I113" s="344" t="str">
        <f>IF('Mapa final SI'!AC116="","",'Mapa final SI'!AC116)</f>
        <v/>
      </c>
      <c r="J113" s="344" t="str">
        <f>IF('Mapa final SI'!AE116="","",'Mapa final SI'!AE116)</f>
        <v/>
      </c>
      <c r="K113" s="344" t="str">
        <f t="shared" si="1"/>
        <v/>
      </c>
      <c r="L113" s="344" t="str">
        <f>IF('Mapa final SI'!AH116="","",'Mapa final SI'!AH116)</f>
        <v/>
      </c>
      <c r="M113" s="345" t="str">
        <f>IF('Mapa final SI'!T116="","",'Mapa final SI'!T116)</f>
        <v/>
      </c>
      <c r="N113" s="70"/>
      <c r="O113" s="70"/>
      <c r="P113" s="70"/>
      <c r="Q113" s="177"/>
    </row>
    <row r="114" spans="1:17" ht="43.5" customHeight="1" x14ac:dyDescent="0.25">
      <c r="A114" s="119" t="s">
        <v>646</v>
      </c>
      <c r="B114" s="713"/>
      <c r="C114" s="715"/>
      <c r="D114" s="717"/>
      <c r="E114" s="715"/>
      <c r="F114" s="718"/>
      <c r="G114" s="718"/>
      <c r="H114" s="719"/>
      <c r="I114" s="344" t="str">
        <f>IF('Mapa final SI'!AC117="","",'Mapa final SI'!AC117)</f>
        <v/>
      </c>
      <c r="J114" s="344" t="str">
        <f>IF('Mapa final SI'!AE117="","",'Mapa final SI'!AE117)</f>
        <v/>
      </c>
      <c r="K114" s="344" t="str">
        <f t="shared" si="1"/>
        <v/>
      </c>
      <c r="L114" s="344" t="str">
        <f>IF('Mapa final SI'!AH117="","",'Mapa final SI'!AH117)</f>
        <v/>
      </c>
      <c r="M114" s="345" t="str">
        <f>IF('Mapa final SI'!T117="","",'Mapa final SI'!T117)</f>
        <v/>
      </c>
      <c r="N114" s="70"/>
      <c r="O114" s="70"/>
      <c r="P114" s="70"/>
      <c r="Q114" s="177"/>
    </row>
    <row r="115" spans="1:17" ht="43.5" customHeight="1" x14ac:dyDescent="0.25">
      <c r="A115" s="119" t="s">
        <v>647</v>
      </c>
      <c r="B115" s="712"/>
      <c r="C115" s="714" t="str">
        <f>IF('Mapa final SI'!G118="","",'Mapa final SI'!G118)</f>
        <v/>
      </c>
      <c r="D115" s="716"/>
      <c r="E115" s="714" t="str">
        <f>IF('Mapa final SI'!F118="","",'Mapa final SI'!F118)</f>
        <v/>
      </c>
      <c r="F115" s="720" t="str">
        <f>IF('Mapa final SI'!L118="","",'Mapa final SI'!L118)</f>
        <v/>
      </c>
      <c r="G115" s="720" t="str">
        <f>IF('Mapa final SI'!P118="","",'Mapa final SI'!P118)</f>
        <v/>
      </c>
      <c r="H115" s="82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4" t="str">
        <f>IF('Mapa final SI'!AC118="","",'Mapa final SI'!AC118)</f>
        <v/>
      </c>
      <c r="J115" s="344" t="str">
        <f>IF('Mapa final SI'!AE118="","",'Mapa final SI'!AE118)</f>
        <v/>
      </c>
      <c r="K115" s="344" t="str">
        <f t="shared" si="1"/>
        <v/>
      </c>
      <c r="L115" s="344" t="str">
        <f>IF('Mapa final SI'!AH118="","",'Mapa final SI'!AH118)</f>
        <v/>
      </c>
      <c r="M115" s="345" t="str">
        <f>IF('Mapa final SI'!T118="","",'Mapa final SI'!T118)</f>
        <v/>
      </c>
      <c r="N115" s="70"/>
      <c r="O115" s="70"/>
      <c r="P115" s="70"/>
      <c r="Q115" s="177"/>
    </row>
    <row r="116" spans="1:17" ht="43.5" customHeight="1" x14ac:dyDescent="0.25">
      <c r="A116" s="119" t="s">
        <v>648</v>
      </c>
      <c r="B116" s="713"/>
      <c r="C116" s="715"/>
      <c r="D116" s="717"/>
      <c r="E116" s="715"/>
      <c r="F116" s="718"/>
      <c r="G116" s="718"/>
      <c r="H116" s="824"/>
      <c r="I116" s="344" t="str">
        <f>IF('Mapa final SI'!AC119="","",'Mapa final SI'!AC119)</f>
        <v/>
      </c>
      <c r="J116" s="344" t="str">
        <f>IF('Mapa final SI'!AE119="","",'Mapa final SI'!AE119)</f>
        <v/>
      </c>
      <c r="K116" s="344" t="str">
        <f t="shared" si="1"/>
        <v/>
      </c>
      <c r="L116" s="344" t="str">
        <f>IF('Mapa final SI'!AH119="","",'Mapa final SI'!AH119)</f>
        <v/>
      </c>
      <c r="M116" s="345" t="str">
        <f>IF('Mapa final SI'!T119="","",'Mapa final SI'!T119)</f>
        <v/>
      </c>
      <c r="N116" s="70"/>
      <c r="O116" s="70"/>
      <c r="P116" s="70"/>
      <c r="Q116" s="177"/>
    </row>
    <row r="117" spans="1:17" ht="43.5" customHeight="1" x14ac:dyDescent="0.25">
      <c r="A117" s="119" t="s">
        <v>649</v>
      </c>
      <c r="B117" s="713"/>
      <c r="C117" s="715"/>
      <c r="D117" s="717"/>
      <c r="E117" s="715"/>
      <c r="F117" s="718"/>
      <c r="G117" s="718"/>
      <c r="H117" s="824"/>
      <c r="I117" s="344" t="str">
        <f>IF('Mapa final SI'!AC120="","",'Mapa final SI'!AC120)</f>
        <v/>
      </c>
      <c r="J117" s="344" t="str">
        <f>IF('Mapa final SI'!AE120="","",'Mapa final SI'!AE120)</f>
        <v/>
      </c>
      <c r="K117" s="344" t="str">
        <f t="shared" si="1"/>
        <v/>
      </c>
      <c r="L117" s="344" t="str">
        <f>IF('Mapa final SI'!AH120="","",'Mapa final SI'!AH120)</f>
        <v/>
      </c>
      <c r="M117" s="345" t="str">
        <f>IF('Mapa final SI'!T120="","",'Mapa final SI'!T120)</f>
        <v/>
      </c>
      <c r="N117" s="70"/>
      <c r="O117" s="70"/>
      <c r="P117" s="70"/>
      <c r="Q117" s="177"/>
    </row>
    <row r="118" spans="1:17" ht="43.5" customHeight="1" x14ac:dyDescent="0.25">
      <c r="A118" s="119" t="s">
        <v>650</v>
      </c>
      <c r="B118" s="713"/>
      <c r="C118" s="715"/>
      <c r="D118" s="717"/>
      <c r="E118" s="715"/>
      <c r="F118" s="718"/>
      <c r="G118" s="718"/>
      <c r="H118" s="824"/>
      <c r="I118" s="344" t="str">
        <f>IF('Mapa final SI'!AC121="","",'Mapa final SI'!AC121)</f>
        <v/>
      </c>
      <c r="J118" s="344" t="str">
        <f>IF('Mapa final SI'!AE121="","",'Mapa final SI'!AE121)</f>
        <v/>
      </c>
      <c r="K118" s="344" t="str">
        <f t="shared" si="1"/>
        <v/>
      </c>
      <c r="L118" s="344" t="str">
        <f>IF('Mapa final SI'!AH121="","",'Mapa final SI'!AH121)</f>
        <v/>
      </c>
      <c r="M118" s="345" t="str">
        <f>IF('Mapa final SI'!T121="","",'Mapa final SI'!T121)</f>
        <v/>
      </c>
      <c r="N118" s="70"/>
      <c r="O118" s="70"/>
      <c r="P118" s="70"/>
      <c r="Q118" s="177"/>
    </row>
    <row r="119" spans="1:17" ht="43.5" customHeight="1" x14ac:dyDescent="0.25">
      <c r="A119" s="119" t="s">
        <v>651</v>
      </c>
      <c r="B119" s="713"/>
      <c r="C119" s="715"/>
      <c r="D119" s="717"/>
      <c r="E119" s="715"/>
      <c r="F119" s="718"/>
      <c r="G119" s="718"/>
      <c r="H119" s="824"/>
      <c r="I119" s="344" t="str">
        <f>IF('Mapa final SI'!AC122="","",'Mapa final SI'!AC122)</f>
        <v/>
      </c>
      <c r="J119" s="344" t="str">
        <f>IF('Mapa final SI'!AE122="","",'Mapa final SI'!AE122)</f>
        <v/>
      </c>
      <c r="K119" s="344" t="str">
        <f t="shared" si="1"/>
        <v/>
      </c>
      <c r="L119" s="344" t="str">
        <f>IF('Mapa final SI'!AH122="","",'Mapa final SI'!AH122)</f>
        <v/>
      </c>
      <c r="M119" s="345" t="str">
        <f>IF('Mapa final SI'!T122="","",'Mapa final SI'!T122)</f>
        <v/>
      </c>
      <c r="N119" s="70"/>
      <c r="O119" s="70"/>
      <c r="P119" s="70"/>
      <c r="Q119" s="177"/>
    </row>
    <row r="120" spans="1:17" ht="43.5" customHeight="1" x14ac:dyDescent="0.25">
      <c r="A120" s="119" t="s">
        <v>652</v>
      </c>
      <c r="B120" s="713"/>
      <c r="C120" s="715"/>
      <c r="D120" s="717"/>
      <c r="E120" s="715"/>
      <c r="F120" s="718"/>
      <c r="G120" s="718"/>
      <c r="H120" s="719"/>
      <c r="I120" s="344" t="str">
        <f>IF('Mapa final SI'!AC123="","",'Mapa final SI'!AC123)</f>
        <v/>
      </c>
      <c r="J120" s="344" t="str">
        <f>IF('Mapa final SI'!AE123="","",'Mapa final SI'!AE123)</f>
        <v/>
      </c>
      <c r="K120" s="344" t="str">
        <f t="shared" si="1"/>
        <v/>
      </c>
      <c r="L120" s="344" t="str">
        <f>IF('Mapa final SI'!AH123="","",'Mapa final SI'!AH123)</f>
        <v/>
      </c>
      <c r="M120" s="345" t="str">
        <f>IF('Mapa final SI'!T123="","",'Mapa final SI'!T123)</f>
        <v/>
      </c>
      <c r="N120" s="70"/>
      <c r="O120" s="70"/>
      <c r="P120" s="70"/>
      <c r="Q120" s="177"/>
    </row>
    <row r="121" spans="1:17" ht="43.5" customHeight="1" x14ac:dyDescent="0.25">
      <c r="A121" s="119" t="s">
        <v>653</v>
      </c>
      <c r="B121" s="712"/>
      <c r="C121" s="714" t="str">
        <f>IF('Mapa final SI'!G124="","",'Mapa final SI'!G124)</f>
        <v/>
      </c>
      <c r="D121" s="716"/>
      <c r="E121" s="714" t="str">
        <f>IF('Mapa final SI'!F124="","",'Mapa final SI'!F124)</f>
        <v/>
      </c>
      <c r="F121" s="720" t="str">
        <f>IF('Mapa final SI'!L124="","",'Mapa final SI'!L124)</f>
        <v/>
      </c>
      <c r="G121" s="720" t="str">
        <f>IF('Mapa final SI'!P124="","",'Mapa final SI'!P124)</f>
        <v/>
      </c>
      <c r="H121" s="82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4" t="str">
        <f>IF('Mapa final SI'!AC124="","",'Mapa final SI'!AC124)</f>
        <v/>
      </c>
      <c r="J121" s="344" t="str">
        <f>IF('Mapa final SI'!AE124="","",'Mapa final SI'!AE124)</f>
        <v/>
      </c>
      <c r="K121" s="344" t="str">
        <f t="shared" si="1"/>
        <v/>
      </c>
      <c r="L121" s="344" t="str">
        <f>IF('Mapa final SI'!AH124="","",'Mapa final SI'!AH124)</f>
        <v/>
      </c>
      <c r="M121" s="345" t="str">
        <f>IF('Mapa final SI'!T124="","",'Mapa final SI'!T124)</f>
        <v/>
      </c>
      <c r="N121" s="70"/>
      <c r="O121" s="70"/>
      <c r="P121" s="70"/>
      <c r="Q121" s="177"/>
    </row>
    <row r="122" spans="1:17" ht="43.5" customHeight="1" x14ac:dyDescent="0.25">
      <c r="A122" s="119" t="s">
        <v>654</v>
      </c>
      <c r="B122" s="713"/>
      <c r="C122" s="715"/>
      <c r="D122" s="717"/>
      <c r="E122" s="715"/>
      <c r="F122" s="718"/>
      <c r="G122" s="718"/>
      <c r="H122" s="824"/>
      <c r="I122" s="344" t="str">
        <f>IF('Mapa final SI'!AC125="","",'Mapa final SI'!AC125)</f>
        <v/>
      </c>
      <c r="J122" s="344" t="str">
        <f>IF('Mapa final SI'!AE125="","",'Mapa final SI'!AE125)</f>
        <v/>
      </c>
      <c r="K122" s="344" t="str">
        <f t="shared" si="1"/>
        <v/>
      </c>
      <c r="L122" s="344" t="str">
        <f>IF('Mapa final SI'!AH125="","",'Mapa final SI'!AH125)</f>
        <v/>
      </c>
      <c r="M122" s="345" t="str">
        <f>IF('Mapa final SI'!T125="","",'Mapa final SI'!T125)</f>
        <v/>
      </c>
      <c r="N122" s="70"/>
      <c r="O122" s="70"/>
      <c r="P122" s="70"/>
      <c r="Q122" s="177"/>
    </row>
    <row r="123" spans="1:17" ht="43.5" customHeight="1" x14ac:dyDescent="0.25">
      <c r="A123" s="119" t="s">
        <v>655</v>
      </c>
      <c r="B123" s="713"/>
      <c r="C123" s="715"/>
      <c r="D123" s="717"/>
      <c r="E123" s="715"/>
      <c r="F123" s="718"/>
      <c r="G123" s="718"/>
      <c r="H123" s="824"/>
      <c r="I123" s="344" t="str">
        <f>IF('Mapa final SI'!AC126="","",'Mapa final SI'!AC126)</f>
        <v/>
      </c>
      <c r="J123" s="344" t="str">
        <f>IF('Mapa final SI'!AE126="","",'Mapa final SI'!AE126)</f>
        <v/>
      </c>
      <c r="K123" s="344" t="str">
        <f t="shared" si="1"/>
        <v/>
      </c>
      <c r="L123" s="344" t="str">
        <f>IF('Mapa final SI'!AH126="","",'Mapa final SI'!AH126)</f>
        <v/>
      </c>
      <c r="M123" s="345" t="str">
        <f>IF('Mapa final SI'!T126="","",'Mapa final SI'!T126)</f>
        <v/>
      </c>
      <c r="N123" s="70"/>
      <c r="O123" s="70"/>
      <c r="P123" s="70"/>
      <c r="Q123" s="177"/>
    </row>
    <row r="124" spans="1:17" ht="43.5" customHeight="1" x14ac:dyDescent="0.25">
      <c r="A124" s="119" t="s">
        <v>656</v>
      </c>
      <c r="B124" s="713"/>
      <c r="C124" s="715"/>
      <c r="D124" s="717"/>
      <c r="E124" s="715"/>
      <c r="F124" s="718"/>
      <c r="G124" s="718"/>
      <c r="H124" s="824"/>
      <c r="I124" s="344" t="str">
        <f>IF('Mapa final SI'!AC127="","",'Mapa final SI'!AC127)</f>
        <v/>
      </c>
      <c r="J124" s="344" t="str">
        <f>IF('Mapa final SI'!AE127="","",'Mapa final SI'!AE127)</f>
        <v/>
      </c>
      <c r="K124" s="344" t="str">
        <f t="shared" si="1"/>
        <v/>
      </c>
      <c r="L124" s="344" t="str">
        <f>IF('Mapa final SI'!AH127="","",'Mapa final SI'!AH127)</f>
        <v/>
      </c>
      <c r="M124" s="345" t="str">
        <f>IF('Mapa final SI'!T127="","",'Mapa final SI'!T127)</f>
        <v/>
      </c>
      <c r="N124" s="70"/>
      <c r="O124" s="70"/>
      <c r="P124" s="70"/>
      <c r="Q124" s="177"/>
    </row>
    <row r="125" spans="1:17" ht="43.5" customHeight="1" x14ac:dyDescent="0.25">
      <c r="A125" s="119" t="s">
        <v>657</v>
      </c>
      <c r="B125" s="713"/>
      <c r="C125" s="715"/>
      <c r="D125" s="717"/>
      <c r="E125" s="715"/>
      <c r="F125" s="718"/>
      <c r="G125" s="718"/>
      <c r="H125" s="824"/>
      <c r="I125" s="344" t="str">
        <f>IF('Mapa final SI'!AC128="","",'Mapa final SI'!AC128)</f>
        <v/>
      </c>
      <c r="J125" s="344" t="str">
        <f>IF('Mapa final SI'!AE128="","",'Mapa final SI'!AE128)</f>
        <v/>
      </c>
      <c r="K125" s="344" t="str">
        <f t="shared" si="1"/>
        <v/>
      </c>
      <c r="L125" s="344" t="str">
        <f>IF('Mapa final SI'!AH128="","",'Mapa final SI'!AH128)</f>
        <v/>
      </c>
      <c r="M125" s="345" t="str">
        <f>IF('Mapa final SI'!T128="","",'Mapa final SI'!T128)</f>
        <v/>
      </c>
      <c r="N125" s="70"/>
      <c r="O125" s="70"/>
      <c r="P125" s="70"/>
      <c r="Q125" s="177"/>
    </row>
    <row r="126" spans="1:17" ht="43.5" customHeight="1" x14ac:dyDescent="0.25">
      <c r="A126" s="119" t="s">
        <v>658</v>
      </c>
      <c r="B126" s="713"/>
      <c r="C126" s="715"/>
      <c r="D126" s="717"/>
      <c r="E126" s="715"/>
      <c r="F126" s="718"/>
      <c r="G126" s="718"/>
      <c r="H126" s="719"/>
      <c r="I126" s="344" t="str">
        <f>IF('Mapa final SI'!AC129="","",'Mapa final SI'!AC129)</f>
        <v/>
      </c>
      <c r="J126" s="344" t="str">
        <f>IF('Mapa final SI'!AE129="","",'Mapa final SI'!AE129)</f>
        <v/>
      </c>
      <c r="K126" s="344" t="str">
        <f t="shared" si="1"/>
        <v/>
      </c>
      <c r="L126" s="344" t="str">
        <f>IF('Mapa final SI'!AH129="","",'Mapa final SI'!AH129)</f>
        <v/>
      </c>
      <c r="M126" s="345" t="str">
        <f>IF('Mapa final SI'!T129="","",'Mapa final SI'!T129)</f>
        <v/>
      </c>
      <c r="N126" s="70"/>
      <c r="O126" s="70"/>
      <c r="P126" s="70"/>
      <c r="Q126" s="177"/>
    </row>
    <row r="127" spans="1:17" ht="43.5" customHeight="1" x14ac:dyDescent="0.25">
      <c r="A127" s="119" t="s">
        <v>659</v>
      </c>
      <c r="B127" s="712"/>
      <c r="C127" s="714" t="str">
        <f>IF('Mapa final SI'!G130="","",'Mapa final SI'!G130)</f>
        <v/>
      </c>
      <c r="D127" s="716"/>
      <c r="E127" s="714" t="str">
        <f>IF('Mapa final SI'!F130="","",'Mapa final SI'!F130)</f>
        <v/>
      </c>
      <c r="F127" s="720" t="str">
        <f>IF('Mapa final SI'!L130="","",'Mapa final SI'!L130)</f>
        <v/>
      </c>
      <c r="G127" s="720" t="str">
        <f>IF('Mapa final SI'!P130="","",'Mapa final SI'!P130)</f>
        <v/>
      </c>
      <c r="H127" s="82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4" t="str">
        <f>IF('Mapa final SI'!AC130="","",'Mapa final SI'!AC130)</f>
        <v/>
      </c>
      <c r="J127" s="344" t="str">
        <f>IF('Mapa final SI'!AE130="","",'Mapa final SI'!AE130)</f>
        <v/>
      </c>
      <c r="K127" s="344" t="str">
        <f t="shared" si="1"/>
        <v/>
      </c>
      <c r="L127" s="344" t="str">
        <f>IF('Mapa final SI'!AH130="","",'Mapa final SI'!AH130)</f>
        <v/>
      </c>
      <c r="M127" s="345" t="str">
        <f>IF('Mapa final SI'!T130="","",'Mapa final SI'!T130)</f>
        <v/>
      </c>
      <c r="N127" s="70"/>
      <c r="O127" s="70"/>
      <c r="P127" s="70"/>
      <c r="Q127" s="177"/>
    </row>
    <row r="128" spans="1:17" ht="43.5" customHeight="1" x14ac:dyDescent="0.25">
      <c r="A128" s="119" t="s">
        <v>660</v>
      </c>
      <c r="B128" s="713"/>
      <c r="C128" s="715"/>
      <c r="D128" s="717"/>
      <c r="E128" s="715"/>
      <c r="F128" s="718"/>
      <c r="G128" s="718"/>
      <c r="H128" s="824"/>
      <c r="I128" s="344" t="str">
        <f>IF('Mapa final SI'!AC131="","",'Mapa final SI'!AC131)</f>
        <v/>
      </c>
      <c r="J128" s="344" t="str">
        <f>IF('Mapa final SI'!AE131="","",'Mapa final SI'!AE131)</f>
        <v/>
      </c>
      <c r="K128" s="344" t="str">
        <f t="shared" si="1"/>
        <v/>
      </c>
      <c r="L128" s="344" t="str">
        <f>IF('Mapa final SI'!AH131="","",'Mapa final SI'!AH131)</f>
        <v/>
      </c>
      <c r="M128" s="345" t="str">
        <f>IF('Mapa final SI'!T131="","",'Mapa final SI'!T131)</f>
        <v/>
      </c>
      <c r="N128" s="70"/>
      <c r="O128" s="70"/>
      <c r="P128" s="70"/>
      <c r="Q128" s="177"/>
    </row>
    <row r="129" spans="1:17" ht="43.5" customHeight="1" x14ac:dyDescent="0.25">
      <c r="A129" s="119" t="s">
        <v>661</v>
      </c>
      <c r="B129" s="713"/>
      <c r="C129" s="715"/>
      <c r="D129" s="717"/>
      <c r="E129" s="715"/>
      <c r="F129" s="718"/>
      <c r="G129" s="718"/>
      <c r="H129" s="824"/>
      <c r="I129" s="344" t="str">
        <f>IF('Mapa final SI'!AC132="","",'Mapa final SI'!AC132)</f>
        <v/>
      </c>
      <c r="J129" s="344" t="str">
        <f>IF('Mapa final SI'!AE132="","",'Mapa final SI'!AE132)</f>
        <v/>
      </c>
      <c r="K129" s="344" t="str">
        <f t="shared" si="1"/>
        <v/>
      </c>
      <c r="L129" s="344" t="str">
        <f>IF('Mapa final SI'!AH132="","",'Mapa final SI'!AH132)</f>
        <v/>
      </c>
      <c r="M129" s="345" t="str">
        <f>IF('Mapa final SI'!T132="","",'Mapa final SI'!T132)</f>
        <v/>
      </c>
      <c r="N129" s="70"/>
      <c r="O129" s="70"/>
      <c r="P129" s="70"/>
      <c r="Q129" s="177"/>
    </row>
    <row r="130" spans="1:17" ht="43.5" customHeight="1" x14ac:dyDescent="0.25">
      <c r="A130" s="119" t="s">
        <v>662</v>
      </c>
      <c r="B130" s="713"/>
      <c r="C130" s="715"/>
      <c r="D130" s="717"/>
      <c r="E130" s="715"/>
      <c r="F130" s="718"/>
      <c r="G130" s="718"/>
      <c r="H130" s="824"/>
      <c r="I130" s="344" t="str">
        <f>IF('Mapa final SI'!AC133="","",'Mapa final SI'!AC133)</f>
        <v/>
      </c>
      <c r="J130" s="344" t="str">
        <f>IF('Mapa final SI'!AE133="","",'Mapa final SI'!AE133)</f>
        <v/>
      </c>
      <c r="K130" s="344" t="str">
        <f t="shared" si="1"/>
        <v/>
      </c>
      <c r="L130" s="344" t="str">
        <f>IF('Mapa final SI'!AH133="","",'Mapa final SI'!AH133)</f>
        <v/>
      </c>
      <c r="M130" s="345" t="str">
        <f>IF('Mapa final SI'!T133="","",'Mapa final SI'!T133)</f>
        <v/>
      </c>
      <c r="N130" s="70"/>
      <c r="O130" s="70"/>
      <c r="P130" s="70"/>
      <c r="Q130" s="177"/>
    </row>
    <row r="131" spans="1:17" ht="43.5" customHeight="1" x14ac:dyDescent="0.25">
      <c r="A131" s="119" t="s">
        <v>663</v>
      </c>
      <c r="B131" s="713"/>
      <c r="C131" s="715"/>
      <c r="D131" s="717"/>
      <c r="E131" s="715"/>
      <c r="F131" s="718"/>
      <c r="G131" s="718"/>
      <c r="H131" s="824"/>
      <c r="I131" s="344" t="str">
        <f>IF('Mapa final SI'!AC134="","",'Mapa final SI'!AC134)</f>
        <v/>
      </c>
      <c r="J131" s="344" t="str">
        <f>IF('Mapa final SI'!AE134="","",'Mapa final SI'!AE134)</f>
        <v/>
      </c>
      <c r="K131" s="344" t="str">
        <f t="shared" si="1"/>
        <v/>
      </c>
      <c r="L131" s="344" t="str">
        <f>IF('Mapa final SI'!AH134="","",'Mapa final SI'!AH134)</f>
        <v/>
      </c>
      <c r="M131" s="345" t="str">
        <f>IF('Mapa final SI'!T134="","",'Mapa final SI'!T134)</f>
        <v/>
      </c>
      <c r="N131" s="70"/>
      <c r="O131" s="70"/>
      <c r="P131" s="70"/>
      <c r="Q131" s="177"/>
    </row>
    <row r="132" spans="1:17" ht="43.5" customHeight="1" x14ac:dyDescent="0.25">
      <c r="A132" s="119" t="s">
        <v>664</v>
      </c>
      <c r="B132" s="713"/>
      <c r="C132" s="715"/>
      <c r="D132" s="717"/>
      <c r="E132" s="715"/>
      <c r="F132" s="718"/>
      <c r="G132" s="718"/>
      <c r="H132" s="719"/>
      <c r="I132" s="344" t="str">
        <f>IF('Mapa final SI'!AC135="","",'Mapa final SI'!AC135)</f>
        <v/>
      </c>
      <c r="J132" s="344" t="str">
        <f>IF('Mapa final SI'!AE135="","",'Mapa final SI'!AE135)</f>
        <v/>
      </c>
      <c r="K132" s="344" t="str">
        <f t="shared" si="1"/>
        <v/>
      </c>
      <c r="L132" s="344" t="str">
        <f>IF('Mapa final SI'!AH135="","",'Mapa final SI'!AH135)</f>
        <v/>
      </c>
      <c r="M132" s="345" t="str">
        <f>IF('Mapa final SI'!T135="","",'Mapa final SI'!T135)</f>
        <v/>
      </c>
      <c r="N132" s="70"/>
      <c r="O132" s="70"/>
      <c r="P132" s="70"/>
      <c r="Q132" s="177"/>
    </row>
    <row r="133" spans="1:17" ht="43.5" customHeight="1" x14ac:dyDescent="0.25">
      <c r="A133" s="119" t="s">
        <v>666</v>
      </c>
      <c r="B133" s="712"/>
      <c r="C133" s="714" t="str">
        <f>IF('Mapa final SI'!G136="","",'Mapa final SI'!G136)</f>
        <v/>
      </c>
      <c r="D133" s="716"/>
      <c r="E133" s="714" t="str">
        <f>IF('Mapa final SI'!F136="","",'Mapa final SI'!F136)</f>
        <v/>
      </c>
      <c r="F133" s="720" t="str">
        <f>IF('Mapa final SI'!L136="","",'Mapa final SI'!L136)</f>
        <v/>
      </c>
      <c r="G133" s="720" t="str">
        <f>IF('Mapa final SI'!P136="","",'Mapa final SI'!P136)</f>
        <v/>
      </c>
      <c r="H133" s="82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4" t="str">
        <f>IF('Mapa final SI'!AC136="","",'Mapa final SI'!AC136)</f>
        <v/>
      </c>
      <c r="J133" s="344" t="str">
        <f>IF('Mapa final SI'!AE136="","",'Mapa final SI'!AE136)</f>
        <v/>
      </c>
      <c r="K133" s="344" t="str">
        <f t="shared" si="1"/>
        <v/>
      </c>
      <c r="L133" s="344" t="str">
        <f>IF('Mapa final SI'!AH136="","",'Mapa final SI'!AH136)</f>
        <v/>
      </c>
      <c r="M133" s="345" t="str">
        <f>IF('Mapa final SI'!T136="","",'Mapa final SI'!T136)</f>
        <v/>
      </c>
      <c r="N133" s="70"/>
      <c r="O133" s="70"/>
      <c r="P133" s="70"/>
      <c r="Q133" s="177"/>
    </row>
    <row r="134" spans="1:17" ht="43.5" customHeight="1" x14ac:dyDescent="0.25">
      <c r="A134" s="119" t="s">
        <v>665</v>
      </c>
      <c r="B134" s="713"/>
      <c r="C134" s="715"/>
      <c r="D134" s="717"/>
      <c r="E134" s="715"/>
      <c r="F134" s="718"/>
      <c r="G134" s="718"/>
      <c r="H134" s="824"/>
      <c r="I134" s="344" t="str">
        <f>IF('Mapa final SI'!AC137="","",'Mapa final SI'!AC137)</f>
        <v/>
      </c>
      <c r="J134" s="344" t="str">
        <f>IF('Mapa final SI'!AE137="","",'Mapa final SI'!AE137)</f>
        <v/>
      </c>
      <c r="K134" s="344" t="str">
        <f t="shared" si="1"/>
        <v/>
      </c>
      <c r="L134" s="344" t="str">
        <f>IF('Mapa final SI'!AH137="","",'Mapa final SI'!AH137)</f>
        <v/>
      </c>
      <c r="M134" s="345" t="str">
        <f>IF('Mapa final SI'!T137="","",'Mapa final SI'!T137)</f>
        <v/>
      </c>
      <c r="N134" s="70"/>
      <c r="O134" s="70"/>
      <c r="P134" s="70"/>
      <c r="Q134" s="177"/>
    </row>
    <row r="135" spans="1:17" ht="43.5" customHeight="1" x14ac:dyDescent="0.25">
      <c r="A135" s="119" t="s">
        <v>667</v>
      </c>
      <c r="B135" s="713"/>
      <c r="C135" s="715"/>
      <c r="D135" s="717"/>
      <c r="E135" s="715"/>
      <c r="F135" s="718"/>
      <c r="G135" s="718"/>
      <c r="H135" s="824"/>
      <c r="I135" s="344" t="str">
        <f>IF('Mapa final SI'!AC138="","",'Mapa final SI'!AC138)</f>
        <v/>
      </c>
      <c r="J135" s="344" t="str">
        <f>IF('Mapa final SI'!AE138="","",'Mapa final SI'!AE138)</f>
        <v/>
      </c>
      <c r="K135" s="344" t="str">
        <f t="shared" si="1"/>
        <v/>
      </c>
      <c r="L135" s="344" t="str">
        <f>IF('Mapa final SI'!AH138="","",'Mapa final SI'!AH138)</f>
        <v/>
      </c>
      <c r="M135" s="345" t="str">
        <f>IF('Mapa final SI'!T138="","",'Mapa final SI'!T138)</f>
        <v/>
      </c>
      <c r="N135" s="70"/>
      <c r="O135" s="70"/>
      <c r="P135" s="70"/>
      <c r="Q135" s="177"/>
    </row>
    <row r="136" spans="1:17" ht="43.5" customHeight="1" x14ac:dyDescent="0.25">
      <c r="A136" s="119" t="s">
        <v>668</v>
      </c>
      <c r="B136" s="713"/>
      <c r="C136" s="715"/>
      <c r="D136" s="717"/>
      <c r="E136" s="715"/>
      <c r="F136" s="718"/>
      <c r="G136" s="718"/>
      <c r="H136" s="824"/>
      <c r="I136" s="344" t="str">
        <f>IF('Mapa final SI'!AC139="","",'Mapa final SI'!AC139)</f>
        <v/>
      </c>
      <c r="J136" s="344" t="str">
        <f>IF('Mapa final SI'!AE139="","",'Mapa final SI'!AE139)</f>
        <v/>
      </c>
      <c r="K136" s="34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4" t="str">
        <f>IF('Mapa final SI'!AH139="","",'Mapa final SI'!AH139)</f>
        <v/>
      </c>
      <c r="M136" s="345" t="str">
        <f>IF('Mapa final SI'!T139="","",'Mapa final SI'!T139)</f>
        <v/>
      </c>
      <c r="N136" s="70"/>
      <c r="O136" s="70"/>
      <c r="P136" s="70"/>
      <c r="Q136" s="177"/>
    </row>
    <row r="137" spans="1:17" ht="43.5" customHeight="1" x14ac:dyDescent="0.25">
      <c r="A137" s="119" t="s">
        <v>669</v>
      </c>
      <c r="B137" s="713"/>
      <c r="C137" s="715"/>
      <c r="D137" s="717"/>
      <c r="E137" s="715"/>
      <c r="F137" s="718"/>
      <c r="G137" s="718"/>
      <c r="H137" s="824"/>
      <c r="I137" s="344" t="str">
        <f>IF('Mapa final SI'!AC140="","",'Mapa final SI'!AC140)</f>
        <v/>
      </c>
      <c r="J137" s="344" t="str">
        <f>IF('Mapa final SI'!AE140="","",'Mapa final SI'!AE140)</f>
        <v/>
      </c>
      <c r="K137" s="344" t="str">
        <f t="shared" si="2"/>
        <v/>
      </c>
      <c r="L137" s="344" t="str">
        <f>IF('Mapa final SI'!AH140="","",'Mapa final SI'!AH140)</f>
        <v/>
      </c>
      <c r="M137" s="345" t="str">
        <f>IF('Mapa final SI'!T140="","",'Mapa final SI'!T140)</f>
        <v/>
      </c>
      <c r="N137" s="70"/>
      <c r="O137" s="70"/>
      <c r="P137" s="70"/>
      <c r="Q137" s="177"/>
    </row>
    <row r="138" spans="1:17" ht="43.5" customHeight="1" x14ac:dyDescent="0.25">
      <c r="A138" s="119" t="s">
        <v>670</v>
      </c>
      <c r="B138" s="713"/>
      <c r="C138" s="715"/>
      <c r="D138" s="717"/>
      <c r="E138" s="715"/>
      <c r="F138" s="718"/>
      <c r="G138" s="718"/>
      <c r="H138" s="719"/>
      <c r="I138" s="344" t="str">
        <f>IF('Mapa final SI'!AC141="","",'Mapa final SI'!AC141)</f>
        <v/>
      </c>
      <c r="J138" s="344" t="str">
        <f>IF('Mapa final SI'!AE141="","",'Mapa final SI'!AE141)</f>
        <v/>
      </c>
      <c r="K138" s="344" t="str">
        <f t="shared" si="2"/>
        <v/>
      </c>
      <c r="L138" s="344" t="str">
        <f>IF('Mapa final SI'!AH141="","",'Mapa final SI'!AH141)</f>
        <v/>
      </c>
      <c r="M138" s="345" t="str">
        <f>IF('Mapa final SI'!T141="","",'Mapa final SI'!T141)</f>
        <v/>
      </c>
      <c r="N138" s="70"/>
      <c r="O138" s="70"/>
      <c r="P138" s="70"/>
      <c r="Q138" s="177"/>
    </row>
    <row r="139" spans="1:17" ht="43.5" customHeight="1" x14ac:dyDescent="0.25">
      <c r="A139" s="119" t="s">
        <v>671</v>
      </c>
      <c r="B139" s="712"/>
      <c r="C139" s="714" t="str">
        <f>IF('Mapa final SI'!G142="","",'Mapa final SI'!G142)</f>
        <v/>
      </c>
      <c r="D139" s="716"/>
      <c r="E139" s="714" t="str">
        <f>IF('Mapa final SI'!F142="","",'Mapa final SI'!F142)</f>
        <v/>
      </c>
      <c r="F139" s="720" t="str">
        <f>IF('Mapa final SI'!L142="","",'Mapa final SI'!L142)</f>
        <v/>
      </c>
      <c r="G139" s="720" t="str">
        <f>IF('Mapa final SI'!P142="","",'Mapa final SI'!P142)</f>
        <v/>
      </c>
      <c r="H139" s="82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4" t="str">
        <f>IF('Mapa final SI'!AC142="","",'Mapa final SI'!AC142)</f>
        <v/>
      </c>
      <c r="J139" s="344" t="str">
        <f>IF('Mapa final SI'!AE142="","",'Mapa final SI'!AE142)</f>
        <v/>
      </c>
      <c r="K139" s="344" t="str">
        <f t="shared" si="2"/>
        <v/>
      </c>
      <c r="L139" s="344" t="str">
        <f>IF('Mapa final SI'!AH142="","",'Mapa final SI'!AH142)</f>
        <v/>
      </c>
      <c r="M139" s="345" t="str">
        <f>IF('Mapa final SI'!T142="","",'Mapa final SI'!T142)</f>
        <v/>
      </c>
      <c r="N139" s="70"/>
      <c r="O139" s="70"/>
      <c r="P139" s="70"/>
      <c r="Q139" s="177"/>
    </row>
    <row r="140" spans="1:17" ht="43.5" customHeight="1" x14ac:dyDescent="0.25">
      <c r="A140" s="119" t="s">
        <v>672</v>
      </c>
      <c r="B140" s="713"/>
      <c r="C140" s="715"/>
      <c r="D140" s="717"/>
      <c r="E140" s="715"/>
      <c r="F140" s="718"/>
      <c r="G140" s="718"/>
      <c r="H140" s="824"/>
      <c r="I140" s="344" t="str">
        <f>IF('Mapa final SI'!AC143="","",'Mapa final SI'!AC143)</f>
        <v/>
      </c>
      <c r="J140" s="344" t="str">
        <f>IF('Mapa final SI'!AE143="","",'Mapa final SI'!AE143)</f>
        <v/>
      </c>
      <c r="K140" s="344" t="str">
        <f t="shared" si="2"/>
        <v/>
      </c>
      <c r="L140" s="344" t="str">
        <f>IF('Mapa final SI'!AH143="","",'Mapa final SI'!AH143)</f>
        <v/>
      </c>
      <c r="M140" s="345" t="str">
        <f>IF('Mapa final SI'!T143="","",'Mapa final SI'!T143)</f>
        <v/>
      </c>
      <c r="N140" s="70"/>
      <c r="O140" s="70"/>
      <c r="P140" s="70"/>
      <c r="Q140" s="177"/>
    </row>
    <row r="141" spans="1:17" ht="43.5" customHeight="1" x14ac:dyDescent="0.25">
      <c r="A141" s="119" t="s">
        <v>673</v>
      </c>
      <c r="B141" s="713"/>
      <c r="C141" s="715"/>
      <c r="D141" s="717"/>
      <c r="E141" s="715"/>
      <c r="F141" s="718"/>
      <c r="G141" s="718"/>
      <c r="H141" s="824"/>
      <c r="I141" s="344" t="str">
        <f>IF('Mapa final SI'!AC144="","",'Mapa final SI'!AC144)</f>
        <v/>
      </c>
      <c r="J141" s="344" t="str">
        <f>IF('Mapa final SI'!AE144="","",'Mapa final SI'!AE144)</f>
        <v/>
      </c>
      <c r="K141" s="344" t="str">
        <f t="shared" si="2"/>
        <v/>
      </c>
      <c r="L141" s="344" t="str">
        <f>IF('Mapa final SI'!AH144="","",'Mapa final SI'!AH144)</f>
        <v/>
      </c>
      <c r="M141" s="345" t="str">
        <f>IF('Mapa final SI'!T144="","",'Mapa final SI'!T144)</f>
        <v/>
      </c>
      <c r="N141" s="70"/>
      <c r="O141" s="70"/>
      <c r="P141" s="70"/>
      <c r="Q141" s="177"/>
    </row>
    <row r="142" spans="1:17" ht="43.5" customHeight="1" x14ac:dyDescent="0.25">
      <c r="A142" s="119" t="s">
        <v>674</v>
      </c>
      <c r="B142" s="713"/>
      <c r="C142" s="715"/>
      <c r="D142" s="717"/>
      <c r="E142" s="715"/>
      <c r="F142" s="718"/>
      <c r="G142" s="718"/>
      <c r="H142" s="824"/>
      <c r="I142" s="344" t="str">
        <f>IF('Mapa final SI'!AC145="","",'Mapa final SI'!AC145)</f>
        <v/>
      </c>
      <c r="J142" s="344" t="str">
        <f>IF('Mapa final SI'!AE145="","",'Mapa final SI'!AE145)</f>
        <v/>
      </c>
      <c r="K142" s="344" t="str">
        <f t="shared" si="2"/>
        <v/>
      </c>
      <c r="L142" s="344" t="str">
        <f>IF('Mapa final SI'!AH145="","",'Mapa final SI'!AH145)</f>
        <v/>
      </c>
      <c r="M142" s="345" t="str">
        <f>IF('Mapa final SI'!T145="","",'Mapa final SI'!T145)</f>
        <v/>
      </c>
      <c r="N142" s="70"/>
      <c r="O142" s="70"/>
      <c r="P142" s="70"/>
      <c r="Q142" s="177"/>
    </row>
    <row r="143" spans="1:17" ht="43.5" customHeight="1" x14ac:dyDescent="0.25">
      <c r="A143" s="119" t="s">
        <v>675</v>
      </c>
      <c r="B143" s="713"/>
      <c r="C143" s="715"/>
      <c r="D143" s="717"/>
      <c r="E143" s="715"/>
      <c r="F143" s="718"/>
      <c r="G143" s="718"/>
      <c r="H143" s="824"/>
      <c r="I143" s="344" t="str">
        <f>IF('Mapa final SI'!AC146="","",'Mapa final SI'!AC146)</f>
        <v/>
      </c>
      <c r="J143" s="344" t="str">
        <f>IF('Mapa final SI'!AE146="","",'Mapa final SI'!AE146)</f>
        <v/>
      </c>
      <c r="K143" s="344" t="str">
        <f t="shared" si="2"/>
        <v/>
      </c>
      <c r="L143" s="344" t="str">
        <f>IF('Mapa final SI'!AH146="","",'Mapa final SI'!AH146)</f>
        <v/>
      </c>
      <c r="M143" s="345" t="str">
        <f>IF('Mapa final SI'!T146="","",'Mapa final SI'!T146)</f>
        <v/>
      </c>
      <c r="N143" s="70"/>
      <c r="O143" s="70"/>
      <c r="P143" s="70"/>
      <c r="Q143" s="177"/>
    </row>
    <row r="144" spans="1:17" ht="43.5" customHeight="1" x14ac:dyDescent="0.25">
      <c r="A144" s="119" t="s">
        <v>676</v>
      </c>
      <c r="B144" s="713"/>
      <c r="C144" s="715"/>
      <c r="D144" s="717"/>
      <c r="E144" s="715"/>
      <c r="F144" s="718"/>
      <c r="G144" s="718"/>
      <c r="H144" s="719"/>
      <c r="I144" s="344" t="str">
        <f>IF('Mapa final SI'!AC147="","",'Mapa final SI'!AC147)</f>
        <v/>
      </c>
      <c r="J144" s="344" t="str">
        <f>IF('Mapa final SI'!AE147="","",'Mapa final SI'!AE147)</f>
        <v/>
      </c>
      <c r="K144" s="344" t="str">
        <f t="shared" si="2"/>
        <v/>
      </c>
      <c r="L144" s="344" t="str">
        <f>IF('Mapa final SI'!AH147="","",'Mapa final SI'!AH147)</f>
        <v/>
      </c>
      <c r="M144" s="345" t="str">
        <f>IF('Mapa final SI'!T147="","",'Mapa final SI'!T147)</f>
        <v/>
      </c>
      <c r="N144" s="70"/>
      <c r="O144" s="70"/>
      <c r="P144" s="70"/>
      <c r="Q144" s="177"/>
    </row>
    <row r="145" spans="1:17" ht="43.5" customHeight="1" x14ac:dyDescent="0.25">
      <c r="A145" s="119" t="s">
        <v>677</v>
      </c>
      <c r="B145" s="712"/>
      <c r="C145" s="714" t="str">
        <f>IF('Mapa final SI'!G148="","",'Mapa final SI'!G148)</f>
        <v/>
      </c>
      <c r="D145" s="716"/>
      <c r="E145" s="714" t="str">
        <f>IF('Mapa final SI'!F148="","",'Mapa final SI'!F148)</f>
        <v/>
      </c>
      <c r="F145" s="720" t="str">
        <f>IF('Mapa final SI'!L148="","",'Mapa final SI'!L148)</f>
        <v/>
      </c>
      <c r="G145" s="720" t="str">
        <f>IF('Mapa final SI'!P148="","",'Mapa final SI'!P148)</f>
        <v/>
      </c>
      <c r="H145" s="82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4" t="str">
        <f>IF('Mapa final SI'!AC148="","",'Mapa final SI'!AC148)</f>
        <v/>
      </c>
      <c r="J145" s="344" t="str">
        <f>IF('Mapa final SI'!AE148="","",'Mapa final SI'!AE148)</f>
        <v/>
      </c>
      <c r="K145" s="344" t="str">
        <f t="shared" si="2"/>
        <v/>
      </c>
      <c r="L145" s="344" t="str">
        <f>IF('Mapa final SI'!AH148="","",'Mapa final SI'!AH148)</f>
        <v/>
      </c>
      <c r="M145" s="345" t="str">
        <f>IF('Mapa final SI'!T148="","",'Mapa final SI'!T148)</f>
        <v/>
      </c>
      <c r="N145" s="70"/>
      <c r="O145" s="70"/>
      <c r="P145" s="70"/>
      <c r="Q145" s="177"/>
    </row>
    <row r="146" spans="1:17" ht="43.5" customHeight="1" x14ac:dyDescent="0.25">
      <c r="A146" s="119" t="s">
        <v>678</v>
      </c>
      <c r="B146" s="713"/>
      <c r="C146" s="715"/>
      <c r="D146" s="717"/>
      <c r="E146" s="715"/>
      <c r="F146" s="718"/>
      <c r="G146" s="718"/>
      <c r="H146" s="824"/>
      <c r="I146" s="344" t="str">
        <f>IF('Mapa final SI'!AC149="","",'Mapa final SI'!AC149)</f>
        <v/>
      </c>
      <c r="J146" s="344" t="str">
        <f>IF('Mapa final SI'!AE149="","",'Mapa final SI'!AE149)</f>
        <v/>
      </c>
      <c r="K146" s="344" t="str">
        <f t="shared" si="2"/>
        <v/>
      </c>
      <c r="L146" s="344" t="str">
        <f>IF('Mapa final SI'!AH149="","",'Mapa final SI'!AH149)</f>
        <v/>
      </c>
      <c r="M146" s="345" t="str">
        <f>IF('Mapa final SI'!T149="","",'Mapa final SI'!T149)</f>
        <v/>
      </c>
      <c r="N146" s="70"/>
      <c r="O146" s="70"/>
      <c r="P146" s="70"/>
      <c r="Q146" s="177"/>
    </row>
    <row r="147" spans="1:17" ht="43.5" customHeight="1" x14ac:dyDescent="0.25">
      <c r="A147" s="119" t="s">
        <v>679</v>
      </c>
      <c r="B147" s="713"/>
      <c r="C147" s="715"/>
      <c r="D147" s="717"/>
      <c r="E147" s="715"/>
      <c r="F147" s="718"/>
      <c r="G147" s="718"/>
      <c r="H147" s="824"/>
      <c r="I147" s="344" t="str">
        <f>IF('Mapa final SI'!AC150="","",'Mapa final SI'!AC150)</f>
        <v/>
      </c>
      <c r="J147" s="344" t="str">
        <f>IF('Mapa final SI'!AE150="","",'Mapa final SI'!AE150)</f>
        <v/>
      </c>
      <c r="K147" s="344" t="str">
        <f t="shared" si="2"/>
        <v/>
      </c>
      <c r="L147" s="344" t="str">
        <f>IF('Mapa final SI'!AH150="","",'Mapa final SI'!AH150)</f>
        <v/>
      </c>
      <c r="M147" s="345" t="str">
        <f>IF('Mapa final SI'!T150="","",'Mapa final SI'!T150)</f>
        <v/>
      </c>
      <c r="N147" s="70"/>
      <c r="O147" s="70"/>
      <c r="P147" s="70"/>
      <c r="Q147" s="177"/>
    </row>
    <row r="148" spans="1:17" ht="43.5" customHeight="1" x14ac:dyDescent="0.25">
      <c r="A148" s="119" t="s">
        <v>680</v>
      </c>
      <c r="B148" s="713"/>
      <c r="C148" s="715"/>
      <c r="D148" s="717"/>
      <c r="E148" s="715"/>
      <c r="F148" s="718"/>
      <c r="G148" s="718"/>
      <c r="H148" s="824"/>
      <c r="I148" s="344" t="str">
        <f>IF('Mapa final SI'!AC151="","",'Mapa final SI'!AC151)</f>
        <v/>
      </c>
      <c r="J148" s="344" t="str">
        <f>IF('Mapa final SI'!AE151="","",'Mapa final SI'!AE151)</f>
        <v/>
      </c>
      <c r="K148" s="344" t="str">
        <f t="shared" si="2"/>
        <v/>
      </c>
      <c r="L148" s="344" t="str">
        <f>IF('Mapa final SI'!AH151="","",'Mapa final SI'!AH151)</f>
        <v/>
      </c>
      <c r="M148" s="345" t="str">
        <f>IF('Mapa final SI'!T151="","",'Mapa final SI'!T151)</f>
        <v/>
      </c>
      <c r="N148" s="70"/>
      <c r="O148" s="70"/>
      <c r="P148" s="70"/>
      <c r="Q148" s="177"/>
    </row>
    <row r="149" spans="1:17" ht="43.5" customHeight="1" x14ac:dyDescent="0.25">
      <c r="A149" s="119" t="s">
        <v>681</v>
      </c>
      <c r="B149" s="713"/>
      <c r="C149" s="715"/>
      <c r="D149" s="717"/>
      <c r="E149" s="715"/>
      <c r="F149" s="718"/>
      <c r="G149" s="718"/>
      <c r="H149" s="824"/>
      <c r="I149" s="344" t="str">
        <f>IF('Mapa final SI'!AC152="","",'Mapa final SI'!AC152)</f>
        <v/>
      </c>
      <c r="J149" s="344" t="str">
        <f>IF('Mapa final SI'!AE152="","",'Mapa final SI'!AE152)</f>
        <v/>
      </c>
      <c r="K149" s="344" t="str">
        <f t="shared" si="2"/>
        <v/>
      </c>
      <c r="L149" s="344" t="str">
        <f>IF('Mapa final SI'!AH152="","",'Mapa final SI'!AH152)</f>
        <v/>
      </c>
      <c r="M149" s="345" t="str">
        <f>IF('Mapa final SI'!T152="","",'Mapa final SI'!T152)</f>
        <v/>
      </c>
      <c r="N149" s="70"/>
      <c r="O149" s="70"/>
      <c r="P149" s="70"/>
      <c r="Q149" s="177"/>
    </row>
    <row r="150" spans="1:17" ht="43.5" customHeight="1" x14ac:dyDescent="0.25">
      <c r="A150" s="119" t="s">
        <v>682</v>
      </c>
      <c r="B150" s="713"/>
      <c r="C150" s="715"/>
      <c r="D150" s="717"/>
      <c r="E150" s="715"/>
      <c r="F150" s="718"/>
      <c r="G150" s="718"/>
      <c r="H150" s="719"/>
      <c r="I150" s="344" t="str">
        <f>IF('Mapa final SI'!AC153="","",'Mapa final SI'!AC153)</f>
        <v/>
      </c>
      <c r="J150" s="344" t="str">
        <f>IF('Mapa final SI'!AE153="","",'Mapa final SI'!AE153)</f>
        <v/>
      </c>
      <c r="K150" s="344" t="str">
        <f t="shared" si="2"/>
        <v/>
      </c>
      <c r="L150" s="344" t="str">
        <f>IF('Mapa final SI'!AH153="","",'Mapa final SI'!AH153)</f>
        <v/>
      </c>
      <c r="M150" s="345" t="str">
        <f>IF('Mapa final SI'!T153="","",'Mapa final SI'!T153)</f>
        <v/>
      </c>
      <c r="N150" s="70"/>
      <c r="O150" s="70"/>
      <c r="P150" s="70"/>
      <c r="Q150" s="177"/>
    </row>
    <row r="151" spans="1:17" ht="43.5" customHeight="1" x14ac:dyDescent="0.25">
      <c r="A151" s="119" t="s">
        <v>683</v>
      </c>
      <c r="B151" s="712"/>
      <c r="C151" s="714" t="str">
        <f>IF('Mapa final SI'!G154="","",'Mapa final SI'!G154)</f>
        <v/>
      </c>
      <c r="D151" s="716"/>
      <c r="E151" s="714" t="str">
        <f>IF('Mapa final SI'!F154="","",'Mapa final SI'!F154)</f>
        <v/>
      </c>
      <c r="F151" s="720" t="str">
        <f>IF('Mapa final SI'!L154="","",'Mapa final SI'!L154)</f>
        <v/>
      </c>
      <c r="G151" s="720" t="str">
        <f>IF('Mapa final SI'!P154="","",'Mapa final SI'!P154)</f>
        <v/>
      </c>
      <c r="H151" s="82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4" t="str">
        <f>IF('Mapa final SI'!AC154="","",'Mapa final SI'!AC154)</f>
        <v/>
      </c>
      <c r="J151" s="344" t="str">
        <f>IF('Mapa final SI'!AE154="","",'Mapa final SI'!AE154)</f>
        <v/>
      </c>
      <c r="K151" s="344" t="str">
        <f t="shared" si="2"/>
        <v/>
      </c>
      <c r="L151" s="344" t="str">
        <f>IF('Mapa final SI'!AH154="","",'Mapa final SI'!AH154)</f>
        <v/>
      </c>
      <c r="M151" s="345" t="str">
        <f>IF('Mapa final SI'!T154="","",'Mapa final SI'!T154)</f>
        <v/>
      </c>
      <c r="N151" s="70"/>
      <c r="O151" s="70"/>
      <c r="P151" s="70"/>
      <c r="Q151" s="177"/>
    </row>
    <row r="152" spans="1:17" ht="43.5" customHeight="1" x14ac:dyDescent="0.25">
      <c r="A152" s="119" t="s">
        <v>684</v>
      </c>
      <c r="B152" s="713"/>
      <c r="C152" s="715"/>
      <c r="D152" s="717"/>
      <c r="E152" s="715"/>
      <c r="F152" s="718"/>
      <c r="G152" s="718"/>
      <c r="H152" s="824"/>
      <c r="I152" s="344" t="str">
        <f>IF('Mapa final SI'!AC155="","",'Mapa final SI'!AC155)</f>
        <v/>
      </c>
      <c r="J152" s="344" t="str">
        <f>IF('Mapa final SI'!AE155="","",'Mapa final SI'!AE155)</f>
        <v/>
      </c>
      <c r="K152" s="344" t="str">
        <f t="shared" si="2"/>
        <v/>
      </c>
      <c r="L152" s="344" t="str">
        <f>IF('Mapa final SI'!AH155="","",'Mapa final SI'!AH155)</f>
        <v/>
      </c>
      <c r="M152" s="345" t="str">
        <f>IF('Mapa final SI'!T155="","",'Mapa final SI'!T155)</f>
        <v/>
      </c>
      <c r="N152" s="70"/>
      <c r="O152" s="70"/>
      <c r="P152" s="70"/>
      <c r="Q152" s="177"/>
    </row>
    <row r="153" spans="1:17" ht="43.5" customHeight="1" x14ac:dyDescent="0.25">
      <c r="A153" s="119" t="s">
        <v>685</v>
      </c>
      <c r="B153" s="713"/>
      <c r="C153" s="715"/>
      <c r="D153" s="717"/>
      <c r="E153" s="715"/>
      <c r="F153" s="718"/>
      <c r="G153" s="718"/>
      <c r="H153" s="824"/>
      <c r="I153" s="344" t="str">
        <f>IF('Mapa final SI'!AC156="","",'Mapa final SI'!AC156)</f>
        <v/>
      </c>
      <c r="J153" s="344" t="str">
        <f>IF('Mapa final SI'!AE156="","",'Mapa final SI'!AE156)</f>
        <v/>
      </c>
      <c r="K153" s="344" t="str">
        <f t="shared" si="2"/>
        <v/>
      </c>
      <c r="L153" s="344" t="str">
        <f>IF('Mapa final SI'!AH156="","",'Mapa final SI'!AH156)</f>
        <v/>
      </c>
      <c r="M153" s="345" t="str">
        <f>IF('Mapa final SI'!T156="","",'Mapa final SI'!T156)</f>
        <v/>
      </c>
      <c r="N153" s="70"/>
      <c r="O153" s="70"/>
      <c r="P153" s="70"/>
      <c r="Q153" s="177"/>
    </row>
    <row r="154" spans="1:17" ht="43.5" customHeight="1" x14ac:dyDescent="0.25">
      <c r="A154" s="119" t="s">
        <v>686</v>
      </c>
      <c r="B154" s="713"/>
      <c r="C154" s="715"/>
      <c r="D154" s="717"/>
      <c r="E154" s="715"/>
      <c r="F154" s="718"/>
      <c r="G154" s="718"/>
      <c r="H154" s="824"/>
      <c r="I154" s="344" t="str">
        <f>IF('Mapa final SI'!AC157="","",'Mapa final SI'!AC157)</f>
        <v/>
      </c>
      <c r="J154" s="344" t="str">
        <f>IF('Mapa final SI'!AE157="","",'Mapa final SI'!AE157)</f>
        <v/>
      </c>
      <c r="K154" s="344" t="str">
        <f t="shared" si="2"/>
        <v/>
      </c>
      <c r="L154" s="344" t="str">
        <f>IF('Mapa final SI'!AH157="","",'Mapa final SI'!AH157)</f>
        <v/>
      </c>
      <c r="M154" s="345" t="str">
        <f>IF('Mapa final SI'!T157="","",'Mapa final SI'!T157)</f>
        <v/>
      </c>
      <c r="N154" s="70"/>
      <c r="O154" s="70"/>
      <c r="P154" s="70"/>
      <c r="Q154" s="177"/>
    </row>
    <row r="155" spans="1:17" ht="43.5" customHeight="1" x14ac:dyDescent="0.25">
      <c r="A155" s="119" t="s">
        <v>687</v>
      </c>
      <c r="B155" s="713"/>
      <c r="C155" s="715"/>
      <c r="D155" s="717"/>
      <c r="E155" s="715"/>
      <c r="F155" s="718"/>
      <c r="G155" s="718"/>
      <c r="H155" s="824"/>
      <c r="I155" s="344" t="str">
        <f>IF('Mapa final SI'!AC158="","",'Mapa final SI'!AC158)</f>
        <v/>
      </c>
      <c r="J155" s="344" t="str">
        <f>IF('Mapa final SI'!AE158="","",'Mapa final SI'!AE158)</f>
        <v/>
      </c>
      <c r="K155" s="344" t="str">
        <f t="shared" si="2"/>
        <v/>
      </c>
      <c r="L155" s="344" t="str">
        <f>IF('Mapa final SI'!AH158="","",'Mapa final SI'!AH158)</f>
        <v/>
      </c>
      <c r="M155" s="345" t="str">
        <f>IF('Mapa final SI'!T158="","",'Mapa final SI'!T158)</f>
        <v/>
      </c>
      <c r="N155" s="70"/>
      <c r="O155" s="70"/>
      <c r="P155" s="70"/>
      <c r="Q155" s="177"/>
    </row>
    <row r="156" spans="1:17" ht="43.5" customHeight="1" x14ac:dyDescent="0.25">
      <c r="A156" s="119" t="s">
        <v>688</v>
      </c>
      <c r="B156" s="713"/>
      <c r="C156" s="715"/>
      <c r="D156" s="717"/>
      <c r="E156" s="715"/>
      <c r="F156" s="718"/>
      <c r="G156" s="718"/>
      <c r="H156" s="719"/>
      <c r="I156" s="344" t="str">
        <f>IF('Mapa final SI'!AC159="","",'Mapa final SI'!AC159)</f>
        <v/>
      </c>
      <c r="J156" s="344" t="str">
        <f>IF('Mapa final SI'!AE159="","",'Mapa final SI'!AE159)</f>
        <v/>
      </c>
      <c r="K156" s="344" t="str">
        <f t="shared" si="2"/>
        <v/>
      </c>
      <c r="L156" s="344" t="str">
        <f>IF('Mapa final SI'!AH159="","",'Mapa final SI'!AH159)</f>
        <v/>
      </c>
      <c r="M156" s="345" t="str">
        <f>IF('Mapa final SI'!T159="","",'Mapa final SI'!T159)</f>
        <v/>
      </c>
      <c r="N156" s="70"/>
      <c r="O156" s="70"/>
      <c r="P156" s="70"/>
      <c r="Q156" s="177"/>
    </row>
    <row r="157" spans="1:17" ht="43.5" customHeight="1" x14ac:dyDescent="0.25">
      <c r="A157" s="119" t="s">
        <v>689</v>
      </c>
      <c r="B157" s="712"/>
      <c r="C157" s="714" t="str">
        <f>IF('Mapa final SI'!G160="","",'Mapa final SI'!G160)</f>
        <v/>
      </c>
      <c r="D157" s="716"/>
      <c r="E157" s="714" t="str">
        <f>IF('Mapa final SI'!F160="","",'Mapa final SI'!F160)</f>
        <v/>
      </c>
      <c r="F157" s="720" t="str">
        <f>IF('Mapa final SI'!L160="","",'Mapa final SI'!L160)</f>
        <v/>
      </c>
      <c r="G157" s="720" t="str">
        <f>IF('Mapa final SI'!P160="","",'Mapa final SI'!P160)</f>
        <v/>
      </c>
      <c r="H157" s="82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4" t="str">
        <f>IF('Mapa final SI'!AC160="","",'Mapa final SI'!AC160)</f>
        <v/>
      </c>
      <c r="J157" s="344" t="str">
        <f>IF('Mapa final SI'!AE160="","",'Mapa final SI'!AE160)</f>
        <v/>
      </c>
      <c r="K157" s="344" t="str">
        <f t="shared" si="2"/>
        <v/>
      </c>
      <c r="L157" s="344" t="str">
        <f>IF('Mapa final SI'!AH160="","",'Mapa final SI'!AH160)</f>
        <v/>
      </c>
      <c r="M157" s="345" t="str">
        <f>IF('Mapa final SI'!T160="","",'Mapa final SI'!T160)</f>
        <v/>
      </c>
      <c r="N157" s="70"/>
      <c r="O157" s="70"/>
      <c r="P157" s="70"/>
      <c r="Q157" s="177"/>
    </row>
    <row r="158" spans="1:17" ht="43.5" customHeight="1" x14ac:dyDescent="0.25">
      <c r="A158" s="119" t="s">
        <v>690</v>
      </c>
      <c r="B158" s="713"/>
      <c r="C158" s="715"/>
      <c r="D158" s="717"/>
      <c r="E158" s="715"/>
      <c r="F158" s="718"/>
      <c r="G158" s="718"/>
      <c r="H158" s="824"/>
      <c r="I158" s="344" t="str">
        <f>IF('Mapa final SI'!AC161="","",'Mapa final SI'!AC161)</f>
        <v/>
      </c>
      <c r="J158" s="344" t="str">
        <f>IF('Mapa final SI'!AE161="","",'Mapa final SI'!AE161)</f>
        <v/>
      </c>
      <c r="K158" s="344" t="str">
        <f t="shared" si="2"/>
        <v/>
      </c>
      <c r="L158" s="344" t="str">
        <f>IF('Mapa final SI'!AH161="","",'Mapa final SI'!AH161)</f>
        <v/>
      </c>
      <c r="M158" s="345" t="str">
        <f>IF('Mapa final SI'!T161="","",'Mapa final SI'!T161)</f>
        <v/>
      </c>
      <c r="N158" s="70"/>
      <c r="O158" s="70"/>
      <c r="P158" s="70"/>
      <c r="Q158" s="177"/>
    </row>
    <row r="159" spans="1:17" ht="43.5" customHeight="1" x14ac:dyDescent="0.25">
      <c r="A159" s="119" t="s">
        <v>691</v>
      </c>
      <c r="B159" s="713"/>
      <c r="C159" s="715"/>
      <c r="D159" s="717"/>
      <c r="E159" s="715"/>
      <c r="F159" s="718"/>
      <c r="G159" s="718"/>
      <c r="H159" s="824"/>
      <c r="I159" s="344" t="str">
        <f>IF('Mapa final SI'!AC162="","",'Mapa final SI'!AC162)</f>
        <v/>
      </c>
      <c r="J159" s="344" t="str">
        <f>IF('Mapa final SI'!AE162="","",'Mapa final SI'!AE162)</f>
        <v/>
      </c>
      <c r="K159" s="344" t="str">
        <f t="shared" si="2"/>
        <v/>
      </c>
      <c r="L159" s="344" t="str">
        <f>IF('Mapa final SI'!AH162="","",'Mapa final SI'!AH162)</f>
        <v/>
      </c>
      <c r="M159" s="345" t="str">
        <f>IF('Mapa final SI'!T162="","",'Mapa final SI'!T162)</f>
        <v/>
      </c>
      <c r="N159" s="70"/>
      <c r="O159" s="70"/>
      <c r="P159" s="70"/>
      <c r="Q159" s="177"/>
    </row>
    <row r="160" spans="1:17" ht="43.5" customHeight="1" x14ac:dyDescent="0.25">
      <c r="A160" s="119" t="s">
        <v>692</v>
      </c>
      <c r="B160" s="713"/>
      <c r="C160" s="715"/>
      <c r="D160" s="717"/>
      <c r="E160" s="715"/>
      <c r="F160" s="718"/>
      <c r="G160" s="718"/>
      <c r="H160" s="824"/>
      <c r="I160" s="344" t="str">
        <f>IF('Mapa final SI'!AC163="","",'Mapa final SI'!AC163)</f>
        <v/>
      </c>
      <c r="J160" s="344" t="str">
        <f>IF('Mapa final SI'!AE163="","",'Mapa final SI'!AE163)</f>
        <v/>
      </c>
      <c r="K160" s="344" t="str">
        <f t="shared" si="2"/>
        <v/>
      </c>
      <c r="L160" s="344" t="str">
        <f>IF('Mapa final SI'!AH163="","",'Mapa final SI'!AH163)</f>
        <v/>
      </c>
      <c r="M160" s="345" t="str">
        <f>IF('Mapa final SI'!T163="","",'Mapa final SI'!T163)</f>
        <v/>
      </c>
      <c r="N160" s="70"/>
      <c r="O160" s="70"/>
      <c r="P160" s="70"/>
      <c r="Q160" s="177"/>
    </row>
    <row r="161" spans="1:17" ht="43.5" customHeight="1" x14ac:dyDescent="0.25">
      <c r="A161" s="119" t="s">
        <v>693</v>
      </c>
      <c r="B161" s="713"/>
      <c r="C161" s="715"/>
      <c r="D161" s="717"/>
      <c r="E161" s="715"/>
      <c r="F161" s="718"/>
      <c r="G161" s="718"/>
      <c r="H161" s="824"/>
      <c r="I161" s="344" t="str">
        <f>IF('Mapa final SI'!AC164="","",'Mapa final SI'!AC164)</f>
        <v/>
      </c>
      <c r="J161" s="344" t="str">
        <f>IF('Mapa final SI'!AE164="","",'Mapa final SI'!AE164)</f>
        <v/>
      </c>
      <c r="K161" s="344" t="str">
        <f t="shared" si="2"/>
        <v/>
      </c>
      <c r="L161" s="344" t="str">
        <f>IF('Mapa final SI'!AH164="","",'Mapa final SI'!AH164)</f>
        <v/>
      </c>
      <c r="M161" s="345" t="str">
        <f>IF('Mapa final SI'!T164="","",'Mapa final SI'!T164)</f>
        <v/>
      </c>
      <c r="N161" s="70"/>
      <c r="O161" s="70"/>
      <c r="P161" s="70"/>
      <c r="Q161" s="177"/>
    </row>
    <row r="162" spans="1:17" ht="43.5" customHeight="1" x14ac:dyDescent="0.25">
      <c r="A162" s="119" t="s">
        <v>694</v>
      </c>
      <c r="B162" s="713"/>
      <c r="C162" s="715"/>
      <c r="D162" s="717"/>
      <c r="E162" s="715"/>
      <c r="F162" s="718"/>
      <c r="G162" s="718"/>
      <c r="H162" s="719"/>
      <c r="I162" s="344" t="str">
        <f>IF('Mapa final SI'!AC165="","",'Mapa final SI'!AC165)</f>
        <v/>
      </c>
      <c r="J162" s="344" t="str">
        <f>IF('Mapa final SI'!AE165="","",'Mapa final SI'!AE165)</f>
        <v/>
      </c>
      <c r="K162" s="344" t="str">
        <f t="shared" si="2"/>
        <v/>
      </c>
      <c r="L162" s="344" t="str">
        <f>IF('Mapa final SI'!AH165="","",'Mapa final SI'!AH165)</f>
        <v/>
      </c>
      <c r="M162" s="345" t="str">
        <f>IF('Mapa final SI'!T165="","",'Mapa final SI'!T165)</f>
        <v/>
      </c>
      <c r="N162" s="70"/>
      <c r="O162" s="70"/>
      <c r="P162" s="70"/>
      <c r="Q162" s="177"/>
    </row>
    <row r="163" spans="1:17" ht="43.5" customHeight="1" x14ac:dyDescent="0.25">
      <c r="A163" s="119" t="s">
        <v>695</v>
      </c>
      <c r="B163" s="712"/>
      <c r="C163" s="714" t="str">
        <f>IF('Mapa final SI'!G166="","",'Mapa final SI'!G166)</f>
        <v/>
      </c>
      <c r="D163" s="716"/>
      <c r="E163" s="714" t="str">
        <f>IF('Mapa final SI'!F166="","",'Mapa final SI'!F166)</f>
        <v/>
      </c>
      <c r="F163" s="720" t="str">
        <f>IF('Mapa final SI'!L166="","",'Mapa final SI'!L166)</f>
        <v/>
      </c>
      <c r="G163" s="720" t="str">
        <f>IF('Mapa final SI'!P166="","",'Mapa final SI'!P166)</f>
        <v/>
      </c>
      <c r="H163" s="82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4" t="str">
        <f>IF('Mapa final SI'!AC166="","",'Mapa final SI'!AC166)</f>
        <v/>
      </c>
      <c r="J163" s="344" t="str">
        <f>IF('Mapa final SI'!AE166="","",'Mapa final SI'!AE166)</f>
        <v/>
      </c>
      <c r="K163" s="344" t="str">
        <f t="shared" si="2"/>
        <v/>
      </c>
      <c r="L163" s="344" t="str">
        <f>IF('Mapa final SI'!AH166="","",'Mapa final SI'!AH166)</f>
        <v/>
      </c>
      <c r="M163" s="345" t="str">
        <f>IF('Mapa final SI'!T166="","",'Mapa final SI'!T166)</f>
        <v/>
      </c>
      <c r="N163" s="70"/>
      <c r="O163" s="70"/>
      <c r="P163" s="70"/>
      <c r="Q163" s="177"/>
    </row>
    <row r="164" spans="1:17" ht="43.5" customHeight="1" x14ac:dyDescent="0.25">
      <c r="A164" s="119" t="s">
        <v>696</v>
      </c>
      <c r="B164" s="713"/>
      <c r="C164" s="715"/>
      <c r="D164" s="717"/>
      <c r="E164" s="715"/>
      <c r="F164" s="718"/>
      <c r="G164" s="718"/>
      <c r="H164" s="824"/>
      <c r="I164" s="344" t="str">
        <f>IF('Mapa final SI'!AC167="","",'Mapa final SI'!AC167)</f>
        <v/>
      </c>
      <c r="J164" s="344" t="str">
        <f>IF('Mapa final SI'!AE167="","",'Mapa final SI'!AE167)</f>
        <v/>
      </c>
      <c r="K164" s="344" t="str">
        <f t="shared" si="2"/>
        <v/>
      </c>
      <c r="L164" s="344" t="str">
        <f>IF('Mapa final SI'!AH167="","",'Mapa final SI'!AH167)</f>
        <v/>
      </c>
      <c r="M164" s="345" t="str">
        <f>IF('Mapa final SI'!T167="","",'Mapa final SI'!T167)</f>
        <v/>
      </c>
      <c r="N164" s="70"/>
      <c r="O164" s="70"/>
      <c r="P164" s="70"/>
      <c r="Q164" s="177"/>
    </row>
    <row r="165" spans="1:17" ht="43.5" customHeight="1" x14ac:dyDescent="0.25">
      <c r="A165" s="119" t="s">
        <v>697</v>
      </c>
      <c r="B165" s="713"/>
      <c r="C165" s="715"/>
      <c r="D165" s="717"/>
      <c r="E165" s="715"/>
      <c r="F165" s="718"/>
      <c r="G165" s="718"/>
      <c r="H165" s="824"/>
      <c r="I165" s="344" t="str">
        <f>IF('Mapa final SI'!AC168="","",'Mapa final SI'!AC168)</f>
        <v/>
      </c>
      <c r="J165" s="344" t="str">
        <f>IF('Mapa final SI'!AE168="","",'Mapa final SI'!AE168)</f>
        <v/>
      </c>
      <c r="K165" s="344" t="str">
        <f t="shared" si="2"/>
        <v/>
      </c>
      <c r="L165" s="344" t="str">
        <f>IF('Mapa final SI'!AH168="","",'Mapa final SI'!AH168)</f>
        <v/>
      </c>
      <c r="M165" s="345" t="str">
        <f>IF('Mapa final SI'!T168="","",'Mapa final SI'!T168)</f>
        <v/>
      </c>
      <c r="N165" s="70"/>
      <c r="O165" s="70"/>
      <c r="P165" s="70"/>
      <c r="Q165" s="177"/>
    </row>
    <row r="166" spans="1:17" ht="43.5" customHeight="1" x14ac:dyDescent="0.25">
      <c r="A166" s="119" t="s">
        <v>698</v>
      </c>
      <c r="B166" s="713"/>
      <c r="C166" s="715"/>
      <c r="D166" s="717"/>
      <c r="E166" s="715"/>
      <c r="F166" s="718"/>
      <c r="G166" s="718"/>
      <c r="H166" s="824"/>
      <c r="I166" s="344" t="str">
        <f>IF('Mapa final SI'!AC169="","",'Mapa final SI'!AC169)</f>
        <v/>
      </c>
      <c r="J166" s="344" t="str">
        <f>IF('Mapa final SI'!AE169="","",'Mapa final SI'!AE169)</f>
        <v/>
      </c>
      <c r="K166" s="344" t="str">
        <f t="shared" si="2"/>
        <v/>
      </c>
      <c r="L166" s="344" t="str">
        <f>IF('Mapa final SI'!AH169="","",'Mapa final SI'!AH169)</f>
        <v/>
      </c>
      <c r="M166" s="345" t="str">
        <f>IF('Mapa final SI'!T169="","",'Mapa final SI'!T169)</f>
        <v/>
      </c>
      <c r="N166" s="70"/>
      <c r="O166" s="70"/>
      <c r="P166" s="70"/>
      <c r="Q166" s="177"/>
    </row>
    <row r="167" spans="1:17" ht="43.5" customHeight="1" x14ac:dyDescent="0.25">
      <c r="A167" s="119" t="s">
        <v>699</v>
      </c>
      <c r="B167" s="713"/>
      <c r="C167" s="715"/>
      <c r="D167" s="717"/>
      <c r="E167" s="715"/>
      <c r="F167" s="718"/>
      <c r="G167" s="718"/>
      <c r="H167" s="824"/>
      <c r="I167" s="344" t="str">
        <f>IF('Mapa final SI'!AC170="","",'Mapa final SI'!AC170)</f>
        <v/>
      </c>
      <c r="J167" s="344" t="str">
        <f>IF('Mapa final SI'!AE170="","",'Mapa final SI'!AE170)</f>
        <v/>
      </c>
      <c r="K167" s="344" t="str">
        <f t="shared" si="2"/>
        <v/>
      </c>
      <c r="L167" s="344" t="str">
        <f>IF('Mapa final SI'!AH170="","",'Mapa final SI'!AH170)</f>
        <v/>
      </c>
      <c r="M167" s="345" t="str">
        <f>IF('Mapa final SI'!T170="","",'Mapa final SI'!T170)</f>
        <v/>
      </c>
      <c r="N167" s="70"/>
      <c r="O167" s="70"/>
      <c r="P167" s="70"/>
      <c r="Q167" s="177"/>
    </row>
    <row r="168" spans="1:17" ht="43.5" customHeight="1" x14ac:dyDescent="0.25">
      <c r="A168" s="119" t="s">
        <v>700</v>
      </c>
      <c r="B168" s="713"/>
      <c r="C168" s="715"/>
      <c r="D168" s="717"/>
      <c r="E168" s="715"/>
      <c r="F168" s="718"/>
      <c r="G168" s="718"/>
      <c r="H168" s="719"/>
      <c r="I168" s="344" t="str">
        <f>IF('Mapa final SI'!AC171="","",'Mapa final SI'!AC171)</f>
        <v/>
      </c>
      <c r="J168" s="344" t="str">
        <f>IF('Mapa final SI'!AE171="","",'Mapa final SI'!AE171)</f>
        <v/>
      </c>
      <c r="K168" s="344" t="str">
        <f t="shared" si="2"/>
        <v/>
      </c>
      <c r="L168" s="344" t="str">
        <f>IF('Mapa final SI'!AH171="","",'Mapa final SI'!AH171)</f>
        <v/>
      </c>
      <c r="M168" s="345" t="str">
        <f>IF('Mapa final SI'!T171="","",'Mapa final SI'!T171)</f>
        <v/>
      </c>
      <c r="N168" s="70"/>
      <c r="O168" s="70"/>
      <c r="P168" s="70"/>
      <c r="Q168" s="177"/>
    </row>
    <row r="169" spans="1:17" ht="43.5" customHeight="1" x14ac:dyDescent="0.25">
      <c r="A169" s="119" t="s">
        <v>701</v>
      </c>
      <c r="B169" s="712"/>
      <c r="C169" s="714" t="str">
        <f>IF('Mapa final SI'!G172="","",'Mapa final SI'!G172)</f>
        <v/>
      </c>
      <c r="D169" s="716"/>
      <c r="E169" s="714" t="str">
        <f>IF('Mapa final SI'!F172="","",'Mapa final SI'!F172)</f>
        <v/>
      </c>
      <c r="F169" s="720" t="str">
        <f>IF('Mapa final SI'!L172="","",'Mapa final SI'!L172)</f>
        <v/>
      </c>
      <c r="G169" s="720" t="str">
        <f>IF('Mapa final SI'!P172="","",'Mapa final SI'!P172)</f>
        <v/>
      </c>
      <c r="H169" s="82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4" t="str">
        <f>IF('Mapa final SI'!AC172="","",'Mapa final SI'!AC172)</f>
        <v/>
      </c>
      <c r="J169" s="344" t="str">
        <f>IF('Mapa final SI'!AE172="","",'Mapa final SI'!AE172)</f>
        <v/>
      </c>
      <c r="K169" s="344" t="str">
        <f t="shared" si="2"/>
        <v/>
      </c>
      <c r="L169" s="344" t="str">
        <f>IF('Mapa final SI'!AH172="","",'Mapa final SI'!AH172)</f>
        <v/>
      </c>
      <c r="M169" s="345" t="str">
        <f>IF('Mapa final SI'!T172="","",'Mapa final SI'!T172)</f>
        <v/>
      </c>
      <c r="N169" s="70"/>
      <c r="O169" s="70"/>
      <c r="P169" s="70"/>
      <c r="Q169" s="177"/>
    </row>
    <row r="170" spans="1:17" ht="43.5" customHeight="1" x14ac:dyDescent="0.25">
      <c r="A170" s="119" t="s">
        <v>702</v>
      </c>
      <c r="B170" s="713"/>
      <c r="C170" s="715"/>
      <c r="D170" s="717"/>
      <c r="E170" s="715"/>
      <c r="F170" s="718"/>
      <c r="G170" s="718"/>
      <c r="H170" s="824"/>
      <c r="I170" s="344" t="str">
        <f>IF('Mapa final SI'!AC173="","",'Mapa final SI'!AC173)</f>
        <v/>
      </c>
      <c r="J170" s="344" t="str">
        <f>IF('Mapa final SI'!AE173="","",'Mapa final SI'!AE173)</f>
        <v/>
      </c>
      <c r="K170" s="344" t="str">
        <f t="shared" si="2"/>
        <v/>
      </c>
      <c r="L170" s="344" t="str">
        <f>IF('Mapa final SI'!AH173="","",'Mapa final SI'!AH173)</f>
        <v/>
      </c>
      <c r="M170" s="345" t="str">
        <f>IF('Mapa final SI'!T173="","",'Mapa final SI'!T173)</f>
        <v/>
      </c>
      <c r="N170" s="70"/>
      <c r="O170" s="70"/>
      <c r="P170" s="70"/>
      <c r="Q170" s="177"/>
    </row>
    <row r="171" spans="1:17" ht="43.5" customHeight="1" x14ac:dyDescent="0.25">
      <c r="A171" s="119" t="s">
        <v>703</v>
      </c>
      <c r="B171" s="713"/>
      <c r="C171" s="715"/>
      <c r="D171" s="717"/>
      <c r="E171" s="715"/>
      <c r="F171" s="718"/>
      <c r="G171" s="718"/>
      <c r="H171" s="824"/>
      <c r="I171" s="344" t="str">
        <f>IF('Mapa final SI'!AC174="","",'Mapa final SI'!AC174)</f>
        <v/>
      </c>
      <c r="J171" s="344" t="str">
        <f>IF('Mapa final SI'!AE174="","",'Mapa final SI'!AE174)</f>
        <v/>
      </c>
      <c r="K171" s="344" t="str">
        <f t="shared" si="2"/>
        <v/>
      </c>
      <c r="L171" s="344" t="str">
        <f>IF('Mapa final SI'!AH174="","",'Mapa final SI'!AH174)</f>
        <v/>
      </c>
      <c r="M171" s="345" t="str">
        <f>IF('Mapa final SI'!T174="","",'Mapa final SI'!T174)</f>
        <v/>
      </c>
      <c r="N171" s="70"/>
      <c r="O171" s="70"/>
      <c r="P171" s="70"/>
      <c r="Q171" s="177"/>
    </row>
    <row r="172" spans="1:17" ht="43.5" customHeight="1" x14ac:dyDescent="0.25">
      <c r="A172" s="119" t="s">
        <v>704</v>
      </c>
      <c r="B172" s="713"/>
      <c r="C172" s="715"/>
      <c r="D172" s="717"/>
      <c r="E172" s="715"/>
      <c r="F172" s="718"/>
      <c r="G172" s="718"/>
      <c r="H172" s="824"/>
      <c r="I172" s="344" t="str">
        <f>IF('Mapa final SI'!AC175="","",'Mapa final SI'!AC175)</f>
        <v/>
      </c>
      <c r="J172" s="344" t="str">
        <f>IF('Mapa final SI'!AE175="","",'Mapa final SI'!AE175)</f>
        <v/>
      </c>
      <c r="K172" s="344" t="str">
        <f t="shared" si="2"/>
        <v/>
      </c>
      <c r="L172" s="344" t="str">
        <f>IF('Mapa final SI'!AH175="","",'Mapa final SI'!AH175)</f>
        <v/>
      </c>
      <c r="M172" s="345" t="str">
        <f>IF('Mapa final SI'!T175="","",'Mapa final SI'!T175)</f>
        <v/>
      </c>
      <c r="N172" s="70"/>
      <c r="O172" s="70"/>
      <c r="P172" s="70"/>
      <c r="Q172" s="177"/>
    </row>
    <row r="173" spans="1:17" ht="43.5" customHeight="1" x14ac:dyDescent="0.25">
      <c r="A173" s="119" t="s">
        <v>705</v>
      </c>
      <c r="B173" s="713"/>
      <c r="C173" s="715"/>
      <c r="D173" s="717"/>
      <c r="E173" s="715"/>
      <c r="F173" s="718"/>
      <c r="G173" s="718"/>
      <c r="H173" s="824"/>
      <c r="I173" s="344" t="str">
        <f>IF('Mapa final SI'!AC176="","",'Mapa final SI'!AC176)</f>
        <v/>
      </c>
      <c r="J173" s="344" t="str">
        <f>IF('Mapa final SI'!AE176="","",'Mapa final SI'!AE176)</f>
        <v/>
      </c>
      <c r="K173" s="344" t="str">
        <f t="shared" si="2"/>
        <v/>
      </c>
      <c r="L173" s="344" t="str">
        <f>IF('Mapa final SI'!AH176="","",'Mapa final SI'!AH176)</f>
        <v/>
      </c>
      <c r="M173" s="345" t="str">
        <f>IF('Mapa final SI'!T176="","",'Mapa final SI'!T176)</f>
        <v/>
      </c>
      <c r="N173" s="70"/>
      <c r="O173" s="70"/>
      <c r="P173" s="70"/>
      <c r="Q173" s="177"/>
    </row>
    <row r="174" spans="1:17" ht="43.5" customHeight="1" x14ac:dyDescent="0.25">
      <c r="A174" s="119" t="s">
        <v>706</v>
      </c>
      <c r="B174" s="713"/>
      <c r="C174" s="715"/>
      <c r="D174" s="717"/>
      <c r="E174" s="715"/>
      <c r="F174" s="718"/>
      <c r="G174" s="718"/>
      <c r="H174" s="719"/>
      <c r="I174" s="344" t="str">
        <f>IF('Mapa final SI'!AC177="","",'Mapa final SI'!AC177)</f>
        <v/>
      </c>
      <c r="J174" s="344" t="str">
        <f>IF('Mapa final SI'!AE177="","",'Mapa final SI'!AE177)</f>
        <v/>
      </c>
      <c r="K174" s="344" t="str">
        <f t="shared" si="2"/>
        <v/>
      </c>
      <c r="L174" s="344" t="str">
        <f>IF('Mapa final SI'!AH177="","",'Mapa final SI'!AH177)</f>
        <v/>
      </c>
      <c r="M174" s="345" t="str">
        <f>IF('Mapa final SI'!T177="","",'Mapa final SI'!T177)</f>
        <v/>
      </c>
      <c r="N174" s="70"/>
      <c r="O174" s="70"/>
      <c r="P174" s="70"/>
      <c r="Q174" s="177"/>
    </row>
    <row r="175" spans="1:17" ht="43.5" customHeight="1" x14ac:dyDescent="0.25">
      <c r="A175" s="119" t="s">
        <v>707</v>
      </c>
      <c r="B175" s="712"/>
      <c r="C175" s="714" t="str">
        <f>IF('Mapa final SI'!G178="","",'Mapa final SI'!G178)</f>
        <v/>
      </c>
      <c r="D175" s="716"/>
      <c r="E175" s="714" t="str">
        <f>IF('Mapa final SI'!F178="","",'Mapa final SI'!F178)</f>
        <v/>
      </c>
      <c r="F175" s="720" t="str">
        <f>IF('Mapa final SI'!L178="","",'Mapa final SI'!L178)</f>
        <v/>
      </c>
      <c r="G175" s="720" t="str">
        <f>IF('Mapa final SI'!P178="","",'Mapa final SI'!P178)</f>
        <v/>
      </c>
      <c r="H175" s="82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4" t="str">
        <f>IF('Mapa final SI'!AC178="","",'Mapa final SI'!AC178)</f>
        <v/>
      </c>
      <c r="J175" s="344" t="str">
        <f>IF('Mapa final SI'!AE178="","",'Mapa final SI'!AE178)</f>
        <v/>
      </c>
      <c r="K175" s="344" t="str">
        <f t="shared" si="2"/>
        <v/>
      </c>
      <c r="L175" s="344" t="str">
        <f>IF('Mapa final SI'!AH178="","",'Mapa final SI'!AH178)</f>
        <v/>
      </c>
      <c r="M175" s="345" t="str">
        <f>IF('Mapa final SI'!T178="","",'Mapa final SI'!T178)</f>
        <v/>
      </c>
      <c r="N175" s="70"/>
      <c r="O175" s="70"/>
      <c r="P175" s="70"/>
      <c r="Q175" s="177"/>
    </row>
    <row r="176" spans="1:17" ht="43.5" customHeight="1" x14ac:dyDescent="0.25">
      <c r="A176" s="119" t="s">
        <v>708</v>
      </c>
      <c r="B176" s="713"/>
      <c r="C176" s="715"/>
      <c r="D176" s="717"/>
      <c r="E176" s="715"/>
      <c r="F176" s="718"/>
      <c r="G176" s="718"/>
      <c r="H176" s="824"/>
      <c r="I176" s="344" t="str">
        <f>IF('Mapa final SI'!AC179="","",'Mapa final SI'!AC179)</f>
        <v/>
      </c>
      <c r="J176" s="344" t="str">
        <f>IF('Mapa final SI'!AE179="","",'Mapa final SI'!AE179)</f>
        <v/>
      </c>
      <c r="K176" s="344" t="str">
        <f t="shared" si="2"/>
        <v/>
      </c>
      <c r="L176" s="344" t="str">
        <f>IF('Mapa final SI'!AH179="","",'Mapa final SI'!AH179)</f>
        <v/>
      </c>
      <c r="M176" s="345" t="str">
        <f>IF('Mapa final SI'!T179="","",'Mapa final SI'!T179)</f>
        <v/>
      </c>
      <c r="N176" s="70"/>
      <c r="O176" s="70"/>
      <c r="P176" s="70"/>
      <c r="Q176" s="177"/>
    </row>
    <row r="177" spans="1:17" ht="43.5" customHeight="1" x14ac:dyDescent="0.25">
      <c r="A177" s="119" t="s">
        <v>709</v>
      </c>
      <c r="B177" s="713"/>
      <c r="C177" s="715"/>
      <c r="D177" s="717"/>
      <c r="E177" s="715"/>
      <c r="F177" s="718"/>
      <c r="G177" s="718"/>
      <c r="H177" s="824"/>
      <c r="I177" s="344" t="str">
        <f>IF('Mapa final SI'!AC180="","",'Mapa final SI'!AC180)</f>
        <v/>
      </c>
      <c r="J177" s="344" t="str">
        <f>IF('Mapa final SI'!AE180="","",'Mapa final SI'!AE180)</f>
        <v/>
      </c>
      <c r="K177" s="344" t="str">
        <f t="shared" si="2"/>
        <v/>
      </c>
      <c r="L177" s="344" t="str">
        <f>IF('Mapa final SI'!AH180="","",'Mapa final SI'!AH180)</f>
        <v/>
      </c>
      <c r="M177" s="345" t="str">
        <f>IF('Mapa final SI'!T180="","",'Mapa final SI'!T180)</f>
        <v/>
      </c>
      <c r="N177" s="70"/>
      <c r="O177" s="70"/>
      <c r="P177" s="70"/>
      <c r="Q177" s="177"/>
    </row>
    <row r="178" spans="1:17" ht="43.5" customHeight="1" x14ac:dyDescent="0.25">
      <c r="A178" s="119" t="s">
        <v>710</v>
      </c>
      <c r="B178" s="713"/>
      <c r="C178" s="715"/>
      <c r="D178" s="717"/>
      <c r="E178" s="715"/>
      <c r="F178" s="718"/>
      <c r="G178" s="718"/>
      <c r="H178" s="824"/>
      <c r="I178" s="344" t="str">
        <f>IF('Mapa final SI'!AC181="","",'Mapa final SI'!AC181)</f>
        <v/>
      </c>
      <c r="J178" s="344" t="str">
        <f>IF('Mapa final SI'!AE181="","",'Mapa final SI'!AE181)</f>
        <v/>
      </c>
      <c r="K178" s="344" t="str">
        <f t="shared" si="2"/>
        <v/>
      </c>
      <c r="L178" s="344" t="str">
        <f>IF('Mapa final SI'!AH181="","",'Mapa final SI'!AH181)</f>
        <v/>
      </c>
      <c r="M178" s="345" t="str">
        <f>IF('Mapa final SI'!T181="","",'Mapa final SI'!T181)</f>
        <v/>
      </c>
      <c r="N178" s="70"/>
      <c r="O178" s="70"/>
      <c r="P178" s="70"/>
      <c r="Q178" s="177"/>
    </row>
    <row r="179" spans="1:17" ht="43.5" customHeight="1" x14ac:dyDescent="0.25">
      <c r="A179" s="119" t="s">
        <v>711</v>
      </c>
      <c r="B179" s="713"/>
      <c r="C179" s="715"/>
      <c r="D179" s="717"/>
      <c r="E179" s="715"/>
      <c r="F179" s="718"/>
      <c r="G179" s="718"/>
      <c r="H179" s="824"/>
      <c r="I179" s="344" t="str">
        <f>IF('Mapa final SI'!AC182="","",'Mapa final SI'!AC182)</f>
        <v/>
      </c>
      <c r="J179" s="344" t="str">
        <f>IF('Mapa final SI'!AE182="","",'Mapa final SI'!AE182)</f>
        <v/>
      </c>
      <c r="K179" s="344" t="str">
        <f t="shared" si="2"/>
        <v/>
      </c>
      <c r="L179" s="344" t="str">
        <f>IF('Mapa final SI'!AH182="","",'Mapa final SI'!AH182)</f>
        <v/>
      </c>
      <c r="M179" s="345" t="str">
        <f>IF('Mapa final SI'!T182="","",'Mapa final SI'!T182)</f>
        <v/>
      </c>
      <c r="N179" s="70"/>
      <c r="O179" s="70"/>
      <c r="P179" s="70"/>
      <c r="Q179" s="177"/>
    </row>
    <row r="180" spans="1:17" ht="43.5" customHeight="1" x14ac:dyDescent="0.25">
      <c r="A180" s="119" t="s">
        <v>712</v>
      </c>
      <c r="B180" s="713"/>
      <c r="C180" s="715"/>
      <c r="D180" s="717"/>
      <c r="E180" s="715"/>
      <c r="F180" s="718"/>
      <c r="G180" s="718"/>
      <c r="H180" s="719"/>
      <c r="I180" s="344" t="str">
        <f>IF('Mapa final SI'!AC183="","",'Mapa final SI'!AC183)</f>
        <v/>
      </c>
      <c r="J180" s="344" t="str">
        <f>IF('Mapa final SI'!AE183="","",'Mapa final SI'!AE183)</f>
        <v/>
      </c>
      <c r="K180" s="344" t="str">
        <f t="shared" si="2"/>
        <v/>
      </c>
      <c r="L180" s="344" t="str">
        <f>IF('Mapa final SI'!AH183="","",'Mapa final SI'!AH183)</f>
        <v/>
      </c>
      <c r="M180" s="345" t="str">
        <f>IF('Mapa final SI'!T183="","",'Mapa final SI'!T183)</f>
        <v/>
      </c>
      <c r="N180" s="70"/>
      <c r="O180" s="70"/>
      <c r="P180" s="70"/>
      <c r="Q180" s="177"/>
    </row>
    <row r="181" spans="1:17" ht="43.5" customHeight="1" x14ac:dyDescent="0.25">
      <c r="A181" s="119" t="s">
        <v>713</v>
      </c>
      <c r="B181" s="712"/>
      <c r="C181" s="714" t="str">
        <f>IF('Mapa final SI'!G184="","",'Mapa final SI'!G184)</f>
        <v/>
      </c>
      <c r="D181" s="716"/>
      <c r="E181" s="714" t="str">
        <f>IF('Mapa final SI'!F184="","",'Mapa final SI'!F184)</f>
        <v/>
      </c>
      <c r="F181" s="720" t="str">
        <f>IF('Mapa final SI'!L184="","",'Mapa final SI'!L184)</f>
        <v/>
      </c>
      <c r="G181" s="720" t="str">
        <f>IF('Mapa final SI'!P184="","",'Mapa final SI'!P184)</f>
        <v/>
      </c>
      <c r="H181" s="82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4" t="str">
        <f>IF('Mapa final SI'!AC184="","",'Mapa final SI'!AC184)</f>
        <v/>
      </c>
      <c r="J181" s="344" t="str">
        <f>IF('Mapa final SI'!AE184="","",'Mapa final SI'!AE184)</f>
        <v/>
      </c>
      <c r="K181" s="344" t="str">
        <f t="shared" si="2"/>
        <v/>
      </c>
      <c r="L181" s="344" t="str">
        <f>IF('Mapa final SI'!AH184="","",'Mapa final SI'!AH184)</f>
        <v/>
      </c>
      <c r="M181" s="345" t="str">
        <f>IF('Mapa final SI'!T184="","",'Mapa final SI'!T184)</f>
        <v/>
      </c>
      <c r="N181" s="70"/>
      <c r="O181" s="70"/>
      <c r="P181" s="70"/>
      <c r="Q181" s="177"/>
    </row>
    <row r="182" spans="1:17" ht="43.5" customHeight="1" x14ac:dyDescent="0.25">
      <c r="A182" s="119" t="s">
        <v>714</v>
      </c>
      <c r="B182" s="713"/>
      <c r="C182" s="715"/>
      <c r="D182" s="717"/>
      <c r="E182" s="715"/>
      <c r="F182" s="718"/>
      <c r="G182" s="718"/>
      <c r="H182" s="824"/>
      <c r="I182" s="344" t="str">
        <f>IF('Mapa final SI'!AC185="","",'Mapa final SI'!AC185)</f>
        <v/>
      </c>
      <c r="J182" s="344" t="str">
        <f>IF('Mapa final SI'!AE185="","",'Mapa final SI'!AE185)</f>
        <v/>
      </c>
      <c r="K182" s="344" t="str">
        <f t="shared" si="2"/>
        <v/>
      </c>
      <c r="L182" s="344" t="str">
        <f>IF('Mapa final SI'!AH185="","",'Mapa final SI'!AH185)</f>
        <v/>
      </c>
      <c r="M182" s="345" t="str">
        <f>IF('Mapa final SI'!T185="","",'Mapa final SI'!T185)</f>
        <v/>
      </c>
      <c r="N182" s="70"/>
      <c r="O182" s="70"/>
      <c r="P182" s="70"/>
      <c r="Q182" s="177"/>
    </row>
    <row r="183" spans="1:17" ht="43.5" customHeight="1" x14ac:dyDescent="0.25">
      <c r="A183" s="119" t="s">
        <v>715</v>
      </c>
      <c r="B183" s="713"/>
      <c r="C183" s="715"/>
      <c r="D183" s="717"/>
      <c r="E183" s="715"/>
      <c r="F183" s="718"/>
      <c r="G183" s="718"/>
      <c r="H183" s="824"/>
      <c r="I183" s="344" t="str">
        <f>IF('Mapa final SI'!AC186="","",'Mapa final SI'!AC186)</f>
        <v/>
      </c>
      <c r="J183" s="344" t="str">
        <f>IF('Mapa final SI'!AE186="","",'Mapa final SI'!AE186)</f>
        <v/>
      </c>
      <c r="K183" s="344" t="str">
        <f t="shared" si="2"/>
        <v/>
      </c>
      <c r="L183" s="344" t="str">
        <f>IF('Mapa final SI'!AH186="","",'Mapa final SI'!AH186)</f>
        <v/>
      </c>
      <c r="M183" s="345" t="str">
        <f>IF('Mapa final SI'!T186="","",'Mapa final SI'!T186)</f>
        <v/>
      </c>
      <c r="N183" s="70"/>
      <c r="O183" s="70"/>
      <c r="P183" s="70"/>
      <c r="Q183" s="177"/>
    </row>
    <row r="184" spans="1:17" ht="43.5" customHeight="1" x14ac:dyDescent="0.25">
      <c r="A184" s="119" t="s">
        <v>716</v>
      </c>
      <c r="B184" s="713"/>
      <c r="C184" s="715"/>
      <c r="D184" s="717"/>
      <c r="E184" s="715"/>
      <c r="F184" s="718"/>
      <c r="G184" s="718"/>
      <c r="H184" s="824"/>
      <c r="I184" s="344" t="str">
        <f>IF('Mapa final SI'!AC187="","",'Mapa final SI'!AC187)</f>
        <v/>
      </c>
      <c r="J184" s="344" t="str">
        <f>IF('Mapa final SI'!AE187="","",'Mapa final SI'!AE187)</f>
        <v/>
      </c>
      <c r="K184" s="344" t="str">
        <f t="shared" si="2"/>
        <v/>
      </c>
      <c r="L184" s="344" t="str">
        <f>IF('Mapa final SI'!AH187="","",'Mapa final SI'!AH187)</f>
        <v/>
      </c>
      <c r="M184" s="345" t="str">
        <f>IF('Mapa final SI'!T187="","",'Mapa final SI'!T187)</f>
        <v/>
      </c>
      <c r="N184" s="70"/>
      <c r="O184" s="70"/>
      <c r="P184" s="70"/>
      <c r="Q184" s="177"/>
    </row>
    <row r="185" spans="1:17" ht="43.5" customHeight="1" x14ac:dyDescent="0.25">
      <c r="A185" s="119" t="s">
        <v>717</v>
      </c>
      <c r="B185" s="713"/>
      <c r="C185" s="715"/>
      <c r="D185" s="717"/>
      <c r="E185" s="715"/>
      <c r="F185" s="718"/>
      <c r="G185" s="718"/>
      <c r="H185" s="824"/>
      <c r="I185" s="344" t="str">
        <f>IF('Mapa final SI'!AC188="","",'Mapa final SI'!AC188)</f>
        <v/>
      </c>
      <c r="J185" s="344" t="str">
        <f>IF('Mapa final SI'!AE188="","",'Mapa final SI'!AE188)</f>
        <v/>
      </c>
      <c r="K185" s="344" t="str">
        <f t="shared" si="2"/>
        <v/>
      </c>
      <c r="L185" s="344" t="str">
        <f>IF('Mapa final SI'!AH188="","",'Mapa final SI'!AH188)</f>
        <v/>
      </c>
      <c r="M185" s="345" t="str">
        <f>IF('Mapa final SI'!T188="","",'Mapa final SI'!T188)</f>
        <v/>
      </c>
      <c r="N185" s="70"/>
      <c r="O185" s="70"/>
      <c r="P185" s="70"/>
      <c r="Q185" s="177"/>
    </row>
    <row r="186" spans="1:17" ht="43.5" customHeight="1" x14ac:dyDescent="0.25">
      <c r="A186" s="119" t="s">
        <v>718</v>
      </c>
      <c r="B186" s="713"/>
      <c r="C186" s="715"/>
      <c r="D186" s="717"/>
      <c r="E186" s="715"/>
      <c r="F186" s="718"/>
      <c r="G186" s="718"/>
      <c r="H186" s="719"/>
      <c r="I186" s="344" t="str">
        <f>IF('Mapa final SI'!AC189="","",'Mapa final SI'!AC189)</f>
        <v/>
      </c>
      <c r="J186" s="344" t="str">
        <f>IF('Mapa final SI'!AE189="","",'Mapa final SI'!AE189)</f>
        <v/>
      </c>
      <c r="K186" s="344" t="str">
        <f t="shared" si="2"/>
        <v/>
      </c>
      <c r="L186" s="344" t="str">
        <f>IF('Mapa final SI'!AH189="","",'Mapa final SI'!AH189)</f>
        <v/>
      </c>
      <c r="M186" s="345" t="str">
        <f>IF('Mapa final SI'!T189="","",'Mapa final SI'!T189)</f>
        <v/>
      </c>
      <c r="N186" s="70"/>
      <c r="O186" s="70"/>
      <c r="P186" s="70"/>
      <c r="Q186" s="177"/>
    </row>
    <row r="187" spans="1:17" ht="43.5" customHeight="1" x14ac:dyDescent="0.25">
      <c r="A187" s="119" t="s">
        <v>719</v>
      </c>
      <c r="B187" s="712"/>
      <c r="C187" s="714" t="str">
        <f>IF('Mapa final SI'!G190="","",'Mapa final SI'!G190)</f>
        <v/>
      </c>
      <c r="D187" s="716"/>
      <c r="E187" s="714" t="str">
        <f>IF('Mapa final SI'!F190="","",'Mapa final SI'!F190)</f>
        <v/>
      </c>
      <c r="F187" s="720" t="str">
        <f>IF('Mapa final SI'!L190="","",'Mapa final SI'!L190)</f>
        <v/>
      </c>
      <c r="G187" s="720" t="str">
        <f>IF('Mapa final SI'!P190="","",'Mapa final SI'!P190)</f>
        <v/>
      </c>
      <c r="H187" s="82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4" t="str">
        <f>IF('Mapa final SI'!AC190="","",'Mapa final SI'!AC190)</f>
        <v/>
      </c>
      <c r="J187" s="344" t="str">
        <f>IF('Mapa final SI'!AE190="","",'Mapa final SI'!AE190)</f>
        <v/>
      </c>
      <c r="K187" s="344" t="str">
        <f t="shared" si="2"/>
        <v/>
      </c>
      <c r="L187" s="344" t="str">
        <f>IF('Mapa final SI'!AH190="","",'Mapa final SI'!AH190)</f>
        <v/>
      </c>
      <c r="M187" s="345" t="str">
        <f>IF('Mapa final SI'!T190="","",'Mapa final SI'!T190)</f>
        <v/>
      </c>
      <c r="N187" s="70"/>
      <c r="O187" s="70"/>
      <c r="P187" s="70"/>
      <c r="Q187" s="177"/>
    </row>
    <row r="188" spans="1:17" ht="43.5" customHeight="1" x14ac:dyDescent="0.25">
      <c r="A188" s="119" t="s">
        <v>720</v>
      </c>
      <c r="B188" s="713"/>
      <c r="C188" s="715"/>
      <c r="D188" s="717"/>
      <c r="E188" s="715"/>
      <c r="F188" s="718"/>
      <c r="G188" s="718"/>
      <c r="H188" s="824"/>
      <c r="I188" s="344" t="str">
        <f>IF('Mapa final SI'!AC191="","",'Mapa final SI'!AC191)</f>
        <v/>
      </c>
      <c r="J188" s="344" t="str">
        <f>IF('Mapa final SI'!AE191="","",'Mapa final SI'!AE191)</f>
        <v/>
      </c>
      <c r="K188" s="344" t="str">
        <f t="shared" si="2"/>
        <v/>
      </c>
      <c r="L188" s="344" t="str">
        <f>IF('Mapa final SI'!AH191="","",'Mapa final SI'!AH191)</f>
        <v/>
      </c>
      <c r="M188" s="345" t="str">
        <f>IF('Mapa final SI'!T191="","",'Mapa final SI'!T191)</f>
        <v/>
      </c>
      <c r="N188" s="70"/>
      <c r="O188" s="70"/>
      <c r="P188" s="70"/>
      <c r="Q188" s="177"/>
    </row>
    <row r="189" spans="1:17" ht="43.5" customHeight="1" x14ac:dyDescent="0.25">
      <c r="A189" s="119" t="s">
        <v>721</v>
      </c>
      <c r="B189" s="713"/>
      <c r="C189" s="715"/>
      <c r="D189" s="717"/>
      <c r="E189" s="715"/>
      <c r="F189" s="718"/>
      <c r="G189" s="718"/>
      <c r="H189" s="824"/>
      <c r="I189" s="344" t="str">
        <f>IF('Mapa final SI'!AC192="","",'Mapa final SI'!AC192)</f>
        <v/>
      </c>
      <c r="J189" s="344" t="str">
        <f>IF('Mapa final SI'!AE192="","",'Mapa final SI'!AE192)</f>
        <v/>
      </c>
      <c r="K189" s="344" t="str">
        <f t="shared" si="2"/>
        <v/>
      </c>
      <c r="L189" s="344" t="str">
        <f>IF('Mapa final SI'!AH192="","",'Mapa final SI'!AH192)</f>
        <v/>
      </c>
      <c r="M189" s="345" t="str">
        <f>IF('Mapa final SI'!T192="","",'Mapa final SI'!T192)</f>
        <v/>
      </c>
      <c r="N189" s="70"/>
      <c r="O189" s="70"/>
      <c r="P189" s="70"/>
      <c r="Q189" s="177"/>
    </row>
    <row r="190" spans="1:17" ht="43.5" customHeight="1" x14ac:dyDescent="0.25">
      <c r="A190" s="119" t="s">
        <v>722</v>
      </c>
      <c r="B190" s="713"/>
      <c r="C190" s="715"/>
      <c r="D190" s="717"/>
      <c r="E190" s="715"/>
      <c r="F190" s="718"/>
      <c r="G190" s="718"/>
      <c r="H190" s="824"/>
      <c r="I190" s="344" t="str">
        <f>IF('Mapa final SI'!AC193="","",'Mapa final SI'!AC193)</f>
        <v/>
      </c>
      <c r="J190" s="344" t="str">
        <f>IF('Mapa final SI'!AE193="","",'Mapa final SI'!AE193)</f>
        <v/>
      </c>
      <c r="K190" s="344" t="str">
        <f t="shared" si="2"/>
        <v/>
      </c>
      <c r="L190" s="344" t="str">
        <f>IF('Mapa final SI'!AH193="","",'Mapa final SI'!AH193)</f>
        <v/>
      </c>
      <c r="M190" s="345" t="str">
        <f>IF('Mapa final SI'!T193="","",'Mapa final SI'!T193)</f>
        <v/>
      </c>
      <c r="N190" s="70"/>
      <c r="O190" s="70"/>
      <c r="P190" s="70"/>
      <c r="Q190" s="177"/>
    </row>
    <row r="191" spans="1:17" ht="43.5" customHeight="1" x14ac:dyDescent="0.25">
      <c r="A191" s="119" t="s">
        <v>723</v>
      </c>
      <c r="B191" s="713"/>
      <c r="C191" s="715"/>
      <c r="D191" s="717"/>
      <c r="E191" s="715"/>
      <c r="F191" s="718"/>
      <c r="G191" s="718"/>
      <c r="H191" s="824"/>
      <c r="I191" s="344" t="str">
        <f>IF('Mapa final SI'!AC194="","",'Mapa final SI'!AC194)</f>
        <v/>
      </c>
      <c r="J191" s="344" t="str">
        <f>IF('Mapa final SI'!AE194="","",'Mapa final SI'!AE194)</f>
        <v/>
      </c>
      <c r="K191" s="344" t="str">
        <f t="shared" si="2"/>
        <v/>
      </c>
      <c r="L191" s="344" t="str">
        <f>IF('Mapa final SI'!AH194="","",'Mapa final SI'!AH194)</f>
        <v/>
      </c>
      <c r="M191" s="345" t="str">
        <f>IF('Mapa final SI'!T194="","",'Mapa final SI'!T194)</f>
        <v/>
      </c>
      <c r="N191" s="70"/>
      <c r="O191" s="70"/>
      <c r="P191" s="70"/>
      <c r="Q191" s="177"/>
    </row>
    <row r="192" spans="1:17" ht="43.5" customHeight="1" x14ac:dyDescent="0.25">
      <c r="A192" s="119" t="s">
        <v>724</v>
      </c>
      <c r="B192" s="713"/>
      <c r="C192" s="715"/>
      <c r="D192" s="717"/>
      <c r="E192" s="715"/>
      <c r="F192" s="718"/>
      <c r="G192" s="718"/>
      <c r="H192" s="719"/>
      <c r="I192" s="344" t="str">
        <f>IF('Mapa final SI'!AC195="","",'Mapa final SI'!AC195)</f>
        <v/>
      </c>
      <c r="J192" s="344" t="str">
        <f>IF('Mapa final SI'!AE195="","",'Mapa final SI'!AE195)</f>
        <v/>
      </c>
      <c r="K192" s="344" t="str">
        <f t="shared" si="2"/>
        <v/>
      </c>
      <c r="L192" s="344" t="str">
        <f>IF('Mapa final SI'!AH195="","",'Mapa final SI'!AH195)</f>
        <v/>
      </c>
      <c r="M192" s="345" t="str">
        <f>IF('Mapa final SI'!T195="","",'Mapa final SI'!T195)</f>
        <v/>
      </c>
      <c r="N192" s="70"/>
      <c r="O192" s="70"/>
      <c r="P192" s="70"/>
      <c r="Q192" s="177"/>
    </row>
    <row r="193" spans="1:17" ht="43.5" customHeight="1" x14ac:dyDescent="0.25">
      <c r="A193" s="119" t="s">
        <v>725</v>
      </c>
      <c r="B193" s="712"/>
      <c r="C193" s="714" t="str">
        <f>IF('Mapa final SI'!G196="","",'Mapa final SI'!G196)</f>
        <v/>
      </c>
      <c r="D193" s="716"/>
      <c r="E193" s="714" t="str">
        <f>IF('Mapa final SI'!F196="","",'Mapa final SI'!F196)</f>
        <v/>
      </c>
      <c r="F193" s="720" t="str">
        <f>IF('Mapa final SI'!L196="","",'Mapa final SI'!L196)</f>
        <v/>
      </c>
      <c r="G193" s="720" t="str">
        <f>IF('Mapa final SI'!P196="","",'Mapa final SI'!P196)</f>
        <v/>
      </c>
      <c r="H193" s="82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4" t="str">
        <f>IF('Mapa final SI'!AC196="","",'Mapa final SI'!AC196)</f>
        <v/>
      </c>
      <c r="J193" s="344" t="str">
        <f>IF('Mapa final SI'!AE196="","",'Mapa final SI'!AE196)</f>
        <v/>
      </c>
      <c r="K193" s="344" t="str">
        <f t="shared" si="2"/>
        <v/>
      </c>
      <c r="L193" s="344" t="str">
        <f>IF('Mapa final SI'!AH196="","",'Mapa final SI'!AH196)</f>
        <v/>
      </c>
      <c r="M193" s="345" t="str">
        <f>IF('Mapa final SI'!T196="","",'Mapa final SI'!T196)</f>
        <v/>
      </c>
      <c r="N193" s="70"/>
      <c r="O193" s="70"/>
      <c r="P193" s="70"/>
      <c r="Q193" s="177"/>
    </row>
    <row r="194" spans="1:17" ht="43.5" customHeight="1" x14ac:dyDescent="0.25">
      <c r="A194" s="119" t="s">
        <v>726</v>
      </c>
      <c r="B194" s="713"/>
      <c r="C194" s="715"/>
      <c r="D194" s="717"/>
      <c r="E194" s="715"/>
      <c r="F194" s="718"/>
      <c r="G194" s="718"/>
      <c r="H194" s="824"/>
      <c r="I194" s="344" t="str">
        <f>IF('Mapa final SI'!AC197="","",'Mapa final SI'!AC197)</f>
        <v/>
      </c>
      <c r="J194" s="344" t="str">
        <f>IF('Mapa final SI'!AE197="","",'Mapa final SI'!AE197)</f>
        <v/>
      </c>
      <c r="K194" s="344" t="str">
        <f t="shared" si="2"/>
        <v/>
      </c>
      <c r="L194" s="344" t="str">
        <f>IF('Mapa final SI'!AH197="","",'Mapa final SI'!AH197)</f>
        <v/>
      </c>
      <c r="M194" s="345" t="str">
        <f>IF('Mapa final SI'!T197="","",'Mapa final SI'!T197)</f>
        <v/>
      </c>
      <c r="N194" s="70"/>
      <c r="O194" s="70"/>
      <c r="P194" s="70"/>
      <c r="Q194" s="177"/>
    </row>
    <row r="195" spans="1:17" ht="43.5" customHeight="1" x14ac:dyDescent="0.25">
      <c r="A195" s="119" t="s">
        <v>727</v>
      </c>
      <c r="B195" s="713"/>
      <c r="C195" s="715"/>
      <c r="D195" s="717"/>
      <c r="E195" s="715"/>
      <c r="F195" s="718"/>
      <c r="G195" s="718"/>
      <c r="H195" s="824"/>
      <c r="I195" s="344" t="str">
        <f>IF('Mapa final SI'!AC198="","",'Mapa final SI'!AC198)</f>
        <v/>
      </c>
      <c r="J195" s="344" t="str">
        <f>IF('Mapa final SI'!AE198="","",'Mapa final SI'!AE198)</f>
        <v/>
      </c>
      <c r="K195" s="344" t="str">
        <f t="shared" si="2"/>
        <v/>
      </c>
      <c r="L195" s="344" t="str">
        <f>IF('Mapa final SI'!AH198="","",'Mapa final SI'!AH198)</f>
        <v/>
      </c>
      <c r="M195" s="345" t="str">
        <f>IF('Mapa final SI'!T198="","",'Mapa final SI'!T198)</f>
        <v/>
      </c>
      <c r="N195" s="70"/>
      <c r="O195" s="70"/>
      <c r="P195" s="70"/>
      <c r="Q195" s="177"/>
    </row>
    <row r="196" spans="1:17" ht="43.5" customHeight="1" x14ac:dyDescent="0.25">
      <c r="A196" s="119" t="s">
        <v>728</v>
      </c>
      <c r="B196" s="713"/>
      <c r="C196" s="715"/>
      <c r="D196" s="717"/>
      <c r="E196" s="715"/>
      <c r="F196" s="718"/>
      <c r="G196" s="718"/>
      <c r="H196" s="824"/>
      <c r="I196" s="344" t="str">
        <f>IF('Mapa final SI'!AC199="","",'Mapa final SI'!AC199)</f>
        <v/>
      </c>
      <c r="J196" s="344" t="str">
        <f>IF('Mapa final SI'!AE199="","",'Mapa final SI'!AE199)</f>
        <v/>
      </c>
      <c r="K196" s="344" t="str">
        <f t="shared" si="2"/>
        <v/>
      </c>
      <c r="L196" s="344" t="str">
        <f>IF('Mapa final SI'!AH199="","",'Mapa final SI'!AH199)</f>
        <v/>
      </c>
      <c r="M196" s="345" t="str">
        <f>IF('Mapa final SI'!T199="","",'Mapa final SI'!T199)</f>
        <v/>
      </c>
      <c r="N196" s="70"/>
      <c r="O196" s="70"/>
      <c r="P196" s="70"/>
      <c r="Q196" s="177"/>
    </row>
    <row r="197" spans="1:17" ht="43.5" customHeight="1" x14ac:dyDescent="0.25">
      <c r="A197" s="119" t="s">
        <v>729</v>
      </c>
      <c r="B197" s="713"/>
      <c r="C197" s="715"/>
      <c r="D197" s="717"/>
      <c r="E197" s="715"/>
      <c r="F197" s="718"/>
      <c r="G197" s="718"/>
      <c r="H197" s="824"/>
      <c r="I197" s="344" t="str">
        <f>IF('Mapa final SI'!AC200="","",'Mapa final SI'!AC200)</f>
        <v/>
      </c>
      <c r="J197" s="344" t="str">
        <f>IF('Mapa final SI'!AE200="","",'Mapa final SI'!AE200)</f>
        <v/>
      </c>
      <c r="K197" s="344" t="str">
        <f t="shared" si="2"/>
        <v/>
      </c>
      <c r="L197" s="344" t="str">
        <f>IF('Mapa final SI'!AH200="","",'Mapa final SI'!AH200)</f>
        <v/>
      </c>
      <c r="M197" s="345" t="str">
        <f>IF('Mapa final SI'!T200="","",'Mapa final SI'!T200)</f>
        <v/>
      </c>
      <c r="N197" s="70"/>
      <c r="O197" s="70"/>
      <c r="P197" s="70"/>
      <c r="Q197" s="177"/>
    </row>
    <row r="198" spans="1:17" ht="43.5" customHeight="1" x14ac:dyDescent="0.25">
      <c r="A198" s="119" t="s">
        <v>730</v>
      </c>
      <c r="B198" s="713"/>
      <c r="C198" s="715"/>
      <c r="D198" s="717"/>
      <c r="E198" s="715"/>
      <c r="F198" s="718"/>
      <c r="G198" s="718"/>
      <c r="H198" s="719"/>
      <c r="I198" s="344" t="str">
        <f>IF('Mapa final SI'!AC201="","",'Mapa final SI'!AC201)</f>
        <v/>
      </c>
      <c r="J198" s="344" t="str">
        <f>IF('Mapa final SI'!AE201="","",'Mapa final SI'!AE201)</f>
        <v/>
      </c>
      <c r="K198" s="344" t="str">
        <f t="shared" si="2"/>
        <v/>
      </c>
      <c r="L198" s="344" t="str">
        <f>IF('Mapa final SI'!AH201="","",'Mapa final SI'!AH201)</f>
        <v/>
      </c>
      <c r="M198" s="345" t="str">
        <f>IF('Mapa final SI'!T201="","",'Mapa final SI'!T201)</f>
        <v/>
      </c>
      <c r="N198" s="70"/>
      <c r="O198" s="70"/>
      <c r="P198" s="70"/>
      <c r="Q198" s="177"/>
    </row>
    <row r="199" spans="1:17" ht="43.5" customHeight="1" x14ac:dyDescent="0.25">
      <c r="A199" s="119" t="s">
        <v>731</v>
      </c>
      <c r="B199" s="712"/>
      <c r="C199" s="714" t="str">
        <f>IF('Mapa final SI'!G202="","",'Mapa final SI'!G202)</f>
        <v/>
      </c>
      <c r="D199" s="716"/>
      <c r="E199" s="714" t="str">
        <f>IF('Mapa final SI'!F202="","",'Mapa final SI'!F202)</f>
        <v/>
      </c>
      <c r="F199" s="720" t="str">
        <f>IF('Mapa final SI'!L202="","",'Mapa final SI'!L202)</f>
        <v/>
      </c>
      <c r="G199" s="720" t="str">
        <f>IF('Mapa final SI'!P202="","",'Mapa final SI'!P202)</f>
        <v/>
      </c>
      <c r="H199" s="82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4" t="str">
        <f>IF('Mapa final SI'!AC202="","",'Mapa final SI'!AC202)</f>
        <v/>
      </c>
      <c r="J199" s="344" t="str">
        <f>IF('Mapa final SI'!AE202="","",'Mapa final SI'!AE202)</f>
        <v/>
      </c>
      <c r="K199" s="344" t="str">
        <f t="shared" si="2"/>
        <v/>
      </c>
      <c r="L199" s="344" t="str">
        <f>IF('Mapa final SI'!AH202="","",'Mapa final SI'!AH202)</f>
        <v/>
      </c>
      <c r="M199" s="345" t="str">
        <f>IF('Mapa final SI'!T202="","",'Mapa final SI'!T202)</f>
        <v/>
      </c>
      <c r="N199" s="70"/>
      <c r="O199" s="70"/>
      <c r="P199" s="70"/>
      <c r="Q199" s="177"/>
    </row>
    <row r="200" spans="1:17" ht="43.5" customHeight="1" x14ac:dyDescent="0.25">
      <c r="A200" s="119" t="s">
        <v>732</v>
      </c>
      <c r="B200" s="713"/>
      <c r="C200" s="715"/>
      <c r="D200" s="717"/>
      <c r="E200" s="715"/>
      <c r="F200" s="718"/>
      <c r="G200" s="718"/>
      <c r="H200" s="824"/>
      <c r="I200" s="344" t="str">
        <f>IF('Mapa final SI'!AC203="","",'Mapa final SI'!AC203)</f>
        <v/>
      </c>
      <c r="J200" s="344" t="str">
        <f>IF('Mapa final SI'!AE203="","",'Mapa final SI'!AE203)</f>
        <v/>
      </c>
      <c r="K200" s="34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4" t="str">
        <f>IF('Mapa final SI'!AH203="","",'Mapa final SI'!AH203)</f>
        <v/>
      </c>
      <c r="M200" s="345" t="str">
        <f>IF('Mapa final SI'!T203="","",'Mapa final SI'!T203)</f>
        <v/>
      </c>
      <c r="N200" s="70"/>
      <c r="O200" s="70"/>
      <c r="P200" s="70"/>
      <c r="Q200" s="177"/>
    </row>
    <row r="201" spans="1:17" ht="43.5" customHeight="1" x14ac:dyDescent="0.25">
      <c r="A201" s="119" t="s">
        <v>733</v>
      </c>
      <c r="B201" s="713"/>
      <c r="C201" s="715"/>
      <c r="D201" s="717"/>
      <c r="E201" s="715"/>
      <c r="F201" s="718"/>
      <c r="G201" s="718"/>
      <c r="H201" s="824"/>
      <c r="I201" s="344" t="str">
        <f>IF('Mapa final SI'!AC204="","",'Mapa final SI'!AC204)</f>
        <v/>
      </c>
      <c r="J201" s="344" t="str">
        <f>IF('Mapa final SI'!AE204="","",'Mapa final SI'!AE204)</f>
        <v/>
      </c>
      <c r="K201" s="344" t="str">
        <f t="shared" si="3"/>
        <v/>
      </c>
      <c r="L201" s="344" t="str">
        <f>IF('Mapa final SI'!AH204="","",'Mapa final SI'!AH204)</f>
        <v/>
      </c>
      <c r="M201" s="345" t="str">
        <f>IF('Mapa final SI'!T204="","",'Mapa final SI'!T204)</f>
        <v/>
      </c>
      <c r="N201" s="70"/>
      <c r="O201" s="70"/>
      <c r="P201" s="70"/>
      <c r="Q201" s="177"/>
    </row>
    <row r="202" spans="1:17" ht="43.5" customHeight="1" x14ac:dyDescent="0.25">
      <c r="A202" s="119" t="s">
        <v>734</v>
      </c>
      <c r="B202" s="713"/>
      <c r="C202" s="715"/>
      <c r="D202" s="717"/>
      <c r="E202" s="715"/>
      <c r="F202" s="718"/>
      <c r="G202" s="718"/>
      <c r="H202" s="824"/>
      <c r="I202" s="344" t="str">
        <f>IF('Mapa final SI'!AC205="","",'Mapa final SI'!AC205)</f>
        <v/>
      </c>
      <c r="J202" s="344" t="str">
        <f>IF('Mapa final SI'!AE205="","",'Mapa final SI'!AE205)</f>
        <v/>
      </c>
      <c r="K202" s="344" t="str">
        <f t="shared" si="3"/>
        <v/>
      </c>
      <c r="L202" s="344" t="str">
        <f>IF('Mapa final SI'!AH205="","",'Mapa final SI'!AH205)</f>
        <v/>
      </c>
      <c r="M202" s="345" t="str">
        <f>IF('Mapa final SI'!T205="","",'Mapa final SI'!T205)</f>
        <v/>
      </c>
      <c r="N202" s="70"/>
      <c r="O202" s="70"/>
      <c r="P202" s="70"/>
      <c r="Q202" s="177"/>
    </row>
    <row r="203" spans="1:17" ht="43.5" customHeight="1" x14ac:dyDescent="0.25">
      <c r="A203" s="119" t="s">
        <v>735</v>
      </c>
      <c r="B203" s="713"/>
      <c r="C203" s="715"/>
      <c r="D203" s="717"/>
      <c r="E203" s="715"/>
      <c r="F203" s="718"/>
      <c r="G203" s="718"/>
      <c r="H203" s="824"/>
      <c r="I203" s="344" t="str">
        <f>IF('Mapa final SI'!AC206="","",'Mapa final SI'!AC206)</f>
        <v/>
      </c>
      <c r="J203" s="344" t="str">
        <f>IF('Mapa final SI'!AE206="","",'Mapa final SI'!AE206)</f>
        <v/>
      </c>
      <c r="K203" s="344" t="str">
        <f t="shared" si="3"/>
        <v/>
      </c>
      <c r="L203" s="344" t="str">
        <f>IF('Mapa final SI'!AH206="","",'Mapa final SI'!AH206)</f>
        <v/>
      </c>
      <c r="M203" s="345" t="str">
        <f>IF('Mapa final SI'!T206="","",'Mapa final SI'!T206)</f>
        <v/>
      </c>
      <c r="N203" s="70"/>
      <c r="O203" s="70"/>
      <c r="P203" s="70"/>
      <c r="Q203" s="177"/>
    </row>
    <row r="204" spans="1:17" ht="43.5" customHeight="1" x14ac:dyDescent="0.25">
      <c r="A204" s="119" t="s">
        <v>736</v>
      </c>
      <c r="B204" s="713"/>
      <c r="C204" s="715"/>
      <c r="D204" s="717"/>
      <c r="E204" s="715"/>
      <c r="F204" s="718"/>
      <c r="G204" s="718"/>
      <c r="H204" s="719"/>
      <c r="I204" s="344" t="str">
        <f>IF('Mapa final SI'!AC207="","",'Mapa final SI'!AC207)</f>
        <v/>
      </c>
      <c r="J204" s="344" t="str">
        <f>IF('Mapa final SI'!AE207="","",'Mapa final SI'!AE207)</f>
        <v/>
      </c>
      <c r="K204" s="344" t="str">
        <f t="shared" si="3"/>
        <v/>
      </c>
      <c r="L204" s="344" t="str">
        <f>IF('Mapa final SI'!AH207="","",'Mapa final SI'!AH207)</f>
        <v/>
      </c>
      <c r="M204" s="345" t="str">
        <f>IF('Mapa final SI'!T207="","",'Mapa final SI'!T207)</f>
        <v/>
      </c>
      <c r="N204" s="70"/>
      <c r="O204" s="70"/>
      <c r="P204" s="70"/>
      <c r="Q204" s="177"/>
    </row>
    <row r="205" spans="1:17" ht="43.5" customHeight="1" x14ac:dyDescent="0.25">
      <c r="A205" s="119" t="s">
        <v>737</v>
      </c>
      <c r="B205" s="712"/>
      <c r="C205" s="714" t="str">
        <f>IF('Mapa final SI'!G208="","",'Mapa final SI'!G208)</f>
        <v/>
      </c>
      <c r="D205" s="716"/>
      <c r="E205" s="714" t="str">
        <f>IF('Mapa final SI'!F208="","",'Mapa final SI'!F208)</f>
        <v/>
      </c>
      <c r="F205" s="720" t="str">
        <f>IF('Mapa final SI'!L208="","",'Mapa final SI'!L208)</f>
        <v/>
      </c>
      <c r="G205" s="720" t="str">
        <f>IF('Mapa final SI'!P208="","",'Mapa final SI'!P208)</f>
        <v/>
      </c>
      <c r="H205" s="82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4" t="str">
        <f>IF('Mapa final SI'!AC208="","",'Mapa final SI'!AC208)</f>
        <v/>
      </c>
      <c r="J205" s="344" t="str">
        <f>IF('Mapa final SI'!AE208="","",'Mapa final SI'!AE208)</f>
        <v/>
      </c>
      <c r="K205" s="344" t="str">
        <f t="shared" si="3"/>
        <v/>
      </c>
      <c r="L205" s="344" t="str">
        <f>IF('Mapa final SI'!AH208="","",'Mapa final SI'!AH208)</f>
        <v/>
      </c>
      <c r="M205" s="345" t="str">
        <f>IF('Mapa final SI'!T208="","",'Mapa final SI'!T208)</f>
        <v/>
      </c>
      <c r="N205" s="70"/>
      <c r="O205" s="70"/>
      <c r="P205" s="70"/>
      <c r="Q205" s="177"/>
    </row>
    <row r="206" spans="1:17" ht="43.5" customHeight="1" x14ac:dyDescent="0.25">
      <c r="A206" s="119" t="s">
        <v>738</v>
      </c>
      <c r="B206" s="713"/>
      <c r="C206" s="715"/>
      <c r="D206" s="717"/>
      <c r="E206" s="715"/>
      <c r="F206" s="718"/>
      <c r="G206" s="718"/>
      <c r="H206" s="824"/>
      <c r="I206" s="344" t="str">
        <f>IF('Mapa final SI'!AC209="","",'Mapa final SI'!AC209)</f>
        <v/>
      </c>
      <c r="J206" s="344" t="str">
        <f>IF('Mapa final SI'!AE209="","",'Mapa final SI'!AE209)</f>
        <v/>
      </c>
      <c r="K206" s="344" t="str">
        <f t="shared" si="3"/>
        <v/>
      </c>
      <c r="L206" s="344" t="str">
        <f>IF('Mapa final SI'!AH209="","",'Mapa final SI'!AH209)</f>
        <v/>
      </c>
      <c r="M206" s="345" t="str">
        <f>IF('Mapa final SI'!T209="","",'Mapa final SI'!T209)</f>
        <v/>
      </c>
      <c r="N206" s="70"/>
      <c r="O206" s="70"/>
      <c r="P206" s="70"/>
      <c r="Q206" s="177"/>
    </row>
    <row r="207" spans="1:17" ht="43.5" customHeight="1" x14ac:dyDescent="0.25">
      <c r="A207" s="119" t="s">
        <v>739</v>
      </c>
      <c r="B207" s="713"/>
      <c r="C207" s="715"/>
      <c r="D207" s="717"/>
      <c r="E207" s="715"/>
      <c r="F207" s="718"/>
      <c r="G207" s="718"/>
      <c r="H207" s="824"/>
      <c r="I207" s="344" t="str">
        <f>IF('Mapa final SI'!AC210="","",'Mapa final SI'!AC210)</f>
        <v/>
      </c>
      <c r="J207" s="344" t="str">
        <f>IF('Mapa final SI'!AE210="","",'Mapa final SI'!AE210)</f>
        <v/>
      </c>
      <c r="K207" s="344" t="str">
        <f t="shared" si="3"/>
        <v/>
      </c>
      <c r="L207" s="344" t="str">
        <f>IF('Mapa final SI'!AH210="","",'Mapa final SI'!AH210)</f>
        <v/>
      </c>
      <c r="M207" s="345" t="str">
        <f>IF('Mapa final SI'!T210="","",'Mapa final SI'!T210)</f>
        <v/>
      </c>
      <c r="N207" s="70"/>
      <c r="O207" s="70"/>
      <c r="P207" s="70"/>
      <c r="Q207" s="177"/>
    </row>
    <row r="208" spans="1:17" ht="43.5" customHeight="1" x14ac:dyDescent="0.25">
      <c r="A208" s="119" t="s">
        <v>740</v>
      </c>
      <c r="B208" s="713"/>
      <c r="C208" s="715"/>
      <c r="D208" s="717"/>
      <c r="E208" s="715"/>
      <c r="F208" s="718"/>
      <c r="G208" s="718"/>
      <c r="H208" s="824"/>
      <c r="I208" s="344" t="str">
        <f>IF('Mapa final SI'!AC211="","",'Mapa final SI'!AC211)</f>
        <v/>
      </c>
      <c r="J208" s="344" t="str">
        <f>IF('Mapa final SI'!AE211="","",'Mapa final SI'!AE211)</f>
        <v/>
      </c>
      <c r="K208" s="344" t="str">
        <f t="shared" si="3"/>
        <v/>
      </c>
      <c r="L208" s="344" t="str">
        <f>IF('Mapa final SI'!AH211="","",'Mapa final SI'!AH211)</f>
        <v/>
      </c>
      <c r="M208" s="345" t="str">
        <f>IF('Mapa final SI'!T211="","",'Mapa final SI'!T211)</f>
        <v/>
      </c>
      <c r="N208" s="70"/>
      <c r="O208" s="70"/>
      <c r="P208" s="70"/>
      <c r="Q208" s="177"/>
    </row>
    <row r="209" spans="1:17" ht="43.5" customHeight="1" x14ac:dyDescent="0.25">
      <c r="A209" s="119" t="s">
        <v>741</v>
      </c>
      <c r="B209" s="713"/>
      <c r="C209" s="715"/>
      <c r="D209" s="717"/>
      <c r="E209" s="715"/>
      <c r="F209" s="718"/>
      <c r="G209" s="718"/>
      <c r="H209" s="824"/>
      <c r="I209" s="344" t="str">
        <f>IF('Mapa final SI'!AC212="","",'Mapa final SI'!AC212)</f>
        <v/>
      </c>
      <c r="J209" s="344" t="str">
        <f>IF('Mapa final SI'!AE212="","",'Mapa final SI'!AE212)</f>
        <v/>
      </c>
      <c r="K209" s="344" t="str">
        <f t="shared" si="3"/>
        <v/>
      </c>
      <c r="L209" s="344" t="str">
        <f>IF('Mapa final SI'!AH212="","",'Mapa final SI'!AH212)</f>
        <v/>
      </c>
      <c r="M209" s="345" t="str">
        <f>IF('Mapa final SI'!T212="","",'Mapa final SI'!T212)</f>
        <v/>
      </c>
      <c r="N209" s="70"/>
      <c r="O209" s="70"/>
      <c r="P209" s="70"/>
      <c r="Q209" s="177"/>
    </row>
    <row r="210" spans="1:17" ht="43.5" customHeight="1" x14ac:dyDescent="0.25">
      <c r="A210" s="119" t="s">
        <v>742</v>
      </c>
      <c r="B210" s="713"/>
      <c r="C210" s="715"/>
      <c r="D210" s="717"/>
      <c r="E210" s="715"/>
      <c r="F210" s="718"/>
      <c r="G210" s="718"/>
      <c r="H210" s="719"/>
      <c r="I210" s="344" t="str">
        <f>IF('Mapa final SI'!AC213="","",'Mapa final SI'!AC213)</f>
        <v/>
      </c>
      <c r="J210" s="344" t="str">
        <f>IF('Mapa final SI'!AE213="","",'Mapa final SI'!AE213)</f>
        <v/>
      </c>
      <c r="K210" s="344" t="str">
        <f t="shared" si="3"/>
        <v/>
      </c>
      <c r="L210" s="344" t="str">
        <f>IF('Mapa final SI'!AH213="","",'Mapa final SI'!AH213)</f>
        <v/>
      </c>
      <c r="M210" s="345" t="str">
        <f>IF('Mapa final SI'!T213="","",'Mapa final SI'!T213)</f>
        <v/>
      </c>
      <c r="N210" s="70"/>
      <c r="O210" s="70"/>
      <c r="P210" s="70"/>
      <c r="Q210" s="177"/>
    </row>
    <row r="211" spans="1:17" ht="43.5" customHeight="1" x14ac:dyDescent="0.25">
      <c r="A211" s="119" t="s">
        <v>743</v>
      </c>
      <c r="B211" s="712"/>
      <c r="C211" s="714" t="str">
        <f>IF('Mapa final SI'!G214="","",'Mapa final SI'!G214)</f>
        <v/>
      </c>
      <c r="D211" s="716"/>
      <c r="E211" s="714" t="str">
        <f>IF('Mapa final SI'!F214="","",'Mapa final SI'!F214)</f>
        <v/>
      </c>
      <c r="F211" s="720" t="str">
        <f>IF('Mapa final SI'!L214="","",'Mapa final SI'!L214)</f>
        <v/>
      </c>
      <c r="G211" s="720" t="str">
        <f>IF('Mapa final SI'!P214="","",'Mapa final SI'!P214)</f>
        <v/>
      </c>
      <c r="H211" s="82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4" t="str">
        <f>IF('Mapa final SI'!AC214="","",'Mapa final SI'!AC214)</f>
        <v/>
      </c>
      <c r="J211" s="344" t="str">
        <f>IF('Mapa final SI'!AE214="","",'Mapa final SI'!AE214)</f>
        <v/>
      </c>
      <c r="K211" s="344" t="str">
        <f t="shared" si="3"/>
        <v/>
      </c>
      <c r="L211" s="344" t="str">
        <f>IF('Mapa final SI'!AH214="","",'Mapa final SI'!AH214)</f>
        <v/>
      </c>
      <c r="M211" s="345" t="str">
        <f>IF('Mapa final SI'!T214="","",'Mapa final SI'!T214)</f>
        <v/>
      </c>
      <c r="N211" s="70"/>
      <c r="O211" s="70"/>
      <c r="P211" s="70"/>
      <c r="Q211" s="177"/>
    </row>
    <row r="212" spans="1:17" ht="43.5" customHeight="1" x14ac:dyDescent="0.25">
      <c r="A212" s="119" t="s">
        <v>744</v>
      </c>
      <c r="B212" s="713"/>
      <c r="C212" s="715"/>
      <c r="D212" s="717"/>
      <c r="E212" s="715"/>
      <c r="F212" s="718"/>
      <c r="G212" s="718"/>
      <c r="H212" s="824"/>
      <c r="I212" s="344" t="str">
        <f>IF('Mapa final SI'!AC215="","",'Mapa final SI'!AC215)</f>
        <v/>
      </c>
      <c r="J212" s="344" t="str">
        <f>IF('Mapa final SI'!AE215="","",'Mapa final SI'!AE215)</f>
        <v/>
      </c>
      <c r="K212" s="344" t="str">
        <f t="shared" si="3"/>
        <v/>
      </c>
      <c r="L212" s="344" t="str">
        <f>IF('Mapa final SI'!AH215="","",'Mapa final SI'!AH215)</f>
        <v/>
      </c>
      <c r="M212" s="345" t="str">
        <f>IF('Mapa final SI'!T215="","",'Mapa final SI'!T215)</f>
        <v/>
      </c>
      <c r="N212" s="70"/>
      <c r="O212" s="70"/>
      <c r="P212" s="70"/>
      <c r="Q212" s="177"/>
    </row>
    <row r="213" spans="1:17" ht="43.5" customHeight="1" x14ac:dyDescent="0.25">
      <c r="A213" s="119" t="s">
        <v>745</v>
      </c>
      <c r="B213" s="713"/>
      <c r="C213" s="715"/>
      <c r="D213" s="717"/>
      <c r="E213" s="715"/>
      <c r="F213" s="718"/>
      <c r="G213" s="718"/>
      <c r="H213" s="824"/>
      <c r="I213" s="344" t="str">
        <f>IF('Mapa final SI'!AC216="","",'Mapa final SI'!AC216)</f>
        <v/>
      </c>
      <c r="J213" s="344" t="str">
        <f>IF('Mapa final SI'!AE216="","",'Mapa final SI'!AE216)</f>
        <v/>
      </c>
      <c r="K213" s="344" t="str">
        <f t="shared" si="3"/>
        <v/>
      </c>
      <c r="L213" s="344" t="str">
        <f>IF('Mapa final SI'!AH216="","",'Mapa final SI'!AH216)</f>
        <v/>
      </c>
      <c r="M213" s="345" t="str">
        <f>IF('Mapa final SI'!T216="","",'Mapa final SI'!T216)</f>
        <v/>
      </c>
      <c r="N213" s="70"/>
      <c r="O213" s="70"/>
      <c r="P213" s="70"/>
      <c r="Q213" s="177"/>
    </row>
    <row r="214" spans="1:17" ht="43.5" customHeight="1" x14ac:dyDescent="0.25">
      <c r="A214" s="119" t="s">
        <v>746</v>
      </c>
      <c r="B214" s="713"/>
      <c r="C214" s="715"/>
      <c r="D214" s="717"/>
      <c r="E214" s="715"/>
      <c r="F214" s="718"/>
      <c r="G214" s="718"/>
      <c r="H214" s="824"/>
      <c r="I214" s="344" t="str">
        <f>IF('Mapa final SI'!AC217="","",'Mapa final SI'!AC217)</f>
        <v/>
      </c>
      <c r="J214" s="344" t="str">
        <f>IF('Mapa final SI'!AE217="","",'Mapa final SI'!AE217)</f>
        <v/>
      </c>
      <c r="K214" s="344" t="str">
        <f t="shared" si="3"/>
        <v/>
      </c>
      <c r="L214" s="344" t="str">
        <f>IF('Mapa final SI'!AH217="","",'Mapa final SI'!AH217)</f>
        <v/>
      </c>
      <c r="M214" s="345" t="str">
        <f>IF('Mapa final SI'!T217="","",'Mapa final SI'!T217)</f>
        <v/>
      </c>
      <c r="N214" s="70"/>
      <c r="O214" s="70"/>
      <c r="P214" s="70"/>
      <c r="Q214" s="177"/>
    </row>
    <row r="215" spans="1:17" ht="43.5" customHeight="1" x14ac:dyDescent="0.25">
      <c r="A215" s="119" t="s">
        <v>747</v>
      </c>
      <c r="B215" s="713"/>
      <c r="C215" s="715"/>
      <c r="D215" s="717"/>
      <c r="E215" s="715"/>
      <c r="F215" s="718"/>
      <c r="G215" s="718"/>
      <c r="H215" s="824"/>
      <c r="I215" s="344" t="str">
        <f>IF('Mapa final SI'!AC218="","",'Mapa final SI'!AC218)</f>
        <v/>
      </c>
      <c r="J215" s="344" t="str">
        <f>IF('Mapa final SI'!AE218="","",'Mapa final SI'!AE218)</f>
        <v/>
      </c>
      <c r="K215" s="344" t="str">
        <f t="shared" si="3"/>
        <v/>
      </c>
      <c r="L215" s="344" t="str">
        <f>IF('Mapa final SI'!AH218="","",'Mapa final SI'!AH218)</f>
        <v/>
      </c>
      <c r="M215" s="345" t="str">
        <f>IF('Mapa final SI'!T218="","",'Mapa final SI'!T218)</f>
        <v/>
      </c>
      <c r="N215" s="70"/>
      <c r="O215" s="70"/>
      <c r="P215" s="70"/>
      <c r="Q215" s="177"/>
    </row>
    <row r="216" spans="1:17" ht="43.5" customHeight="1" x14ac:dyDescent="0.25">
      <c r="A216" s="119" t="s">
        <v>748</v>
      </c>
      <c r="B216" s="713"/>
      <c r="C216" s="715"/>
      <c r="D216" s="717"/>
      <c r="E216" s="715"/>
      <c r="F216" s="718"/>
      <c r="G216" s="718"/>
      <c r="H216" s="719"/>
      <c r="I216" s="344" t="str">
        <f>IF('Mapa final SI'!AC219="","",'Mapa final SI'!AC219)</f>
        <v/>
      </c>
      <c r="J216" s="344" t="str">
        <f>IF('Mapa final SI'!AE219="","",'Mapa final SI'!AE219)</f>
        <v/>
      </c>
      <c r="K216" s="344" t="str">
        <f t="shared" si="3"/>
        <v/>
      </c>
      <c r="L216" s="344" t="str">
        <f>IF('Mapa final SI'!AH219="","",'Mapa final SI'!AH219)</f>
        <v/>
      </c>
      <c r="M216" s="345" t="str">
        <f>IF('Mapa final SI'!T219="","",'Mapa final SI'!T219)</f>
        <v/>
      </c>
      <c r="N216" s="70"/>
      <c r="O216" s="70"/>
      <c r="P216" s="70"/>
      <c r="Q216" s="177"/>
    </row>
    <row r="217" spans="1:17" ht="43.5" customHeight="1" x14ac:dyDescent="0.25">
      <c r="A217" s="119" t="s">
        <v>749</v>
      </c>
      <c r="B217" s="712"/>
      <c r="C217" s="714" t="str">
        <f>IF('Mapa final SI'!G220="","",'Mapa final SI'!G220)</f>
        <v/>
      </c>
      <c r="D217" s="716"/>
      <c r="E217" s="714" t="str">
        <f>IF('Mapa final SI'!F220="","",'Mapa final SI'!F220)</f>
        <v/>
      </c>
      <c r="F217" s="720" t="str">
        <f>IF('Mapa final SI'!L220="","",'Mapa final SI'!L220)</f>
        <v/>
      </c>
      <c r="G217" s="720" t="str">
        <f>IF('Mapa final SI'!P220="","",'Mapa final SI'!P220)</f>
        <v/>
      </c>
      <c r="H217" s="82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4" t="str">
        <f>IF('Mapa final SI'!AC220="","",'Mapa final SI'!AC220)</f>
        <v/>
      </c>
      <c r="J217" s="344" t="str">
        <f>IF('Mapa final SI'!AE220="","",'Mapa final SI'!AE220)</f>
        <v/>
      </c>
      <c r="K217" s="344" t="str">
        <f t="shared" si="3"/>
        <v/>
      </c>
      <c r="L217" s="344" t="str">
        <f>IF('Mapa final SI'!AH220="","",'Mapa final SI'!AH220)</f>
        <v/>
      </c>
      <c r="M217" s="345" t="str">
        <f>IF('Mapa final SI'!T220="","",'Mapa final SI'!T220)</f>
        <v/>
      </c>
      <c r="N217" s="70"/>
      <c r="O217" s="70"/>
      <c r="P217" s="70"/>
      <c r="Q217" s="177"/>
    </row>
    <row r="218" spans="1:17" ht="43.5" customHeight="1" x14ac:dyDescent="0.25">
      <c r="A218" s="119" t="s">
        <v>750</v>
      </c>
      <c r="B218" s="713"/>
      <c r="C218" s="715"/>
      <c r="D218" s="717"/>
      <c r="E218" s="715"/>
      <c r="F218" s="718"/>
      <c r="G218" s="718"/>
      <c r="H218" s="824"/>
      <c r="I218" s="344" t="str">
        <f>IF('Mapa final SI'!AC221="","",'Mapa final SI'!AC221)</f>
        <v/>
      </c>
      <c r="J218" s="344" t="str">
        <f>IF('Mapa final SI'!AE221="","",'Mapa final SI'!AE221)</f>
        <v/>
      </c>
      <c r="K218" s="344" t="str">
        <f t="shared" si="3"/>
        <v/>
      </c>
      <c r="L218" s="344" t="str">
        <f>IF('Mapa final SI'!AH221="","",'Mapa final SI'!AH221)</f>
        <v/>
      </c>
      <c r="M218" s="345" t="str">
        <f>IF('Mapa final SI'!T221="","",'Mapa final SI'!T221)</f>
        <v/>
      </c>
      <c r="N218" s="70"/>
      <c r="O218" s="70"/>
      <c r="P218" s="70"/>
      <c r="Q218" s="177"/>
    </row>
    <row r="219" spans="1:17" ht="43.5" customHeight="1" x14ac:dyDescent="0.25">
      <c r="A219" s="119" t="s">
        <v>751</v>
      </c>
      <c r="B219" s="713"/>
      <c r="C219" s="715"/>
      <c r="D219" s="717"/>
      <c r="E219" s="715"/>
      <c r="F219" s="718"/>
      <c r="G219" s="718"/>
      <c r="H219" s="824"/>
      <c r="I219" s="344" t="str">
        <f>IF('Mapa final SI'!AC222="","",'Mapa final SI'!AC222)</f>
        <v/>
      </c>
      <c r="J219" s="344" t="str">
        <f>IF('Mapa final SI'!AE222="","",'Mapa final SI'!AE222)</f>
        <v/>
      </c>
      <c r="K219" s="344" t="str">
        <f t="shared" si="3"/>
        <v/>
      </c>
      <c r="L219" s="344" t="str">
        <f>IF('Mapa final SI'!AH222="","",'Mapa final SI'!AH222)</f>
        <v/>
      </c>
      <c r="M219" s="345" t="str">
        <f>IF('Mapa final SI'!T222="","",'Mapa final SI'!T222)</f>
        <v/>
      </c>
      <c r="N219" s="70"/>
      <c r="O219" s="70"/>
      <c r="P219" s="70"/>
      <c r="Q219" s="177"/>
    </row>
    <row r="220" spans="1:17" ht="43.5" customHeight="1" x14ac:dyDescent="0.25">
      <c r="A220" s="119" t="s">
        <v>752</v>
      </c>
      <c r="B220" s="713"/>
      <c r="C220" s="715"/>
      <c r="D220" s="717"/>
      <c r="E220" s="715"/>
      <c r="F220" s="718"/>
      <c r="G220" s="718"/>
      <c r="H220" s="824"/>
      <c r="I220" s="344" t="str">
        <f>IF('Mapa final SI'!AC223="","",'Mapa final SI'!AC223)</f>
        <v/>
      </c>
      <c r="J220" s="344" t="str">
        <f>IF('Mapa final SI'!AE223="","",'Mapa final SI'!AE223)</f>
        <v/>
      </c>
      <c r="K220" s="344" t="str">
        <f t="shared" si="3"/>
        <v/>
      </c>
      <c r="L220" s="344" t="str">
        <f>IF('Mapa final SI'!AH223="","",'Mapa final SI'!AH223)</f>
        <v/>
      </c>
      <c r="M220" s="345" t="str">
        <f>IF('Mapa final SI'!T223="","",'Mapa final SI'!T223)</f>
        <v/>
      </c>
      <c r="N220" s="70"/>
      <c r="O220" s="70"/>
      <c r="P220" s="70"/>
      <c r="Q220" s="177"/>
    </row>
    <row r="221" spans="1:17" ht="43.5" customHeight="1" x14ac:dyDescent="0.25">
      <c r="A221" s="119" t="s">
        <v>753</v>
      </c>
      <c r="B221" s="713"/>
      <c r="C221" s="715"/>
      <c r="D221" s="717"/>
      <c r="E221" s="715"/>
      <c r="F221" s="718"/>
      <c r="G221" s="718"/>
      <c r="H221" s="824"/>
      <c r="I221" s="344" t="str">
        <f>IF('Mapa final SI'!AC224="","",'Mapa final SI'!AC224)</f>
        <v/>
      </c>
      <c r="J221" s="344" t="str">
        <f>IF('Mapa final SI'!AE224="","",'Mapa final SI'!AE224)</f>
        <v/>
      </c>
      <c r="K221" s="344" t="str">
        <f t="shared" si="3"/>
        <v/>
      </c>
      <c r="L221" s="344" t="str">
        <f>IF('Mapa final SI'!AH224="","",'Mapa final SI'!AH224)</f>
        <v/>
      </c>
      <c r="M221" s="345" t="str">
        <f>IF('Mapa final SI'!T224="","",'Mapa final SI'!T224)</f>
        <v/>
      </c>
      <c r="N221" s="70"/>
      <c r="O221" s="70"/>
      <c r="P221" s="70"/>
      <c r="Q221" s="177"/>
    </row>
    <row r="222" spans="1:17" ht="43.5" customHeight="1" x14ac:dyDescent="0.25">
      <c r="A222" s="119" t="s">
        <v>754</v>
      </c>
      <c r="B222" s="713"/>
      <c r="C222" s="715"/>
      <c r="D222" s="717"/>
      <c r="E222" s="715"/>
      <c r="F222" s="718"/>
      <c r="G222" s="718"/>
      <c r="H222" s="719"/>
      <c r="I222" s="344" t="str">
        <f>IF('Mapa final SI'!AC225="","",'Mapa final SI'!AC225)</f>
        <v/>
      </c>
      <c r="J222" s="344" t="str">
        <f>IF('Mapa final SI'!AE225="","",'Mapa final SI'!AE225)</f>
        <v/>
      </c>
      <c r="K222" s="344" t="str">
        <f t="shared" si="3"/>
        <v/>
      </c>
      <c r="L222" s="344" t="str">
        <f>IF('Mapa final SI'!AH225="","",'Mapa final SI'!AH225)</f>
        <v/>
      </c>
      <c r="M222" s="345" t="str">
        <f>IF('Mapa final SI'!T225="","",'Mapa final SI'!T225)</f>
        <v/>
      </c>
      <c r="N222" s="70"/>
      <c r="O222" s="70"/>
      <c r="P222" s="70"/>
      <c r="Q222" s="177"/>
    </row>
    <row r="223" spans="1:17" ht="43.5" customHeight="1" x14ac:dyDescent="0.25">
      <c r="A223" s="119" t="s">
        <v>755</v>
      </c>
      <c r="B223" s="712"/>
      <c r="C223" s="714" t="str">
        <f>IF('Mapa final SI'!G226="","",'Mapa final SI'!G226)</f>
        <v/>
      </c>
      <c r="D223" s="716"/>
      <c r="E223" s="714" t="str">
        <f>IF('Mapa final SI'!F226="","",'Mapa final SI'!F226)</f>
        <v/>
      </c>
      <c r="F223" s="720" t="str">
        <f>IF('Mapa final SI'!L226="","",'Mapa final SI'!L226)</f>
        <v/>
      </c>
      <c r="G223" s="720" t="str">
        <f>IF('Mapa final SI'!P226="","",'Mapa final SI'!P226)</f>
        <v/>
      </c>
      <c r="H223" s="82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4" t="str">
        <f>IF('Mapa final SI'!AC226="","",'Mapa final SI'!AC226)</f>
        <v/>
      </c>
      <c r="J223" s="344" t="str">
        <f>IF('Mapa final SI'!AE226="","",'Mapa final SI'!AE226)</f>
        <v/>
      </c>
      <c r="K223" s="344" t="str">
        <f t="shared" si="3"/>
        <v/>
      </c>
      <c r="L223" s="344" t="str">
        <f>IF('Mapa final SI'!AH226="","",'Mapa final SI'!AH226)</f>
        <v/>
      </c>
      <c r="M223" s="345" t="str">
        <f>IF('Mapa final SI'!T226="","",'Mapa final SI'!T226)</f>
        <v/>
      </c>
      <c r="N223" s="70"/>
      <c r="O223" s="70"/>
      <c r="P223" s="70"/>
      <c r="Q223" s="177"/>
    </row>
    <row r="224" spans="1:17" ht="43.5" customHeight="1" x14ac:dyDescent="0.25">
      <c r="A224" s="119" t="s">
        <v>756</v>
      </c>
      <c r="B224" s="713"/>
      <c r="C224" s="715"/>
      <c r="D224" s="717"/>
      <c r="E224" s="715"/>
      <c r="F224" s="718"/>
      <c r="G224" s="718"/>
      <c r="H224" s="824"/>
      <c r="I224" s="344" t="str">
        <f>IF('Mapa final SI'!AC227="","",'Mapa final SI'!AC227)</f>
        <v/>
      </c>
      <c r="J224" s="344" t="str">
        <f>IF('Mapa final SI'!AE227="","",'Mapa final SI'!AE227)</f>
        <v/>
      </c>
      <c r="K224" s="344" t="str">
        <f t="shared" si="3"/>
        <v/>
      </c>
      <c r="L224" s="344" t="str">
        <f>IF('Mapa final SI'!AH227="","",'Mapa final SI'!AH227)</f>
        <v/>
      </c>
      <c r="M224" s="345" t="str">
        <f>IF('Mapa final SI'!T227="","",'Mapa final SI'!T227)</f>
        <v/>
      </c>
      <c r="N224" s="70"/>
      <c r="O224" s="70"/>
      <c r="P224" s="70"/>
      <c r="Q224" s="177"/>
    </row>
    <row r="225" spans="1:17" ht="43.5" customHeight="1" x14ac:dyDescent="0.25">
      <c r="A225" s="119" t="s">
        <v>757</v>
      </c>
      <c r="B225" s="713"/>
      <c r="C225" s="715"/>
      <c r="D225" s="717"/>
      <c r="E225" s="715"/>
      <c r="F225" s="718"/>
      <c r="G225" s="718"/>
      <c r="H225" s="824"/>
      <c r="I225" s="344" t="str">
        <f>IF('Mapa final SI'!AC228="","",'Mapa final SI'!AC228)</f>
        <v/>
      </c>
      <c r="J225" s="344" t="str">
        <f>IF('Mapa final SI'!AE228="","",'Mapa final SI'!AE228)</f>
        <v/>
      </c>
      <c r="K225" s="344" t="str">
        <f t="shared" si="3"/>
        <v/>
      </c>
      <c r="L225" s="344" t="str">
        <f>IF('Mapa final SI'!AH228="","",'Mapa final SI'!AH228)</f>
        <v/>
      </c>
      <c r="M225" s="345" t="str">
        <f>IF('Mapa final SI'!T228="","",'Mapa final SI'!T228)</f>
        <v/>
      </c>
      <c r="N225" s="70"/>
      <c r="O225" s="70"/>
      <c r="P225" s="70"/>
      <c r="Q225" s="177"/>
    </row>
    <row r="226" spans="1:17" ht="43.5" customHeight="1" x14ac:dyDescent="0.25">
      <c r="A226" s="119" t="s">
        <v>758</v>
      </c>
      <c r="B226" s="713"/>
      <c r="C226" s="715"/>
      <c r="D226" s="717"/>
      <c r="E226" s="715"/>
      <c r="F226" s="718"/>
      <c r="G226" s="718"/>
      <c r="H226" s="824"/>
      <c r="I226" s="344" t="str">
        <f>IF('Mapa final SI'!AC229="","",'Mapa final SI'!AC229)</f>
        <v/>
      </c>
      <c r="J226" s="344" t="str">
        <f>IF('Mapa final SI'!AE229="","",'Mapa final SI'!AE229)</f>
        <v/>
      </c>
      <c r="K226" s="344" t="str">
        <f t="shared" si="3"/>
        <v/>
      </c>
      <c r="L226" s="344" t="str">
        <f>IF('Mapa final SI'!AH229="","",'Mapa final SI'!AH229)</f>
        <v/>
      </c>
      <c r="M226" s="345" t="str">
        <f>IF('Mapa final SI'!T229="","",'Mapa final SI'!T229)</f>
        <v/>
      </c>
      <c r="N226" s="70"/>
      <c r="O226" s="70"/>
      <c r="P226" s="70"/>
      <c r="Q226" s="177"/>
    </row>
    <row r="227" spans="1:17" ht="43.5" customHeight="1" x14ac:dyDescent="0.25">
      <c r="A227" s="119" t="s">
        <v>759</v>
      </c>
      <c r="B227" s="713"/>
      <c r="C227" s="715"/>
      <c r="D227" s="717"/>
      <c r="E227" s="715"/>
      <c r="F227" s="718"/>
      <c r="G227" s="718"/>
      <c r="H227" s="824"/>
      <c r="I227" s="344" t="str">
        <f>IF('Mapa final SI'!AC230="","",'Mapa final SI'!AC230)</f>
        <v/>
      </c>
      <c r="J227" s="344" t="str">
        <f>IF('Mapa final SI'!AE230="","",'Mapa final SI'!AE230)</f>
        <v/>
      </c>
      <c r="K227" s="344" t="str">
        <f t="shared" si="3"/>
        <v/>
      </c>
      <c r="L227" s="344" t="str">
        <f>IF('Mapa final SI'!AH230="","",'Mapa final SI'!AH230)</f>
        <v/>
      </c>
      <c r="M227" s="345" t="str">
        <f>IF('Mapa final SI'!T230="","",'Mapa final SI'!T230)</f>
        <v/>
      </c>
      <c r="N227" s="70"/>
      <c r="O227" s="70"/>
      <c r="P227" s="70"/>
      <c r="Q227" s="177"/>
    </row>
    <row r="228" spans="1:17" ht="43.5" customHeight="1" x14ac:dyDescent="0.25">
      <c r="A228" s="119" t="s">
        <v>760</v>
      </c>
      <c r="B228" s="713"/>
      <c r="C228" s="715"/>
      <c r="D228" s="717"/>
      <c r="E228" s="715"/>
      <c r="F228" s="718"/>
      <c r="G228" s="718"/>
      <c r="H228" s="719"/>
      <c r="I228" s="344" t="str">
        <f>IF('Mapa final SI'!AC231="","",'Mapa final SI'!AC231)</f>
        <v/>
      </c>
      <c r="J228" s="344" t="str">
        <f>IF('Mapa final SI'!AE231="","",'Mapa final SI'!AE231)</f>
        <v/>
      </c>
      <c r="K228" s="344" t="str">
        <f t="shared" si="3"/>
        <v/>
      </c>
      <c r="L228" s="344" t="str">
        <f>IF('Mapa final SI'!AH231="","",'Mapa final SI'!AH231)</f>
        <v/>
      </c>
      <c r="M228" s="345" t="str">
        <f>IF('Mapa final SI'!T231="","",'Mapa final SI'!T231)</f>
        <v/>
      </c>
      <c r="N228" s="70"/>
      <c r="O228" s="70"/>
      <c r="P228" s="70"/>
      <c r="Q228" s="177"/>
    </row>
    <row r="229" spans="1:17" ht="43.5" customHeight="1" x14ac:dyDescent="0.25">
      <c r="A229" s="119" t="s">
        <v>761</v>
      </c>
      <c r="B229" s="712"/>
      <c r="C229" s="714" t="str">
        <f>IF('Mapa final SI'!G232="","",'Mapa final SI'!G232)</f>
        <v/>
      </c>
      <c r="D229" s="716"/>
      <c r="E229" s="714" t="str">
        <f>IF('Mapa final SI'!F232="","",'Mapa final SI'!F232)</f>
        <v/>
      </c>
      <c r="F229" s="720" t="str">
        <f>IF('Mapa final SI'!L232="","",'Mapa final SI'!L232)</f>
        <v/>
      </c>
      <c r="G229" s="720" t="str">
        <f>IF('Mapa final SI'!P232="","",'Mapa final SI'!P232)</f>
        <v/>
      </c>
      <c r="H229" s="82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4" t="str">
        <f>IF('Mapa final SI'!AC232="","",'Mapa final SI'!AC232)</f>
        <v/>
      </c>
      <c r="J229" s="344" t="str">
        <f>IF('Mapa final SI'!AE232="","",'Mapa final SI'!AE232)</f>
        <v/>
      </c>
      <c r="K229" s="344" t="str">
        <f t="shared" si="3"/>
        <v/>
      </c>
      <c r="L229" s="344" t="str">
        <f>IF('Mapa final SI'!AH232="","",'Mapa final SI'!AH232)</f>
        <v/>
      </c>
      <c r="M229" s="345" t="str">
        <f>IF('Mapa final SI'!T232="","",'Mapa final SI'!T232)</f>
        <v/>
      </c>
      <c r="N229" s="70"/>
      <c r="O229" s="70"/>
      <c r="P229" s="70"/>
      <c r="Q229" s="177"/>
    </row>
    <row r="230" spans="1:17" ht="43.5" customHeight="1" x14ac:dyDescent="0.25">
      <c r="A230" s="119" t="s">
        <v>762</v>
      </c>
      <c r="B230" s="713"/>
      <c r="C230" s="715"/>
      <c r="D230" s="717"/>
      <c r="E230" s="715"/>
      <c r="F230" s="718"/>
      <c r="G230" s="718"/>
      <c r="H230" s="824"/>
      <c r="I230" s="344" t="str">
        <f>IF('Mapa final SI'!AC233="","",'Mapa final SI'!AC233)</f>
        <v/>
      </c>
      <c r="J230" s="344" t="str">
        <f>IF('Mapa final SI'!AE233="","",'Mapa final SI'!AE233)</f>
        <v/>
      </c>
      <c r="K230" s="344" t="str">
        <f t="shared" si="3"/>
        <v/>
      </c>
      <c r="L230" s="344" t="str">
        <f>IF('Mapa final SI'!AH233="","",'Mapa final SI'!AH233)</f>
        <v/>
      </c>
      <c r="M230" s="345" t="str">
        <f>IF('Mapa final SI'!T233="","",'Mapa final SI'!T233)</f>
        <v/>
      </c>
      <c r="N230" s="70"/>
      <c r="O230" s="70"/>
      <c r="P230" s="70"/>
      <c r="Q230" s="177"/>
    </row>
    <row r="231" spans="1:17" ht="43.5" customHeight="1" x14ac:dyDescent="0.25">
      <c r="A231" s="119" t="s">
        <v>763</v>
      </c>
      <c r="B231" s="713"/>
      <c r="C231" s="715"/>
      <c r="D231" s="717"/>
      <c r="E231" s="715"/>
      <c r="F231" s="718"/>
      <c r="G231" s="718"/>
      <c r="H231" s="824"/>
      <c r="I231" s="344" t="str">
        <f>IF('Mapa final SI'!AC234="","",'Mapa final SI'!AC234)</f>
        <v/>
      </c>
      <c r="J231" s="344" t="str">
        <f>IF('Mapa final SI'!AE234="","",'Mapa final SI'!AE234)</f>
        <v/>
      </c>
      <c r="K231" s="344" t="str">
        <f t="shared" si="3"/>
        <v/>
      </c>
      <c r="L231" s="344" t="str">
        <f>IF('Mapa final SI'!AH234="","",'Mapa final SI'!AH234)</f>
        <v/>
      </c>
      <c r="M231" s="345" t="str">
        <f>IF('Mapa final SI'!T234="","",'Mapa final SI'!T234)</f>
        <v/>
      </c>
      <c r="N231" s="70"/>
      <c r="O231" s="70"/>
      <c r="P231" s="70"/>
      <c r="Q231" s="177"/>
    </row>
    <row r="232" spans="1:17" ht="43.5" customHeight="1" x14ac:dyDescent="0.25">
      <c r="A232" s="119" t="s">
        <v>764</v>
      </c>
      <c r="B232" s="713"/>
      <c r="C232" s="715"/>
      <c r="D232" s="717"/>
      <c r="E232" s="715"/>
      <c r="F232" s="718"/>
      <c r="G232" s="718"/>
      <c r="H232" s="824"/>
      <c r="I232" s="344" t="str">
        <f>IF('Mapa final SI'!AC235="","",'Mapa final SI'!AC235)</f>
        <v/>
      </c>
      <c r="J232" s="344" t="str">
        <f>IF('Mapa final SI'!AE235="","",'Mapa final SI'!AE235)</f>
        <v/>
      </c>
      <c r="K232" s="344" t="str">
        <f t="shared" si="3"/>
        <v/>
      </c>
      <c r="L232" s="344" t="str">
        <f>IF('Mapa final SI'!AH235="","",'Mapa final SI'!AH235)</f>
        <v/>
      </c>
      <c r="M232" s="345" t="str">
        <f>IF('Mapa final SI'!T235="","",'Mapa final SI'!T235)</f>
        <v/>
      </c>
      <c r="N232" s="70"/>
      <c r="O232" s="70"/>
      <c r="P232" s="70"/>
      <c r="Q232" s="177"/>
    </row>
    <row r="233" spans="1:17" ht="43.5" customHeight="1" x14ac:dyDescent="0.25">
      <c r="A233" s="119" t="s">
        <v>765</v>
      </c>
      <c r="B233" s="713"/>
      <c r="C233" s="715"/>
      <c r="D233" s="717"/>
      <c r="E233" s="715"/>
      <c r="F233" s="718"/>
      <c r="G233" s="718"/>
      <c r="H233" s="824"/>
      <c r="I233" s="344" t="str">
        <f>IF('Mapa final SI'!AC236="","",'Mapa final SI'!AC236)</f>
        <v/>
      </c>
      <c r="J233" s="344" t="str">
        <f>IF('Mapa final SI'!AE236="","",'Mapa final SI'!AE236)</f>
        <v/>
      </c>
      <c r="K233" s="344" t="str">
        <f t="shared" si="3"/>
        <v/>
      </c>
      <c r="L233" s="344" t="str">
        <f>IF('Mapa final SI'!AH236="","",'Mapa final SI'!AH236)</f>
        <v/>
      </c>
      <c r="M233" s="345" t="str">
        <f>IF('Mapa final SI'!T236="","",'Mapa final SI'!T236)</f>
        <v/>
      </c>
      <c r="N233" s="70"/>
      <c r="O233" s="70"/>
      <c r="P233" s="70"/>
      <c r="Q233" s="177"/>
    </row>
    <row r="234" spans="1:17" ht="43.5" customHeight="1" x14ac:dyDescent="0.25">
      <c r="A234" s="119" t="s">
        <v>766</v>
      </c>
      <c r="B234" s="713"/>
      <c r="C234" s="715"/>
      <c r="D234" s="717"/>
      <c r="E234" s="715"/>
      <c r="F234" s="718"/>
      <c r="G234" s="718"/>
      <c r="H234" s="719"/>
      <c r="I234" s="344" t="str">
        <f>IF('Mapa final SI'!AC237="","",'Mapa final SI'!AC237)</f>
        <v/>
      </c>
      <c r="J234" s="344" t="str">
        <f>IF('Mapa final SI'!AE237="","",'Mapa final SI'!AE237)</f>
        <v/>
      </c>
      <c r="K234" s="344" t="str">
        <f t="shared" si="3"/>
        <v/>
      </c>
      <c r="L234" s="344" t="str">
        <f>IF('Mapa final SI'!AH237="","",'Mapa final SI'!AH237)</f>
        <v/>
      </c>
      <c r="M234" s="345" t="str">
        <f>IF('Mapa final SI'!T237="","",'Mapa final SI'!T237)</f>
        <v/>
      </c>
      <c r="N234" s="70"/>
      <c r="O234" s="70"/>
      <c r="P234" s="70"/>
      <c r="Q234" s="177"/>
    </row>
    <row r="235" spans="1:17" ht="43.5" customHeight="1" x14ac:dyDescent="0.25">
      <c r="A235" s="119" t="s">
        <v>767</v>
      </c>
      <c r="B235" s="712"/>
      <c r="C235" s="714" t="str">
        <f>IF('Mapa final SI'!G238="","",'Mapa final SI'!G238)</f>
        <v/>
      </c>
      <c r="D235" s="716"/>
      <c r="E235" s="714" t="str">
        <f>IF('Mapa final SI'!F238="","",'Mapa final SI'!F238)</f>
        <v/>
      </c>
      <c r="F235" s="720" t="str">
        <f>IF('Mapa final SI'!L238="","",'Mapa final SI'!L238)</f>
        <v/>
      </c>
      <c r="G235" s="720" t="str">
        <f>IF('Mapa final SI'!P238="","",'Mapa final SI'!P238)</f>
        <v/>
      </c>
      <c r="H235" s="82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4" t="str">
        <f>IF('Mapa final SI'!AC238="","",'Mapa final SI'!AC238)</f>
        <v/>
      </c>
      <c r="J235" s="344" t="str">
        <f>IF('Mapa final SI'!AE238="","",'Mapa final SI'!AE238)</f>
        <v/>
      </c>
      <c r="K235" s="344" t="str">
        <f t="shared" si="3"/>
        <v/>
      </c>
      <c r="L235" s="344" t="str">
        <f>IF('Mapa final SI'!AH238="","",'Mapa final SI'!AH238)</f>
        <v/>
      </c>
      <c r="M235" s="345" t="str">
        <f>IF('Mapa final SI'!T238="","",'Mapa final SI'!T238)</f>
        <v/>
      </c>
      <c r="N235" s="70"/>
      <c r="O235" s="70"/>
      <c r="P235" s="70"/>
      <c r="Q235" s="177"/>
    </row>
    <row r="236" spans="1:17" ht="43.5" customHeight="1" x14ac:dyDescent="0.25">
      <c r="A236" s="119" t="s">
        <v>768</v>
      </c>
      <c r="B236" s="713"/>
      <c r="C236" s="715"/>
      <c r="D236" s="717"/>
      <c r="E236" s="715"/>
      <c r="F236" s="718"/>
      <c r="G236" s="718"/>
      <c r="H236" s="824"/>
      <c r="I236" s="344" t="str">
        <f>IF('Mapa final SI'!AC239="","",'Mapa final SI'!AC239)</f>
        <v/>
      </c>
      <c r="J236" s="344" t="str">
        <f>IF('Mapa final SI'!AE239="","",'Mapa final SI'!AE239)</f>
        <v/>
      </c>
      <c r="K236" s="344" t="str">
        <f t="shared" si="3"/>
        <v/>
      </c>
      <c r="L236" s="344" t="str">
        <f>IF('Mapa final SI'!AH239="","",'Mapa final SI'!AH239)</f>
        <v/>
      </c>
      <c r="M236" s="345" t="str">
        <f>IF('Mapa final SI'!T239="","",'Mapa final SI'!T239)</f>
        <v/>
      </c>
      <c r="N236" s="70"/>
      <c r="O236" s="70"/>
      <c r="P236" s="70"/>
      <c r="Q236" s="177"/>
    </row>
    <row r="237" spans="1:17" ht="43.5" customHeight="1" x14ac:dyDescent="0.25">
      <c r="A237" s="119" t="s">
        <v>769</v>
      </c>
      <c r="B237" s="713"/>
      <c r="C237" s="715"/>
      <c r="D237" s="717"/>
      <c r="E237" s="715"/>
      <c r="F237" s="718"/>
      <c r="G237" s="718"/>
      <c r="H237" s="824"/>
      <c r="I237" s="344" t="str">
        <f>IF('Mapa final SI'!AC240="","",'Mapa final SI'!AC240)</f>
        <v/>
      </c>
      <c r="J237" s="344" t="str">
        <f>IF('Mapa final SI'!AE240="","",'Mapa final SI'!AE240)</f>
        <v/>
      </c>
      <c r="K237" s="344" t="str">
        <f t="shared" si="3"/>
        <v/>
      </c>
      <c r="L237" s="344" t="str">
        <f>IF('Mapa final SI'!AH240="","",'Mapa final SI'!AH240)</f>
        <v/>
      </c>
      <c r="M237" s="345" t="str">
        <f>IF('Mapa final SI'!T240="","",'Mapa final SI'!T240)</f>
        <v/>
      </c>
      <c r="N237" s="70"/>
      <c r="O237" s="70"/>
      <c r="P237" s="70"/>
      <c r="Q237" s="177"/>
    </row>
    <row r="238" spans="1:17" ht="43.5" customHeight="1" x14ac:dyDescent="0.25">
      <c r="A238" s="119" t="s">
        <v>770</v>
      </c>
      <c r="B238" s="713"/>
      <c r="C238" s="715"/>
      <c r="D238" s="717"/>
      <c r="E238" s="715"/>
      <c r="F238" s="718"/>
      <c r="G238" s="718"/>
      <c r="H238" s="824"/>
      <c r="I238" s="344" t="str">
        <f>IF('Mapa final SI'!AC241="","",'Mapa final SI'!AC241)</f>
        <v/>
      </c>
      <c r="J238" s="344" t="str">
        <f>IF('Mapa final SI'!AE241="","",'Mapa final SI'!AE241)</f>
        <v/>
      </c>
      <c r="K238" s="344" t="str">
        <f t="shared" si="3"/>
        <v/>
      </c>
      <c r="L238" s="344" t="str">
        <f>IF('Mapa final SI'!AH241="","",'Mapa final SI'!AH241)</f>
        <v/>
      </c>
      <c r="M238" s="345" t="str">
        <f>IF('Mapa final SI'!T241="","",'Mapa final SI'!T241)</f>
        <v/>
      </c>
      <c r="N238" s="70"/>
      <c r="O238" s="70"/>
      <c r="P238" s="70"/>
      <c r="Q238" s="177"/>
    </row>
    <row r="239" spans="1:17" ht="43.5" customHeight="1" x14ac:dyDescent="0.25">
      <c r="A239" s="119" t="s">
        <v>771</v>
      </c>
      <c r="B239" s="713"/>
      <c r="C239" s="715"/>
      <c r="D239" s="717"/>
      <c r="E239" s="715"/>
      <c r="F239" s="718"/>
      <c r="G239" s="718"/>
      <c r="H239" s="824"/>
      <c r="I239" s="344" t="str">
        <f>IF('Mapa final SI'!AC242="","",'Mapa final SI'!AC242)</f>
        <v/>
      </c>
      <c r="J239" s="344" t="str">
        <f>IF('Mapa final SI'!AE242="","",'Mapa final SI'!AE242)</f>
        <v/>
      </c>
      <c r="K239" s="344" t="str">
        <f t="shared" si="3"/>
        <v/>
      </c>
      <c r="L239" s="344" t="str">
        <f>IF('Mapa final SI'!AH242="","",'Mapa final SI'!AH242)</f>
        <v/>
      </c>
      <c r="M239" s="345" t="str">
        <f>IF('Mapa final SI'!T242="","",'Mapa final SI'!T242)</f>
        <v/>
      </c>
      <c r="N239" s="70"/>
      <c r="O239" s="70"/>
      <c r="P239" s="70"/>
      <c r="Q239" s="177"/>
    </row>
    <row r="240" spans="1:17" ht="43.5" customHeight="1" x14ac:dyDescent="0.25">
      <c r="A240" s="119" t="s">
        <v>772</v>
      </c>
      <c r="B240" s="713"/>
      <c r="C240" s="715"/>
      <c r="D240" s="717"/>
      <c r="E240" s="715"/>
      <c r="F240" s="718"/>
      <c r="G240" s="718"/>
      <c r="H240" s="719"/>
      <c r="I240" s="344" t="str">
        <f>IF('Mapa final SI'!AC243="","",'Mapa final SI'!AC243)</f>
        <v/>
      </c>
      <c r="J240" s="344" t="str">
        <f>IF('Mapa final SI'!AE243="","",'Mapa final SI'!AE243)</f>
        <v/>
      </c>
      <c r="K240" s="344" t="str">
        <f t="shared" si="3"/>
        <v/>
      </c>
      <c r="L240" s="344" t="str">
        <f>IF('Mapa final SI'!AH243="","",'Mapa final SI'!AH243)</f>
        <v/>
      </c>
      <c r="M240" s="345" t="str">
        <f>IF('Mapa final SI'!T243="","",'Mapa final SI'!T243)</f>
        <v/>
      </c>
      <c r="N240" s="70"/>
      <c r="O240" s="70"/>
      <c r="P240" s="70"/>
      <c r="Q240" s="177"/>
    </row>
    <row r="241" spans="1:17" ht="43.5" customHeight="1" x14ac:dyDescent="0.25">
      <c r="A241" s="119" t="s">
        <v>773</v>
      </c>
      <c r="B241" s="712"/>
      <c r="C241" s="714" t="str">
        <f>IF('Mapa final SI'!G244="","",'Mapa final SI'!G244)</f>
        <v/>
      </c>
      <c r="D241" s="716"/>
      <c r="E241" s="714" t="str">
        <f>IF('Mapa final SI'!F244="","",'Mapa final SI'!F244)</f>
        <v/>
      </c>
      <c r="F241" s="720" t="str">
        <f>IF('Mapa final SI'!L244="","",'Mapa final SI'!L244)</f>
        <v/>
      </c>
      <c r="G241" s="720" t="str">
        <f>IF('Mapa final SI'!P244="","",'Mapa final SI'!P244)</f>
        <v/>
      </c>
      <c r="H241" s="82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4" t="str">
        <f>IF('Mapa final SI'!AC244="","",'Mapa final SI'!AC244)</f>
        <v/>
      </c>
      <c r="J241" s="344" t="str">
        <f>IF('Mapa final SI'!AE244="","",'Mapa final SI'!AE244)</f>
        <v/>
      </c>
      <c r="K241" s="344" t="str">
        <f t="shared" si="3"/>
        <v/>
      </c>
      <c r="L241" s="344" t="str">
        <f>IF('Mapa final SI'!AH244="","",'Mapa final SI'!AH244)</f>
        <v/>
      </c>
      <c r="M241" s="345" t="str">
        <f>IF('Mapa final SI'!T244="","",'Mapa final SI'!T244)</f>
        <v/>
      </c>
      <c r="N241" s="70"/>
      <c r="O241" s="70"/>
      <c r="P241" s="70"/>
      <c r="Q241" s="177"/>
    </row>
    <row r="242" spans="1:17" ht="43.5" customHeight="1" x14ac:dyDescent="0.25">
      <c r="A242" s="119" t="s">
        <v>774</v>
      </c>
      <c r="B242" s="713"/>
      <c r="C242" s="715"/>
      <c r="D242" s="717"/>
      <c r="E242" s="715"/>
      <c r="F242" s="718"/>
      <c r="G242" s="718"/>
      <c r="H242" s="824"/>
      <c r="I242" s="344" t="str">
        <f>IF('Mapa final SI'!AC245="","",'Mapa final SI'!AC245)</f>
        <v/>
      </c>
      <c r="J242" s="344" t="str">
        <f>IF('Mapa final SI'!AE245="","",'Mapa final SI'!AE245)</f>
        <v/>
      </c>
      <c r="K242" s="344" t="str">
        <f t="shared" si="3"/>
        <v/>
      </c>
      <c r="L242" s="344" t="str">
        <f>IF('Mapa final SI'!AH245="","",'Mapa final SI'!AH245)</f>
        <v/>
      </c>
      <c r="M242" s="345" t="str">
        <f>IF('Mapa final SI'!T245="","",'Mapa final SI'!T245)</f>
        <v/>
      </c>
      <c r="N242" s="70"/>
      <c r="O242" s="70"/>
      <c r="P242" s="70"/>
      <c r="Q242" s="177"/>
    </row>
    <row r="243" spans="1:17" ht="43.5" customHeight="1" x14ac:dyDescent="0.25">
      <c r="A243" s="119" t="s">
        <v>775</v>
      </c>
      <c r="B243" s="713"/>
      <c r="C243" s="715"/>
      <c r="D243" s="717"/>
      <c r="E243" s="715"/>
      <c r="F243" s="718"/>
      <c r="G243" s="718"/>
      <c r="H243" s="824"/>
      <c r="I243" s="344" t="str">
        <f>IF('Mapa final SI'!AC246="","",'Mapa final SI'!AC246)</f>
        <v/>
      </c>
      <c r="J243" s="344" t="str">
        <f>IF('Mapa final SI'!AE246="","",'Mapa final SI'!AE246)</f>
        <v/>
      </c>
      <c r="K243" s="344" t="str">
        <f t="shared" si="3"/>
        <v/>
      </c>
      <c r="L243" s="344" t="str">
        <f>IF('Mapa final SI'!AH246="","",'Mapa final SI'!AH246)</f>
        <v/>
      </c>
      <c r="M243" s="345" t="str">
        <f>IF('Mapa final SI'!T246="","",'Mapa final SI'!T246)</f>
        <v/>
      </c>
      <c r="N243" s="70"/>
      <c r="O243" s="70"/>
      <c r="P243" s="70"/>
      <c r="Q243" s="177"/>
    </row>
    <row r="244" spans="1:17" ht="43.5" customHeight="1" x14ac:dyDescent="0.25">
      <c r="A244" s="119" t="s">
        <v>776</v>
      </c>
      <c r="B244" s="713"/>
      <c r="C244" s="715"/>
      <c r="D244" s="717"/>
      <c r="E244" s="715"/>
      <c r="F244" s="718"/>
      <c r="G244" s="718"/>
      <c r="H244" s="824"/>
      <c r="I244" s="344" t="str">
        <f>IF('Mapa final SI'!AC247="","",'Mapa final SI'!AC247)</f>
        <v/>
      </c>
      <c r="J244" s="344" t="str">
        <f>IF('Mapa final SI'!AE247="","",'Mapa final SI'!AE247)</f>
        <v/>
      </c>
      <c r="K244" s="344" t="str">
        <f t="shared" si="3"/>
        <v/>
      </c>
      <c r="L244" s="344" t="str">
        <f>IF('Mapa final SI'!AH247="","",'Mapa final SI'!AH247)</f>
        <v/>
      </c>
      <c r="M244" s="345" t="str">
        <f>IF('Mapa final SI'!T247="","",'Mapa final SI'!T247)</f>
        <v/>
      </c>
      <c r="N244" s="70"/>
      <c r="O244" s="70"/>
      <c r="P244" s="70"/>
      <c r="Q244" s="177"/>
    </row>
    <row r="245" spans="1:17" ht="43.5" customHeight="1" x14ac:dyDescent="0.25">
      <c r="A245" s="119" t="s">
        <v>777</v>
      </c>
      <c r="B245" s="713"/>
      <c r="C245" s="715"/>
      <c r="D245" s="717"/>
      <c r="E245" s="715"/>
      <c r="F245" s="718"/>
      <c r="G245" s="718"/>
      <c r="H245" s="824"/>
      <c r="I245" s="344" t="str">
        <f>IF('Mapa final SI'!AC248="","",'Mapa final SI'!AC248)</f>
        <v/>
      </c>
      <c r="J245" s="344" t="str">
        <f>IF('Mapa final SI'!AE248="","",'Mapa final SI'!AE248)</f>
        <v/>
      </c>
      <c r="K245" s="344" t="str">
        <f t="shared" si="3"/>
        <v/>
      </c>
      <c r="L245" s="344" t="str">
        <f>IF('Mapa final SI'!AH248="","",'Mapa final SI'!AH248)</f>
        <v/>
      </c>
      <c r="M245" s="345" t="str">
        <f>IF('Mapa final SI'!T248="","",'Mapa final SI'!T248)</f>
        <v/>
      </c>
      <c r="N245" s="70"/>
      <c r="O245" s="70"/>
      <c r="P245" s="70"/>
      <c r="Q245" s="177"/>
    </row>
    <row r="246" spans="1:17" ht="43.5" customHeight="1" x14ac:dyDescent="0.25">
      <c r="A246" s="119" t="s">
        <v>778</v>
      </c>
      <c r="B246" s="713"/>
      <c r="C246" s="715"/>
      <c r="D246" s="717"/>
      <c r="E246" s="715"/>
      <c r="F246" s="718"/>
      <c r="G246" s="718"/>
      <c r="H246" s="719"/>
      <c r="I246" s="344" t="str">
        <f>IF('Mapa final SI'!AC249="","",'Mapa final SI'!AC249)</f>
        <v/>
      </c>
      <c r="J246" s="344" t="str">
        <f>IF('Mapa final SI'!AE249="","",'Mapa final SI'!AE249)</f>
        <v/>
      </c>
      <c r="K246" s="344" t="str">
        <f t="shared" si="3"/>
        <v/>
      </c>
      <c r="L246" s="344" t="str">
        <f>IF('Mapa final SI'!AH249="","",'Mapa final SI'!AH249)</f>
        <v/>
      </c>
      <c r="M246" s="345" t="str">
        <f>IF('Mapa final SI'!T249="","",'Mapa final SI'!T249)</f>
        <v/>
      </c>
      <c r="N246" s="70"/>
      <c r="O246" s="70"/>
      <c r="P246" s="70"/>
      <c r="Q246" s="177"/>
    </row>
    <row r="247" spans="1:17" ht="43.5" customHeight="1" x14ac:dyDescent="0.25">
      <c r="A247" s="119" t="s">
        <v>779</v>
      </c>
      <c r="B247" s="712"/>
      <c r="C247" s="714" t="str">
        <f>IF('Mapa final SI'!G250="","",'Mapa final SI'!G250)</f>
        <v/>
      </c>
      <c r="D247" s="716"/>
      <c r="E247" s="714" t="str">
        <f>IF('Mapa final SI'!F250="","",'Mapa final SI'!F250)</f>
        <v/>
      </c>
      <c r="F247" s="720" t="str">
        <f>IF('Mapa final SI'!L250="","",'Mapa final SI'!L250)</f>
        <v/>
      </c>
      <c r="G247" s="720" t="str">
        <f>IF('Mapa final SI'!P250="","",'Mapa final SI'!P250)</f>
        <v/>
      </c>
      <c r="H247" s="82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4" t="str">
        <f>IF('Mapa final SI'!AC250="","",'Mapa final SI'!AC250)</f>
        <v/>
      </c>
      <c r="J247" s="344" t="str">
        <f>IF('Mapa final SI'!AE250="","",'Mapa final SI'!AE250)</f>
        <v/>
      </c>
      <c r="K247" s="344" t="str">
        <f t="shared" si="3"/>
        <v/>
      </c>
      <c r="L247" s="344" t="str">
        <f>IF('Mapa final SI'!AH250="","",'Mapa final SI'!AH250)</f>
        <v/>
      </c>
      <c r="M247" s="345" t="str">
        <f>IF('Mapa final SI'!T250="","",'Mapa final SI'!T250)</f>
        <v/>
      </c>
      <c r="N247" s="70"/>
      <c r="O247" s="70"/>
      <c r="P247" s="70"/>
      <c r="Q247" s="177"/>
    </row>
    <row r="248" spans="1:17" ht="43.5" customHeight="1" x14ac:dyDescent="0.25">
      <c r="A248" s="119" t="s">
        <v>780</v>
      </c>
      <c r="B248" s="713"/>
      <c r="C248" s="715"/>
      <c r="D248" s="717"/>
      <c r="E248" s="715"/>
      <c r="F248" s="718"/>
      <c r="G248" s="718"/>
      <c r="H248" s="824"/>
      <c r="I248" s="344" t="str">
        <f>IF('Mapa final SI'!AC251="","",'Mapa final SI'!AC251)</f>
        <v/>
      </c>
      <c r="J248" s="344" t="str">
        <f>IF('Mapa final SI'!AE251="","",'Mapa final SI'!AE251)</f>
        <v/>
      </c>
      <c r="K248" s="344" t="str">
        <f t="shared" si="3"/>
        <v/>
      </c>
      <c r="L248" s="344" t="str">
        <f>IF('Mapa final SI'!AH251="","",'Mapa final SI'!AH251)</f>
        <v/>
      </c>
      <c r="M248" s="345" t="str">
        <f>IF('Mapa final SI'!T251="","",'Mapa final SI'!T251)</f>
        <v/>
      </c>
      <c r="N248" s="70"/>
      <c r="O248" s="70"/>
      <c r="P248" s="70"/>
      <c r="Q248" s="177"/>
    </row>
    <row r="249" spans="1:17" ht="43.5" customHeight="1" x14ac:dyDescent="0.25">
      <c r="A249" s="119" t="s">
        <v>781</v>
      </c>
      <c r="B249" s="713"/>
      <c r="C249" s="715"/>
      <c r="D249" s="717"/>
      <c r="E249" s="715"/>
      <c r="F249" s="718"/>
      <c r="G249" s="718"/>
      <c r="H249" s="824"/>
      <c r="I249" s="344" t="str">
        <f>IF('Mapa final SI'!AC252="","",'Mapa final SI'!AC252)</f>
        <v/>
      </c>
      <c r="J249" s="344" t="str">
        <f>IF('Mapa final SI'!AE252="","",'Mapa final SI'!AE252)</f>
        <v/>
      </c>
      <c r="K249" s="344" t="str">
        <f t="shared" si="3"/>
        <v/>
      </c>
      <c r="L249" s="344" t="str">
        <f>IF('Mapa final SI'!AH252="","",'Mapa final SI'!AH252)</f>
        <v/>
      </c>
      <c r="M249" s="345" t="str">
        <f>IF('Mapa final SI'!T252="","",'Mapa final SI'!T252)</f>
        <v/>
      </c>
      <c r="N249" s="70"/>
      <c r="O249" s="70"/>
      <c r="P249" s="70"/>
      <c r="Q249" s="177"/>
    </row>
    <row r="250" spans="1:17" ht="43.5" customHeight="1" x14ac:dyDescent="0.25">
      <c r="A250" s="119" t="s">
        <v>782</v>
      </c>
      <c r="B250" s="713"/>
      <c r="C250" s="715"/>
      <c r="D250" s="717"/>
      <c r="E250" s="715"/>
      <c r="F250" s="718"/>
      <c r="G250" s="718"/>
      <c r="H250" s="824"/>
      <c r="I250" s="344" t="str">
        <f>IF('Mapa final SI'!AC253="","",'Mapa final SI'!AC253)</f>
        <v/>
      </c>
      <c r="J250" s="344" t="str">
        <f>IF('Mapa final SI'!AE253="","",'Mapa final SI'!AE253)</f>
        <v/>
      </c>
      <c r="K250" s="344" t="str">
        <f t="shared" si="3"/>
        <v/>
      </c>
      <c r="L250" s="344" t="str">
        <f>IF('Mapa final SI'!AH253="","",'Mapa final SI'!AH253)</f>
        <v/>
      </c>
      <c r="M250" s="345" t="str">
        <f>IF('Mapa final SI'!T253="","",'Mapa final SI'!T253)</f>
        <v/>
      </c>
      <c r="N250" s="70"/>
      <c r="O250" s="70"/>
      <c r="P250" s="70"/>
      <c r="Q250" s="177"/>
    </row>
    <row r="251" spans="1:17" ht="43.5" customHeight="1" x14ac:dyDescent="0.25">
      <c r="A251" s="119" t="s">
        <v>783</v>
      </c>
      <c r="B251" s="713"/>
      <c r="C251" s="715"/>
      <c r="D251" s="717"/>
      <c r="E251" s="715"/>
      <c r="F251" s="718"/>
      <c r="G251" s="718"/>
      <c r="H251" s="824"/>
      <c r="I251" s="344" t="str">
        <f>IF('Mapa final SI'!AC254="","",'Mapa final SI'!AC254)</f>
        <v/>
      </c>
      <c r="J251" s="344" t="str">
        <f>IF('Mapa final SI'!AE254="","",'Mapa final SI'!AE254)</f>
        <v/>
      </c>
      <c r="K251" s="344" t="str">
        <f t="shared" si="3"/>
        <v/>
      </c>
      <c r="L251" s="344" t="str">
        <f>IF('Mapa final SI'!AH254="","",'Mapa final SI'!AH254)</f>
        <v/>
      </c>
      <c r="M251" s="345" t="str">
        <f>IF('Mapa final SI'!T254="","",'Mapa final SI'!T254)</f>
        <v/>
      </c>
      <c r="N251" s="70"/>
      <c r="O251" s="70"/>
      <c r="P251" s="70"/>
      <c r="Q251" s="177"/>
    </row>
    <row r="252" spans="1:17" ht="43.5" customHeight="1" x14ac:dyDescent="0.25">
      <c r="A252" s="119" t="s">
        <v>784</v>
      </c>
      <c r="B252" s="713"/>
      <c r="C252" s="715"/>
      <c r="D252" s="717"/>
      <c r="E252" s="715"/>
      <c r="F252" s="718"/>
      <c r="G252" s="718"/>
      <c r="H252" s="719"/>
      <c r="I252" s="344" t="str">
        <f>IF('Mapa final SI'!AC255="","",'Mapa final SI'!AC255)</f>
        <v/>
      </c>
      <c r="J252" s="344" t="str">
        <f>IF('Mapa final SI'!AE255="","",'Mapa final SI'!AE255)</f>
        <v/>
      </c>
      <c r="K252" s="344" t="str">
        <f t="shared" si="3"/>
        <v/>
      </c>
      <c r="L252" s="344" t="str">
        <f>IF('Mapa final SI'!AH255="","",'Mapa final SI'!AH255)</f>
        <v/>
      </c>
      <c r="M252" s="345" t="str">
        <f>IF('Mapa final SI'!T255="","",'Mapa final SI'!T255)</f>
        <v/>
      </c>
      <c r="N252" s="70"/>
      <c r="O252" s="70"/>
      <c r="P252" s="70"/>
      <c r="Q252" s="177"/>
    </row>
    <row r="253" spans="1:17" ht="43.5" customHeight="1" x14ac:dyDescent="0.25">
      <c r="A253" s="119" t="s">
        <v>785</v>
      </c>
      <c r="B253" s="712"/>
      <c r="C253" s="714" t="str">
        <f>IF('Mapa final SI'!G256="","",'Mapa final SI'!G256)</f>
        <v/>
      </c>
      <c r="D253" s="716"/>
      <c r="E253" s="714" t="str">
        <f>IF('Mapa final SI'!F256="","",'Mapa final SI'!F256)</f>
        <v/>
      </c>
      <c r="F253" s="720" t="str">
        <f>IF('Mapa final SI'!L256="","",'Mapa final SI'!L256)</f>
        <v/>
      </c>
      <c r="G253" s="720" t="str">
        <f>IF('Mapa final SI'!P256="","",'Mapa final SI'!P256)</f>
        <v/>
      </c>
      <c r="H253" s="82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4" t="str">
        <f>IF('Mapa final SI'!AC256="","",'Mapa final SI'!AC256)</f>
        <v/>
      </c>
      <c r="J253" s="344" t="str">
        <f>IF('Mapa final SI'!AE256="","",'Mapa final SI'!AE256)</f>
        <v/>
      </c>
      <c r="K253" s="344" t="str">
        <f t="shared" si="3"/>
        <v/>
      </c>
      <c r="L253" s="344" t="str">
        <f>IF('Mapa final SI'!AH256="","",'Mapa final SI'!AH256)</f>
        <v/>
      </c>
      <c r="M253" s="345" t="str">
        <f>IF('Mapa final SI'!T256="","",'Mapa final SI'!T256)</f>
        <v/>
      </c>
      <c r="N253" s="70"/>
      <c r="O253" s="70"/>
      <c r="P253" s="70"/>
      <c r="Q253" s="177"/>
    </row>
    <row r="254" spans="1:17" ht="43.5" customHeight="1" x14ac:dyDescent="0.25">
      <c r="A254" s="119" t="s">
        <v>786</v>
      </c>
      <c r="B254" s="713"/>
      <c r="C254" s="715"/>
      <c r="D254" s="717"/>
      <c r="E254" s="715"/>
      <c r="F254" s="718"/>
      <c r="G254" s="718"/>
      <c r="H254" s="824"/>
      <c r="I254" s="344" t="str">
        <f>IF('Mapa final SI'!AC257="","",'Mapa final SI'!AC257)</f>
        <v/>
      </c>
      <c r="J254" s="344" t="str">
        <f>IF('Mapa final SI'!AE257="","",'Mapa final SI'!AE257)</f>
        <v/>
      </c>
      <c r="K254" s="344" t="str">
        <f t="shared" si="3"/>
        <v/>
      </c>
      <c r="L254" s="344" t="str">
        <f>IF('Mapa final SI'!AH257="","",'Mapa final SI'!AH257)</f>
        <v/>
      </c>
      <c r="M254" s="345" t="str">
        <f>IF('Mapa final SI'!T257="","",'Mapa final SI'!T257)</f>
        <v/>
      </c>
      <c r="N254" s="70"/>
      <c r="O254" s="70"/>
      <c r="P254" s="70"/>
      <c r="Q254" s="177"/>
    </row>
    <row r="255" spans="1:17" ht="43.5" customHeight="1" x14ac:dyDescent="0.25">
      <c r="A255" s="119" t="s">
        <v>787</v>
      </c>
      <c r="B255" s="713"/>
      <c r="C255" s="715"/>
      <c r="D255" s="717"/>
      <c r="E255" s="715"/>
      <c r="F255" s="718"/>
      <c r="G255" s="718"/>
      <c r="H255" s="824"/>
      <c r="I255" s="344" t="str">
        <f>IF('Mapa final SI'!AC258="","",'Mapa final SI'!AC258)</f>
        <v/>
      </c>
      <c r="J255" s="344" t="str">
        <f>IF('Mapa final SI'!AE258="","",'Mapa final SI'!AE258)</f>
        <v/>
      </c>
      <c r="K255" s="344" t="str">
        <f t="shared" si="3"/>
        <v/>
      </c>
      <c r="L255" s="344" t="str">
        <f>IF('Mapa final SI'!AH258="","",'Mapa final SI'!AH258)</f>
        <v/>
      </c>
      <c r="M255" s="345" t="str">
        <f>IF('Mapa final SI'!T258="","",'Mapa final SI'!T258)</f>
        <v/>
      </c>
      <c r="N255" s="70"/>
      <c r="O255" s="70"/>
      <c r="P255" s="70"/>
      <c r="Q255" s="177"/>
    </row>
    <row r="256" spans="1:17" ht="43.5" customHeight="1" x14ac:dyDescent="0.25">
      <c r="A256" s="119" t="s">
        <v>788</v>
      </c>
      <c r="B256" s="713"/>
      <c r="C256" s="715"/>
      <c r="D256" s="717"/>
      <c r="E256" s="715"/>
      <c r="F256" s="718"/>
      <c r="G256" s="718"/>
      <c r="H256" s="824"/>
      <c r="I256" s="344" t="str">
        <f>IF('Mapa final SI'!AC259="","",'Mapa final SI'!AC259)</f>
        <v/>
      </c>
      <c r="J256" s="344" t="str">
        <f>IF('Mapa final SI'!AE259="","",'Mapa final SI'!AE259)</f>
        <v/>
      </c>
      <c r="K256" s="344" t="str">
        <f t="shared" si="3"/>
        <v/>
      </c>
      <c r="L256" s="344" t="str">
        <f>IF('Mapa final SI'!AH259="","",'Mapa final SI'!AH259)</f>
        <v/>
      </c>
      <c r="M256" s="345" t="str">
        <f>IF('Mapa final SI'!T259="","",'Mapa final SI'!T259)</f>
        <v/>
      </c>
      <c r="N256" s="70"/>
      <c r="O256" s="70"/>
      <c r="P256" s="70"/>
      <c r="Q256" s="177"/>
    </row>
    <row r="257" spans="1:17" ht="43.5" customHeight="1" x14ac:dyDescent="0.25">
      <c r="A257" s="119" t="s">
        <v>789</v>
      </c>
      <c r="B257" s="713"/>
      <c r="C257" s="715"/>
      <c r="D257" s="717"/>
      <c r="E257" s="715"/>
      <c r="F257" s="718"/>
      <c r="G257" s="718"/>
      <c r="H257" s="824"/>
      <c r="I257" s="344" t="str">
        <f>IF('Mapa final SI'!AC260="","",'Mapa final SI'!AC260)</f>
        <v/>
      </c>
      <c r="J257" s="344" t="str">
        <f>IF('Mapa final SI'!AE260="","",'Mapa final SI'!AE260)</f>
        <v/>
      </c>
      <c r="K257" s="344" t="str">
        <f t="shared" si="3"/>
        <v/>
      </c>
      <c r="L257" s="344" t="str">
        <f>IF('Mapa final SI'!AH260="","",'Mapa final SI'!AH260)</f>
        <v/>
      </c>
      <c r="M257" s="345" t="str">
        <f>IF('Mapa final SI'!T260="","",'Mapa final SI'!T260)</f>
        <v/>
      </c>
      <c r="N257" s="70"/>
      <c r="O257" s="70"/>
      <c r="P257" s="70"/>
      <c r="Q257" s="177"/>
    </row>
    <row r="258" spans="1:17" ht="43.5" customHeight="1" x14ac:dyDescent="0.25">
      <c r="A258" s="119" t="s">
        <v>790</v>
      </c>
      <c r="B258" s="713"/>
      <c r="C258" s="715"/>
      <c r="D258" s="717"/>
      <c r="E258" s="715"/>
      <c r="F258" s="718"/>
      <c r="G258" s="718"/>
      <c r="H258" s="719"/>
      <c r="I258" s="344" t="str">
        <f>IF('Mapa final SI'!AC261="","",'Mapa final SI'!AC261)</f>
        <v/>
      </c>
      <c r="J258" s="344" t="str">
        <f>IF('Mapa final SI'!AE261="","",'Mapa final SI'!AE261)</f>
        <v/>
      </c>
      <c r="K258" s="344" t="str">
        <f t="shared" si="3"/>
        <v/>
      </c>
      <c r="L258" s="344" t="str">
        <f>IF('Mapa final SI'!AH261="","",'Mapa final SI'!AH261)</f>
        <v/>
      </c>
      <c r="M258" s="345" t="str">
        <f>IF('Mapa final SI'!T261="","",'Mapa final SI'!T261)</f>
        <v/>
      </c>
      <c r="N258" s="70"/>
      <c r="O258" s="70"/>
      <c r="P258" s="70"/>
      <c r="Q258" s="177"/>
    </row>
    <row r="259" spans="1:17" ht="43.5" customHeight="1" x14ac:dyDescent="0.25">
      <c r="A259" s="119" t="s">
        <v>791</v>
      </c>
      <c r="B259" s="712"/>
      <c r="C259" s="714" t="str">
        <f>IF('Mapa final SI'!G262="","",'Mapa final SI'!G262)</f>
        <v/>
      </c>
      <c r="D259" s="716"/>
      <c r="E259" s="714" t="str">
        <f>IF('Mapa final SI'!F262="","",'Mapa final SI'!F262)</f>
        <v/>
      </c>
      <c r="F259" s="720" t="str">
        <f>IF('Mapa final SI'!L262="","",'Mapa final SI'!L262)</f>
        <v/>
      </c>
      <c r="G259" s="720" t="str">
        <f>IF('Mapa final SI'!P262="","",'Mapa final SI'!P262)</f>
        <v/>
      </c>
      <c r="H259" s="82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4" t="str">
        <f>IF('Mapa final SI'!AC262="","",'Mapa final SI'!AC262)</f>
        <v/>
      </c>
      <c r="J259" s="344" t="str">
        <f>IF('Mapa final SI'!AE262="","",'Mapa final SI'!AE262)</f>
        <v/>
      </c>
      <c r="K259" s="344" t="str">
        <f t="shared" si="3"/>
        <v/>
      </c>
      <c r="L259" s="344" t="str">
        <f>IF('Mapa final SI'!AH262="","",'Mapa final SI'!AH262)</f>
        <v/>
      </c>
      <c r="M259" s="345" t="str">
        <f>IF('Mapa final SI'!T262="","",'Mapa final SI'!T262)</f>
        <v/>
      </c>
      <c r="N259" s="70"/>
      <c r="O259" s="70"/>
      <c r="P259" s="70"/>
      <c r="Q259" s="177"/>
    </row>
    <row r="260" spans="1:17" ht="43.5" customHeight="1" x14ac:dyDescent="0.25">
      <c r="A260" s="119" t="s">
        <v>792</v>
      </c>
      <c r="B260" s="713"/>
      <c r="C260" s="715"/>
      <c r="D260" s="717"/>
      <c r="E260" s="715"/>
      <c r="F260" s="718"/>
      <c r="G260" s="718"/>
      <c r="H260" s="824"/>
      <c r="I260" s="344" t="str">
        <f>IF('Mapa final SI'!AC263="","",'Mapa final SI'!AC263)</f>
        <v/>
      </c>
      <c r="J260" s="344" t="str">
        <f>IF('Mapa final SI'!AE263="","",'Mapa final SI'!AE263)</f>
        <v/>
      </c>
      <c r="K260" s="344" t="str">
        <f t="shared" si="3"/>
        <v/>
      </c>
      <c r="L260" s="344" t="str">
        <f>IF('Mapa final SI'!AH263="","",'Mapa final SI'!AH263)</f>
        <v/>
      </c>
      <c r="M260" s="345" t="str">
        <f>IF('Mapa final SI'!T263="","",'Mapa final SI'!T263)</f>
        <v/>
      </c>
      <c r="N260" s="70"/>
      <c r="O260" s="70"/>
      <c r="P260" s="70"/>
      <c r="Q260" s="177"/>
    </row>
    <row r="261" spans="1:17" ht="43.5" customHeight="1" x14ac:dyDescent="0.25">
      <c r="A261" s="119" t="s">
        <v>793</v>
      </c>
      <c r="B261" s="713"/>
      <c r="C261" s="715"/>
      <c r="D261" s="717"/>
      <c r="E261" s="715"/>
      <c r="F261" s="718"/>
      <c r="G261" s="718"/>
      <c r="H261" s="824"/>
      <c r="I261" s="344" t="str">
        <f>IF('Mapa final SI'!AC264="","",'Mapa final SI'!AC264)</f>
        <v/>
      </c>
      <c r="J261" s="344" t="str">
        <f>IF('Mapa final SI'!AE264="","",'Mapa final SI'!AE264)</f>
        <v/>
      </c>
      <c r="K261" s="344" t="str">
        <f t="shared" si="3"/>
        <v/>
      </c>
      <c r="L261" s="344" t="str">
        <f>IF('Mapa final SI'!AH264="","",'Mapa final SI'!AH264)</f>
        <v/>
      </c>
      <c r="M261" s="345" t="str">
        <f>IF('Mapa final SI'!T264="","",'Mapa final SI'!T264)</f>
        <v/>
      </c>
      <c r="N261" s="70"/>
      <c r="O261" s="70"/>
      <c r="P261" s="70"/>
      <c r="Q261" s="177"/>
    </row>
    <row r="262" spans="1:17" ht="43.5" customHeight="1" x14ac:dyDescent="0.25">
      <c r="A262" s="119" t="s">
        <v>794</v>
      </c>
      <c r="B262" s="713"/>
      <c r="C262" s="715"/>
      <c r="D262" s="717"/>
      <c r="E262" s="715"/>
      <c r="F262" s="718"/>
      <c r="G262" s="718"/>
      <c r="H262" s="824"/>
      <c r="I262" s="344" t="str">
        <f>IF('Mapa final SI'!AC265="","",'Mapa final SI'!AC265)</f>
        <v/>
      </c>
      <c r="J262" s="344" t="str">
        <f>IF('Mapa final SI'!AE265="","",'Mapa final SI'!AE265)</f>
        <v/>
      </c>
      <c r="K262" s="344" t="str">
        <f t="shared" si="3"/>
        <v/>
      </c>
      <c r="L262" s="344" t="str">
        <f>IF('Mapa final SI'!AH265="","",'Mapa final SI'!AH265)</f>
        <v/>
      </c>
      <c r="M262" s="345" t="str">
        <f>IF('Mapa final SI'!T265="","",'Mapa final SI'!T265)</f>
        <v/>
      </c>
      <c r="N262" s="70"/>
      <c r="O262" s="70"/>
      <c r="P262" s="70"/>
      <c r="Q262" s="177"/>
    </row>
    <row r="263" spans="1:17" ht="43.5" customHeight="1" x14ac:dyDescent="0.25">
      <c r="A263" s="119" t="s">
        <v>795</v>
      </c>
      <c r="B263" s="713"/>
      <c r="C263" s="715"/>
      <c r="D263" s="717"/>
      <c r="E263" s="715"/>
      <c r="F263" s="718"/>
      <c r="G263" s="718"/>
      <c r="H263" s="824"/>
      <c r="I263" s="344" t="str">
        <f>IF('Mapa final SI'!AC266="","",'Mapa final SI'!AC266)</f>
        <v/>
      </c>
      <c r="J263" s="344" t="str">
        <f>IF('Mapa final SI'!AE266="","",'Mapa final SI'!AE266)</f>
        <v/>
      </c>
      <c r="K263" s="344" t="str">
        <f t="shared" si="3"/>
        <v/>
      </c>
      <c r="L263" s="344" t="str">
        <f>IF('Mapa final SI'!AH266="","",'Mapa final SI'!AH266)</f>
        <v/>
      </c>
      <c r="M263" s="345" t="str">
        <f>IF('Mapa final SI'!T266="","",'Mapa final SI'!T266)</f>
        <v/>
      </c>
      <c r="N263" s="70"/>
      <c r="O263" s="70"/>
      <c r="P263" s="70"/>
      <c r="Q263" s="177"/>
    </row>
    <row r="264" spans="1:17" ht="43.5" customHeight="1" x14ac:dyDescent="0.25">
      <c r="A264" s="119" t="s">
        <v>796</v>
      </c>
      <c r="B264" s="713"/>
      <c r="C264" s="715"/>
      <c r="D264" s="717"/>
      <c r="E264" s="715"/>
      <c r="F264" s="718"/>
      <c r="G264" s="718"/>
      <c r="H264" s="719"/>
      <c r="I264" s="344" t="str">
        <f>IF('Mapa final SI'!AC267="","",'Mapa final SI'!AC267)</f>
        <v/>
      </c>
      <c r="J264" s="344" t="str">
        <f>IF('Mapa final SI'!AE267="","",'Mapa final SI'!AE267)</f>
        <v/>
      </c>
      <c r="K264" s="34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4" t="str">
        <f>IF('Mapa final SI'!AH267="","",'Mapa final SI'!AH267)</f>
        <v/>
      </c>
      <c r="M264" s="345" t="str">
        <f>IF('Mapa final SI'!T267="","",'Mapa final SI'!T267)</f>
        <v/>
      </c>
      <c r="N264" s="70"/>
      <c r="O264" s="70"/>
      <c r="P264" s="70"/>
      <c r="Q264" s="177"/>
    </row>
    <row r="265" spans="1:17" ht="43.5" customHeight="1" x14ac:dyDescent="0.25">
      <c r="A265" s="119" t="s">
        <v>797</v>
      </c>
      <c r="B265" s="712"/>
      <c r="C265" s="714" t="str">
        <f>IF('Mapa final SI'!G268="","",'Mapa final SI'!G268)</f>
        <v/>
      </c>
      <c r="D265" s="716"/>
      <c r="E265" s="714" t="str">
        <f>IF('Mapa final SI'!F268="","",'Mapa final SI'!F268)</f>
        <v/>
      </c>
      <c r="F265" s="720" t="str">
        <f>IF('Mapa final SI'!L268="","",'Mapa final SI'!L268)</f>
        <v/>
      </c>
      <c r="G265" s="720" t="str">
        <f>IF('Mapa final SI'!P268="","",'Mapa final SI'!P268)</f>
        <v/>
      </c>
      <c r="H265" s="82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4" t="str">
        <f>IF('Mapa final SI'!AC268="","",'Mapa final SI'!AC268)</f>
        <v/>
      </c>
      <c r="J265" s="344" t="str">
        <f>IF('Mapa final SI'!AE268="","",'Mapa final SI'!AE268)</f>
        <v/>
      </c>
      <c r="K265" s="344" t="str">
        <f t="shared" si="4"/>
        <v/>
      </c>
      <c r="L265" s="344" t="str">
        <f>IF('Mapa final SI'!AH268="","",'Mapa final SI'!AH268)</f>
        <v/>
      </c>
      <c r="M265" s="345" t="str">
        <f>IF('Mapa final SI'!T268="","",'Mapa final SI'!T268)</f>
        <v/>
      </c>
      <c r="N265" s="70"/>
      <c r="O265" s="70"/>
      <c r="P265" s="70"/>
      <c r="Q265" s="177"/>
    </row>
    <row r="266" spans="1:17" ht="43.5" customHeight="1" x14ac:dyDescent="0.25">
      <c r="A266" s="119" t="s">
        <v>798</v>
      </c>
      <c r="B266" s="713"/>
      <c r="C266" s="715"/>
      <c r="D266" s="717"/>
      <c r="E266" s="715"/>
      <c r="F266" s="718"/>
      <c r="G266" s="718"/>
      <c r="H266" s="824"/>
      <c r="I266" s="344" t="str">
        <f>IF('Mapa final SI'!AC269="","",'Mapa final SI'!AC269)</f>
        <v/>
      </c>
      <c r="J266" s="344" t="str">
        <f>IF('Mapa final SI'!AE269="","",'Mapa final SI'!AE269)</f>
        <v/>
      </c>
      <c r="K266" s="344" t="str">
        <f t="shared" si="4"/>
        <v/>
      </c>
      <c r="L266" s="344" t="str">
        <f>IF('Mapa final SI'!AH269="","",'Mapa final SI'!AH269)</f>
        <v/>
      </c>
      <c r="M266" s="345" t="str">
        <f>IF('Mapa final SI'!T269="","",'Mapa final SI'!T269)</f>
        <v/>
      </c>
      <c r="N266" s="70"/>
      <c r="O266" s="70"/>
      <c r="P266" s="70"/>
      <c r="Q266" s="177"/>
    </row>
    <row r="267" spans="1:17" ht="43.5" customHeight="1" x14ac:dyDescent="0.25">
      <c r="A267" s="119" t="s">
        <v>799</v>
      </c>
      <c r="B267" s="713"/>
      <c r="C267" s="715"/>
      <c r="D267" s="717"/>
      <c r="E267" s="715"/>
      <c r="F267" s="718"/>
      <c r="G267" s="718"/>
      <c r="H267" s="824"/>
      <c r="I267" s="344" t="str">
        <f>IF('Mapa final SI'!AC270="","",'Mapa final SI'!AC270)</f>
        <v/>
      </c>
      <c r="J267" s="344" t="str">
        <f>IF('Mapa final SI'!AE270="","",'Mapa final SI'!AE270)</f>
        <v/>
      </c>
      <c r="K267" s="344" t="str">
        <f t="shared" si="4"/>
        <v/>
      </c>
      <c r="L267" s="344" t="str">
        <f>IF('Mapa final SI'!AH270="","",'Mapa final SI'!AH270)</f>
        <v/>
      </c>
      <c r="M267" s="345" t="str">
        <f>IF('Mapa final SI'!T270="","",'Mapa final SI'!T270)</f>
        <v/>
      </c>
      <c r="N267" s="70"/>
      <c r="O267" s="70"/>
      <c r="P267" s="70"/>
      <c r="Q267" s="177"/>
    </row>
    <row r="268" spans="1:17" ht="43.5" customHeight="1" x14ac:dyDescent="0.25">
      <c r="A268" s="119" t="s">
        <v>800</v>
      </c>
      <c r="B268" s="713"/>
      <c r="C268" s="715"/>
      <c r="D268" s="717"/>
      <c r="E268" s="715"/>
      <c r="F268" s="718"/>
      <c r="G268" s="718"/>
      <c r="H268" s="824"/>
      <c r="I268" s="344" t="str">
        <f>IF('Mapa final SI'!AC271="","",'Mapa final SI'!AC271)</f>
        <v/>
      </c>
      <c r="J268" s="344" t="str">
        <f>IF('Mapa final SI'!AE271="","",'Mapa final SI'!AE271)</f>
        <v/>
      </c>
      <c r="K268" s="344" t="str">
        <f t="shared" si="4"/>
        <v/>
      </c>
      <c r="L268" s="344" t="str">
        <f>IF('Mapa final SI'!AH271="","",'Mapa final SI'!AH271)</f>
        <v/>
      </c>
      <c r="M268" s="345" t="str">
        <f>IF('Mapa final SI'!T271="","",'Mapa final SI'!T271)</f>
        <v/>
      </c>
      <c r="N268" s="70"/>
      <c r="O268" s="70"/>
      <c r="P268" s="70"/>
      <c r="Q268" s="177"/>
    </row>
    <row r="269" spans="1:17" ht="43.5" customHeight="1" x14ac:dyDescent="0.25">
      <c r="A269" s="119" t="s">
        <v>801</v>
      </c>
      <c r="B269" s="713"/>
      <c r="C269" s="715"/>
      <c r="D269" s="717"/>
      <c r="E269" s="715"/>
      <c r="F269" s="718"/>
      <c r="G269" s="718"/>
      <c r="H269" s="824"/>
      <c r="I269" s="344" t="str">
        <f>IF('Mapa final SI'!AC272="","",'Mapa final SI'!AC272)</f>
        <v/>
      </c>
      <c r="J269" s="344" t="str">
        <f>IF('Mapa final SI'!AE272="","",'Mapa final SI'!AE272)</f>
        <v/>
      </c>
      <c r="K269" s="344" t="str">
        <f t="shared" si="4"/>
        <v/>
      </c>
      <c r="L269" s="344" t="str">
        <f>IF('Mapa final SI'!AH272="","",'Mapa final SI'!AH272)</f>
        <v/>
      </c>
      <c r="M269" s="345" t="str">
        <f>IF('Mapa final SI'!T272="","",'Mapa final SI'!T272)</f>
        <v/>
      </c>
      <c r="N269" s="70"/>
      <c r="O269" s="70"/>
      <c r="P269" s="70"/>
      <c r="Q269" s="177"/>
    </row>
    <row r="270" spans="1:17" ht="43.5" customHeight="1" x14ac:dyDescent="0.25">
      <c r="A270" s="119" t="s">
        <v>802</v>
      </c>
      <c r="B270" s="713"/>
      <c r="C270" s="715"/>
      <c r="D270" s="717"/>
      <c r="E270" s="715"/>
      <c r="F270" s="718"/>
      <c r="G270" s="718"/>
      <c r="H270" s="719"/>
      <c r="I270" s="344" t="str">
        <f>IF('Mapa final SI'!AC273="","",'Mapa final SI'!AC273)</f>
        <v/>
      </c>
      <c r="J270" s="344" t="str">
        <f>IF('Mapa final SI'!AE273="","",'Mapa final SI'!AE273)</f>
        <v/>
      </c>
      <c r="K270" s="344" t="str">
        <f t="shared" si="4"/>
        <v/>
      </c>
      <c r="L270" s="344" t="str">
        <f>IF('Mapa final SI'!AH273="","",'Mapa final SI'!AH273)</f>
        <v/>
      </c>
      <c r="M270" s="345" t="str">
        <f>IF('Mapa final SI'!T273="","",'Mapa final SI'!T273)</f>
        <v/>
      </c>
      <c r="N270" s="70"/>
      <c r="O270" s="70"/>
      <c r="P270" s="70"/>
      <c r="Q270" s="177"/>
    </row>
    <row r="271" spans="1:17" ht="43.5" customHeight="1" x14ac:dyDescent="0.25">
      <c r="A271" s="119" t="s">
        <v>803</v>
      </c>
      <c r="B271" s="712"/>
      <c r="C271" s="714" t="str">
        <f>IF('Mapa final SI'!G274="","",'Mapa final SI'!G274)</f>
        <v/>
      </c>
      <c r="D271" s="716"/>
      <c r="E271" s="714" t="str">
        <f>IF('Mapa final SI'!F274="","",'Mapa final SI'!F274)</f>
        <v/>
      </c>
      <c r="F271" s="720" t="str">
        <f>IF('Mapa final SI'!L274="","",'Mapa final SI'!L274)</f>
        <v/>
      </c>
      <c r="G271" s="720" t="str">
        <f>IF('Mapa final SI'!P274="","",'Mapa final SI'!P274)</f>
        <v/>
      </c>
      <c r="H271" s="82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4" t="str">
        <f>IF('Mapa final SI'!AC274="","",'Mapa final SI'!AC274)</f>
        <v/>
      </c>
      <c r="J271" s="344" t="str">
        <f>IF('Mapa final SI'!AE274="","",'Mapa final SI'!AE274)</f>
        <v/>
      </c>
      <c r="K271" s="344" t="str">
        <f t="shared" si="4"/>
        <v/>
      </c>
      <c r="L271" s="344" t="str">
        <f>IF('Mapa final SI'!AH274="","",'Mapa final SI'!AH274)</f>
        <v/>
      </c>
      <c r="M271" s="345" t="str">
        <f>IF('Mapa final SI'!T274="","",'Mapa final SI'!T274)</f>
        <v/>
      </c>
      <c r="N271" s="70"/>
      <c r="O271" s="70"/>
      <c r="P271" s="70"/>
      <c r="Q271" s="177"/>
    </row>
    <row r="272" spans="1:17" ht="43.5" customHeight="1" x14ac:dyDescent="0.25">
      <c r="A272" s="119" t="s">
        <v>804</v>
      </c>
      <c r="B272" s="713"/>
      <c r="C272" s="715"/>
      <c r="D272" s="717"/>
      <c r="E272" s="715"/>
      <c r="F272" s="718"/>
      <c r="G272" s="718"/>
      <c r="H272" s="824"/>
      <c r="I272" s="344" t="str">
        <f>IF('Mapa final SI'!AC275="","",'Mapa final SI'!AC275)</f>
        <v/>
      </c>
      <c r="J272" s="344" t="str">
        <f>IF('Mapa final SI'!AE275="","",'Mapa final SI'!AE275)</f>
        <v/>
      </c>
      <c r="K272" s="344" t="str">
        <f t="shared" si="4"/>
        <v/>
      </c>
      <c r="L272" s="344" t="str">
        <f>IF('Mapa final SI'!AH275="","",'Mapa final SI'!AH275)</f>
        <v/>
      </c>
      <c r="M272" s="345" t="str">
        <f>IF('Mapa final SI'!T275="","",'Mapa final SI'!T275)</f>
        <v/>
      </c>
      <c r="N272" s="70"/>
      <c r="O272" s="70"/>
      <c r="P272" s="70"/>
      <c r="Q272" s="177"/>
    </row>
    <row r="273" spans="1:17" ht="43.5" customHeight="1" x14ac:dyDescent="0.25">
      <c r="A273" s="119" t="s">
        <v>805</v>
      </c>
      <c r="B273" s="713"/>
      <c r="C273" s="715"/>
      <c r="D273" s="717"/>
      <c r="E273" s="715"/>
      <c r="F273" s="718"/>
      <c r="G273" s="718"/>
      <c r="H273" s="824"/>
      <c r="I273" s="344" t="str">
        <f>IF('Mapa final SI'!AC276="","",'Mapa final SI'!AC276)</f>
        <v/>
      </c>
      <c r="J273" s="344" t="str">
        <f>IF('Mapa final SI'!AE276="","",'Mapa final SI'!AE276)</f>
        <v/>
      </c>
      <c r="K273" s="344" t="str">
        <f t="shared" si="4"/>
        <v/>
      </c>
      <c r="L273" s="344" t="str">
        <f>IF('Mapa final SI'!AH276="","",'Mapa final SI'!AH276)</f>
        <v/>
      </c>
      <c r="M273" s="345" t="str">
        <f>IF('Mapa final SI'!T276="","",'Mapa final SI'!T276)</f>
        <v/>
      </c>
      <c r="N273" s="70"/>
      <c r="O273" s="70"/>
      <c r="P273" s="70"/>
      <c r="Q273" s="177"/>
    </row>
    <row r="274" spans="1:17" ht="43.5" customHeight="1" x14ac:dyDescent="0.25">
      <c r="A274" s="119" t="s">
        <v>806</v>
      </c>
      <c r="B274" s="713"/>
      <c r="C274" s="715"/>
      <c r="D274" s="717"/>
      <c r="E274" s="715"/>
      <c r="F274" s="718"/>
      <c r="G274" s="718"/>
      <c r="H274" s="824"/>
      <c r="I274" s="344" t="str">
        <f>IF('Mapa final SI'!AC277="","",'Mapa final SI'!AC277)</f>
        <v/>
      </c>
      <c r="J274" s="344" t="str">
        <f>IF('Mapa final SI'!AE277="","",'Mapa final SI'!AE277)</f>
        <v/>
      </c>
      <c r="K274" s="344" t="str">
        <f t="shared" si="4"/>
        <v/>
      </c>
      <c r="L274" s="344" t="str">
        <f>IF('Mapa final SI'!AH277="","",'Mapa final SI'!AH277)</f>
        <v/>
      </c>
      <c r="M274" s="345" t="str">
        <f>IF('Mapa final SI'!T277="","",'Mapa final SI'!T277)</f>
        <v/>
      </c>
      <c r="N274" s="70"/>
      <c r="O274" s="70"/>
      <c r="P274" s="70"/>
      <c r="Q274" s="177"/>
    </row>
    <row r="275" spans="1:17" ht="43.5" customHeight="1" x14ac:dyDescent="0.25">
      <c r="A275" s="119" t="s">
        <v>807</v>
      </c>
      <c r="B275" s="713"/>
      <c r="C275" s="715"/>
      <c r="D275" s="717"/>
      <c r="E275" s="715"/>
      <c r="F275" s="718"/>
      <c r="G275" s="718"/>
      <c r="H275" s="824"/>
      <c r="I275" s="344" t="str">
        <f>IF('Mapa final SI'!AC278="","",'Mapa final SI'!AC278)</f>
        <v/>
      </c>
      <c r="J275" s="344" t="str">
        <f>IF('Mapa final SI'!AE278="","",'Mapa final SI'!AE278)</f>
        <v/>
      </c>
      <c r="K275" s="344" t="str">
        <f t="shared" si="4"/>
        <v/>
      </c>
      <c r="L275" s="344" t="str">
        <f>IF('Mapa final SI'!AH278="","",'Mapa final SI'!AH278)</f>
        <v/>
      </c>
      <c r="M275" s="345" t="str">
        <f>IF('Mapa final SI'!T278="","",'Mapa final SI'!T278)</f>
        <v/>
      </c>
      <c r="N275" s="70"/>
      <c r="O275" s="70"/>
      <c r="P275" s="70"/>
      <c r="Q275" s="177"/>
    </row>
    <row r="276" spans="1:17" ht="43.5" customHeight="1" x14ac:dyDescent="0.25">
      <c r="A276" s="119" t="s">
        <v>808</v>
      </c>
      <c r="B276" s="713"/>
      <c r="C276" s="715"/>
      <c r="D276" s="717"/>
      <c r="E276" s="715"/>
      <c r="F276" s="718"/>
      <c r="G276" s="718"/>
      <c r="H276" s="719"/>
      <c r="I276" s="344" t="str">
        <f>IF('Mapa final SI'!AC279="","",'Mapa final SI'!AC279)</f>
        <v/>
      </c>
      <c r="J276" s="344" t="str">
        <f>IF('Mapa final SI'!AE279="","",'Mapa final SI'!AE279)</f>
        <v/>
      </c>
      <c r="K276" s="344" t="str">
        <f t="shared" si="4"/>
        <v/>
      </c>
      <c r="L276" s="344" t="str">
        <f>IF('Mapa final SI'!AH279="","",'Mapa final SI'!AH279)</f>
        <v/>
      </c>
      <c r="M276" s="345" t="str">
        <f>IF('Mapa final SI'!T279="","",'Mapa final SI'!T279)</f>
        <v/>
      </c>
      <c r="N276" s="70"/>
      <c r="O276" s="70"/>
      <c r="P276" s="70"/>
      <c r="Q276" s="177"/>
    </row>
    <row r="277" spans="1:17" ht="43.5" customHeight="1" x14ac:dyDescent="0.25">
      <c r="A277" s="119" t="s">
        <v>809</v>
      </c>
      <c r="B277" s="712"/>
      <c r="C277" s="714" t="str">
        <f>IF('Mapa final SI'!G280="","",'Mapa final SI'!G280)</f>
        <v/>
      </c>
      <c r="D277" s="716"/>
      <c r="E277" s="714" t="str">
        <f>IF('Mapa final SI'!F280="","",'Mapa final SI'!F280)</f>
        <v/>
      </c>
      <c r="F277" s="720" t="str">
        <f>IF('Mapa final SI'!L280="","",'Mapa final SI'!L280)</f>
        <v/>
      </c>
      <c r="G277" s="720" t="str">
        <f>IF('Mapa final SI'!P280="","",'Mapa final SI'!P280)</f>
        <v/>
      </c>
      <c r="H277" s="82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4" t="str">
        <f>IF('Mapa final SI'!AC280="","",'Mapa final SI'!AC280)</f>
        <v/>
      </c>
      <c r="J277" s="344" t="str">
        <f>IF('Mapa final SI'!AE280="","",'Mapa final SI'!AE280)</f>
        <v/>
      </c>
      <c r="K277" s="344" t="str">
        <f t="shared" si="4"/>
        <v/>
      </c>
      <c r="L277" s="344" t="str">
        <f>IF('Mapa final SI'!AH280="","",'Mapa final SI'!AH280)</f>
        <v/>
      </c>
      <c r="M277" s="345" t="str">
        <f>IF('Mapa final SI'!T280="","",'Mapa final SI'!T280)</f>
        <v/>
      </c>
      <c r="N277" s="70"/>
      <c r="O277" s="70"/>
      <c r="P277" s="70"/>
      <c r="Q277" s="177"/>
    </row>
    <row r="278" spans="1:17" ht="43.5" customHeight="1" x14ac:dyDescent="0.25">
      <c r="A278" s="119" t="s">
        <v>810</v>
      </c>
      <c r="B278" s="713"/>
      <c r="C278" s="715"/>
      <c r="D278" s="717"/>
      <c r="E278" s="715"/>
      <c r="F278" s="718"/>
      <c r="G278" s="718"/>
      <c r="H278" s="824"/>
      <c r="I278" s="344" t="str">
        <f>IF('Mapa final SI'!AC281="","",'Mapa final SI'!AC281)</f>
        <v/>
      </c>
      <c r="J278" s="344" t="str">
        <f>IF('Mapa final SI'!AE281="","",'Mapa final SI'!AE281)</f>
        <v/>
      </c>
      <c r="K278" s="344" t="str">
        <f t="shared" si="4"/>
        <v/>
      </c>
      <c r="L278" s="344" t="str">
        <f>IF('Mapa final SI'!AH281="","",'Mapa final SI'!AH281)</f>
        <v/>
      </c>
      <c r="M278" s="345" t="str">
        <f>IF('Mapa final SI'!T281="","",'Mapa final SI'!T281)</f>
        <v/>
      </c>
      <c r="N278" s="70"/>
      <c r="O278" s="70"/>
      <c r="P278" s="70"/>
      <c r="Q278" s="177"/>
    </row>
    <row r="279" spans="1:17" ht="43.5" customHeight="1" x14ac:dyDescent="0.25">
      <c r="A279" s="119" t="s">
        <v>811</v>
      </c>
      <c r="B279" s="713"/>
      <c r="C279" s="715"/>
      <c r="D279" s="717"/>
      <c r="E279" s="715"/>
      <c r="F279" s="718"/>
      <c r="G279" s="718"/>
      <c r="H279" s="824"/>
      <c r="I279" s="344" t="str">
        <f>IF('Mapa final SI'!AC282="","",'Mapa final SI'!AC282)</f>
        <v/>
      </c>
      <c r="J279" s="344" t="str">
        <f>IF('Mapa final SI'!AE282="","",'Mapa final SI'!AE282)</f>
        <v/>
      </c>
      <c r="K279" s="344" t="str">
        <f t="shared" si="4"/>
        <v/>
      </c>
      <c r="L279" s="344" t="str">
        <f>IF('Mapa final SI'!AH282="","",'Mapa final SI'!AH282)</f>
        <v/>
      </c>
      <c r="M279" s="345" t="str">
        <f>IF('Mapa final SI'!T282="","",'Mapa final SI'!T282)</f>
        <v/>
      </c>
      <c r="N279" s="70"/>
      <c r="O279" s="70"/>
      <c r="P279" s="70"/>
      <c r="Q279" s="177"/>
    </row>
    <row r="280" spans="1:17" ht="43.5" customHeight="1" x14ac:dyDescent="0.25">
      <c r="A280" s="119" t="s">
        <v>812</v>
      </c>
      <c r="B280" s="713"/>
      <c r="C280" s="715"/>
      <c r="D280" s="717"/>
      <c r="E280" s="715"/>
      <c r="F280" s="718"/>
      <c r="G280" s="718"/>
      <c r="H280" s="824"/>
      <c r="I280" s="344" t="str">
        <f>IF('Mapa final SI'!AC283="","",'Mapa final SI'!AC283)</f>
        <v/>
      </c>
      <c r="J280" s="344" t="str">
        <f>IF('Mapa final SI'!AE283="","",'Mapa final SI'!AE283)</f>
        <v/>
      </c>
      <c r="K280" s="344" t="str">
        <f t="shared" si="4"/>
        <v/>
      </c>
      <c r="L280" s="344" t="str">
        <f>IF('Mapa final SI'!AH283="","",'Mapa final SI'!AH283)</f>
        <v/>
      </c>
      <c r="M280" s="345" t="str">
        <f>IF('Mapa final SI'!T283="","",'Mapa final SI'!T283)</f>
        <v/>
      </c>
      <c r="N280" s="70"/>
      <c r="O280" s="70"/>
      <c r="P280" s="70"/>
      <c r="Q280" s="177"/>
    </row>
    <row r="281" spans="1:17" ht="43.5" customHeight="1" x14ac:dyDescent="0.25">
      <c r="A281" s="119" t="s">
        <v>813</v>
      </c>
      <c r="B281" s="713"/>
      <c r="C281" s="715"/>
      <c r="D281" s="717"/>
      <c r="E281" s="715"/>
      <c r="F281" s="718"/>
      <c r="G281" s="718"/>
      <c r="H281" s="824"/>
      <c r="I281" s="344" t="str">
        <f>IF('Mapa final SI'!AC284="","",'Mapa final SI'!AC284)</f>
        <v/>
      </c>
      <c r="J281" s="344" t="str">
        <f>IF('Mapa final SI'!AE284="","",'Mapa final SI'!AE284)</f>
        <v/>
      </c>
      <c r="K281" s="344" t="str">
        <f t="shared" si="4"/>
        <v/>
      </c>
      <c r="L281" s="344" t="str">
        <f>IF('Mapa final SI'!AH284="","",'Mapa final SI'!AH284)</f>
        <v/>
      </c>
      <c r="M281" s="345" t="str">
        <f>IF('Mapa final SI'!T284="","",'Mapa final SI'!T284)</f>
        <v/>
      </c>
      <c r="N281" s="70"/>
      <c r="O281" s="70"/>
      <c r="P281" s="70"/>
      <c r="Q281" s="177"/>
    </row>
    <row r="282" spans="1:17" ht="43.5" customHeight="1" x14ac:dyDescent="0.25">
      <c r="A282" s="119" t="s">
        <v>814</v>
      </c>
      <c r="B282" s="713"/>
      <c r="C282" s="715"/>
      <c r="D282" s="717"/>
      <c r="E282" s="715"/>
      <c r="F282" s="718"/>
      <c r="G282" s="718"/>
      <c r="H282" s="719"/>
      <c r="I282" s="344" t="str">
        <f>IF('Mapa final SI'!AC285="","",'Mapa final SI'!AC285)</f>
        <v/>
      </c>
      <c r="J282" s="344" t="str">
        <f>IF('Mapa final SI'!AE285="","",'Mapa final SI'!AE285)</f>
        <v/>
      </c>
      <c r="K282" s="344" t="str">
        <f t="shared" si="4"/>
        <v/>
      </c>
      <c r="L282" s="344" t="str">
        <f>IF('Mapa final SI'!AH285="","",'Mapa final SI'!AH285)</f>
        <v/>
      </c>
      <c r="M282" s="345" t="str">
        <f>IF('Mapa final SI'!T285="","",'Mapa final SI'!T285)</f>
        <v/>
      </c>
      <c r="N282" s="70"/>
      <c r="O282" s="70"/>
      <c r="P282" s="70"/>
      <c r="Q282" s="177"/>
    </row>
    <row r="283" spans="1:17" ht="43.5" customHeight="1" x14ac:dyDescent="0.25">
      <c r="A283" s="119" t="s">
        <v>815</v>
      </c>
      <c r="B283" s="712"/>
      <c r="C283" s="714" t="str">
        <f>IF('Mapa final SI'!G286="","",'Mapa final SI'!G286)</f>
        <v/>
      </c>
      <c r="D283" s="716"/>
      <c r="E283" s="714" t="str">
        <f>IF('Mapa final SI'!F286="","",'Mapa final SI'!F286)</f>
        <v/>
      </c>
      <c r="F283" s="720" t="str">
        <f>IF('Mapa final SI'!L286="","",'Mapa final SI'!L286)</f>
        <v/>
      </c>
      <c r="G283" s="720" t="str">
        <f>IF('Mapa final SI'!P286="","",'Mapa final SI'!P286)</f>
        <v/>
      </c>
      <c r="H283" s="82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4" t="str">
        <f>IF('Mapa final SI'!AC286="","",'Mapa final SI'!AC286)</f>
        <v/>
      </c>
      <c r="J283" s="344" t="str">
        <f>IF('Mapa final SI'!AE286="","",'Mapa final SI'!AE286)</f>
        <v/>
      </c>
      <c r="K283" s="344" t="str">
        <f t="shared" si="4"/>
        <v/>
      </c>
      <c r="L283" s="344" t="str">
        <f>IF('Mapa final SI'!AH286="","",'Mapa final SI'!AH286)</f>
        <v/>
      </c>
      <c r="M283" s="345" t="str">
        <f>IF('Mapa final SI'!T286="","",'Mapa final SI'!T286)</f>
        <v/>
      </c>
      <c r="N283" s="70"/>
      <c r="O283" s="70"/>
      <c r="P283" s="70"/>
      <c r="Q283" s="177"/>
    </row>
    <row r="284" spans="1:17" ht="43.5" customHeight="1" x14ac:dyDescent="0.25">
      <c r="A284" s="119" t="s">
        <v>816</v>
      </c>
      <c r="B284" s="713"/>
      <c r="C284" s="715"/>
      <c r="D284" s="717"/>
      <c r="E284" s="715"/>
      <c r="F284" s="718"/>
      <c r="G284" s="718"/>
      <c r="H284" s="824"/>
      <c r="I284" s="344" t="str">
        <f>IF('Mapa final SI'!AC287="","",'Mapa final SI'!AC287)</f>
        <v/>
      </c>
      <c r="J284" s="344" t="str">
        <f>IF('Mapa final SI'!AE287="","",'Mapa final SI'!AE287)</f>
        <v/>
      </c>
      <c r="K284" s="344" t="str">
        <f t="shared" si="4"/>
        <v/>
      </c>
      <c r="L284" s="344" t="str">
        <f>IF('Mapa final SI'!AH287="","",'Mapa final SI'!AH287)</f>
        <v/>
      </c>
      <c r="M284" s="345" t="str">
        <f>IF('Mapa final SI'!T287="","",'Mapa final SI'!T287)</f>
        <v/>
      </c>
      <c r="N284" s="70"/>
      <c r="O284" s="70"/>
      <c r="P284" s="70"/>
      <c r="Q284" s="177"/>
    </row>
    <row r="285" spans="1:17" ht="43.5" customHeight="1" x14ac:dyDescent="0.25">
      <c r="A285" s="119" t="s">
        <v>817</v>
      </c>
      <c r="B285" s="713"/>
      <c r="C285" s="715"/>
      <c r="D285" s="717"/>
      <c r="E285" s="715"/>
      <c r="F285" s="718"/>
      <c r="G285" s="718"/>
      <c r="H285" s="824"/>
      <c r="I285" s="344" t="str">
        <f>IF('Mapa final SI'!AC288="","",'Mapa final SI'!AC288)</f>
        <v/>
      </c>
      <c r="J285" s="344" t="str">
        <f>IF('Mapa final SI'!AE288="","",'Mapa final SI'!AE288)</f>
        <v/>
      </c>
      <c r="K285" s="344" t="str">
        <f t="shared" si="4"/>
        <v/>
      </c>
      <c r="L285" s="344" t="str">
        <f>IF('Mapa final SI'!AH288="","",'Mapa final SI'!AH288)</f>
        <v/>
      </c>
      <c r="M285" s="345" t="str">
        <f>IF('Mapa final SI'!T288="","",'Mapa final SI'!T288)</f>
        <v/>
      </c>
      <c r="N285" s="70"/>
      <c r="O285" s="70"/>
      <c r="P285" s="70"/>
      <c r="Q285" s="177"/>
    </row>
    <row r="286" spans="1:17" ht="43.5" customHeight="1" x14ac:dyDescent="0.25">
      <c r="A286" s="119" t="s">
        <v>818</v>
      </c>
      <c r="B286" s="713"/>
      <c r="C286" s="715"/>
      <c r="D286" s="717"/>
      <c r="E286" s="715"/>
      <c r="F286" s="718"/>
      <c r="G286" s="718"/>
      <c r="H286" s="824"/>
      <c r="I286" s="344" t="str">
        <f>IF('Mapa final SI'!AC289="","",'Mapa final SI'!AC289)</f>
        <v/>
      </c>
      <c r="J286" s="344" t="str">
        <f>IF('Mapa final SI'!AE289="","",'Mapa final SI'!AE289)</f>
        <v/>
      </c>
      <c r="K286" s="344" t="str">
        <f t="shared" si="4"/>
        <v/>
      </c>
      <c r="L286" s="344" t="str">
        <f>IF('Mapa final SI'!AH289="","",'Mapa final SI'!AH289)</f>
        <v/>
      </c>
      <c r="M286" s="345" t="str">
        <f>IF('Mapa final SI'!T289="","",'Mapa final SI'!T289)</f>
        <v/>
      </c>
      <c r="N286" s="70"/>
      <c r="O286" s="70"/>
      <c r="P286" s="70"/>
      <c r="Q286" s="177"/>
    </row>
    <row r="287" spans="1:17" ht="43.5" customHeight="1" x14ac:dyDescent="0.25">
      <c r="A287" s="119" t="s">
        <v>819</v>
      </c>
      <c r="B287" s="713"/>
      <c r="C287" s="715"/>
      <c r="D287" s="717"/>
      <c r="E287" s="715"/>
      <c r="F287" s="718"/>
      <c r="G287" s="718"/>
      <c r="H287" s="824"/>
      <c r="I287" s="344" t="str">
        <f>IF('Mapa final SI'!AC290="","",'Mapa final SI'!AC290)</f>
        <v/>
      </c>
      <c r="J287" s="344" t="str">
        <f>IF('Mapa final SI'!AE290="","",'Mapa final SI'!AE290)</f>
        <v/>
      </c>
      <c r="K287" s="344" t="str">
        <f t="shared" si="4"/>
        <v/>
      </c>
      <c r="L287" s="344" t="str">
        <f>IF('Mapa final SI'!AH290="","",'Mapa final SI'!AH290)</f>
        <v/>
      </c>
      <c r="M287" s="345" t="str">
        <f>IF('Mapa final SI'!T290="","",'Mapa final SI'!T290)</f>
        <v/>
      </c>
      <c r="N287" s="70"/>
      <c r="O287" s="70"/>
      <c r="P287" s="70"/>
      <c r="Q287" s="177"/>
    </row>
    <row r="288" spans="1:17" ht="43.5" customHeight="1" x14ac:dyDescent="0.25">
      <c r="A288" s="119" t="s">
        <v>820</v>
      </c>
      <c r="B288" s="713"/>
      <c r="C288" s="715"/>
      <c r="D288" s="717"/>
      <c r="E288" s="715"/>
      <c r="F288" s="718"/>
      <c r="G288" s="718"/>
      <c r="H288" s="719"/>
      <c r="I288" s="344" t="str">
        <f>IF('Mapa final SI'!AC291="","",'Mapa final SI'!AC291)</f>
        <v/>
      </c>
      <c r="J288" s="344" t="str">
        <f>IF('Mapa final SI'!AE291="","",'Mapa final SI'!AE291)</f>
        <v/>
      </c>
      <c r="K288" s="344" t="str">
        <f t="shared" si="4"/>
        <v/>
      </c>
      <c r="L288" s="344" t="str">
        <f>IF('Mapa final SI'!AH291="","",'Mapa final SI'!AH291)</f>
        <v/>
      </c>
      <c r="M288" s="345" t="str">
        <f>IF('Mapa final SI'!T291="","",'Mapa final SI'!T291)</f>
        <v/>
      </c>
      <c r="N288" s="70"/>
      <c r="O288" s="70"/>
      <c r="P288" s="70"/>
      <c r="Q288" s="177"/>
    </row>
    <row r="289" spans="1:17" ht="43.5" customHeight="1" x14ac:dyDescent="0.25">
      <c r="A289" s="119" t="s">
        <v>821</v>
      </c>
      <c r="B289" s="712"/>
      <c r="C289" s="714" t="str">
        <f>IF('Mapa final SI'!G292="","",'Mapa final SI'!G292)</f>
        <v/>
      </c>
      <c r="D289" s="716"/>
      <c r="E289" s="714" t="str">
        <f>IF('Mapa final SI'!F292="","",'Mapa final SI'!F292)</f>
        <v/>
      </c>
      <c r="F289" s="720" t="str">
        <f>IF('Mapa final SI'!L292="","",'Mapa final SI'!L292)</f>
        <v/>
      </c>
      <c r="G289" s="720" t="str">
        <f>IF('Mapa final SI'!P292="","",'Mapa final SI'!P292)</f>
        <v/>
      </c>
      <c r="H289" s="82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4" t="str">
        <f>IF('Mapa final SI'!AC292="","",'Mapa final SI'!AC292)</f>
        <v/>
      </c>
      <c r="J289" s="344" t="str">
        <f>IF('Mapa final SI'!AE292="","",'Mapa final SI'!AE292)</f>
        <v/>
      </c>
      <c r="K289" s="344" t="str">
        <f t="shared" si="4"/>
        <v/>
      </c>
      <c r="L289" s="344" t="str">
        <f>IF('Mapa final SI'!AH292="","",'Mapa final SI'!AH292)</f>
        <v/>
      </c>
      <c r="M289" s="345" t="str">
        <f>IF('Mapa final SI'!T292="","",'Mapa final SI'!T292)</f>
        <v/>
      </c>
      <c r="N289" s="70"/>
      <c r="O289" s="70"/>
      <c r="P289" s="70"/>
      <c r="Q289" s="177"/>
    </row>
    <row r="290" spans="1:17" ht="43.5" customHeight="1" x14ac:dyDescent="0.25">
      <c r="A290" s="119" t="s">
        <v>822</v>
      </c>
      <c r="B290" s="713"/>
      <c r="C290" s="715"/>
      <c r="D290" s="717"/>
      <c r="E290" s="715"/>
      <c r="F290" s="718"/>
      <c r="G290" s="718"/>
      <c r="H290" s="824"/>
      <c r="I290" s="344" t="str">
        <f>IF('Mapa final SI'!AC293="","",'Mapa final SI'!AC293)</f>
        <v/>
      </c>
      <c r="J290" s="344" t="str">
        <f>IF('Mapa final SI'!AE293="","",'Mapa final SI'!AE293)</f>
        <v/>
      </c>
      <c r="K290" s="344" t="str">
        <f t="shared" si="4"/>
        <v/>
      </c>
      <c r="L290" s="344" t="str">
        <f>IF('Mapa final SI'!AH293="","",'Mapa final SI'!AH293)</f>
        <v/>
      </c>
      <c r="M290" s="345" t="str">
        <f>IF('Mapa final SI'!T293="","",'Mapa final SI'!T293)</f>
        <v/>
      </c>
      <c r="N290" s="70"/>
      <c r="O290" s="70"/>
      <c r="P290" s="70"/>
      <c r="Q290" s="177"/>
    </row>
    <row r="291" spans="1:17" ht="43.5" customHeight="1" x14ac:dyDescent="0.25">
      <c r="A291" s="119" t="s">
        <v>823</v>
      </c>
      <c r="B291" s="713"/>
      <c r="C291" s="715"/>
      <c r="D291" s="717"/>
      <c r="E291" s="715"/>
      <c r="F291" s="718"/>
      <c r="G291" s="718"/>
      <c r="H291" s="824"/>
      <c r="I291" s="344" t="str">
        <f>IF('Mapa final SI'!AC294="","",'Mapa final SI'!AC294)</f>
        <v/>
      </c>
      <c r="J291" s="344" t="str">
        <f>IF('Mapa final SI'!AE294="","",'Mapa final SI'!AE294)</f>
        <v/>
      </c>
      <c r="K291" s="344" t="str">
        <f t="shared" si="4"/>
        <v/>
      </c>
      <c r="L291" s="344" t="str">
        <f>IF('Mapa final SI'!AH294="","",'Mapa final SI'!AH294)</f>
        <v/>
      </c>
      <c r="M291" s="345" t="str">
        <f>IF('Mapa final SI'!T294="","",'Mapa final SI'!T294)</f>
        <v/>
      </c>
      <c r="N291" s="70"/>
      <c r="O291" s="70"/>
      <c r="P291" s="70"/>
      <c r="Q291" s="177"/>
    </row>
    <row r="292" spans="1:17" ht="43.5" customHeight="1" x14ac:dyDescent="0.25">
      <c r="A292" s="119" t="s">
        <v>824</v>
      </c>
      <c r="B292" s="713"/>
      <c r="C292" s="715"/>
      <c r="D292" s="717"/>
      <c r="E292" s="715"/>
      <c r="F292" s="718"/>
      <c r="G292" s="718"/>
      <c r="H292" s="824"/>
      <c r="I292" s="344" t="str">
        <f>IF('Mapa final SI'!AC295="","",'Mapa final SI'!AC295)</f>
        <v/>
      </c>
      <c r="J292" s="344" t="str">
        <f>IF('Mapa final SI'!AE295="","",'Mapa final SI'!AE295)</f>
        <v/>
      </c>
      <c r="K292" s="344" t="str">
        <f t="shared" si="4"/>
        <v/>
      </c>
      <c r="L292" s="344" t="str">
        <f>IF('Mapa final SI'!AH295="","",'Mapa final SI'!AH295)</f>
        <v/>
      </c>
      <c r="M292" s="345" t="str">
        <f>IF('Mapa final SI'!T295="","",'Mapa final SI'!T295)</f>
        <v/>
      </c>
      <c r="N292" s="70"/>
      <c r="O292" s="70"/>
      <c r="P292" s="70"/>
      <c r="Q292" s="177"/>
    </row>
    <row r="293" spans="1:17" ht="43.5" customHeight="1" x14ac:dyDescent="0.25">
      <c r="A293" s="119" t="s">
        <v>825</v>
      </c>
      <c r="B293" s="713"/>
      <c r="C293" s="715"/>
      <c r="D293" s="717"/>
      <c r="E293" s="715"/>
      <c r="F293" s="718"/>
      <c r="G293" s="718"/>
      <c r="H293" s="824"/>
      <c r="I293" s="344" t="str">
        <f>IF('Mapa final SI'!AC296="","",'Mapa final SI'!AC296)</f>
        <v/>
      </c>
      <c r="J293" s="344" t="str">
        <f>IF('Mapa final SI'!AE296="","",'Mapa final SI'!AE296)</f>
        <v/>
      </c>
      <c r="K293" s="344" t="str">
        <f t="shared" si="4"/>
        <v/>
      </c>
      <c r="L293" s="344" t="str">
        <f>IF('Mapa final SI'!AH296="","",'Mapa final SI'!AH296)</f>
        <v/>
      </c>
      <c r="M293" s="345" t="str">
        <f>IF('Mapa final SI'!T296="","",'Mapa final SI'!T296)</f>
        <v/>
      </c>
      <c r="N293" s="70"/>
      <c r="O293" s="70"/>
      <c r="P293" s="70"/>
      <c r="Q293" s="177"/>
    </row>
    <row r="294" spans="1:17" ht="43.5" customHeight="1" x14ac:dyDescent="0.25">
      <c r="A294" s="119" t="s">
        <v>826</v>
      </c>
      <c r="B294" s="713"/>
      <c r="C294" s="715"/>
      <c r="D294" s="717"/>
      <c r="E294" s="715"/>
      <c r="F294" s="718"/>
      <c r="G294" s="718"/>
      <c r="H294" s="719"/>
      <c r="I294" s="344" t="str">
        <f>IF('Mapa final SI'!AC297="","",'Mapa final SI'!AC297)</f>
        <v/>
      </c>
      <c r="J294" s="344" t="str">
        <f>IF('Mapa final SI'!AE297="","",'Mapa final SI'!AE297)</f>
        <v/>
      </c>
      <c r="K294" s="344" t="str">
        <f t="shared" si="4"/>
        <v/>
      </c>
      <c r="L294" s="344" t="str">
        <f>IF('Mapa final SI'!AH297="","",'Mapa final SI'!AH297)</f>
        <v/>
      </c>
      <c r="M294" s="345" t="str">
        <f>IF('Mapa final SI'!T297="","",'Mapa final SI'!T297)</f>
        <v/>
      </c>
      <c r="N294" s="70"/>
      <c r="O294" s="70"/>
      <c r="P294" s="70"/>
      <c r="Q294" s="177"/>
    </row>
    <row r="295" spans="1:17" ht="43.5" customHeight="1" x14ac:dyDescent="0.25">
      <c r="A295" s="119" t="s">
        <v>827</v>
      </c>
      <c r="B295" s="712"/>
      <c r="C295" s="714" t="str">
        <f>IF('Mapa final SI'!G298="","",'Mapa final SI'!G298)</f>
        <v/>
      </c>
      <c r="D295" s="716"/>
      <c r="E295" s="714" t="str">
        <f>IF('Mapa final SI'!F298="","",'Mapa final SI'!F298)</f>
        <v/>
      </c>
      <c r="F295" s="720" t="str">
        <f>IF('Mapa final SI'!L298="","",'Mapa final SI'!L298)</f>
        <v/>
      </c>
      <c r="G295" s="720" t="str">
        <f>IF('Mapa final SI'!P298="","",'Mapa final SI'!P298)</f>
        <v/>
      </c>
      <c r="H295" s="82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4" t="str">
        <f>IF('Mapa final SI'!AC298="","",'Mapa final SI'!AC298)</f>
        <v/>
      </c>
      <c r="J295" s="344" t="str">
        <f>IF('Mapa final SI'!AE298="","",'Mapa final SI'!AE298)</f>
        <v/>
      </c>
      <c r="K295" s="344" t="str">
        <f t="shared" si="4"/>
        <v/>
      </c>
      <c r="L295" s="344" t="str">
        <f>IF('Mapa final SI'!AH298="","",'Mapa final SI'!AH298)</f>
        <v/>
      </c>
      <c r="M295" s="345" t="str">
        <f>IF('Mapa final SI'!T298="","",'Mapa final SI'!T298)</f>
        <v/>
      </c>
      <c r="N295" s="70"/>
      <c r="O295" s="70"/>
      <c r="P295" s="70"/>
      <c r="Q295" s="177"/>
    </row>
    <row r="296" spans="1:17" ht="43.5" customHeight="1" x14ac:dyDescent="0.25">
      <c r="A296" s="119" t="s">
        <v>828</v>
      </c>
      <c r="B296" s="713"/>
      <c r="C296" s="715"/>
      <c r="D296" s="717"/>
      <c r="E296" s="715"/>
      <c r="F296" s="718"/>
      <c r="G296" s="718"/>
      <c r="H296" s="824"/>
      <c r="I296" s="344" t="str">
        <f>IF('Mapa final SI'!AC299="","",'Mapa final SI'!AC299)</f>
        <v/>
      </c>
      <c r="J296" s="344" t="str">
        <f>IF('Mapa final SI'!AE299="","",'Mapa final SI'!AE299)</f>
        <v/>
      </c>
      <c r="K296" s="344" t="str">
        <f t="shared" si="4"/>
        <v/>
      </c>
      <c r="L296" s="344" t="str">
        <f>IF('Mapa final SI'!AH299="","",'Mapa final SI'!AH299)</f>
        <v/>
      </c>
      <c r="M296" s="345" t="str">
        <f>IF('Mapa final SI'!T299="","",'Mapa final SI'!T299)</f>
        <v/>
      </c>
      <c r="N296" s="70"/>
      <c r="O296" s="70"/>
      <c r="P296" s="70"/>
      <c r="Q296" s="177"/>
    </row>
    <row r="297" spans="1:17" ht="43.5" customHeight="1" x14ac:dyDescent="0.25">
      <c r="A297" s="119" t="s">
        <v>829</v>
      </c>
      <c r="B297" s="713"/>
      <c r="C297" s="715"/>
      <c r="D297" s="717"/>
      <c r="E297" s="715"/>
      <c r="F297" s="718"/>
      <c r="G297" s="718"/>
      <c r="H297" s="824"/>
      <c r="I297" s="344" t="str">
        <f>IF('Mapa final SI'!AC300="","",'Mapa final SI'!AC300)</f>
        <v/>
      </c>
      <c r="J297" s="344" t="str">
        <f>IF('Mapa final SI'!AE300="","",'Mapa final SI'!AE300)</f>
        <v/>
      </c>
      <c r="K297" s="344" t="str">
        <f t="shared" si="4"/>
        <v/>
      </c>
      <c r="L297" s="344" t="str">
        <f>IF('Mapa final SI'!AH300="","",'Mapa final SI'!AH300)</f>
        <v/>
      </c>
      <c r="M297" s="345" t="str">
        <f>IF('Mapa final SI'!T300="","",'Mapa final SI'!T300)</f>
        <v/>
      </c>
      <c r="N297" s="70"/>
      <c r="O297" s="70"/>
      <c r="P297" s="70"/>
      <c r="Q297" s="177"/>
    </row>
    <row r="298" spans="1:17" ht="43.5" customHeight="1" x14ac:dyDescent="0.25">
      <c r="A298" s="119" t="s">
        <v>830</v>
      </c>
      <c r="B298" s="713"/>
      <c r="C298" s="715"/>
      <c r="D298" s="717"/>
      <c r="E298" s="715"/>
      <c r="F298" s="718"/>
      <c r="G298" s="718"/>
      <c r="H298" s="824"/>
      <c r="I298" s="344" t="str">
        <f>IF('Mapa final SI'!AC301="","",'Mapa final SI'!AC301)</f>
        <v/>
      </c>
      <c r="J298" s="344" t="str">
        <f>IF('Mapa final SI'!AE301="","",'Mapa final SI'!AE301)</f>
        <v/>
      </c>
      <c r="K298" s="344" t="str">
        <f t="shared" si="4"/>
        <v/>
      </c>
      <c r="L298" s="344" t="str">
        <f>IF('Mapa final SI'!AH301="","",'Mapa final SI'!AH301)</f>
        <v/>
      </c>
      <c r="M298" s="345" t="str">
        <f>IF('Mapa final SI'!T301="","",'Mapa final SI'!T301)</f>
        <v/>
      </c>
      <c r="N298" s="70"/>
      <c r="O298" s="70"/>
      <c r="P298" s="70"/>
      <c r="Q298" s="177"/>
    </row>
    <row r="299" spans="1:17" ht="43.5" customHeight="1" x14ac:dyDescent="0.25">
      <c r="A299" s="119" t="s">
        <v>831</v>
      </c>
      <c r="B299" s="713"/>
      <c r="C299" s="715"/>
      <c r="D299" s="717"/>
      <c r="E299" s="715"/>
      <c r="F299" s="718"/>
      <c r="G299" s="718"/>
      <c r="H299" s="824"/>
      <c r="I299" s="344" t="str">
        <f>IF('Mapa final SI'!AC302="","",'Mapa final SI'!AC302)</f>
        <v/>
      </c>
      <c r="J299" s="344" t="str">
        <f>IF('Mapa final SI'!AE302="","",'Mapa final SI'!AE302)</f>
        <v/>
      </c>
      <c r="K299" s="344" t="str">
        <f t="shared" si="4"/>
        <v/>
      </c>
      <c r="L299" s="344" t="str">
        <f>IF('Mapa final SI'!AH302="","",'Mapa final SI'!AH302)</f>
        <v/>
      </c>
      <c r="M299" s="345" t="str">
        <f>IF('Mapa final SI'!T302="","",'Mapa final SI'!T302)</f>
        <v/>
      </c>
      <c r="N299" s="70"/>
      <c r="O299" s="70"/>
      <c r="P299" s="70"/>
      <c r="Q299" s="177"/>
    </row>
    <row r="300" spans="1:17" ht="43.5" customHeight="1" x14ac:dyDescent="0.25">
      <c r="A300" s="119" t="s">
        <v>832</v>
      </c>
      <c r="B300" s="713"/>
      <c r="C300" s="715"/>
      <c r="D300" s="717"/>
      <c r="E300" s="715"/>
      <c r="F300" s="718"/>
      <c r="G300" s="718"/>
      <c r="H300" s="719"/>
      <c r="I300" s="344" t="str">
        <f>IF('Mapa final SI'!AC303="","",'Mapa final SI'!AC303)</f>
        <v/>
      </c>
      <c r="J300" s="344" t="str">
        <f>IF('Mapa final SI'!AE303="","",'Mapa final SI'!AE303)</f>
        <v/>
      </c>
      <c r="K300" s="344" t="str">
        <f t="shared" si="4"/>
        <v/>
      </c>
      <c r="L300" s="344" t="str">
        <f>IF('Mapa final SI'!AH303="","",'Mapa final SI'!AH303)</f>
        <v/>
      </c>
      <c r="M300" s="345" t="str">
        <f>IF('Mapa final SI'!T303="","",'Mapa final SI'!T303)</f>
        <v/>
      </c>
      <c r="N300" s="70"/>
      <c r="O300" s="70"/>
      <c r="P300" s="70"/>
      <c r="Q300" s="177"/>
    </row>
    <row r="301" spans="1:17" ht="43.5" customHeight="1" x14ac:dyDescent="0.25">
      <c r="A301" s="119" t="s">
        <v>833</v>
      </c>
      <c r="B301" s="712"/>
      <c r="C301" s="714" t="str">
        <f>IF('Mapa final SI'!G304="","",'Mapa final SI'!G304)</f>
        <v/>
      </c>
      <c r="D301" s="716"/>
      <c r="E301" s="714" t="str">
        <f>IF('Mapa final SI'!F304="","",'Mapa final SI'!F304)</f>
        <v/>
      </c>
      <c r="F301" s="720" t="str">
        <f>IF('Mapa final SI'!L304="","",'Mapa final SI'!L304)</f>
        <v/>
      </c>
      <c r="G301" s="720" t="str">
        <f>IF('Mapa final SI'!P304="","",'Mapa final SI'!P304)</f>
        <v/>
      </c>
      <c r="H301" s="82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4" t="str">
        <f>IF('Mapa final SI'!AC304="","",'Mapa final SI'!AC304)</f>
        <v/>
      </c>
      <c r="J301" s="344" t="str">
        <f>IF('Mapa final SI'!AE304="","",'Mapa final SI'!AE304)</f>
        <v/>
      </c>
      <c r="K301" s="344" t="str">
        <f t="shared" si="4"/>
        <v/>
      </c>
      <c r="L301" s="344" t="str">
        <f>IF('Mapa final SI'!AH304="","",'Mapa final SI'!AH304)</f>
        <v/>
      </c>
      <c r="M301" s="345" t="str">
        <f>IF('Mapa final SI'!T304="","",'Mapa final SI'!T304)</f>
        <v/>
      </c>
      <c r="N301" s="70"/>
      <c r="O301" s="70"/>
      <c r="P301" s="70"/>
      <c r="Q301" s="177"/>
    </row>
    <row r="302" spans="1:17" ht="43.5" customHeight="1" x14ac:dyDescent="0.25">
      <c r="A302" s="119" t="s">
        <v>834</v>
      </c>
      <c r="B302" s="713"/>
      <c r="C302" s="715"/>
      <c r="D302" s="717"/>
      <c r="E302" s="715"/>
      <c r="F302" s="718"/>
      <c r="G302" s="718"/>
      <c r="H302" s="824"/>
      <c r="I302" s="344" t="str">
        <f>IF('Mapa final SI'!AC305="","",'Mapa final SI'!AC305)</f>
        <v/>
      </c>
      <c r="J302" s="344" t="str">
        <f>IF('Mapa final SI'!AE305="","",'Mapa final SI'!AE305)</f>
        <v/>
      </c>
      <c r="K302" s="344" t="str">
        <f t="shared" si="4"/>
        <v/>
      </c>
      <c r="L302" s="344" t="str">
        <f>IF('Mapa final SI'!AH305="","",'Mapa final SI'!AH305)</f>
        <v/>
      </c>
      <c r="M302" s="345" t="str">
        <f>IF('Mapa final SI'!T305="","",'Mapa final SI'!T305)</f>
        <v/>
      </c>
      <c r="N302" s="70"/>
      <c r="O302" s="70"/>
      <c r="P302" s="70"/>
      <c r="Q302" s="177"/>
    </row>
    <row r="303" spans="1:17" ht="43.5" customHeight="1" x14ac:dyDescent="0.25">
      <c r="A303" s="119" t="s">
        <v>835</v>
      </c>
      <c r="B303" s="713"/>
      <c r="C303" s="715"/>
      <c r="D303" s="717"/>
      <c r="E303" s="715"/>
      <c r="F303" s="718"/>
      <c r="G303" s="718"/>
      <c r="H303" s="824"/>
      <c r="I303" s="344" t="str">
        <f>IF('Mapa final SI'!AC306="","",'Mapa final SI'!AC306)</f>
        <v/>
      </c>
      <c r="J303" s="344" t="str">
        <f>IF('Mapa final SI'!AE306="","",'Mapa final SI'!AE306)</f>
        <v/>
      </c>
      <c r="K303" s="344" t="str">
        <f t="shared" si="4"/>
        <v/>
      </c>
      <c r="L303" s="344" t="str">
        <f>IF('Mapa final SI'!AH306="","",'Mapa final SI'!AH306)</f>
        <v/>
      </c>
      <c r="M303" s="345" t="str">
        <f>IF('Mapa final SI'!T306="","",'Mapa final SI'!T306)</f>
        <v/>
      </c>
      <c r="N303" s="70"/>
      <c r="O303" s="70"/>
      <c r="P303" s="70"/>
      <c r="Q303" s="177"/>
    </row>
    <row r="304" spans="1:17" ht="43.5" customHeight="1" x14ac:dyDescent="0.25">
      <c r="A304" s="119" t="s">
        <v>836</v>
      </c>
      <c r="B304" s="713"/>
      <c r="C304" s="715"/>
      <c r="D304" s="717"/>
      <c r="E304" s="715"/>
      <c r="F304" s="718"/>
      <c r="G304" s="718"/>
      <c r="H304" s="824"/>
      <c r="I304" s="344" t="str">
        <f>IF('Mapa final SI'!AC307="","",'Mapa final SI'!AC307)</f>
        <v/>
      </c>
      <c r="J304" s="344" t="str">
        <f>IF('Mapa final SI'!AE307="","",'Mapa final SI'!AE307)</f>
        <v/>
      </c>
      <c r="K304" s="344" t="str">
        <f t="shared" si="4"/>
        <v/>
      </c>
      <c r="L304" s="344" t="str">
        <f>IF('Mapa final SI'!AH307="","",'Mapa final SI'!AH307)</f>
        <v/>
      </c>
      <c r="M304" s="345" t="str">
        <f>IF('Mapa final SI'!T307="","",'Mapa final SI'!T307)</f>
        <v/>
      </c>
      <c r="N304" s="70"/>
      <c r="O304" s="70"/>
      <c r="P304" s="70"/>
      <c r="Q304" s="177"/>
    </row>
    <row r="305" spans="1:17" ht="43.5" customHeight="1" x14ac:dyDescent="0.25">
      <c r="A305" s="119" t="s">
        <v>837</v>
      </c>
      <c r="B305" s="713"/>
      <c r="C305" s="715"/>
      <c r="D305" s="717"/>
      <c r="E305" s="715"/>
      <c r="F305" s="718"/>
      <c r="G305" s="718"/>
      <c r="H305" s="824"/>
      <c r="I305" s="344" t="str">
        <f>IF('Mapa final SI'!AC308="","",'Mapa final SI'!AC308)</f>
        <v/>
      </c>
      <c r="J305" s="344" t="str">
        <f>IF('Mapa final SI'!AE308="","",'Mapa final SI'!AE308)</f>
        <v/>
      </c>
      <c r="K305" s="344" t="str">
        <f t="shared" si="4"/>
        <v/>
      </c>
      <c r="L305" s="344" t="str">
        <f>IF('Mapa final SI'!AH308="","",'Mapa final SI'!AH308)</f>
        <v/>
      </c>
      <c r="M305" s="345" t="str">
        <f>IF('Mapa final SI'!T308="","",'Mapa final SI'!T308)</f>
        <v/>
      </c>
      <c r="N305" s="70"/>
      <c r="O305" s="70"/>
      <c r="P305" s="70"/>
      <c r="Q305" s="177"/>
    </row>
    <row r="306" spans="1:17" ht="43.5" customHeight="1" x14ac:dyDescent="0.25">
      <c r="A306" s="119" t="s">
        <v>838</v>
      </c>
      <c r="B306" s="713"/>
      <c r="C306" s="715"/>
      <c r="D306" s="717"/>
      <c r="E306" s="715"/>
      <c r="F306" s="718"/>
      <c r="G306" s="718"/>
      <c r="H306" s="719"/>
      <c r="I306" s="344" t="str">
        <f>IF('Mapa final SI'!AC309="","",'Mapa final SI'!AC309)</f>
        <v/>
      </c>
      <c r="J306" s="344" t="str">
        <f>IF('Mapa final SI'!AE309="","",'Mapa final SI'!AE309)</f>
        <v/>
      </c>
      <c r="K306" s="344" t="str">
        <f t="shared" si="4"/>
        <v/>
      </c>
      <c r="L306" s="344" t="str">
        <f>IF('Mapa final SI'!AH309="","",'Mapa final SI'!AH309)</f>
        <v/>
      </c>
      <c r="M306" s="345" t="str">
        <f>IF('Mapa final SI'!T309="","",'Mapa final SI'!T309)</f>
        <v/>
      </c>
      <c r="N306" s="70"/>
      <c r="O306" s="70"/>
      <c r="P306" s="70"/>
      <c r="Q306" s="177"/>
    </row>
    <row r="307" spans="1:17" ht="43.5" customHeight="1" x14ac:dyDescent="0.25">
      <c r="A307" s="119" t="s">
        <v>839</v>
      </c>
      <c r="B307" s="712"/>
      <c r="C307" s="714" t="str">
        <f>IF('Mapa final SI'!G310="","",'Mapa final SI'!G310)</f>
        <v/>
      </c>
      <c r="D307" s="716"/>
      <c r="E307" s="714" t="str">
        <f>IF('Mapa final SI'!F310="","",'Mapa final SI'!F310)</f>
        <v/>
      </c>
      <c r="F307" s="720" t="str">
        <f>IF('Mapa final SI'!L310="","",'Mapa final SI'!L310)</f>
        <v/>
      </c>
      <c r="G307" s="720" t="str">
        <f>IF('Mapa final SI'!P310="","",'Mapa final SI'!P310)</f>
        <v/>
      </c>
      <c r="H307" s="82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4" t="str">
        <f>IF('Mapa final SI'!AC310="","",'Mapa final SI'!AC310)</f>
        <v/>
      </c>
      <c r="J307" s="344" t="str">
        <f>IF('Mapa final SI'!AE310="","",'Mapa final SI'!AE310)</f>
        <v/>
      </c>
      <c r="K307" s="344" t="str">
        <f t="shared" si="4"/>
        <v/>
      </c>
      <c r="L307" s="344" t="str">
        <f>IF('Mapa final SI'!AH310="","",'Mapa final SI'!AH310)</f>
        <v/>
      </c>
      <c r="M307" s="345" t="str">
        <f>IF('Mapa final SI'!T310="","",'Mapa final SI'!T310)</f>
        <v/>
      </c>
      <c r="N307" s="70"/>
      <c r="O307" s="70"/>
      <c r="P307" s="70"/>
      <c r="Q307" s="177"/>
    </row>
    <row r="308" spans="1:17" ht="43.5" customHeight="1" x14ac:dyDescent="0.25">
      <c r="A308" s="119" t="s">
        <v>840</v>
      </c>
      <c r="B308" s="713"/>
      <c r="C308" s="715"/>
      <c r="D308" s="717"/>
      <c r="E308" s="715"/>
      <c r="F308" s="718"/>
      <c r="G308" s="718"/>
      <c r="H308" s="824"/>
      <c r="I308" s="344" t="str">
        <f>IF('Mapa final SI'!AC311="","",'Mapa final SI'!AC311)</f>
        <v/>
      </c>
      <c r="J308" s="344" t="str">
        <f>IF('Mapa final SI'!AE311="","",'Mapa final SI'!AE311)</f>
        <v/>
      </c>
      <c r="K308" s="344" t="str">
        <f t="shared" si="4"/>
        <v/>
      </c>
      <c r="L308" s="344" t="str">
        <f>IF('Mapa final SI'!AH311="","",'Mapa final SI'!AH311)</f>
        <v/>
      </c>
      <c r="M308" s="345" t="str">
        <f>IF('Mapa final SI'!T311="","",'Mapa final SI'!T311)</f>
        <v/>
      </c>
      <c r="N308" s="70"/>
      <c r="O308" s="70"/>
      <c r="P308" s="70"/>
      <c r="Q308" s="177"/>
    </row>
    <row r="309" spans="1:17" ht="43.5" customHeight="1" x14ac:dyDescent="0.25">
      <c r="A309" s="119" t="s">
        <v>841</v>
      </c>
      <c r="B309" s="713"/>
      <c r="C309" s="715"/>
      <c r="D309" s="717"/>
      <c r="E309" s="715"/>
      <c r="F309" s="718"/>
      <c r="G309" s="718"/>
      <c r="H309" s="824"/>
      <c r="I309" s="344" t="str">
        <f>IF('Mapa final SI'!AC312="","",'Mapa final SI'!AC312)</f>
        <v/>
      </c>
      <c r="J309" s="344" t="str">
        <f>IF('Mapa final SI'!AE312="","",'Mapa final SI'!AE312)</f>
        <v/>
      </c>
      <c r="K309" s="344" t="str">
        <f t="shared" si="4"/>
        <v/>
      </c>
      <c r="L309" s="344" t="str">
        <f>IF('Mapa final SI'!AH312="","",'Mapa final SI'!AH312)</f>
        <v/>
      </c>
      <c r="M309" s="345" t="str">
        <f>IF('Mapa final SI'!T312="","",'Mapa final SI'!T312)</f>
        <v/>
      </c>
      <c r="N309" s="70"/>
      <c r="O309" s="70"/>
      <c r="P309" s="70"/>
      <c r="Q309" s="177"/>
    </row>
    <row r="310" spans="1:17" ht="43.5" customHeight="1" x14ac:dyDescent="0.25">
      <c r="A310" s="119" t="s">
        <v>842</v>
      </c>
      <c r="B310" s="713"/>
      <c r="C310" s="715"/>
      <c r="D310" s="717"/>
      <c r="E310" s="715"/>
      <c r="F310" s="718"/>
      <c r="G310" s="718"/>
      <c r="H310" s="824"/>
      <c r="I310" s="344" t="str">
        <f>IF('Mapa final SI'!AC313="","",'Mapa final SI'!AC313)</f>
        <v/>
      </c>
      <c r="J310" s="344" t="str">
        <f>IF('Mapa final SI'!AE313="","",'Mapa final SI'!AE313)</f>
        <v/>
      </c>
      <c r="K310" s="344" t="str">
        <f t="shared" si="4"/>
        <v/>
      </c>
      <c r="L310" s="344" t="str">
        <f>IF('Mapa final SI'!AH313="","",'Mapa final SI'!AH313)</f>
        <v/>
      </c>
      <c r="M310" s="345" t="str">
        <f>IF('Mapa final SI'!T313="","",'Mapa final SI'!T313)</f>
        <v/>
      </c>
      <c r="N310" s="70"/>
      <c r="O310" s="70"/>
      <c r="P310" s="70"/>
      <c r="Q310" s="177"/>
    </row>
    <row r="311" spans="1:17" ht="43.5" customHeight="1" x14ac:dyDescent="0.25">
      <c r="A311" s="119" t="s">
        <v>843</v>
      </c>
      <c r="B311" s="713"/>
      <c r="C311" s="715"/>
      <c r="D311" s="717"/>
      <c r="E311" s="715"/>
      <c r="F311" s="718"/>
      <c r="G311" s="718"/>
      <c r="H311" s="824"/>
      <c r="I311" s="344" t="str">
        <f>IF('Mapa final SI'!AC314="","",'Mapa final SI'!AC314)</f>
        <v/>
      </c>
      <c r="J311" s="344" t="str">
        <f>IF('Mapa final SI'!AE314="","",'Mapa final SI'!AE314)</f>
        <v/>
      </c>
      <c r="K311" s="344" t="str">
        <f t="shared" si="4"/>
        <v/>
      </c>
      <c r="L311" s="344" t="str">
        <f>IF('Mapa final SI'!AH314="","",'Mapa final SI'!AH314)</f>
        <v/>
      </c>
      <c r="M311" s="345" t="str">
        <f>IF('Mapa final SI'!T314="","",'Mapa final SI'!T314)</f>
        <v/>
      </c>
      <c r="N311" s="70"/>
      <c r="O311" s="70"/>
      <c r="P311" s="70"/>
      <c r="Q311" s="177"/>
    </row>
    <row r="312" spans="1:17" ht="43.5" customHeight="1" x14ac:dyDescent="0.25">
      <c r="A312" s="119" t="s">
        <v>844</v>
      </c>
      <c r="B312" s="713"/>
      <c r="C312" s="715"/>
      <c r="D312" s="717"/>
      <c r="E312" s="715"/>
      <c r="F312" s="718"/>
      <c r="G312" s="718"/>
      <c r="H312" s="719"/>
      <c r="I312" s="344" t="str">
        <f>IF('Mapa final SI'!AC315="","",'Mapa final SI'!AC315)</f>
        <v/>
      </c>
      <c r="J312" s="344" t="str">
        <f>IF('Mapa final SI'!AE315="","",'Mapa final SI'!AE315)</f>
        <v/>
      </c>
      <c r="K312" s="344" t="str">
        <f t="shared" si="4"/>
        <v/>
      </c>
      <c r="L312" s="344" t="str">
        <f>IF('Mapa final SI'!AH315="","",'Mapa final SI'!AH315)</f>
        <v/>
      </c>
      <c r="M312" s="345" t="str">
        <f>IF('Mapa final SI'!T315="","",'Mapa final SI'!T315)</f>
        <v/>
      </c>
      <c r="N312" s="70"/>
      <c r="O312" s="70"/>
      <c r="P312" s="70"/>
      <c r="Q312" s="177"/>
    </row>
    <row r="313" spans="1:17" ht="43.5" customHeight="1" x14ac:dyDescent="0.25">
      <c r="A313" s="119" t="s">
        <v>845</v>
      </c>
      <c r="B313" s="712"/>
      <c r="C313" s="714" t="str">
        <f>IF('Mapa final SI'!G316="","",'Mapa final SI'!G316)</f>
        <v/>
      </c>
      <c r="D313" s="716"/>
      <c r="E313" s="714" t="str">
        <f>IF('Mapa final SI'!F316="","",'Mapa final SI'!F316)</f>
        <v/>
      </c>
      <c r="F313" s="720" t="str">
        <f>IF('Mapa final SI'!L316="","",'Mapa final SI'!L316)</f>
        <v/>
      </c>
      <c r="G313" s="720" t="str">
        <f>IF('Mapa final SI'!P316="","",'Mapa final SI'!P316)</f>
        <v/>
      </c>
      <c r="H313" s="82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4" t="str">
        <f>IF('Mapa final SI'!AC316="","",'Mapa final SI'!AC316)</f>
        <v/>
      </c>
      <c r="J313" s="344" t="str">
        <f>IF('Mapa final SI'!AE316="","",'Mapa final SI'!AE316)</f>
        <v/>
      </c>
      <c r="K313" s="344" t="str">
        <f t="shared" si="4"/>
        <v/>
      </c>
      <c r="L313" s="344" t="str">
        <f>IF('Mapa final SI'!AH316="","",'Mapa final SI'!AH316)</f>
        <v/>
      </c>
      <c r="M313" s="345" t="str">
        <f>IF('Mapa final SI'!T316="","",'Mapa final SI'!T316)</f>
        <v/>
      </c>
      <c r="N313" s="70"/>
      <c r="O313" s="70"/>
      <c r="P313" s="70"/>
      <c r="Q313" s="177"/>
    </row>
    <row r="314" spans="1:17" ht="43.5" customHeight="1" x14ac:dyDescent="0.25">
      <c r="A314" s="119" t="s">
        <v>846</v>
      </c>
      <c r="B314" s="713"/>
      <c r="C314" s="715"/>
      <c r="D314" s="717"/>
      <c r="E314" s="715"/>
      <c r="F314" s="718"/>
      <c r="G314" s="718"/>
      <c r="H314" s="824"/>
      <c r="I314" s="344" t="str">
        <f>IF('Mapa final SI'!AC317="","",'Mapa final SI'!AC317)</f>
        <v/>
      </c>
      <c r="J314" s="344" t="str">
        <f>IF('Mapa final SI'!AE317="","",'Mapa final SI'!AE317)</f>
        <v/>
      </c>
      <c r="K314" s="344" t="str">
        <f t="shared" si="4"/>
        <v/>
      </c>
      <c r="L314" s="344" t="str">
        <f>IF('Mapa final SI'!AH317="","",'Mapa final SI'!AH317)</f>
        <v/>
      </c>
      <c r="M314" s="345" t="str">
        <f>IF('Mapa final SI'!T317="","",'Mapa final SI'!T317)</f>
        <v/>
      </c>
      <c r="N314" s="70"/>
      <c r="O314" s="70"/>
      <c r="P314" s="70"/>
      <c r="Q314" s="177"/>
    </row>
    <row r="315" spans="1:17" ht="43.5" customHeight="1" x14ac:dyDescent="0.25">
      <c r="A315" s="119" t="s">
        <v>847</v>
      </c>
      <c r="B315" s="713"/>
      <c r="C315" s="715"/>
      <c r="D315" s="717"/>
      <c r="E315" s="715"/>
      <c r="F315" s="718"/>
      <c r="G315" s="718"/>
      <c r="H315" s="824"/>
      <c r="I315" s="344" t="str">
        <f>IF('Mapa final SI'!AC318="","",'Mapa final SI'!AC318)</f>
        <v/>
      </c>
      <c r="J315" s="344" t="str">
        <f>IF('Mapa final SI'!AE318="","",'Mapa final SI'!AE318)</f>
        <v/>
      </c>
      <c r="K315" s="344" t="str">
        <f t="shared" si="4"/>
        <v/>
      </c>
      <c r="L315" s="344" t="str">
        <f>IF('Mapa final SI'!AH318="","",'Mapa final SI'!AH318)</f>
        <v/>
      </c>
      <c r="M315" s="345" t="str">
        <f>IF('Mapa final SI'!T318="","",'Mapa final SI'!T318)</f>
        <v/>
      </c>
      <c r="N315" s="70"/>
      <c r="O315" s="70"/>
      <c r="P315" s="70"/>
      <c r="Q315" s="177"/>
    </row>
    <row r="316" spans="1:17" ht="43.5" customHeight="1" x14ac:dyDescent="0.25">
      <c r="A316" s="119" t="s">
        <v>848</v>
      </c>
      <c r="B316" s="713"/>
      <c r="C316" s="715"/>
      <c r="D316" s="717"/>
      <c r="E316" s="715"/>
      <c r="F316" s="718"/>
      <c r="G316" s="718"/>
      <c r="H316" s="824"/>
      <c r="I316" s="344" t="str">
        <f>IF('Mapa final SI'!AC319="","",'Mapa final SI'!AC319)</f>
        <v/>
      </c>
      <c r="J316" s="344" t="str">
        <f>IF('Mapa final SI'!AE319="","",'Mapa final SI'!AE319)</f>
        <v/>
      </c>
      <c r="K316" s="344" t="str">
        <f t="shared" si="4"/>
        <v/>
      </c>
      <c r="L316" s="344" t="str">
        <f>IF('Mapa final SI'!AH319="","",'Mapa final SI'!AH319)</f>
        <v/>
      </c>
      <c r="M316" s="345" t="str">
        <f>IF('Mapa final SI'!T319="","",'Mapa final SI'!T319)</f>
        <v/>
      </c>
      <c r="N316" s="70"/>
      <c r="O316" s="70"/>
      <c r="P316" s="70"/>
      <c r="Q316" s="177"/>
    </row>
    <row r="317" spans="1:17" ht="43.5" customHeight="1" x14ac:dyDescent="0.25">
      <c r="A317" s="119" t="s">
        <v>849</v>
      </c>
      <c r="B317" s="713"/>
      <c r="C317" s="715"/>
      <c r="D317" s="717"/>
      <c r="E317" s="715"/>
      <c r="F317" s="718"/>
      <c r="G317" s="718"/>
      <c r="H317" s="824"/>
      <c r="I317" s="344" t="str">
        <f>IF('Mapa final SI'!AC320="","",'Mapa final SI'!AC320)</f>
        <v/>
      </c>
      <c r="J317" s="344" t="str">
        <f>IF('Mapa final SI'!AE320="","",'Mapa final SI'!AE320)</f>
        <v/>
      </c>
      <c r="K317" s="344" t="str">
        <f t="shared" si="4"/>
        <v/>
      </c>
      <c r="L317" s="344" t="str">
        <f>IF('Mapa final SI'!AH320="","",'Mapa final SI'!AH320)</f>
        <v/>
      </c>
      <c r="M317" s="345" t="str">
        <f>IF('Mapa final SI'!T320="","",'Mapa final SI'!T320)</f>
        <v/>
      </c>
      <c r="N317" s="70"/>
      <c r="O317" s="70"/>
      <c r="P317" s="70"/>
      <c r="Q317" s="177"/>
    </row>
    <row r="318" spans="1:17" ht="43.5" customHeight="1" x14ac:dyDescent="0.25">
      <c r="A318" s="119" t="s">
        <v>850</v>
      </c>
      <c r="B318" s="713"/>
      <c r="C318" s="715"/>
      <c r="D318" s="717"/>
      <c r="E318" s="715"/>
      <c r="F318" s="718"/>
      <c r="G318" s="718"/>
      <c r="H318" s="719"/>
      <c r="I318" s="344" t="str">
        <f>IF('Mapa final SI'!AC321="","",'Mapa final SI'!AC321)</f>
        <v/>
      </c>
      <c r="J318" s="344" t="str">
        <f>IF('Mapa final SI'!AE321="","",'Mapa final SI'!AE321)</f>
        <v/>
      </c>
      <c r="K318" s="344" t="str">
        <f t="shared" si="4"/>
        <v/>
      </c>
      <c r="L318" s="344" t="str">
        <f>IF('Mapa final SI'!AH321="","",'Mapa final SI'!AH321)</f>
        <v/>
      </c>
      <c r="M318" s="345" t="str">
        <f>IF('Mapa final SI'!T321="","",'Mapa final SI'!T321)</f>
        <v/>
      </c>
      <c r="N318" s="70"/>
      <c r="O318" s="70"/>
      <c r="P318" s="70"/>
      <c r="Q318" s="177"/>
    </row>
    <row r="319" spans="1:17" ht="43.5" customHeight="1" x14ac:dyDescent="0.25">
      <c r="A319" s="119" t="s">
        <v>851</v>
      </c>
      <c r="B319" s="712"/>
      <c r="C319" s="714" t="str">
        <f>IF('Mapa final SI'!G322="","",'Mapa final SI'!G322)</f>
        <v/>
      </c>
      <c r="D319" s="716"/>
      <c r="E319" s="714" t="str">
        <f>IF('Mapa final SI'!F322="","",'Mapa final SI'!F322)</f>
        <v/>
      </c>
      <c r="F319" s="720" t="str">
        <f>IF('Mapa final SI'!L322="","",'Mapa final SI'!L322)</f>
        <v/>
      </c>
      <c r="G319" s="720" t="str">
        <f>IF('Mapa final SI'!P322="","",'Mapa final SI'!P322)</f>
        <v/>
      </c>
      <c r="H319" s="82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4" t="str">
        <f>IF('Mapa final SI'!AC322="","",'Mapa final SI'!AC322)</f>
        <v/>
      </c>
      <c r="J319" s="344" t="str">
        <f>IF('Mapa final SI'!AE322="","",'Mapa final SI'!AE322)</f>
        <v/>
      </c>
      <c r="K319" s="344" t="str">
        <f t="shared" si="4"/>
        <v/>
      </c>
      <c r="L319" s="344" t="str">
        <f>IF('Mapa final SI'!AH322="","",'Mapa final SI'!AH322)</f>
        <v/>
      </c>
      <c r="M319" s="345" t="str">
        <f>IF('Mapa final SI'!T322="","",'Mapa final SI'!T322)</f>
        <v/>
      </c>
      <c r="N319" s="70"/>
      <c r="O319" s="70"/>
      <c r="P319" s="70"/>
      <c r="Q319" s="177"/>
    </row>
    <row r="320" spans="1:17" ht="43.5" customHeight="1" x14ac:dyDescent="0.25">
      <c r="A320" s="119" t="s">
        <v>852</v>
      </c>
      <c r="B320" s="713"/>
      <c r="C320" s="715"/>
      <c r="D320" s="717"/>
      <c r="E320" s="715"/>
      <c r="F320" s="718"/>
      <c r="G320" s="718"/>
      <c r="H320" s="824"/>
      <c r="I320" s="344" t="str">
        <f>IF('Mapa final SI'!AC323="","",'Mapa final SI'!AC323)</f>
        <v/>
      </c>
      <c r="J320" s="344" t="str">
        <f>IF('Mapa final SI'!AE323="","",'Mapa final SI'!AE323)</f>
        <v/>
      </c>
      <c r="K320" s="344" t="str">
        <f t="shared" si="4"/>
        <v/>
      </c>
      <c r="L320" s="344" t="str">
        <f>IF('Mapa final SI'!AH323="","",'Mapa final SI'!AH323)</f>
        <v/>
      </c>
      <c r="M320" s="345" t="str">
        <f>IF('Mapa final SI'!T323="","",'Mapa final SI'!T323)</f>
        <v/>
      </c>
      <c r="N320" s="70"/>
      <c r="O320" s="70"/>
      <c r="P320" s="70"/>
      <c r="Q320" s="177"/>
    </row>
    <row r="321" spans="1:17" ht="43.5" customHeight="1" x14ac:dyDescent="0.25">
      <c r="A321" s="119" t="s">
        <v>853</v>
      </c>
      <c r="B321" s="713"/>
      <c r="C321" s="715"/>
      <c r="D321" s="717"/>
      <c r="E321" s="715"/>
      <c r="F321" s="718"/>
      <c r="G321" s="718"/>
      <c r="H321" s="824"/>
      <c r="I321" s="344" t="str">
        <f>IF('Mapa final SI'!AC324="","",'Mapa final SI'!AC324)</f>
        <v/>
      </c>
      <c r="J321" s="344" t="str">
        <f>IF('Mapa final SI'!AE324="","",'Mapa final SI'!AE324)</f>
        <v/>
      </c>
      <c r="K321" s="344" t="str">
        <f t="shared" si="4"/>
        <v/>
      </c>
      <c r="L321" s="344" t="str">
        <f>IF('Mapa final SI'!AH324="","",'Mapa final SI'!AH324)</f>
        <v/>
      </c>
      <c r="M321" s="345" t="str">
        <f>IF('Mapa final SI'!T324="","",'Mapa final SI'!T324)</f>
        <v/>
      </c>
      <c r="N321" s="70"/>
      <c r="O321" s="70"/>
      <c r="P321" s="70"/>
      <c r="Q321" s="177"/>
    </row>
    <row r="322" spans="1:17" ht="43.5" customHeight="1" x14ac:dyDescent="0.25">
      <c r="A322" s="119" t="s">
        <v>854</v>
      </c>
      <c r="B322" s="713"/>
      <c r="C322" s="715"/>
      <c r="D322" s="717"/>
      <c r="E322" s="715"/>
      <c r="F322" s="718"/>
      <c r="G322" s="718"/>
      <c r="H322" s="824"/>
      <c r="I322" s="344" t="str">
        <f>IF('Mapa final SI'!AC325="","",'Mapa final SI'!AC325)</f>
        <v/>
      </c>
      <c r="J322" s="344" t="str">
        <f>IF('Mapa final SI'!AE325="","",'Mapa final SI'!AE325)</f>
        <v/>
      </c>
      <c r="K322" s="344" t="str">
        <f t="shared" si="4"/>
        <v/>
      </c>
      <c r="L322" s="344" t="str">
        <f>IF('Mapa final SI'!AH325="","",'Mapa final SI'!AH325)</f>
        <v/>
      </c>
      <c r="M322" s="345" t="str">
        <f>IF('Mapa final SI'!T325="","",'Mapa final SI'!T325)</f>
        <v/>
      </c>
      <c r="N322" s="70"/>
      <c r="O322" s="70"/>
      <c r="P322" s="70"/>
      <c r="Q322" s="177"/>
    </row>
    <row r="323" spans="1:17" ht="43.5" customHeight="1" x14ac:dyDescent="0.25">
      <c r="A323" s="119" t="s">
        <v>855</v>
      </c>
      <c r="B323" s="713"/>
      <c r="C323" s="715"/>
      <c r="D323" s="717"/>
      <c r="E323" s="715"/>
      <c r="F323" s="718"/>
      <c r="G323" s="718"/>
      <c r="H323" s="824"/>
      <c r="I323" s="344" t="str">
        <f>IF('Mapa final SI'!AC326="","",'Mapa final SI'!AC326)</f>
        <v/>
      </c>
      <c r="J323" s="344" t="str">
        <f>IF('Mapa final SI'!AE326="","",'Mapa final SI'!AE326)</f>
        <v/>
      </c>
      <c r="K323" s="344" t="str">
        <f t="shared" si="4"/>
        <v/>
      </c>
      <c r="L323" s="344" t="str">
        <f>IF('Mapa final SI'!AH326="","",'Mapa final SI'!AH326)</f>
        <v/>
      </c>
      <c r="M323" s="345" t="str">
        <f>IF('Mapa final SI'!T326="","",'Mapa final SI'!T326)</f>
        <v/>
      </c>
      <c r="N323" s="70"/>
      <c r="O323" s="70"/>
      <c r="P323" s="70"/>
      <c r="Q323" s="177"/>
    </row>
    <row r="324" spans="1:17" ht="43.5" customHeight="1" x14ac:dyDescent="0.25">
      <c r="A324" s="119" t="s">
        <v>856</v>
      </c>
      <c r="B324" s="713"/>
      <c r="C324" s="715"/>
      <c r="D324" s="717"/>
      <c r="E324" s="715"/>
      <c r="F324" s="718"/>
      <c r="G324" s="718"/>
      <c r="H324" s="719"/>
      <c r="I324" s="344" t="str">
        <f>IF('Mapa final SI'!AC327="","",'Mapa final SI'!AC327)</f>
        <v/>
      </c>
      <c r="J324" s="344" t="str">
        <f>IF('Mapa final SI'!AE327="","",'Mapa final SI'!AE327)</f>
        <v/>
      </c>
      <c r="K324" s="344" t="str">
        <f t="shared" si="4"/>
        <v/>
      </c>
      <c r="L324" s="344" t="str">
        <f>IF('Mapa final SI'!AH327="","",'Mapa final SI'!AH327)</f>
        <v/>
      </c>
      <c r="M324" s="345" t="str">
        <f>IF('Mapa final SI'!T327="","",'Mapa final SI'!T327)</f>
        <v/>
      </c>
      <c r="N324" s="70"/>
      <c r="O324" s="70"/>
      <c r="P324" s="70"/>
      <c r="Q324" s="177"/>
    </row>
    <row r="325" spans="1:17" ht="43.5" customHeight="1" x14ac:dyDescent="0.25">
      <c r="A325" s="119" t="s">
        <v>857</v>
      </c>
      <c r="B325" s="712"/>
      <c r="C325" s="714" t="str">
        <f>IF('Mapa final SI'!G328="","",'Mapa final SI'!G328)</f>
        <v/>
      </c>
      <c r="D325" s="716"/>
      <c r="E325" s="714" t="str">
        <f>IF('Mapa final SI'!F328="","",'Mapa final SI'!F328)</f>
        <v/>
      </c>
      <c r="F325" s="720" t="str">
        <f>IF('Mapa final SI'!L328="","",'Mapa final SI'!L328)</f>
        <v/>
      </c>
      <c r="G325" s="720" t="str">
        <f>IF('Mapa final SI'!P328="","",'Mapa final SI'!P328)</f>
        <v/>
      </c>
      <c r="H325" s="82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4" t="str">
        <f>IF('Mapa final SI'!AC328="","",'Mapa final SI'!AC328)</f>
        <v/>
      </c>
      <c r="J325" s="344" t="str">
        <f>IF('Mapa final SI'!AE328="","",'Mapa final SI'!AE328)</f>
        <v/>
      </c>
      <c r="K325" s="344" t="str">
        <f t="shared" si="4"/>
        <v/>
      </c>
      <c r="L325" s="344" t="str">
        <f>IF('Mapa final SI'!AH328="","",'Mapa final SI'!AH328)</f>
        <v/>
      </c>
      <c r="M325" s="345" t="str">
        <f>IF('Mapa final SI'!T328="","",'Mapa final SI'!T328)</f>
        <v/>
      </c>
      <c r="N325" s="70"/>
      <c r="O325" s="70"/>
      <c r="P325" s="70"/>
      <c r="Q325" s="177"/>
    </row>
    <row r="326" spans="1:17" ht="43.5" customHeight="1" x14ac:dyDescent="0.25">
      <c r="A326" s="119" t="s">
        <v>858</v>
      </c>
      <c r="B326" s="713"/>
      <c r="C326" s="715"/>
      <c r="D326" s="717"/>
      <c r="E326" s="715"/>
      <c r="F326" s="718"/>
      <c r="G326" s="718"/>
      <c r="H326" s="824"/>
      <c r="I326" s="344" t="str">
        <f>IF('Mapa final SI'!AC329="","",'Mapa final SI'!AC329)</f>
        <v/>
      </c>
      <c r="J326" s="344" t="str">
        <f>IF('Mapa final SI'!AE329="","",'Mapa final SI'!AE329)</f>
        <v/>
      </c>
      <c r="K326" s="344" t="str">
        <f t="shared" si="4"/>
        <v/>
      </c>
      <c r="L326" s="344" t="str">
        <f>IF('Mapa final SI'!AH329="","",'Mapa final SI'!AH329)</f>
        <v/>
      </c>
      <c r="M326" s="345" t="str">
        <f>IF('Mapa final SI'!T329="","",'Mapa final SI'!T329)</f>
        <v/>
      </c>
      <c r="N326" s="70"/>
      <c r="O326" s="70"/>
      <c r="P326" s="70"/>
      <c r="Q326" s="177"/>
    </row>
    <row r="327" spans="1:17" ht="43.5" customHeight="1" x14ac:dyDescent="0.25">
      <c r="A327" s="119" t="s">
        <v>859</v>
      </c>
      <c r="B327" s="713"/>
      <c r="C327" s="715"/>
      <c r="D327" s="717"/>
      <c r="E327" s="715"/>
      <c r="F327" s="718"/>
      <c r="G327" s="718"/>
      <c r="H327" s="824"/>
      <c r="I327" s="344" t="str">
        <f>IF('Mapa final SI'!AC330="","",'Mapa final SI'!AC330)</f>
        <v/>
      </c>
      <c r="J327" s="344" t="str">
        <f>IF('Mapa final SI'!AE330="","",'Mapa final SI'!AE330)</f>
        <v/>
      </c>
      <c r="K327" s="344" t="str">
        <f t="shared" si="4"/>
        <v/>
      </c>
      <c r="L327" s="344" t="str">
        <f>IF('Mapa final SI'!AH330="","",'Mapa final SI'!AH330)</f>
        <v/>
      </c>
      <c r="M327" s="345" t="str">
        <f>IF('Mapa final SI'!T330="","",'Mapa final SI'!T330)</f>
        <v/>
      </c>
      <c r="N327" s="70"/>
      <c r="O327" s="70"/>
      <c r="P327" s="70"/>
      <c r="Q327" s="177"/>
    </row>
    <row r="328" spans="1:17" ht="43.5" customHeight="1" x14ac:dyDescent="0.25">
      <c r="A328" s="119" t="s">
        <v>860</v>
      </c>
      <c r="B328" s="713"/>
      <c r="C328" s="715"/>
      <c r="D328" s="717"/>
      <c r="E328" s="715"/>
      <c r="F328" s="718"/>
      <c r="G328" s="718"/>
      <c r="H328" s="824"/>
      <c r="I328" s="344" t="str">
        <f>IF('Mapa final SI'!AC331="","",'Mapa final SI'!AC331)</f>
        <v/>
      </c>
      <c r="J328" s="344" t="str">
        <f>IF('Mapa final SI'!AE331="","",'Mapa final SI'!AE331)</f>
        <v/>
      </c>
      <c r="K328" s="34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4" t="str">
        <f>IF('Mapa final SI'!AH331="","",'Mapa final SI'!AH331)</f>
        <v/>
      </c>
      <c r="M328" s="345" t="str">
        <f>IF('Mapa final SI'!T331="","",'Mapa final SI'!T331)</f>
        <v/>
      </c>
      <c r="N328" s="70"/>
      <c r="O328" s="70"/>
      <c r="P328" s="70"/>
      <c r="Q328" s="177"/>
    </row>
    <row r="329" spans="1:17" ht="43.5" customHeight="1" x14ac:dyDescent="0.25">
      <c r="A329" s="119" t="s">
        <v>861</v>
      </c>
      <c r="B329" s="713"/>
      <c r="C329" s="715"/>
      <c r="D329" s="717"/>
      <c r="E329" s="715"/>
      <c r="F329" s="718"/>
      <c r="G329" s="718"/>
      <c r="H329" s="824"/>
      <c r="I329" s="344" t="str">
        <f>IF('Mapa final SI'!AC332="","",'Mapa final SI'!AC332)</f>
        <v/>
      </c>
      <c r="J329" s="344" t="str">
        <f>IF('Mapa final SI'!AE332="","",'Mapa final SI'!AE332)</f>
        <v/>
      </c>
      <c r="K329" s="344" t="str">
        <f t="shared" si="5"/>
        <v/>
      </c>
      <c r="L329" s="344" t="str">
        <f>IF('Mapa final SI'!AH332="","",'Mapa final SI'!AH332)</f>
        <v/>
      </c>
      <c r="M329" s="345" t="str">
        <f>IF('Mapa final SI'!T332="","",'Mapa final SI'!T332)</f>
        <v/>
      </c>
      <c r="N329" s="70"/>
      <c r="O329" s="70"/>
      <c r="P329" s="70"/>
      <c r="Q329" s="177"/>
    </row>
    <row r="330" spans="1:17" ht="43.5" customHeight="1" x14ac:dyDescent="0.25">
      <c r="A330" s="119" t="s">
        <v>862</v>
      </c>
      <c r="B330" s="713"/>
      <c r="C330" s="715"/>
      <c r="D330" s="717"/>
      <c r="E330" s="715"/>
      <c r="F330" s="718"/>
      <c r="G330" s="718"/>
      <c r="H330" s="719"/>
      <c r="I330" s="344" t="str">
        <f>IF('Mapa final SI'!AC333="","",'Mapa final SI'!AC333)</f>
        <v/>
      </c>
      <c r="J330" s="344" t="str">
        <f>IF('Mapa final SI'!AE333="","",'Mapa final SI'!AE333)</f>
        <v/>
      </c>
      <c r="K330" s="344" t="str">
        <f t="shared" si="5"/>
        <v/>
      </c>
      <c r="L330" s="344" t="str">
        <f>IF('Mapa final SI'!AH333="","",'Mapa final SI'!AH333)</f>
        <v/>
      </c>
      <c r="M330" s="345" t="str">
        <f>IF('Mapa final SI'!T333="","",'Mapa final SI'!T333)</f>
        <v/>
      </c>
      <c r="N330" s="70"/>
      <c r="O330" s="70"/>
      <c r="P330" s="70"/>
      <c r="Q330" s="177"/>
    </row>
    <row r="331" spans="1:17" ht="43.5" customHeight="1" x14ac:dyDescent="0.25">
      <c r="A331" s="119" t="s">
        <v>863</v>
      </c>
      <c r="B331" s="712"/>
      <c r="C331" s="714" t="str">
        <f>IF('Mapa final SI'!G334="","",'Mapa final SI'!G334)</f>
        <v/>
      </c>
      <c r="D331" s="716"/>
      <c r="E331" s="714" t="str">
        <f>IF('Mapa final SI'!F334="","",'Mapa final SI'!F334)</f>
        <v/>
      </c>
      <c r="F331" s="720" t="str">
        <f>IF('Mapa final SI'!L334="","",'Mapa final SI'!L334)</f>
        <v/>
      </c>
      <c r="G331" s="720" t="str">
        <f>IF('Mapa final SI'!P334="","",'Mapa final SI'!P334)</f>
        <v/>
      </c>
      <c r="H331" s="82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4" t="str">
        <f>IF('Mapa final SI'!AC334="","",'Mapa final SI'!AC334)</f>
        <v/>
      </c>
      <c r="J331" s="344" t="str">
        <f>IF('Mapa final SI'!AE334="","",'Mapa final SI'!AE334)</f>
        <v/>
      </c>
      <c r="K331" s="344" t="str">
        <f t="shared" si="5"/>
        <v/>
      </c>
      <c r="L331" s="344" t="str">
        <f>IF('Mapa final SI'!AH334="","",'Mapa final SI'!AH334)</f>
        <v/>
      </c>
      <c r="M331" s="345" t="str">
        <f>IF('Mapa final SI'!T334="","",'Mapa final SI'!T334)</f>
        <v/>
      </c>
      <c r="N331" s="70"/>
      <c r="O331" s="70"/>
      <c r="P331" s="70"/>
      <c r="Q331" s="177"/>
    </row>
    <row r="332" spans="1:17" ht="43.5" customHeight="1" x14ac:dyDescent="0.25">
      <c r="A332" s="119" t="s">
        <v>864</v>
      </c>
      <c r="B332" s="713"/>
      <c r="C332" s="715"/>
      <c r="D332" s="717"/>
      <c r="E332" s="715"/>
      <c r="F332" s="718"/>
      <c r="G332" s="718"/>
      <c r="H332" s="824"/>
      <c r="I332" s="344" t="str">
        <f>IF('Mapa final SI'!AC335="","",'Mapa final SI'!AC335)</f>
        <v/>
      </c>
      <c r="J332" s="344" t="str">
        <f>IF('Mapa final SI'!AE335="","",'Mapa final SI'!AE335)</f>
        <v/>
      </c>
      <c r="K332" s="344" t="str">
        <f t="shared" si="5"/>
        <v/>
      </c>
      <c r="L332" s="344" t="str">
        <f>IF('Mapa final SI'!AH335="","",'Mapa final SI'!AH335)</f>
        <v/>
      </c>
      <c r="M332" s="345" t="str">
        <f>IF('Mapa final SI'!T335="","",'Mapa final SI'!T335)</f>
        <v/>
      </c>
      <c r="N332" s="70"/>
      <c r="O332" s="70"/>
      <c r="P332" s="70"/>
      <c r="Q332" s="177"/>
    </row>
    <row r="333" spans="1:17" ht="43.5" customHeight="1" x14ac:dyDescent="0.25">
      <c r="A333" s="119" t="s">
        <v>865</v>
      </c>
      <c r="B333" s="713"/>
      <c r="C333" s="715"/>
      <c r="D333" s="717"/>
      <c r="E333" s="715"/>
      <c r="F333" s="718"/>
      <c r="G333" s="718"/>
      <c r="H333" s="824"/>
      <c r="I333" s="344" t="str">
        <f>IF('Mapa final SI'!AC336="","",'Mapa final SI'!AC336)</f>
        <v/>
      </c>
      <c r="J333" s="344" t="str">
        <f>IF('Mapa final SI'!AE336="","",'Mapa final SI'!AE336)</f>
        <v/>
      </c>
      <c r="K333" s="344" t="str">
        <f t="shared" si="5"/>
        <v/>
      </c>
      <c r="L333" s="344" t="str">
        <f>IF('Mapa final SI'!AH336="","",'Mapa final SI'!AH336)</f>
        <v/>
      </c>
      <c r="M333" s="345" t="str">
        <f>IF('Mapa final SI'!T336="","",'Mapa final SI'!T336)</f>
        <v/>
      </c>
      <c r="N333" s="70"/>
      <c r="O333" s="70"/>
      <c r="P333" s="70"/>
      <c r="Q333" s="177"/>
    </row>
    <row r="334" spans="1:17" ht="43.5" customHeight="1" x14ac:dyDescent="0.25">
      <c r="A334" s="119" t="s">
        <v>866</v>
      </c>
      <c r="B334" s="713"/>
      <c r="C334" s="715"/>
      <c r="D334" s="717"/>
      <c r="E334" s="715"/>
      <c r="F334" s="718"/>
      <c r="G334" s="718"/>
      <c r="H334" s="824"/>
      <c r="I334" s="344" t="str">
        <f>IF('Mapa final SI'!AC337="","",'Mapa final SI'!AC337)</f>
        <v/>
      </c>
      <c r="J334" s="344" t="str">
        <f>IF('Mapa final SI'!AE337="","",'Mapa final SI'!AE337)</f>
        <v/>
      </c>
      <c r="K334" s="344" t="str">
        <f t="shared" si="5"/>
        <v/>
      </c>
      <c r="L334" s="344" t="str">
        <f>IF('Mapa final SI'!AH337="","",'Mapa final SI'!AH337)</f>
        <v/>
      </c>
      <c r="M334" s="345" t="str">
        <f>IF('Mapa final SI'!T337="","",'Mapa final SI'!T337)</f>
        <v/>
      </c>
      <c r="N334" s="70"/>
      <c r="O334" s="70"/>
      <c r="P334" s="70"/>
      <c r="Q334" s="177"/>
    </row>
    <row r="335" spans="1:17" ht="43.5" customHeight="1" x14ac:dyDescent="0.25">
      <c r="A335" s="119" t="s">
        <v>867</v>
      </c>
      <c r="B335" s="713"/>
      <c r="C335" s="715"/>
      <c r="D335" s="717"/>
      <c r="E335" s="715"/>
      <c r="F335" s="718"/>
      <c r="G335" s="718"/>
      <c r="H335" s="824"/>
      <c r="I335" s="344" t="str">
        <f>IF('Mapa final SI'!AC338="","",'Mapa final SI'!AC338)</f>
        <v/>
      </c>
      <c r="J335" s="344" t="str">
        <f>IF('Mapa final SI'!AE338="","",'Mapa final SI'!AE338)</f>
        <v/>
      </c>
      <c r="K335" s="344" t="str">
        <f t="shared" si="5"/>
        <v/>
      </c>
      <c r="L335" s="344" t="str">
        <f>IF('Mapa final SI'!AH338="","",'Mapa final SI'!AH338)</f>
        <v/>
      </c>
      <c r="M335" s="345" t="str">
        <f>IF('Mapa final SI'!T338="","",'Mapa final SI'!T338)</f>
        <v/>
      </c>
      <c r="N335" s="70"/>
      <c r="O335" s="70"/>
      <c r="P335" s="70"/>
      <c r="Q335" s="177"/>
    </row>
    <row r="336" spans="1:17" ht="43.5" customHeight="1" x14ac:dyDescent="0.25">
      <c r="A336" s="119" t="s">
        <v>868</v>
      </c>
      <c r="B336" s="713"/>
      <c r="C336" s="715"/>
      <c r="D336" s="717"/>
      <c r="E336" s="715"/>
      <c r="F336" s="718"/>
      <c r="G336" s="718"/>
      <c r="H336" s="719"/>
      <c r="I336" s="344" t="str">
        <f>IF('Mapa final SI'!AC339="","",'Mapa final SI'!AC339)</f>
        <v/>
      </c>
      <c r="J336" s="344" t="str">
        <f>IF('Mapa final SI'!AE339="","",'Mapa final SI'!AE339)</f>
        <v/>
      </c>
      <c r="K336" s="344" t="str">
        <f t="shared" si="5"/>
        <v/>
      </c>
      <c r="L336" s="344" t="str">
        <f>IF('Mapa final SI'!AH339="","",'Mapa final SI'!AH339)</f>
        <v/>
      </c>
      <c r="M336" s="345" t="str">
        <f>IF('Mapa final SI'!T339="","",'Mapa final SI'!T339)</f>
        <v/>
      </c>
      <c r="N336" s="70"/>
      <c r="O336" s="70"/>
      <c r="P336" s="70"/>
      <c r="Q336" s="177"/>
    </row>
    <row r="337" spans="1:17" ht="43.5" customHeight="1" x14ac:dyDescent="0.25">
      <c r="A337" s="119" t="s">
        <v>869</v>
      </c>
      <c r="B337" s="712"/>
      <c r="C337" s="714" t="str">
        <f>IF('Mapa final SI'!G340="","",'Mapa final SI'!G340)</f>
        <v/>
      </c>
      <c r="D337" s="716"/>
      <c r="E337" s="714" t="str">
        <f>IF('Mapa final SI'!F340="","",'Mapa final SI'!F340)</f>
        <v/>
      </c>
      <c r="F337" s="720" t="str">
        <f>IF('Mapa final SI'!L340="","",'Mapa final SI'!L340)</f>
        <v/>
      </c>
      <c r="G337" s="720" t="str">
        <f>IF('Mapa final SI'!P340="","",'Mapa final SI'!P340)</f>
        <v/>
      </c>
      <c r="H337" s="82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4" t="str">
        <f>IF('Mapa final SI'!AC340="","",'Mapa final SI'!AC340)</f>
        <v/>
      </c>
      <c r="J337" s="344" t="str">
        <f>IF('Mapa final SI'!AE340="","",'Mapa final SI'!AE340)</f>
        <v/>
      </c>
      <c r="K337" s="344" t="str">
        <f t="shared" si="5"/>
        <v/>
      </c>
      <c r="L337" s="344" t="str">
        <f>IF('Mapa final SI'!AH340="","",'Mapa final SI'!AH340)</f>
        <v/>
      </c>
      <c r="M337" s="345" t="str">
        <f>IF('Mapa final SI'!T340="","",'Mapa final SI'!T340)</f>
        <v/>
      </c>
      <c r="N337" s="70"/>
      <c r="O337" s="70"/>
      <c r="P337" s="70"/>
      <c r="Q337" s="177"/>
    </row>
    <row r="338" spans="1:17" ht="43.5" customHeight="1" x14ac:dyDescent="0.25">
      <c r="A338" s="119" t="s">
        <v>870</v>
      </c>
      <c r="B338" s="713"/>
      <c r="C338" s="715"/>
      <c r="D338" s="717"/>
      <c r="E338" s="715"/>
      <c r="F338" s="718"/>
      <c r="G338" s="718"/>
      <c r="H338" s="824"/>
      <c r="I338" s="344" t="str">
        <f>IF('Mapa final SI'!AC341="","",'Mapa final SI'!AC341)</f>
        <v/>
      </c>
      <c r="J338" s="344" t="str">
        <f>IF('Mapa final SI'!AE341="","",'Mapa final SI'!AE341)</f>
        <v/>
      </c>
      <c r="K338" s="344" t="str">
        <f t="shared" si="5"/>
        <v/>
      </c>
      <c r="L338" s="344" t="str">
        <f>IF('Mapa final SI'!AH341="","",'Mapa final SI'!AH341)</f>
        <v/>
      </c>
      <c r="M338" s="345" t="str">
        <f>IF('Mapa final SI'!T341="","",'Mapa final SI'!T341)</f>
        <v/>
      </c>
      <c r="N338" s="70"/>
      <c r="O338" s="70"/>
      <c r="P338" s="70"/>
      <c r="Q338" s="177"/>
    </row>
    <row r="339" spans="1:17" ht="43.5" customHeight="1" x14ac:dyDescent="0.25">
      <c r="A339" s="119" t="s">
        <v>871</v>
      </c>
      <c r="B339" s="713"/>
      <c r="C339" s="715"/>
      <c r="D339" s="717"/>
      <c r="E339" s="715"/>
      <c r="F339" s="718"/>
      <c r="G339" s="718"/>
      <c r="H339" s="824"/>
      <c r="I339" s="344" t="str">
        <f>IF('Mapa final SI'!AC342="","",'Mapa final SI'!AC342)</f>
        <v/>
      </c>
      <c r="J339" s="344" t="str">
        <f>IF('Mapa final SI'!AE342="","",'Mapa final SI'!AE342)</f>
        <v/>
      </c>
      <c r="K339" s="344" t="str">
        <f t="shared" si="5"/>
        <v/>
      </c>
      <c r="L339" s="344" t="str">
        <f>IF('Mapa final SI'!AH342="","",'Mapa final SI'!AH342)</f>
        <v/>
      </c>
      <c r="M339" s="345" t="str">
        <f>IF('Mapa final SI'!T342="","",'Mapa final SI'!T342)</f>
        <v/>
      </c>
      <c r="N339" s="70"/>
      <c r="O339" s="70"/>
      <c r="P339" s="70"/>
      <c r="Q339" s="177"/>
    </row>
    <row r="340" spans="1:17" ht="43.5" customHeight="1" x14ac:dyDescent="0.25">
      <c r="A340" s="119" t="s">
        <v>872</v>
      </c>
      <c r="B340" s="713"/>
      <c r="C340" s="715"/>
      <c r="D340" s="717"/>
      <c r="E340" s="715"/>
      <c r="F340" s="718"/>
      <c r="G340" s="718"/>
      <c r="H340" s="824"/>
      <c r="I340" s="344" t="str">
        <f>IF('Mapa final SI'!AC343="","",'Mapa final SI'!AC343)</f>
        <v/>
      </c>
      <c r="J340" s="344" t="str">
        <f>IF('Mapa final SI'!AE343="","",'Mapa final SI'!AE343)</f>
        <v/>
      </c>
      <c r="K340" s="344" t="str">
        <f t="shared" si="5"/>
        <v/>
      </c>
      <c r="L340" s="344" t="str">
        <f>IF('Mapa final SI'!AH343="","",'Mapa final SI'!AH343)</f>
        <v/>
      </c>
      <c r="M340" s="345" t="str">
        <f>IF('Mapa final SI'!T343="","",'Mapa final SI'!T343)</f>
        <v/>
      </c>
      <c r="N340" s="70"/>
      <c r="O340" s="70"/>
      <c r="P340" s="70"/>
      <c r="Q340" s="177"/>
    </row>
    <row r="341" spans="1:17" ht="43.5" customHeight="1" x14ac:dyDescent="0.25">
      <c r="A341" s="119" t="s">
        <v>873</v>
      </c>
      <c r="B341" s="713"/>
      <c r="C341" s="715"/>
      <c r="D341" s="717"/>
      <c r="E341" s="715"/>
      <c r="F341" s="718"/>
      <c r="G341" s="718"/>
      <c r="H341" s="824"/>
      <c r="I341" s="344" t="str">
        <f>IF('Mapa final SI'!AC344="","",'Mapa final SI'!AC344)</f>
        <v/>
      </c>
      <c r="J341" s="344" t="str">
        <f>IF('Mapa final SI'!AE344="","",'Mapa final SI'!AE344)</f>
        <v/>
      </c>
      <c r="K341" s="344" t="str">
        <f t="shared" si="5"/>
        <v/>
      </c>
      <c r="L341" s="344" t="str">
        <f>IF('Mapa final SI'!AH344="","",'Mapa final SI'!AH344)</f>
        <v/>
      </c>
      <c r="M341" s="345" t="str">
        <f>IF('Mapa final SI'!T344="","",'Mapa final SI'!T344)</f>
        <v/>
      </c>
      <c r="N341" s="70"/>
      <c r="O341" s="70"/>
      <c r="P341" s="70"/>
      <c r="Q341" s="177"/>
    </row>
    <row r="342" spans="1:17" ht="43.5" customHeight="1" x14ac:dyDescent="0.25">
      <c r="A342" s="119" t="s">
        <v>874</v>
      </c>
      <c r="B342" s="713"/>
      <c r="C342" s="715"/>
      <c r="D342" s="717"/>
      <c r="E342" s="715"/>
      <c r="F342" s="718"/>
      <c r="G342" s="718"/>
      <c r="H342" s="719"/>
      <c r="I342" s="344" t="str">
        <f>IF('Mapa final SI'!AC345="","",'Mapa final SI'!AC345)</f>
        <v/>
      </c>
      <c r="J342" s="344" t="str">
        <f>IF('Mapa final SI'!AE345="","",'Mapa final SI'!AE345)</f>
        <v/>
      </c>
      <c r="K342" s="344" t="str">
        <f t="shared" si="5"/>
        <v/>
      </c>
      <c r="L342" s="344" t="str">
        <f>IF('Mapa final SI'!AH345="","",'Mapa final SI'!AH345)</f>
        <v/>
      </c>
      <c r="M342" s="345" t="str">
        <f>IF('Mapa final SI'!T345="","",'Mapa final SI'!T345)</f>
        <v/>
      </c>
      <c r="N342" s="70"/>
      <c r="O342" s="70"/>
      <c r="P342" s="70"/>
      <c r="Q342" s="177"/>
    </row>
    <row r="343" spans="1:17" ht="43.5" customHeight="1" x14ac:dyDescent="0.25">
      <c r="A343" s="119" t="s">
        <v>875</v>
      </c>
      <c r="B343" s="712"/>
      <c r="C343" s="714" t="str">
        <f>IF('Mapa final SI'!G346="","",'Mapa final SI'!G346)</f>
        <v/>
      </c>
      <c r="D343" s="716"/>
      <c r="E343" s="714" t="str">
        <f>IF('Mapa final SI'!F346="","",'Mapa final SI'!F346)</f>
        <v/>
      </c>
      <c r="F343" s="720" t="str">
        <f>IF('Mapa final SI'!L346="","",'Mapa final SI'!L346)</f>
        <v/>
      </c>
      <c r="G343" s="720" t="str">
        <f>IF('Mapa final SI'!P346="","",'Mapa final SI'!P346)</f>
        <v/>
      </c>
      <c r="H343" s="82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4" t="str">
        <f>IF('Mapa final SI'!AC346="","",'Mapa final SI'!AC346)</f>
        <v/>
      </c>
      <c r="J343" s="344" t="str">
        <f>IF('Mapa final SI'!AE346="","",'Mapa final SI'!AE346)</f>
        <v/>
      </c>
      <c r="K343" s="344" t="str">
        <f t="shared" si="5"/>
        <v/>
      </c>
      <c r="L343" s="344" t="str">
        <f>IF('Mapa final SI'!AH346="","",'Mapa final SI'!AH346)</f>
        <v/>
      </c>
      <c r="M343" s="345" t="str">
        <f>IF('Mapa final SI'!T346="","",'Mapa final SI'!T346)</f>
        <v/>
      </c>
      <c r="N343" s="70"/>
      <c r="O343" s="70"/>
      <c r="P343" s="70"/>
      <c r="Q343" s="177"/>
    </row>
    <row r="344" spans="1:17" ht="43.5" customHeight="1" x14ac:dyDescent="0.25">
      <c r="A344" s="119" t="s">
        <v>876</v>
      </c>
      <c r="B344" s="713"/>
      <c r="C344" s="715"/>
      <c r="D344" s="717"/>
      <c r="E344" s="715"/>
      <c r="F344" s="718"/>
      <c r="G344" s="718"/>
      <c r="H344" s="824"/>
      <c r="I344" s="344" t="str">
        <f>IF('Mapa final SI'!AC347="","",'Mapa final SI'!AC347)</f>
        <v/>
      </c>
      <c r="J344" s="344" t="str">
        <f>IF('Mapa final SI'!AE347="","",'Mapa final SI'!AE347)</f>
        <v/>
      </c>
      <c r="K344" s="344" t="str">
        <f t="shared" si="5"/>
        <v/>
      </c>
      <c r="L344" s="344" t="str">
        <f>IF('Mapa final SI'!AH347="","",'Mapa final SI'!AH347)</f>
        <v/>
      </c>
      <c r="M344" s="345" t="str">
        <f>IF('Mapa final SI'!T347="","",'Mapa final SI'!T347)</f>
        <v/>
      </c>
      <c r="N344" s="70"/>
      <c r="O344" s="70"/>
      <c r="P344" s="70"/>
      <c r="Q344" s="177"/>
    </row>
    <row r="345" spans="1:17" ht="43.5" customHeight="1" x14ac:dyDescent="0.25">
      <c r="A345" s="119" t="s">
        <v>877</v>
      </c>
      <c r="B345" s="713"/>
      <c r="C345" s="715"/>
      <c r="D345" s="717"/>
      <c r="E345" s="715"/>
      <c r="F345" s="718"/>
      <c r="G345" s="718"/>
      <c r="H345" s="824"/>
      <c r="I345" s="344" t="str">
        <f>IF('Mapa final SI'!AC348="","",'Mapa final SI'!AC348)</f>
        <v/>
      </c>
      <c r="J345" s="344" t="str">
        <f>IF('Mapa final SI'!AE348="","",'Mapa final SI'!AE348)</f>
        <v/>
      </c>
      <c r="K345" s="344" t="str">
        <f t="shared" si="5"/>
        <v/>
      </c>
      <c r="L345" s="344" t="str">
        <f>IF('Mapa final SI'!AH348="","",'Mapa final SI'!AH348)</f>
        <v/>
      </c>
      <c r="M345" s="345" t="str">
        <f>IF('Mapa final SI'!T348="","",'Mapa final SI'!T348)</f>
        <v/>
      </c>
      <c r="N345" s="70"/>
      <c r="O345" s="70"/>
      <c r="P345" s="70"/>
      <c r="Q345" s="177"/>
    </row>
    <row r="346" spans="1:17" ht="43.5" customHeight="1" x14ac:dyDescent="0.25">
      <c r="A346" s="119" t="s">
        <v>878</v>
      </c>
      <c r="B346" s="713"/>
      <c r="C346" s="715"/>
      <c r="D346" s="717"/>
      <c r="E346" s="715"/>
      <c r="F346" s="718"/>
      <c r="G346" s="718"/>
      <c r="H346" s="824"/>
      <c r="I346" s="344" t="str">
        <f>IF('Mapa final SI'!AC349="","",'Mapa final SI'!AC349)</f>
        <v/>
      </c>
      <c r="J346" s="344" t="str">
        <f>IF('Mapa final SI'!AE349="","",'Mapa final SI'!AE349)</f>
        <v/>
      </c>
      <c r="K346" s="344" t="str">
        <f t="shared" si="5"/>
        <v/>
      </c>
      <c r="L346" s="344" t="str">
        <f>IF('Mapa final SI'!AH349="","",'Mapa final SI'!AH349)</f>
        <v/>
      </c>
      <c r="M346" s="345" t="str">
        <f>IF('Mapa final SI'!T349="","",'Mapa final SI'!T349)</f>
        <v/>
      </c>
      <c r="N346" s="70"/>
      <c r="O346" s="70"/>
      <c r="P346" s="70"/>
      <c r="Q346" s="177"/>
    </row>
    <row r="347" spans="1:17" ht="43.5" customHeight="1" x14ac:dyDescent="0.25">
      <c r="A347" s="119" t="s">
        <v>879</v>
      </c>
      <c r="B347" s="713"/>
      <c r="C347" s="715"/>
      <c r="D347" s="717"/>
      <c r="E347" s="715"/>
      <c r="F347" s="718"/>
      <c r="G347" s="718"/>
      <c r="H347" s="824"/>
      <c r="I347" s="344" t="str">
        <f>IF('Mapa final SI'!AC350="","",'Mapa final SI'!AC350)</f>
        <v/>
      </c>
      <c r="J347" s="344" t="str">
        <f>IF('Mapa final SI'!AE350="","",'Mapa final SI'!AE350)</f>
        <v/>
      </c>
      <c r="K347" s="344" t="str">
        <f t="shared" si="5"/>
        <v/>
      </c>
      <c r="L347" s="344" t="str">
        <f>IF('Mapa final SI'!AH350="","",'Mapa final SI'!AH350)</f>
        <v/>
      </c>
      <c r="M347" s="345" t="str">
        <f>IF('Mapa final SI'!T350="","",'Mapa final SI'!T350)</f>
        <v/>
      </c>
      <c r="N347" s="70"/>
      <c r="O347" s="70"/>
      <c r="P347" s="70"/>
      <c r="Q347" s="177"/>
    </row>
    <row r="348" spans="1:17" ht="43.5" customHeight="1" x14ac:dyDescent="0.25">
      <c r="A348" s="119" t="s">
        <v>880</v>
      </c>
      <c r="B348" s="713"/>
      <c r="C348" s="715"/>
      <c r="D348" s="717"/>
      <c r="E348" s="715"/>
      <c r="F348" s="718"/>
      <c r="G348" s="718"/>
      <c r="H348" s="719"/>
      <c r="I348" s="344" t="str">
        <f>IF('Mapa final SI'!AC351="","",'Mapa final SI'!AC351)</f>
        <v/>
      </c>
      <c r="J348" s="344" t="str">
        <f>IF('Mapa final SI'!AE351="","",'Mapa final SI'!AE351)</f>
        <v/>
      </c>
      <c r="K348" s="344" t="str">
        <f t="shared" si="5"/>
        <v/>
      </c>
      <c r="L348" s="344" t="str">
        <f>IF('Mapa final SI'!AH351="","",'Mapa final SI'!AH351)</f>
        <v/>
      </c>
      <c r="M348" s="345" t="str">
        <f>IF('Mapa final SI'!T351="","",'Mapa final SI'!T351)</f>
        <v/>
      </c>
      <c r="N348" s="70"/>
      <c r="O348" s="70"/>
      <c r="P348" s="70"/>
      <c r="Q348" s="177"/>
    </row>
    <row r="349" spans="1:17" ht="43.5" customHeight="1" x14ac:dyDescent="0.25">
      <c r="A349" s="119" t="s">
        <v>881</v>
      </c>
      <c r="B349" s="712"/>
      <c r="C349" s="714" t="str">
        <f>IF('Mapa final SI'!G352="","",'Mapa final SI'!G352)</f>
        <v/>
      </c>
      <c r="D349" s="716"/>
      <c r="E349" s="714" t="str">
        <f>IF('Mapa final SI'!F352="","",'Mapa final SI'!F352)</f>
        <v/>
      </c>
      <c r="F349" s="720" t="str">
        <f>IF('Mapa final SI'!L352="","",'Mapa final SI'!L352)</f>
        <v/>
      </c>
      <c r="G349" s="720" t="str">
        <f>IF('Mapa final SI'!P352="","",'Mapa final SI'!P352)</f>
        <v/>
      </c>
      <c r="H349" s="82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4" t="str">
        <f>IF('Mapa final SI'!AC352="","",'Mapa final SI'!AC352)</f>
        <v/>
      </c>
      <c r="J349" s="344" t="str">
        <f>IF('Mapa final SI'!AE352="","",'Mapa final SI'!AE352)</f>
        <v/>
      </c>
      <c r="K349" s="344" t="str">
        <f t="shared" si="5"/>
        <v/>
      </c>
      <c r="L349" s="344" t="str">
        <f>IF('Mapa final SI'!AH352="","",'Mapa final SI'!AH352)</f>
        <v/>
      </c>
      <c r="M349" s="345" t="str">
        <f>IF('Mapa final SI'!T352="","",'Mapa final SI'!T352)</f>
        <v/>
      </c>
      <c r="N349" s="70"/>
      <c r="O349" s="70"/>
      <c r="P349" s="70"/>
      <c r="Q349" s="177"/>
    </row>
    <row r="350" spans="1:17" ht="43.5" customHeight="1" x14ac:dyDescent="0.25">
      <c r="A350" s="119" t="s">
        <v>882</v>
      </c>
      <c r="B350" s="713"/>
      <c r="C350" s="715"/>
      <c r="D350" s="717"/>
      <c r="E350" s="715"/>
      <c r="F350" s="718"/>
      <c r="G350" s="718"/>
      <c r="H350" s="824"/>
      <c r="I350" s="344" t="str">
        <f>IF('Mapa final SI'!AC353="","",'Mapa final SI'!AC353)</f>
        <v/>
      </c>
      <c r="J350" s="344" t="str">
        <f>IF('Mapa final SI'!AE353="","",'Mapa final SI'!AE353)</f>
        <v/>
      </c>
      <c r="K350" s="344" t="str">
        <f t="shared" si="5"/>
        <v/>
      </c>
      <c r="L350" s="344" t="str">
        <f>IF('Mapa final SI'!AH353="","",'Mapa final SI'!AH353)</f>
        <v/>
      </c>
      <c r="M350" s="345" t="str">
        <f>IF('Mapa final SI'!T353="","",'Mapa final SI'!T353)</f>
        <v/>
      </c>
      <c r="N350" s="70"/>
      <c r="O350" s="70"/>
      <c r="P350" s="70"/>
      <c r="Q350" s="177"/>
    </row>
    <row r="351" spans="1:17" ht="43.5" customHeight="1" x14ac:dyDescent="0.25">
      <c r="A351" s="119" t="s">
        <v>883</v>
      </c>
      <c r="B351" s="713"/>
      <c r="C351" s="715"/>
      <c r="D351" s="717"/>
      <c r="E351" s="715"/>
      <c r="F351" s="718"/>
      <c r="G351" s="718"/>
      <c r="H351" s="824"/>
      <c r="I351" s="344" t="str">
        <f>IF('Mapa final SI'!AC354="","",'Mapa final SI'!AC354)</f>
        <v/>
      </c>
      <c r="J351" s="344" t="str">
        <f>IF('Mapa final SI'!AE354="","",'Mapa final SI'!AE354)</f>
        <v/>
      </c>
      <c r="K351" s="344" t="str">
        <f t="shared" si="5"/>
        <v/>
      </c>
      <c r="L351" s="344" t="str">
        <f>IF('Mapa final SI'!AH354="","",'Mapa final SI'!AH354)</f>
        <v/>
      </c>
      <c r="M351" s="345" t="str">
        <f>IF('Mapa final SI'!T354="","",'Mapa final SI'!T354)</f>
        <v/>
      </c>
      <c r="N351" s="70"/>
      <c r="O351" s="70"/>
      <c r="P351" s="70"/>
      <c r="Q351" s="177"/>
    </row>
    <row r="352" spans="1:17" ht="43.5" customHeight="1" x14ac:dyDescent="0.25">
      <c r="A352" s="119" t="s">
        <v>884</v>
      </c>
      <c r="B352" s="713"/>
      <c r="C352" s="715"/>
      <c r="D352" s="717"/>
      <c r="E352" s="715"/>
      <c r="F352" s="718"/>
      <c r="G352" s="718"/>
      <c r="H352" s="824"/>
      <c r="I352" s="344" t="str">
        <f>IF('Mapa final SI'!AC355="","",'Mapa final SI'!AC355)</f>
        <v/>
      </c>
      <c r="J352" s="344" t="str">
        <f>IF('Mapa final SI'!AE355="","",'Mapa final SI'!AE355)</f>
        <v/>
      </c>
      <c r="K352" s="344" t="str">
        <f t="shared" si="5"/>
        <v/>
      </c>
      <c r="L352" s="344" t="str">
        <f>IF('Mapa final SI'!AH355="","",'Mapa final SI'!AH355)</f>
        <v/>
      </c>
      <c r="M352" s="345" t="str">
        <f>IF('Mapa final SI'!T355="","",'Mapa final SI'!T355)</f>
        <v/>
      </c>
      <c r="N352" s="70"/>
      <c r="O352" s="70"/>
      <c r="P352" s="70"/>
      <c r="Q352" s="177"/>
    </row>
    <row r="353" spans="1:17" ht="43.5" customHeight="1" x14ac:dyDescent="0.25">
      <c r="A353" s="119" t="s">
        <v>885</v>
      </c>
      <c r="B353" s="713"/>
      <c r="C353" s="715"/>
      <c r="D353" s="717"/>
      <c r="E353" s="715"/>
      <c r="F353" s="718"/>
      <c r="G353" s="718"/>
      <c r="H353" s="824"/>
      <c r="I353" s="344" t="str">
        <f>IF('Mapa final SI'!AC356="","",'Mapa final SI'!AC356)</f>
        <v/>
      </c>
      <c r="J353" s="344" t="str">
        <f>IF('Mapa final SI'!AE356="","",'Mapa final SI'!AE356)</f>
        <v/>
      </c>
      <c r="K353" s="344" t="str">
        <f t="shared" si="5"/>
        <v/>
      </c>
      <c r="L353" s="344" t="str">
        <f>IF('Mapa final SI'!AH356="","",'Mapa final SI'!AH356)</f>
        <v/>
      </c>
      <c r="M353" s="345" t="str">
        <f>IF('Mapa final SI'!T356="","",'Mapa final SI'!T356)</f>
        <v/>
      </c>
      <c r="N353" s="70"/>
      <c r="O353" s="70"/>
      <c r="P353" s="70"/>
      <c r="Q353" s="177"/>
    </row>
    <row r="354" spans="1:17" ht="43.5" customHeight="1" x14ac:dyDescent="0.25">
      <c r="A354" s="119" t="s">
        <v>886</v>
      </c>
      <c r="B354" s="713"/>
      <c r="C354" s="715"/>
      <c r="D354" s="717"/>
      <c r="E354" s="715"/>
      <c r="F354" s="718"/>
      <c r="G354" s="718"/>
      <c r="H354" s="719"/>
      <c r="I354" s="344" t="str">
        <f>IF('Mapa final SI'!AC357="","",'Mapa final SI'!AC357)</f>
        <v/>
      </c>
      <c r="J354" s="344" t="str">
        <f>IF('Mapa final SI'!AE357="","",'Mapa final SI'!AE357)</f>
        <v/>
      </c>
      <c r="K354" s="344" t="str">
        <f t="shared" si="5"/>
        <v/>
      </c>
      <c r="L354" s="344" t="str">
        <f>IF('Mapa final SI'!AH357="","",'Mapa final SI'!AH357)</f>
        <v/>
      </c>
      <c r="M354" s="345" t="str">
        <f>IF('Mapa final SI'!T357="","",'Mapa final SI'!T357)</f>
        <v/>
      </c>
      <c r="N354" s="70"/>
      <c r="O354" s="70"/>
      <c r="P354" s="70"/>
      <c r="Q354" s="177"/>
    </row>
    <row r="355" spans="1:17" ht="43.5" customHeight="1" x14ac:dyDescent="0.25">
      <c r="A355" s="119" t="s">
        <v>887</v>
      </c>
      <c r="B355" s="712"/>
      <c r="C355" s="714" t="str">
        <f>IF('Mapa final SI'!G358="","",'Mapa final SI'!G358)</f>
        <v/>
      </c>
      <c r="D355" s="716"/>
      <c r="E355" s="714" t="str">
        <f>IF('Mapa final SI'!F358="","",'Mapa final SI'!F358)</f>
        <v/>
      </c>
      <c r="F355" s="720" t="str">
        <f>IF('Mapa final SI'!L358="","",'Mapa final SI'!L358)</f>
        <v/>
      </c>
      <c r="G355" s="720" t="str">
        <f>IF('Mapa final SI'!P358="","",'Mapa final SI'!P358)</f>
        <v/>
      </c>
      <c r="H355" s="82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4" t="str">
        <f>IF('Mapa final SI'!AC358="","",'Mapa final SI'!AC358)</f>
        <v/>
      </c>
      <c r="J355" s="344" t="str">
        <f>IF('Mapa final SI'!AE358="","",'Mapa final SI'!AE358)</f>
        <v/>
      </c>
      <c r="K355" s="344" t="str">
        <f t="shared" si="5"/>
        <v/>
      </c>
      <c r="L355" s="344" t="str">
        <f>IF('Mapa final SI'!AH358="","",'Mapa final SI'!AH358)</f>
        <v/>
      </c>
      <c r="M355" s="345" t="str">
        <f>IF('Mapa final SI'!T358="","",'Mapa final SI'!T358)</f>
        <v/>
      </c>
      <c r="N355" s="70"/>
      <c r="O355" s="70"/>
      <c r="P355" s="70"/>
      <c r="Q355" s="177"/>
    </row>
    <row r="356" spans="1:17" ht="43.5" customHeight="1" x14ac:dyDescent="0.25">
      <c r="A356" s="119" t="s">
        <v>888</v>
      </c>
      <c r="B356" s="713"/>
      <c r="C356" s="715"/>
      <c r="D356" s="717"/>
      <c r="E356" s="715"/>
      <c r="F356" s="718"/>
      <c r="G356" s="718"/>
      <c r="H356" s="824"/>
      <c r="I356" s="344" t="str">
        <f>IF('Mapa final SI'!AC359="","",'Mapa final SI'!AC359)</f>
        <v/>
      </c>
      <c r="J356" s="344" t="str">
        <f>IF('Mapa final SI'!AE359="","",'Mapa final SI'!AE359)</f>
        <v/>
      </c>
      <c r="K356" s="344" t="str">
        <f t="shared" si="5"/>
        <v/>
      </c>
      <c r="L356" s="344" t="str">
        <f>IF('Mapa final SI'!AH359="","",'Mapa final SI'!AH359)</f>
        <v/>
      </c>
      <c r="M356" s="345" t="str">
        <f>IF('Mapa final SI'!T359="","",'Mapa final SI'!T359)</f>
        <v/>
      </c>
      <c r="N356" s="70"/>
      <c r="O356" s="70"/>
      <c r="P356" s="70"/>
      <c r="Q356" s="177"/>
    </row>
    <row r="357" spans="1:17" ht="43.5" customHeight="1" x14ac:dyDescent="0.25">
      <c r="A357" s="119" t="s">
        <v>889</v>
      </c>
      <c r="B357" s="713"/>
      <c r="C357" s="715"/>
      <c r="D357" s="717"/>
      <c r="E357" s="715"/>
      <c r="F357" s="718"/>
      <c r="G357" s="718"/>
      <c r="H357" s="824"/>
      <c r="I357" s="344" t="str">
        <f>IF('Mapa final SI'!AC360="","",'Mapa final SI'!AC360)</f>
        <v/>
      </c>
      <c r="J357" s="344" t="str">
        <f>IF('Mapa final SI'!AE360="","",'Mapa final SI'!AE360)</f>
        <v/>
      </c>
      <c r="K357" s="344" t="str">
        <f t="shared" si="5"/>
        <v/>
      </c>
      <c r="L357" s="344" t="str">
        <f>IF('Mapa final SI'!AH360="","",'Mapa final SI'!AH360)</f>
        <v/>
      </c>
      <c r="M357" s="345" t="str">
        <f>IF('Mapa final SI'!T360="","",'Mapa final SI'!T360)</f>
        <v/>
      </c>
      <c r="N357" s="70"/>
      <c r="O357" s="70"/>
      <c r="P357" s="70"/>
      <c r="Q357" s="177"/>
    </row>
    <row r="358" spans="1:17" ht="43.5" customHeight="1" x14ac:dyDescent="0.25">
      <c r="A358" s="119" t="s">
        <v>890</v>
      </c>
      <c r="B358" s="713"/>
      <c r="C358" s="715"/>
      <c r="D358" s="717"/>
      <c r="E358" s="715"/>
      <c r="F358" s="718"/>
      <c r="G358" s="718"/>
      <c r="H358" s="824"/>
      <c r="I358" s="344" t="str">
        <f>IF('Mapa final SI'!AC361="","",'Mapa final SI'!AC361)</f>
        <v/>
      </c>
      <c r="J358" s="344" t="str">
        <f>IF('Mapa final SI'!AE361="","",'Mapa final SI'!AE361)</f>
        <v/>
      </c>
      <c r="K358" s="344" t="str">
        <f t="shared" si="5"/>
        <v/>
      </c>
      <c r="L358" s="344" t="str">
        <f>IF('Mapa final SI'!AH361="","",'Mapa final SI'!AH361)</f>
        <v/>
      </c>
      <c r="M358" s="345" t="str">
        <f>IF('Mapa final SI'!T361="","",'Mapa final SI'!T361)</f>
        <v/>
      </c>
      <c r="N358" s="70"/>
      <c r="O358" s="70"/>
      <c r="P358" s="70"/>
      <c r="Q358" s="177"/>
    </row>
    <row r="359" spans="1:17" ht="43.5" customHeight="1" x14ac:dyDescent="0.25">
      <c r="A359" s="119" t="s">
        <v>891</v>
      </c>
      <c r="B359" s="713"/>
      <c r="C359" s="715"/>
      <c r="D359" s="717"/>
      <c r="E359" s="715"/>
      <c r="F359" s="718"/>
      <c r="G359" s="718"/>
      <c r="H359" s="824"/>
      <c r="I359" s="344" t="str">
        <f>IF('Mapa final SI'!AC362="","",'Mapa final SI'!AC362)</f>
        <v/>
      </c>
      <c r="J359" s="344" t="str">
        <f>IF('Mapa final SI'!AE362="","",'Mapa final SI'!AE362)</f>
        <v/>
      </c>
      <c r="K359" s="344" t="str">
        <f t="shared" si="5"/>
        <v/>
      </c>
      <c r="L359" s="344" t="str">
        <f>IF('Mapa final SI'!AH362="","",'Mapa final SI'!AH362)</f>
        <v/>
      </c>
      <c r="M359" s="345" t="str">
        <f>IF('Mapa final SI'!T362="","",'Mapa final SI'!T362)</f>
        <v/>
      </c>
      <c r="N359" s="70"/>
      <c r="O359" s="70"/>
      <c r="P359" s="70"/>
      <c r="Q359" s="177"/>
    </row>
    <row r="360" spans="1:17" ht="43.5" customHeight="1" x14ac:dyDescent="0.25">
      <c r="A360" s="119" t="s">
        <v>892</v>
      </c>
      <c r="B360" s="713"/>
      <c r="C360" s="715"/>
      <c r="D360" s="717"/>
      <c r="E360" s="715"/>
      <c r="F360" s="718"/>
      <c r="G360" s="718"/>
      <c r="H360" s="719"/>
      <c r="I360" s="344" t="str">
        <f>IF('Mapa final SI'!AC363="","",'Mapa final SI'!AC363)</f>
        <v/>
      </c>
      <c r="J360" s="344" t="str">
        <f>IF('Mapa final SI'!AE363="","",'Mapa final SI'!AE363)</f>
        <v/>
      </c>
      <c r="K360" s="344" t="str">
        <f t="shared" si="5"/>
        <v/>
      </c>
      <c r="L360" s="344" t="str">
        <f>IF('Mapa final SI'!AH363="","",'Mapa final SI'!AH363)</f>
        <v/>
      </c>
      <c r="M360" s="345" t="str">
        <f>IF('Mapa final SI'!T363="","",'Mapa final SI'!T363)</f>
        <v/>
      </c>
      <c r="N360" s="70"/>
      <c r="O360" s="70"/>
      <c r="P360" s="70"/>
      <c r="Q360" s="177"/>
    </row>
    <row r="361" spans="1:17" ht="43.5" customHeight="1" x14ac:dyDescent="0.25">
      <c r="A361" s="119" t="s">
        <v>893</v>
      </c>
      <c r="B361" s="712"/>
      <c r="C361" s="714" t="str">
        <f>IF('Mapa final SI'!G364="","",'Mapa final SI'!G364)</f>
        <v/>
      </c>
      <c r="D361" s="716"/>
      <c r="E361" s="714" t="str">
        <f>IF('Mapa final SI'!F364="","",'Mapa final SI'!F364)</f>
        <v/>
      </c>
      <c r="F361" s="720" t="str">
        <f>IF('Mapa final SI'!L364="","",'Mapa final SI'!L364)</f>
        <v/>
      </c>
      <c r="G361" s="720" t="str">
        <f>IF('Mapa final SI'!P364="","",'Mapa final SI'!P364)</f>
        <v/>
      </c>
      <c r="H361" s="82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4" t="str">
        <f>IF('Mapa final SI'!AC364="","",'Mapa final SI'!AC364)</f>
        <v/>
      </c>
      <c r="J361" s="344" t="str">
        <f>IF('Mapa final SI'!AE364="","",'Mapa final SI'!AE364)</f>
        <v/>
      </c>
      <c r="K361" s="344" t="str">
        <f t="shared" si="5"/>
        <v/>
      </c>
      <c r="L361" s="344" t="str">
        <f>IF('Mapa final SI'!AH364="","",'Mapa final SI'!AH364)</f>
        <v/>
      </c>
      <c r="M361" s="345" t="str">
        <f>IF('Mapa final SI'!T364="","",'Mapa final SI'!T364)</f>
        <v/>
      </c>
      <c r="N361" s="70"/>
      <c r="O361" s="70"/>
      <c r="P361" s="70"/>
      <c r="Q361" s="177"/>
    </row>
    <row r="362" spans="1:17" ht="43.5" customHeight="1" x14ac:dyDescent="0.25">
      <c r="A362" s="119" t="s">
        <v>894</v>
      </c>
      <c r="B362" s="713"/>
      <c r="C362" s="715"/>
      <c r="D362" s="717"/>
      <c r="E362" s="715"/>
      <c r="F362" s="718"/>
      <c r="G362" s="718"/>
      <c r="H362" s="824"/>
      <c r="I362" s="344" t="str">
        <f>IF('Mapa final SI'!AC365="","",'Mapa final SI'!AC365)</f>
        <v/>
      </c>
      <c r="J362" s="344" t="str">
        <f>IF('Mapa final SI'!AE365="","",'Mapa final SI'!AE365)</f>
        <v/>
      </c>
      <c r="K362" s="344" t="str">
        <f t="shared" si="5"/>
        <v/>
      </c>
      <c r="L362" s="344" t="str">
        <f>IF('Mapa final SI'!AH365="","",'Mapa final SI'!AH365)</f>
        <v/>
      </c>
      <c r="M362" s="345" t="str">
        <f>IF('Mapa final SI'!T365="","",'Mapa final SI'!T365)</f>
        <v/>
      </c>
      <c r="N362" s="70"/>
      <c r="O362" s="70"/>
      <c r="P362" s="70"/>
      <c r="Q362" s="177"/>
    </row>
    <row r="363" spans="1:17" ht="51.75" customHeight="1" x14ac:dyDescent="0.25">
      <c r="A363" s="119" t="s">
        <v>895</v>
      </c>
      <c r="B363" s="713"/>
      <c r="C363" s="715"/>
      <c r="D363" s="717"/>
      <c r="E363" s="715"/>
      <c r="F363" s="718"/>
      <c r="G363" s="718"/>
      <c r="H363" s="824"/>
      <c r="I363" s="344" t="str">
        <f>IF('Mapa final SI'!AC366="","",'Mapa final SI'!AC366)</f>
        <v/>
      </c>
      <c r="J363" s="344" t="str">
        <f>IF('Mapa final SI'!AE366="","",'Mapa final SI'!AE366)</f>
        <v/>
      </c>
      <c r="K363" s="344" t="str">
        <f t="shared" si="5"/>
        <v/>
      </c>
      <c r="L363" s="344" t="str">
        <f>IF('Mapa final SI'!AH366="","",'Mapa final SI'!AH366)</f>
        <v/>
      </c>
      <c r="M363" s="345" t="str">
        <f>IF('Mapa final SI'!T366="","",'Mapa final SI'!T366)</f>
        <v/>
      </c>
      <c r="N363" s="70"/>
      <c r="O363" s="70"/>
      <c r="P363" s="70"/>
      <c r="Q363" s="177"/>
    </row>
    <row r="364" spans="1:17" ht="51.75" customHeight="1" x14ac:dyDescent="0.25">
      <c r="A364" s="119" t="s">
        <v>896</v>
      </c>
      <c r="B364" s="713"/>
      <c r="C364" s="715"/>
      <c r="D364" s="717"/>
      <c r="E364" s="715"/>
      <c r="F364" s="718"/>
      <c r="G364" s="718"/>
      <c r="H364" s="824"/>
      <c r="I364" s="344" t="str">
        <f>IF('Mapa final SI'!AC367="","",'Mapa final SI'!AC367)</f>
        <v/>
      </c>
      <c r="J364" s="344" t="str">
        <f>IF('Mapa final SI'!AE367="","",'Mapa final SI'!AE367)</f>
        <v/>
      </c>
      <c r="K364" s="344" t="str">
        <f t="shared" si="5"/>
        <v/>
      </c>
      <c r="L364" s="344" t="str">
        <f>IF('Mapa final SI'!AH367="","",'Mapa final SI'!AH367)</f>
        <v/>
      </c>
      <c r="M364" s="345" t="str">
        <f>IF('Mapa final SI'!T367="","",'Mapa final SI'!T367)</f>
        <v/>
      </c>
      <c r="N364" s="70"/>
      <c r="O364" s="70"/>
      <c r="P364" s="70"/>
      <c r="Q364" s="177"/>
    </row>
    <row r="365" spans="1:17" ht="51.75" customHeight="1" x14ac:dyDescent="0.25">
      <c r="A365" s="119" t="s">
        <v>897</v>
      </c>
      <c r="B365" s="713"/>
      <c r="C365" s="715"/>
      <c r="D365" s="717"/>
      <c r="E365" s="715"/>
      <c r="F365" s="718"/>
      <c r="G365" s="718"/>
      <c r="H365" s="824"/>
      <c r="I365" s="344" t="str">
        <f>IF('Mapa final SI'!AC368="","",'Mapa final SI'!AC368)</f>
        <v/>
      </c>
      <c r="J365" s="344" t="str">
        <f>IF('Mapa final SI'!AE368="","",'Mapa final SI'!AE368)</f>
        <v/>
      </c>
      <c r="K365" s="344" t="str">
        <f t="shared" si="5"/>
        <v/>
      </c>
      <c r="L365" s="344" t="str">
        <f>IF('Mapa final SI'!AH368="","",'Mapa final SI'!AH368)</f>
        <v/>
      </c>
      <c r="M365" s="345" t="str">
        <f>IF('Mapa final SI'!T368="","",'Mapa final SI'!T368)</f>
        <v/>
      </c>
      <c r="N365" s="70"/>
      <c r="O365" s="70"/>
      <c r="P365" s="70"/>
      <c r="Q365" s="177"/>
    </row>
    <row r="366" spans="1:17" ht="51.75" customHeight="1" x14ac:dyDescent="0.25">
      <c r="A366" s="119" t="s">
        <v>898</v>
      </c>
      <c r="B366" s="713"/>
      <c r="C366" s="715"/>
      <c r="D366" s="717"/>
      <c r="E366" s="715"/>
      <c r="F366" s="718"/>
      <c r="G366" s="718"/>
      <c r="H366" s="719"/>
      <c r="I366" s="344" t="str">
        <f>IF('Mapa final SI'!AC369="","",'Mapa final SI'!AC369)</f>
        <v/>
      </c>
      <c r="J366" s="344" t="str">
        <f>IF('Mapa final SI'!AE369="","",'Mapa final SI'!AE369)</f>
        <v/>
      </c>
      <c r="K366" s="344" t="str">
        <f t="shared" si="5"/>
        <v/>
      </c>
      <c r="L366" s="344" t="str">
        <f>IF('Mapa final SI'!AH369="","",'Mapa final SI'!AH369)</f>
        <v/>
      </c>
      <c r="M366" s="345" t="str">
        <f>IF('Mapa final SI'!T369="","",'Mapa final SI'!T369)</f>
        <v/>
      </c>
      <c r="N366" s="70"/>
      <c r="O366" s="70"/>
      <c r="P366" s="70"/>
      <c r="Q366" s="177"/>
    </row>
    <row r="367" spans="1:17" ht="51.75" customHeight="1" x14ac:dyDescent="0.25">
      <c r="A367" s="119" t="s">
        <v>899</v>
      </c>
      <c r="B367" s="712"/>
      <c r="C367" s="714" t="str">
        <f>IF('Mapa final SI'!G370="","",'Mapa final SI'!G370)</f>
        <v/>
      </c>
      <c r="D367" s="716"/>
      <c r="E367" s="714" t="str">
        <f>IF('Mapa final SI'!F370="","",'Mapa final SI'!F370)</f>
        <v/>
      </c>
      <c r="F367" s="720" t="str">
        <f>IF('Mapa final SI'!L370="","",'Mapa final SI'!L370)</f>
        <v/>
      </c>
      <c r="G367" s="720" t="str">
        <f>IF('Mapa final SI'!P370="","",'Mapa final SI'!P370)</f>
        <v/>
      </c>
      <c r="H367" s="82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4" t="str">
        <f>IF('Mapa final SI'!AC370="","",'Mapa final SI'!AC370)</f>
        <v/>
      </c>
      <c r="J367" s="344" t="str">
        <f>IF('Mapa final SI'!AE370="","",'Mapa final SI'!AE370)</f>
        <v/>
      </c>
      <c r="K367" s="344" t="str">
        <f t="shared" si="5"/>
        <v/>
      </c>
      <c r="L367" s="344" t="str">
        <f>IF('Mapa final SI'!AH370="","",'Mapa final SI'!AH370)</f>
        <v/>
      </c>
      <c r="M367" s="345" t="str">
        <f>IF('Mapa final SI'!T370="","",'Mapa final SI'!T370)</f>
        <v/>
      </c>
      <c r="N367" s="70"/>
      <c r="O367" s="70"/>
      <c r="P367" s="70"/>
      <c r="Q367" s="177"/>
    </row>
    <row r="368" spans="1:17" ht="51.75" customHeight="1" x14ac:dyDescent="0.25">
      <c r="A368" s="119" t="s">
        <v>900</v>
      </c>
      <c r="B368" s="713"/>
      <c r="C368" s="715"/>
      <c r="D368" s="717"/>
      <c r="E368" s="715"/>
      <c r="F368" s="718"/>
      <c r="G368" s="718"/>
      <c r="H368" s="824"/>
      <c r="I368" s="344" t="str">
        <f>IF('Mapa final SI'!AC371="","",'Mapa final SI'!AC371)</f>
        <v/>
      </c>
      <c r="J368" s="344" t="str">
        <f>IF('Mapa final SI'!AE371="","",'Mapa final SI'!AE371)</f>
        <v/>
      </c>
      <c r="K368" s="344" t="str">
        <f t="shared" si="5"/>
        <v/>
      </c>
      <c r="L368" s="344" t="str">
        <f>IF('Mapa final SI'!AH371="","",'Mapa final SI'!AH371)</f>
        <v/>
      </c>
      <c r="M368" s="345" t="str">
        <f>IF('Mapa final SI'!T371="","",'Mapa final SI'!T371)</f>
        <v/>
      </c>
      <c r="N368" s="70"/>
      <c r="O368" s="70"/>
      <c r="P368" s="70"/>
      <c r="Q368" s="177"/>
    </row>
    <row r="369" spans="1:17" ht="51.75" customHeight="1" x14ac:dyDescent="0.25">
      <c r="A369" s="119" t="s">
        <v>901</v>
      </c>
      <c r="B369" s="713"/>
      <c r="C369" s="715"/>
      <c r="D369" s="717"/>
      <c r="E369" s="715"/>
      <c r="F369" s="718"/>
      <c r="G369" s="718"/>
      <c r="H369" s="824"/>
      <c r="I369" s="344" t="str">
        <f>IF('Mapa final SI'!AC372="","",'Mapa final SI'!AC372)</f>
        <v/>
      </c>
      <c r="J369" s="344" t="str">
        <f>IF('Mapa final SI'!AE372="","",'Mapa final SI'!AE372)</f>
        <v/>
      </c>
      <c r="K369" s="344" t="str">
        <f t="shared" si="5"/>
        <v/>
      </c>
      <c r="L369" s="344" t="str">
        <f>IF('Mapa final SI'!AH372="","",'Mapa final SI'!AH372)</f>
        <v/>
      </c>
      <c r="M369" s="345" t="str">
        <f>IF('Mapa final SI'!T372="","",'Mapa final SI'!T372)</f>
        <v/>
      </c>
      <c r="N369" s="70"/>
      <c r="O369" s="70"/>
      <c r="P369" s="70"/>
      <c r="Q369" s="177"/>
    </row>
    <row r="370" spans="1:17" ht="51.75" customHeight="1" x14ac:dyDescent="0.25">
      <c r="A370" s="119" t="s">
        <v>902</v>
      </c>
      <c r="B370" s="713"/>
      <c r="C370" s="715"/>
      <c r="D370" s="717"/>
      <c r="E370" s="715"/>
      <c r="F370" s="718"/>
      <c r="G370" s="718"/>
      <c r="H370" s="824"/>
      <c r="I370" s="344" t="str">
        <f>IF('Mapa final SI'!AC373="","",'Mapa final SI'!AC373)</f>
        <v/>
      </c>
      <c r="J370" s="344" t="str">
        <f>IF('Mapa final SI'!AE373="","",'Mapa final SI'!AE373)</f>
        <v/>
      </c>
      <c r="K370" s="344" t="str">
        <f t="shared" si="5"/>
        <v/>
      </c>
      <c r="L370" s="344" t="str">
        <f>IF('Mapa final SI'!AH373="","",'Mapa final SI'!AH373)</f>
        <v/>
      </c>
      <c r="M370" s="345" t="str">
        <f>IF('Mapa final SI'!T373="","",'Mapa final SI'!T373)</f>
        <v/>
      </c>
      <c r="N370" s="70"/>
      <c r="O370" s="70"/>
      <c r="P370" s="70"/>
      <c r="Q370" s="177"/>
    </row>
    <row r="371" spans="1:17" ht="51.75" customHeight="1" x14ac:dyDescent="0.25">
      <c r="A371" s="119" t="s">
        <v>903</v>
      </c>
      <c r="B371" s="713"/>
      <c r="C371" s="715"/>
      <c r="D371" s="717"/>
      <c r="E371" s="715"/>
      <c r="F371" s="718"/>
      <c r="G371" s="718"/>
      <c r="H371" s="824"/>
      <c r="I371" s="344" t="str">
        <f>IF('Mapa final SI'!AC374="","",'Mapa final SI'!AC374)</f>
        <v/>
      </c>
      <c r="J371" s="344" t="str">
        <f>IF('Mapa final SI'!AE374="","",'Mapa final SI'!AE374)</f>
        <v/>
      </c>
      <c r="K371" s="344" t="str">
        <f t="shared" si="5"/>
        <v/>
      </c>
      <c r="L371" s="344" t="str">
        <f>IF('Mapa final SI'!AH374="","",'Mapa final SI'!AH374)</f>
        <v/>
      </c>
      <c r="M371" s="345" t="str">
        <f>IF('Mapa final SI'!T374="","",'Mapa final SI'!T374)</f>
        <v/>
      </c>
      <c r="N371" s="70"/>
      <c r="O371" s="70"/>
      <c r="P371" s="70"/>
      <c r="Q371" s="177"/>
    </row>
    <row r="372" spans="1:17" ht="51.75" customHeight="1" x14ac:dyDescent="0.25">
      <c r="A372" s="119" t="s">
        <v>904</v>
      </c>
      <c r="B372" s="713"/>
      <c r="C372" s="715"/>
      <c r="D372" s="717"/>
      <c r="E372" s="715"/>
      <c r="F372" s="718"/>
      <c r="G372" s="718"/>
      <c r="H372" s="719"/>
      <c r="I372" s="344" t="str">
        <f>IF('Mapa final SI'!AC375="","",'Mapa final SI'!AC375)</f>
        <v/>
      </c>
      <c r="J372" s="344" t="str">
        <f>IF('Mapa final SI'!AE375="","",'Mapa final SI'!AE375)</f>
        <v/>
      </c>
      <c r="K372" s="344" t="str">
        <f t="shared" si="5"/>
        <v/>
      </c>
      <c r="L372" s="344" t="str">
        <f>IF('Mapa final SI'!AH375="","",'Mapa final SI'!AH375)</f>
        <v/>
      </c>
      <c r="M372" s="345" t="str">
        <f>IF('Mapa final SI'!T375="","",'Mapa final SI'!T375)</f>
        <v/>
      </c>
      <c r="N372" s="70"/>
      <c r="O372" s="70"/>
      <c r="P372" s="70"/>
      <c r="Q372" s="177"/>
    </row>
    <row r="373" spans="1:17" ht="51.75" customHeight="1" x14ac:dyDescent="0.25">
      <c r="A373" s="119" t="s">
        <v>905</v>
      </c>
      <c r="B373" s="712"/>
      <c r="C373" s="714" t="str">
        <f>IF('Mapa final SI'!G376="","",'Mapa final SI'!G376)</f>
        <v/>
      </c>
      <c r="D373" s="716"/>
      <c r="E373" s="714" t="str">
        <f>IF('Mapa final SI'!F376="","",'Mapa final SI'!F376)</f>
        <v/>
      </c>
      <c r="F373" s="720" t="str">
        <f>IF('Mapa final SI'!L376="","",'Mapa final SI'!L376)</f>
        <v/>
      </c>
      <c r="G373" s="720" t="str">
        <f>IF('Mapa final SI'!P376="","",'Mapa final SI'!P376)</f>
        <v/>
      </c>
      <c r="H373" s="82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4" t="str">
        <f>IF('Mapa final SI'!AC376="","",'Mapa final SI'!AC376)</f>
        <v/>
      </c>
      <c r="J373" s="344" t="str">
        <f>IF('Mapa final SI'!AE376="","",'Mapa final SI'!AE376)</f>
        <v/>
      </c>
      <c r="K373" s="344" t="str">
        <f t="shared" si="5"/>
        <v/>
      </c>
      <c r="L373" s="344" t="str">
        <f>IF('Mapa final SI'!AH376="","",'Mapa final SI'!AH376)</f>
        <v/>
      </c>
      <c r="M373" s="345" t="str">
        <f>IF('Mapa final SI'!T376="","",'Mapa final SI'!T376)</f>
        <v/>
      </c>
      <c r="N373" s="70"/>
      <c r="O373" s="70"/>
      <c r="P373" s="70"/>
      <c r="Q373" s="177"/>
    </row>
    <row r="374" spans="1:17" ht="51.75" customHeight="1" x14ac:dyDescent="0.25">
      <c r="A374" s="119" t="s">
        <v>906</v>
      </c>
      <c r="B374" s="713"/>
      <c r="C374" s="715"/>
      <c r="D374" s="717"/>
      <c r="E374" s="715"/>
      <c r="F374" s="718"/>
      <c r="G374" s="718"/>
      <c r="H374" s="824"/>
      <c r="I374" s="344" t="str">
        <f>IF('Mapa final SI'!AC377="","",'Mapa final SI'!AC377)</f>
        <v/>
      </c>
      <c r="J374" s="344" t="str">
        <f>IF('Mapa final SI'!AE377="","",'Mapa final SI'!AE377)</f>
        <v/>
      </c>
      <c r="K374" s="344" t="str">
        <f t="shared" si="5"/>
        <v/>
      </c>
      <c r="L374" s="344" t="str">
        <f>IF('Mapa final SI'!AH377="","",'Mapa final SI'!AH377)</f>
        <v/>
      </c>
      <c r="M374" s="345" t="str">
        <f>IF('Mapa final SI'!T377="","",'Mapa final SI'!T377)</f>
        <v/>
      </c>
      <c r="N374" s="70"/>
      <c r="O374" s="70"/>
      <c r="P374" s="70"/>
      <c r="Q374" s="177"/>
    </row>
    <row r="375" spans="1:17" ht="51.75" customHeight="1" x14ac:dyDescent="0.25">
      <c r="A375" s="119" t="s">
        <v>907</v>
      </c>
      <c r="B375" s="713"/>
      <c r="C375" s="715"/>
      <c r="D375" s="717"/>
      <c r="E375" s="715"/>
      <c r="F375" s="718"/>
      <c r="G375" s="718"/>
      <c r="H375" s="824"/>
      <c r="I375" s="344" t="str">
        <f>IF('Mapa final SI'!AC378="","",'Mapa final SI'!AC378)</f>
        <v/>
      </c>
      <c r="J375" s="344" t="str">
        <f>IF('Mapa final SI'!AE378="","",'Mapa final SI'!AE378)</f>
        <v/>
      </c>
      <c r="K375" s="344" t="str">
        <f t="shared" si="5"/>
        <v/>
      </c>
      <c r="L375" s="344" t="str">
        <f>IF('Mapa final SI'!AH378="","",'Mapa final SI'!AH378)</f>
        <v/>
      </c>
      <c r="M375" s="345" t="str">
        <f>IF('Mapa final SI'!T378="","",'Mapa final SI'!T378)</f>
        <v/>
      </c>
      <c r="N375" s="70"/>
      <c r="O375" s="70"/>
      <c r="P375" s="70"/>
      <c r="Q375" s="177"/>
    </row>
    <row r="376" spans="1:17" ht="51.75" customHeight="1" x14ac:dyDescent="0.25">
      <c r="A376" s="119" t="s">
        <v>908</v>
      </c>
      <c r="B376" s="713"/>
      <c r="C376" s="715"/>
      <c r="D376" s="717"/>
      <c r="E376" s="715"/>
      <c r="F376" s="718"/>
      <c r="G376" s="718"/>
      <c r="H376" s="824"/>
      <c r="I376" s="344" t="str">
        <f>IF('Mapa final SI'!AC379="","",'Mapa final SI'!AC379)</f>
        <v/>
      </c>
      <c r="J376" s="344" t="str">
        <f>IF('Mapa final SI'!AE379="","",'Mapa final SI'!AE379)</f>
        <v/>
      </c>
      <c r="K376" s="344" t="str">
        <f t="shared" si="5"/>
        <v/>
      </c>
      <c r="L376" s="344" t="str">
        <f>IF('Mapa final SI'!AH379="","",'Mapa final SI'!AH379)</f>
        <v/>
      </c>
      <c r="M376" s="345" t="str">
        <f>IF('Mapa final SI'!T379="","",'Mapa final SI'!T379)</f>
        <v/>
      </c>
      <c r="N376" s="70"/>
      <c r="O376" s="70"/>
      <c r="P376" s="70"/>
      <c r="Q376" s="177"/>
    </row>
    <row r="377" spans="1:17" ht="51.75" customHeight="1" x14ac:dyDescent="0.25">
      <c r="A377" s="119" t="s">
        <v>909</v>
      </c>
      <c r="B377" s="713"/>
      <c r="C377" s="715"/>
      <c r="D377" s="717"/>
      <c r="E377" s="715"/>
      <c r="F377" s="718"/>
      <c r="G377" s="718"/>
      <c r="H377" s="824"/>
      <c r="I377" s="344" t="str">
        <f>IF('Mapa final SI'!AC380="","",'Mapa final SI'!AC380)</f>
        <v/>
      </c>
      <c r="J377" s="344" t="str">
        <f>IF('Mapa final SI'!AE380="","",'Mapa final SI'!AE380)</f>
        <v/>
      </c>
      <c r="K377" s="344" t="str">
        <f t="shared" si="5"/>
        <v/>
      </c>
      <c r="L377" s="344" t="str">
        <f>IF('Mapa final SI'!AH380="","",'Mapa final SI'!AH380)</f>
        <v/>
      </c>
      <c r="M377" s="345" t="str">
        <f>IF('Mapa final SI'!T380="","",'Mapa final SI'!T380)</f>
        <v/>
      </c>
      <c r="N377" s="70"/>
      <c r="O377" s="70"/>
      <c r="P377" s="70"/>
      <c r="Q377" s="177"/>
    </row>
    <row r="378" spans="1:17" ht="51.75" customHeight="1" x14ac:dyDescent="0.25">
      <c r="A378" s="119" t="s">
        <v>910</v>
      </c>
      <c r="B378" s="713"/>
      <c r="C378" s="715"/>
      <c r="D378" s="717"/>
      <c r="E378" s="715"/>
      <c r="F378" s="718"/>
      <c r="G378" s="718"/>
      <c r="H378" s="719"/>
      <c r="I378" s="344" t="str">
        <f>IF('Mapa final SI'!AC381="","",'Mapa final SI'!AC381)</f>
        <v/>
      </c>
      <c r="J378" s="344" t="str">
        <f>IF('Mapa final SI'!AE381="","",'Mapa final SI'!AE381)</f>
        <v/>
      </c>
      <c r="K378" s="344" t="str">
        <f t="shared" si="5"/>
        <v/>
      </c>
      <c r="L378" s="344" t="str">
        <f>IF('Mapa final SI'!AH381="","",'Mapa final SI'!AH381)</f>
        <v/>
      </c>
      <c r="M378" s="345" t="str">
        <f>IF('Mapa final SI'!T381="","",'Mapa final SI'!T381)</f>
        <v/>
      </c>
      <c r="N378" s="70"/>
      <c r="O378" s="70"/>
      <c r="P378" s="70"/>
      <c r="Q378" s="177"/>
    </row>
    <row r="379" spans="1:17" ht="51.75" customHeight="1" x14ac:dyDescent="0.25">
      <c r="A379" s="119" t="s">
        <v>911</v>
      </c>
      <c r="B379" s="712"/>
      <c r="C379" s="714" t="str">
        <f>IF('Mapa final SI'!G382="","",'Mapa final SI'!G382)</f>
        <v/>
      </c>
      <c r="D379" s="716"/>
      <c r="E379" s="714" t="str">
        <f>IF('Mapa final SI'!F382="","",'Mapa final SI'!F382)</f>
        <v/>
      </c>
      <c r="F379" s="720" t="str">
        <f>IF('Mapa final SI'!L382="","",'Mapa final SI'!L382)</f>
        <v/>
      </c>
      <c r="G379" s="720" t="str">
        <f>IF('Mapa final SI'!P382="","",'Mapa final SI'!P382)</f>
        <v/>
      </c>
      <c r="H379" s="82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4" t="str">
        <f>IF('Mapa final SI'!AC382="","",'Mapa final SI'!AC382)</f>
        <v/>
      </c>
      <c r="J379" s="344" t="str">
        <f>IF('Mapa final SI'!AE382="","",'Mapa final SI'!AE382)</f>
        <v/>
      </c>
      <c r="K379" s="344" t="str">
        <f t="shared" si="5"/>
        <v/>
      </c>
      <c r="L379" s="344" t="str">
        <f>IF('Mapa final SI'!AH382="","",'Mapa final SI'!AH382)</f>
        <v/>
      </c>
      <c r="M379" s="345" t="str">
        <f>IF('Mapa final SI'!T382="","",'Mapa final SI'!T382)</f>
        <v/>
      </c>
      <c r="N379" s="70"/>
      <c r="O379" s="70"/>
      <c r="P379" s="70"/>
      <c r="Q379" s="177"/>
    </row>
    <row r="380" spans="1:17" ht="51.75" customHeight="1" x14ac:dyDescent="0.25">
      <c r="A380" s="119" t="s">
        <v>912</v>
      </c>
      <c r="B380" s="713"/>
      <c r="C380" s="715"/>
      <c r="D380" s="717"/>
      <c r="E380" s="715"/>
      <c r="F380" s="718"/>
      <c r="G380" s="718"/>
      <c r="H380" s="824"/>
      <c r="I380" s="344" t="str">
        <f>IF('Mapa final SI'!AC383="","",'Mapa final SI'!AC383)</f>
        <v/>
      </c>
      <c r="J380" s="344" t="str">
        <f>IF('Mapa final SI'!AE383="","",'Mapa final SI'!AE383)</f>
        <v/>
      </c>
      <c r="K380" s="344" t="str">
        <f t="shared" si="5"/>
        <v/>
      </c>
      <c r="L380" s="344" t="str">
        <f>IF('Mapa final SI'!AH383="","",'Mapa final SI'!AH383)</f>
        <v/>
      </c>
      <c r="M380" s="345" t="str">
        <f>IF('Mapa final SI'!T383="","",'Mapa final SI'!T383)</f>
        <v/>
      </c>
      <c r="N380" s="70"/>
      <c r="O380" s="70"/>
      <c r="P380" s="70"/>
      <c r="Q380" s="177"/>
    </row>
    <row r="381" spans="1:17" ht="51.75" customHeight="1" x14ac:dyDescent="0.25">
      <c r="A381" s="119" t="s">
        <v>913</v>
      </c>
      <c r="B381" s="713"/>
      <c r="C381" s="715"/>
      <c r="D381" s="717"/>
      <c r="E381" s="715"/>
      <c r="F381" s="718"/>
      <c r="G381" s="718"/>
      <c r="H381" s="824"/>
      <c r="I381" s="344" t="str">
        <f>IF('Mapa final SI'!AC384="","",'Mapa final SI'!AC384)</f>
        <v/>
      </c>
      <c r="J381" s="344" t="str">
        <f>IF('Mapa final SI'!AE384="","",'Mapa final SI'!AE384)</f>
        <v/>
      </c>
      <c r="K381" s="344" t="str">
        <f t="shared" si="5"/>
        <v/>
      </c>
      <c r="L381" s="344" t="str">
        <f>IF('Mapa final SI'!AH384="","",'Mapa final SI'!AH384)</f>
        <v/>
      </c>
      <c r="M381" s="345" t="str">
        <f>IF('Mapa final SI'!T384="","",'Mapa final SI'!T384)</f>
        <v/>
      </c>
      <c r="N381" s="70"/>
      <c r="O381" s="70"/>
      <c r="P381" s="70"/>
      <c r="Q381" s="177"/>
    </row>
    <row r="382" spans="1:17" ht="51.75" customHeight="1" x14ac:dyDescent="0.25">
      <c r="A382" s="119" t="s">
        <v>914</v>
      </c>
      <c r="B382" s="713"/>
      <c r="C382" s="715"/>
      <c r="D382" s="717"/>
      <c r="E382" s="715"/>
      <c r="F382" s="718"/>
      <c r="G382" s="718"/>
      <c r="H382" s="824"/>
      <c r="I382" s="344" t="str">
        <f>IF('Mapa final SI'!AC385="","",'Mapa final SI'!AC385)</f>
        <v/>
      </c>
      <c r="J382" s="344" t="str">
        <f>IF('Mapa final SI'!AE385="","",'Mapa final SI'!AE385)</f>
        <v/>
      </c>
      <c r="K382" s="344" t="str">
        <f t="shared" si="5"/>
        <v/>
      </c>
      <c r="L382" s="344" t="str">
        <f>IF('Mapa final SI'!AH385="","",'Mapa final SI'!AH385)</f>
        <v/>
      </c>
      <c r="M382" s="345" t="str">
        <f>IF('Mapa final SI'!T385="","",'Mapa final SI'!T385)</f>
        <v/>
      </c>
      <c r="N382" s="70"/>
      <c r="O382" s="70"/>
      <c r="P382" s="70"/>
      <c r="Q382" s="177"/>
    </row>
    <row r="383" spans="1:17" ht="51.75" customHeight="1" x14ac:dyDescent="0.25">
      <c r="A383" s="119" t="s">
        <v>915</v>
      </c>
      <c r="B383" s="713"/>
      <c r="C383" s="715"/>
      <c r="D383" s="717"/>
      <c r="E383" s="715"/>
      <c r="F383" s="718"/>
      <c r="G383" s="718"/>
      <c r="H383" s="824"/>
      <c r="I383" s="344" t="str">
        <f>IF('Mapa final SI'!AC386="","",'Mapa final SI'!AC386)</f>
        <v/>
      </c>
      <c r="J383" s="344" t="str">
        <f>IF('Mapa final SI'!AE386="","",'Mapa final SI'!AE386)</f>
        <v/>
      </c>
      <c r="K383" s="344" t="str">
        <f t="shared" si="5"/>
        <v/>
      </c>
      <c r="L383" s="344" t="str">
        <f>IF('Mapa final SI'!AH386="","",'Mapa final SI'!AH386)</f>
        <v/>
      </c>
      <c r="M383" s="345" t="str">
        <f>IF('Mapa final SI'!T386="","",'Mapa final SI'!T386)</f>
        <v/>
      </c>
      <c r="N383" s="70"/>
      <c r="O383" s="70"/>
      <c r="P383" s="70"/>
      <c r="Q383" s="177"/>
    </row>
    <row r="384" spans="1:17" ht="51.75" customHeight="1" x14ac:dyDescent="0.25">
      <c r="A384" s="119" t="s">
        <v>916</v>
      </c>
      <c r="B384" s="713"/>
      <c r="C384" s="715"/>
      <c r="D384" s="717"/>
      <c r="E384" s="715"/>
      <c r="F384" s="718"/>
      <c r="G384" s="718"/>
      <c r="H384" s="719"/>
      <c r="I384" s="344" t="str">
        <f>IF('Mapa final SI'!AC387="","",'Mapa final SI'!AC387)</f>
        <v/>
      </c>
      <c r="J384" s="344" t="str">
        <f>IF('Mapa final SI'!AE387="","",'Mapa final SI'!AE387)</f>
        <v/>
      </c>
      <c r="K384" s="344" t="str">
        <f t="shared" si="5"/>
        <v/>
      </c>
      <c r="L384" s="344" t="str">
        <f>IF('Mapa final SI'!AH387="","",'Mapa final SI'!AH387)</f>
        <v/>
      </c>
      <c r="M384" s="345" t="str">
        <f>IF('Mapa final SI'!T387="","",'Mapa final SI'!T387)</f>
        <v/>
      </c>
      <c r="N384" s="70"/>
      <c r="O384" s="70"/>
      <c r="P384" s="70"/>
      <c r="Q384" s="177"/>
    </row>
    <row r="385" spans="1:17" ht="51.75" customHeight="1" x14ac:dyDescent="0.25">
      <c r="A385" s="119" t="s">
        <v>917</v>
      </c>
      <c r="B385" s="712"/>
      <c r="C385" s="714" t="str">
        <f>IF('Mapa final SI'!G388="","",'Mapa final SI'!G388)</f>
        <v/>
      </c>
      <c r="D385" s="716"/>
      <c r="E385" s="714" t="str">
        <f>IF('Mapa final SI'!F388="","",'Mapa final SI'!F388)</f>
        <v/>
      </c>
      <c r="F385" s="720" t="str">
        <f>IF('Mapa final SI'!L388="","",'Mapa final SI'!L388)</f>
        <v/>
      </c>
      <c r="G385" s="720" t="str">
        <f>IF('Mapa final SI'!P388="","",'Mapa final SI'!P388)</f>
        <v/>
      </c>
      <c r="H385" s="82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4" t="str">
        <f>IF('Mapa final SI'!AC388="","",'Mapa final SI'!AC388)</f>
        <v/>
      </c>
      <c r="J385" s="344" t="str">
        <f>IF('Mapa final SI'!AE388="","",'Mapa final SI'!AE388)</f>
        <v/>
      </c>
      <c r="K385" s="344" t="str">
        <f t="shared" si="5"/>
        <v/>
      </c>
      <c r="L385" s="344" t="str">
        <f>IF('Mapa final SI'!AH388="","",'Mapa final SI'!AH388)</f>
        <v/>
      </c>
      <c r="M385" s="345" t="str">
        <f>IF('Mapa final SI'!T388="","",'Mapa final SI'!T388)</f>
        <v/>
      </c>
      <c r="N385" s="70"/>
      <c r="O385" s="70"/>
      <c r="P385" s="70"/>
      <c r="Q385" s="177"/>
    </row>
    <row r="386" spans="1:17" ht="51.75" customHeight="1" x14ac:dyDescent="0.25">
      <c r="A386" s="119" t="s">
        <v>918</v>
      </c>
      <c r="B386" s="713"/>
      <c r="C386" s="715"/>
      <c r="D386" s="717"/>
      <c r="E386" s="715"/>
      <c r="F386" s="718"/>
      <c r="G386" s="718"/>
      <c r="H386" s="824"/>
      <c r="I386" s="344" t="str">
        <f>IF('Mapa final SI'!AC389="","",'Mapa final SI'!AC389)</f>
        <v/>
      </c>
      <c r="J386" s="344" t="str">
        <f>IF('Mapa final SI'!AE389="","",'Mapa final SI'!AE389)</f>
        <v/>
      </c>
      <c r="K386" s="344" t="str">
        <f t="shared" si="5"/>
        <v/>
      </c>
      <c r="L386" s="344" t="str">
        <f>IF('Mapa final SI'!AH389="","",'Mapa final SI'!AH389)</f>
        <v/>
      </c>
      <c r="M386" s="345" t="str">
        <f>IF('Mapa final SI'!T389="","",'Mapa final SI'!T389)</f>
        <v/>
      </c>
      <c r="N386" s="70"/>
      <c r="O386" s="70"/>
      <c r="P386" s="70"/>
      <c r="Q386" s="177"/>
    </row>
    <row r="387" spans="1:17" ht="51.75" customHeight="1" x14ac:dyDescent="0.25">
      <c r="A387" s="119" t="s">
        <v>919</v>
      </c>
      <c r="B387" s="713"/>
      <c r="C387" s="715"/>
      <c r="D387" s="717"/>
      <c r="E387" s="715"/>
      <c r="F387" s="718"/>
      <c r="G387" s="718"/>
      <c r="H387" s="824"/>
      <c r="I387" s="344" t="str">
        <f>IF('Mapa final SI'!AC390="","",'Mapa final SI'!AC390)</f>
        <v/>
      </c>
      <c r="J387" s="344" t="str">
        <f>IF('Mapa final SI'!AE390="","",'Mapa final SI'!AE390)</f>
        <v/>
      </c>
      <c r="K387" s="344" t="str">
        <f t="shared" si="5"/>
        <v/>
      </c>
      <c r="L387" s="344" t="str">
        <f>IF('Mapa final SI'!AH390="","",'Mapa final SI'!AH390)</f>
        <v/>
      </c>
      <c r="M387" s="345" t="str">
        <f>IF('Mapa final SI'!T390="","",'Mapa final SI'!T390)</f>
        <v/>
      </c>
      <c r="N387" s="70"/>
      <c r="O387" s="70"/>
      <c r="P387" s="70"/>
      <c r="Q387" s="177"/>
    </row>
    <row r="388" spans="1:17" ht="51.75" customHeight="1" x14ac:dyDescent="0.25">
      <c r="A388" s="119" t="s">
        <v>920</v>
      </c>
      <c r="B388" s="713"/>
      <c r="C388" s="715"/>
      <c r="D388" s="717"/>
      <c r="E388" s="715"/>
      <c r="F388" s="718"/>
      <c r="G388" s="718"/>
      <c r="H388" s="824"/>
      <c r="I388" s="344" t="str">
        <f>IF('Mapa final SI'!AC391="","",'Mapa final SI'!AC391)</f>
        <v/>
      </c>
      <c r="J388" s="344" t="str">
        <f>IF('Mapa final SI'!AE391="","",'Mapa final SI'!AE391)</f>
        <v/>
      </c>
      <c r="K388" s="344" t="str">
        <f t="shared" si="5"/>
        <v/>
      </c>
      <c r="L388" s="344" t="str">
        <f>IF('Mapa final SI'!AH391="","",'Mapa final SI'!AH391)</f>
        <v/>
      </c>
      <c r="M388" s="345" t="str">
        <f>IF('Mapa final SI'!T391="","",'Mapa final SI'!T391)</f>
        <v/>
      </c>
      <c r="N388" s="70"/>
      <c r="O388" s="70"/>
      <c r="P388" s="70"/>
      <c r="Q388" s="177"/>
    </row>
    <row r="389" spans="1:17" ht="51.75" customHeight="1" x14ac:dyDescent="0.25">
      <c r="A389" s="119" t="s">
        <v>921</v>
      </c>
      <c r="B389" s="713"/>
      <c r="C389" s="715"/>
      <c r="D389" s="717"/>
      <c r="E389" s="715"/>
      <c r="F389" s="718"/>
      <c r="G389" s="718"/>
      <c r="H389" s="824"/>
      <c r="I389" s="344" t="str">
        <f>IF('Mapa final SI'!AC392="","",'Mapa final SI'!AC392)</f>
        <v/>
      </c>
      <c r="J389" s="344" t="str">
        <f>IF('Mapa final SI'!AE392="","",'Mapa final SI'!AE392)</f>
        <v/>
      </c>
      <c r="K389" s="344" t="str">
        <f t="shared" si="5"/>
        <v/>
      </c>
      <c r="L389" s="344" t="str">
        <f>IF('Mapa final SI'!AH392="","",'Mapa final SI'!AH392)</f>
        <v/>
      </c>
      <c r="M389" s="345" t="str">
        <f>IF('Mapa final SI'!T392="","",'Mapa final SI'!T392)</f>
        <v/>
      </c>
      <c r="N389" s="70"/>
      <c r="O389" s="70"/>
      <c r="P389" s="70"/>
      <c r="Q389" s="177"/>
    </row>
    <row r="390" spans="1:17" ht="51.75" customHeight="1" x14ac:dyDescent="0.25">
      <c r="A390" s="119" t="s">
        <v>922</v>
      </c>
      <c r="B390" s="713"/>
      <c r="C390" s="715"/>
      <c r="D390" s="717"/>
      <c r="E390" s="715"/>
      <c r="F390" s="718"/>
      <c r="G390" s="718"/>
      <c r="H390" s="719"/>
      <c r="I390" s="344" t="str">
        <f>IF('Mapa final SI'!AC393="","",'Mapa final SI'!AC393)</f>
        <v/>
      </c>
      <c r="J390" s="344" t="str">
        <f>IF('Mapa final SI'!AE393="","",'Mapa final SI'!AE393)</f>
        <v/>
      </c>
      <c r="K390" s="344" t="str">
        <f t="shared" si="5"/>
        <v/>
      </c>
      <c r="L390" s="344" t="str">
        <f>IF('Mapa final SI'!AH393="","",'Mapa final SI'!AH393)</f>
        <v/>
      </c>
      <c r="M390" s="345" t="str">
        <f>IF('Mapa final SI'!T393="","",'Mapa final SI'!T393)</f>
        <v/>
      </c>
      <c r="N390" s="70"/>
      <c r="O390" s="70"/>
      <c r="P390" s="70"/>
      <c r="Q390" s="177"/>
    </row>
    <row r="391" spans="1:17" ht="51.75" customHeight="1" x14ac:dyDescent="0.25">
      <c r="A391" s="119" t="s">
        <v>923</v>
      </c>
      <c r="B391" s="712"/>
      <c r="C391" s="714" t="str">
        <f>IF('Mapa final SI'!G394="","",'Mapa final SI'!G394)</f>
        <v/>
      </c>
      <c r="D391" s="716"/>
      <c r="E391" s="714" t="str">
        <f>IF('Mapa final SI'!F394="","",'Mapa final SI'!F394)</f>
        <v/>
      </c>
      <c r="F391" s="720" t="str">
        <f>IF('Mapa final SI'!L394="","",'Mapa final SI'!L394)</f>
        <v/>
      </c>
      <c r="G391" s="720" t="str">
        <f>IF('Mapa final SI'!P394="","",'Mapa final SI'!P394)</f>
        <v/>
      </c>
      <c r="H391" s="82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4" t="str">
        <f>IF('Mapa final SI'!AC394="","",'Mapa final SI'!AC394)</f>
        <v/>
      </c>
      <c r="J391" s="344" t="str">
        <f>IF('Mapa final SI'!AE394="","",'Mapa final SI'!AE394)</f>
        <v/>
      </c>
      <c r="K391" s="344" t="str">
        <f t="shared" si="5"/>
        <v/>
      </c>
      <c r="L391" s="344" t="str">
        <f>IF('Mapa final SI'!AH394="","",'Mapa final SI'!AH394)</f>
        <v/>
      </c>
      <c r="M391" s="345" t="str">
        <f>IF('Mapa final SI'!T394="","",'Mapa final SI'!T394)</f>
        <v/>
      </c>
      <c r="N391" s="70"/>
      <c r="O391" s="70"/>
      <c r="P391" s="70"/>
      <c r="Q391" s="177"/>
    </row>
    <row r="392" spans="1:17" ht="51.75" customHeight="1" x14ac:dyDescent="0.25">
      <c r="A392" s="119" t="s">
        <v>924</v>
      </c>
      <c r="B392" s="713"/>
      <c r="C392" s="715"/>
      <c r="D392" s="717"/>
      <c r="E392" s="715"/>
      <c r="F392" s="718"/>
      <c r="G392" s="718"/>
      <c r="H392" s="824"/>
      <c r="I392" s="344" t="str">
        <f>IF('Mapa final SI'!AC395="","",'Mapa final SI'!AC395)</f>
        <v/>
      </c>
      <c r="J392" s="344" t="str">
        <f>IF('Mapa final SI'!AE395="","",'Mapa final SI'!AE395)</f>
        <v/>
      </c>
      <c r="K392" s="34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4" t="str">
        <f>IF('Mapa final SI'!AH395="","",'Mapa final SI'!AH395)</f>
        <v/>
      </c>
      <c r="M392" s="345" t="str">
        <f>IF('Mapa final SI'!T395="","",'Mapa final SI'!T395)</f>
        <v/>
      </c>
      <c r="N392" s="70"/>
      <c r="O392" s="70"/>
      <c r="P392" s="70"/>
      <c r="Q392" s="177"/>
    </row>
    <row r="393" spans="1:17" ht="51.75" customHeight="1" x14ac:dyDescent="0.25">
      <c r="A393" s="119" t="s">
        <v>925</v>
      </c>
      <c r="B393" s="713"/>
      <c r="C393" s="715"/>
      <c r="D393" s="717"/>
      <c r="E393" s="715"/>
      <c r="F393" s="718"/>
      <c r="G393" s="718"/>
      <c r="H393" s="824"/>
      <c r="I393" s="344" t="str">
        <f>IF('Mapa final SI'!AC396="","",'Mapa final SI'!AC396)</f>
        <v/>
      </c>
      <c r="J393" s="344" t="str">
        <f>IF('Mapa final SI'!AE396="","",'Mapa final SI'!AE396)</f>
        <v/>
      </c>
      <c r="K393" s="344" t="str">
        <f t="shared" si="6"/>
        <v/>
      </c>
      <c r="L393" s="344" t="str">
        <f>IF('Mapa final SI'!AH396="","",'Mapa final SI'!AH396)</f>
        <v/>
      </c>
      <c r="M393" s="345" t="str">
        <f>IF('Mapa final SI'!T396="","",'Mapa final SI'!T396)</f>
        <v/>
      </c>
      <c r="N393" s="70"/>
      <c r="O393" s="70"/>
      <c r="P393" s="70"/>
      <c r="Q393" s="177"/>
    </row>
    <row r="394" spans="1:17" ht="51.75" customHeight="1" x14ac:dyDescent="0.25">
      <c r="A394" s="119" t="s">
        <v>926</v>
      </c>
      <c r="B394" s="713"/>
      <c r="C394" s="715"/>
      <c r="D394" s="717"/>
      <c r="E394" s="715"/>
      <c r="F394" s="718"/>
      <c r="G394" s="718"/>
      <c r="H394" s="824"/>
      <c r="I394" s="344" t="str">
        <f>IF('Mapa final SI'!AC397="","",'Mapa final SI'!AC397)</f>
        <v/>
      </c>
      <c r="J394" s="344" t="str">
        <f>IF('Mapa final SI'!AE397="","",'Mapa final SI'!AE397)</f>
        <v/>
      </c>
      <c r="K394" s="344" t="str">
        <f t="shared" si="6"/>
        <v/>
      </c>
      <c r="L394" s="344" t="str">
        <f>IF('Mapa final SI'!AH397="","",'Mapa final SI'!AH397)</f>
        <v/>
      </c>
      <c r="M394" s="345" t="str">
        <f>IF('Mapa final SI'!T397="","",'Mapa final SI'!T397)</f>
        <v/>
      </c>
      <c r="N394" s="70"/>
      <c r="O394" s="70"/>
      <c r="P394" s="70"/>
      <c r="Q394" s="177"/>
    </row>
    <row r="395" spans="1:17" ht="51.75" customHeight="1" x14ac:dyDescent="0.25">
      <c r="A395" s="119" t="s">
        <v>927</v>
      </c>
      <c r="B395" s="713"/>
      <c r="C395" s="715"/>
      <c r="D395" s="717"/>
      <c r="E395" s="715"/>
      <c r="F395" s="718"/>
      <c r="G395" s="718"/>
      <c r="H395" s="824"/>
      <c r="I395" s="344" t="str">
        <f>IF('Mapa final SI'!AC398="","",'Mapa final SI'!AC398)</f>
        <v/>
      </c>
      <c r="J395" s="344" t="str">
        <f>IF('Mapa final SI'!AE398="","",'Mapa final SI'!AE398)</f>
        <v/>
      </c>
      <c r="K395" s="344" t="str">
        <f t="shared" si="6"/>
        <v/>
      </c>
      <c r="L395" s="344" t="str">
        <f>IF('Mapa final SI'!AH398="","",'Mapa final SI'!AH398)</f>
        <v/>
      </c>
      <c r="M395" s="345" t="str">
        <f>IF('Mapa final SI'!T398="","",'Mapa final SI'!T398)</f>
        <v/>
      </c>
      <c r="N395" s="70"/>
      <c r="O395" s="70"/>
      <c r="P395" s="70"/>
      <c r="Q395" s="177"/>
    </row>
    <row r="396" spans="1:17" ht="51.75" customHeight="1" x14ac:dyDescent="0.25">
      <c r="A396" s="119" t="s">
        <v>928</v>
      </c>
      <c r="B396" s="713"/>
      <c r="C396" s="715"/>
      <c r="D396" s="717"/>
      <c r="E396" s="715"/>
      <c r="F396" s="718"/>
      <c r="G396" s="718"/>
      <c r="H396" s="719"/>
      <c r="I396" s="344" t="str">
        <f>IF('Mapa final SI'!AC399="","",'Mapa final SI'!AC399)</f>
        <v/>
      </c>
      <c r="J396" s="344" t="str">
        <f>IF('Mapa final SI'!AE399="","",'Mapa final SI'!AE399)</f>
        <v/>
      </c>
      <c r="K396" s="344" t="str">
        <f t="shared" si="6"/>
        <v/>
      </c>
      <c r="L396" s="344" t="str">
        <f>IF('Mapa final SI'!AH399="","",'Mapa final SI'!AH399)</f>
        <v/>
      </c>
      <c r="M396" s="345" t="str">
        <f>IF('Mapa final SI'!T399="","",'Mapa final SI'!T399)</f>
        <v/>
      </c>
      <c r="N396" s="70"/>
      <c r="O396" s="70"/>
      <c r="P396" s="70"/>
      <c r="Q396" s="177"/>
    </row>
    <row r="397" spans="1:17" ht="51.75" customHeight="1" x14ac:dyDescent="0.25">
      <c r="A397" s="119" t="s">
        <v>929</v>
      </c>
      <c r="B397" s="712"/>
      <c r="C397" s="714" t="str">
        <f>IF('Mapa final SI'!G400="","",'Mapa final SI'!G400)</f>
        <v/>
      </c>
      <c r="D397" s="716"/>
      <c r="E397" s="714" t="str">
        <f>IF('Mapa final SI'!F400="","",'Mapa final SI'!F400)</f>
        <v/>
      </c>
      <c r="F397" s="720" t="str">
        <f>IF('Mapa final SI'!L400="","",'Mapa final SI'!L400)</f>
        <v/>
      </c>
      <c r="G397" s="720" t="str">
        <f>IF('Mapa final SI'!P400="","",'Mapa final SI'!P400)</f>
        <v/>
      </c>
      <c r="H397" s="82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4" t="str">
        <f>IF('Mapa final SI'!AC400="","",'Mapa final SI'!AC400)</f>
        <v/>
      </c>
      <c r="J397" s="344" t="str">
        <f>IF('Mapa final SI'!AE400="","",'Mapa final SI'!AE400)</f>
        <v/>
      </c>
      <c r="K397" s="344" t="str">
        <f t="shared" si="6"/>
        <v/>
      </c>
      <c r="L397" s="344" t="str">
        <f>IF('Mapa final SI'!AH400="","",'Mapa final SI'!AH400)</f>
        <v/>
      </c>
      <c r="M397" s="345" t="str">
        <f>IF('Mapa final SI'!T400="","",'Mapa final SI'!T400)</f>
        <v/>
      </c>
      <c r="N397" s="70"/>
      <c r="O397" s="70"/>
      <c r="P397" s="70"/>
      <c r="Q397" s="177"/>
    </row>
    <row r="398" spans="1:17" ht="51.75" customHeight="1" x14ac:dyDescent="0.25">
      <c r="A398" s="119" t="s">
        <v>930</v>
      </c>
      <c r="B398" s="713"/>
      <c r="C398" s="715"/>
      <c r="D398" s="717"/>
      <c r="E398" s="715"/>
      <c r="F398" s="718"/>
      <c r="G398" s="718"/>
      <c r="H398" s="824"/>
      <c r="I398" s="344" t="str">
        <f>IF('Mapa final SI'!AC401="","",'Mapa final SI'!AC401)</f>
        <v/>
      </c>
      <c r="J398" s="344" t="str">
        <f>IF('Mapa final SI'!AE401="","",'Mapa final SI'!AE401)</f>
        <v/>
      </c>
      <c r="K398" s="344" t="str">
        <f t="shared" si="6"/>
        <v/>
      </c>
      <c r="L398" s="344" t="str">
        <f>IF('Mapa final SI'!AH401="","",'Mapa final SI'!AH401)</f>
        <v/>
      </c>
      <c r="M398" s="345" t="str">
        <f>IF('Mapa final SI'!T401="","",'Mapa final SI'!T401)</f>
        <v/>
      </c>
      <c r="N398" s="70"/>
      <c r="O398" s="70"/>
      <c r="P398" s="70"/>
      <c r="Q398" s="177"/>
    </row>
    <row r="399" spans="1:17" ht="51.75" customHeight="1" x14ac:dyDescent="0.25">
      <c r="A399" s="119" t="s">
        <v>931</v>
      </c>
      <c r="B399" s="713"/>
      <c r="C399" s="715"/>
      <c r="D399" s="717"/>
      <c r="E399" s="715"/>
      <c r="F399" s="718"/>
      <c r="G399" s="718"/>
      <c r="H399" s="824"/>
      <c r="I399" s="344" t="str">
        <f>IF('Mapa final SI'!AC402="","",'Mapa final SI'!AC402)</f>
        <v/>
      </c>
      <c r="J399" s="344" t="str">
        <f>IF('Mapa final SI'!AE402="","",'Mapa final SI'!AE402)</f>
        <v/>
      </c>
      <c r="K399" s="344" t="str">
        <f t="shared" si="6"/>
        <v/>
      </c>
      <c r="L399" s="344" t="str">
        <f>IF('Mapa final SI'!AH402="","",'Mapa final SI'!AH402)</f>
        <v/>
      </c>
      <c r="M399" s="345" t="str">
        <f>IF('Mapa final SI'!T402="","",'Mapa final SI'!T402)</f>
        <v/>
      </c>
      <c r="N399" s="70"/>
      <c r="O399" s="70"/>
      <c r="P399" s="70"/>
      <c r="Q399" s="177"/>
    </row>
    <row r="400" spans="1:17" ht="51.75" customHeight="1" x14ac:dyDescent="0.25">
      <c r="A400" s="119" t="s">
        <v>932</v>
      </c>
      <c r="B400" s="713"/>
      <c r="C400" s="715"/>
      <c r="D400" s="717"/>
      <c r="E400" s="715"/>
      <c r="F400" s="718"/>
      <c r="G400" s="718"/>
      <c r="H400" s="824"/>
      <c r="I400" s="344" t="str">
        <f>IF('Mapa final SI'!AC403="","",'Mapa final SI'!AC403)</f>
        <v/>
      </c>
      <c r="J400" s="344" t="str">
        <f>IF('Mapa final SI'!AE403="","",'Mapa final SI'!AE403)</f>
        <v/>
      </c>
      <c r="K400" s="344" t="str">
        <f t="shared" si="6"/>
        <v/>
      </c>
      <c r="L400" s="344" t="str">
        <f>IF('Mapa final SI'!AH403="","",'Mapa final SI'!AH403)</f>
        <v/>
      </c>
      <c r="M400" s="345" t="str">
        <f>IF('Mapa final SI'!T403="","",'Mapa final SI'!T403)</f>
        <v/>
      </c>
      <c r="N400" s="70"/>
      <c r="O400" s="70"/>
      <c r="P400" s="70"/>
      <c r="Q400" s="177"/>
    </row>
    <row r="401" spans="1:17" ht="51.75" customHeight="1" x14ac:dyDescent="0.25">
      <c r="A401" s="119" t="s">
        <v>933</v>
      </c>
      <c r="B401" s="713"/>
      <c r="C401" s="715"/>
      <c r="D401" s="717"/>
      <c r="E401" s="715"/>
      <c r="F401" s="718"/>
      <c r="G401" s="718"/>
      <c r="H401" s="824"/>
      <c r="I401" s="344" t="str">
        <f>IF('Mapa final SI'!AC404="","",'Mapa final SI'!AC404)</f>
        <v/>
      </c>
      <c r="J401" s="344" t="str">
        <f>IF('Mapa final SI'!AE404="","",'Mapa final SI'!AE404)</f>
        <v/>
      </c>
      <c r="K401" s="344" t="str">
        <f t="shared" si="6"/>
        <v/>
      </c>
      <c r="L401" s="344" t="str">
        <f>IF('Mapa final SI'!AH404="","",'Mapa final SI'!AH404)</f>
        <v/>
      </c>
      <c r="M401" s="345" t="str">
        <f>IF('Mapa final SI'!T404="","",'Mapa final SI'!T404)</f>
        <v/>
      </c>
      <c r="N401" s="70"/>
      <c r="O401" s="70"/>
      <c r="P401" s="70"/>
      <c r="Q401" s="177"/>
    </row>
    <row r="402" spans="1:17" ht="51.75" customHeight="1" x14ac:dyDescent="0.25">
      <c r="A402" s="119" t="s">
        <v>934</v>
      </c>
      <c r="B402" s="713"/>
      <c r="C402" s="715"/>
      <c r="D402" s="717"/>
      <c r="E402" s="715"/>
      <c r="F402" s="718"/>
      <c r="G402" s="718"/>
      <c r="H402" s="719"/>
      <c r="I402" s="344" t="str">
        <f>IF('Mapa final SI'!AC405="","",'Mapa final SI'!AC405)</f>
        <v/>
      </c>
      <c r="J402" s="344" t="str">
        <f>IF('Mapa final SI'!AE405="","",'Mapa final SI'!AE405)</f>
        <v/>
      </c>
      <c r="K402" s="344" t="str">
        <f t="shared" si="6"/>
        <v/>
      </c>
      <c r="L402" s="344" t="str">
        <f>IF('Mapa final SI'!AH405="","",'Mapa final SI'!AH405)</f>
        <v/>
      </c>
      <c r="M402" s="345" t="str">
        <f>IF('Mapa final SI'!T405="","",'Mapa final SI'!T405)</f>
        <v/>
      </c>
      <c r="N402" s="70"/>
      <c r="O402" s="70"/>
      <c r="P402" s="70"/>
      <c r="Q402" s="177"/>
    </row>
    <row r="403" spans="1:17" ht="51.75" customHeight="1" x14ac:dyDescent="0.25">
      <c r="A403" s="119" t="s">
        <v>935</v>
      </c>
      <c r="B403" s="712"/>
      <c r="C403" s="714" t="str">
        <f>IF('Mapa final SI'!G406="","",'Mapa final SI'!G406)</f>
        <v/>
      </c>
      <c r="D403" s="716"/>
      <c r="E403" s="714" t="str">
        <f>IF('Mapa final SI'!F406="","",'Mapa final SI'!F406)</f>
        <v/>
      </c>
      <c r="F403" s="720" t="str">
        <f>IF('Mapa final SI'!L406="","",'Mapa final SI'!L406)</f>
        <v/>
      </c>
      <c r="G403" s="720" t="str">
        <f>IF('Mapa final SI'!P406="","",'Mapa final SI'!P406)</f>
        <v/>
      </c>
      <c r="H403" s="82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4" t="str">
        <f>IF('Mapa final SI'!AC406="","",'Mapa final SI'!AC406)</f>
        <v/>
      </c>
      <c r="J403" s="344" t="str">
        <f>IF('Mapa final SI'!AE406="","",'Mapa final SI'!AE406)</f>
        <v/>
      </c>
      <c r="K403" s="344" t="str">
        <f t="shared" si="6"/>
        <v/>
      </c>
      <c r="L403" s="344" t="str">
        <f>IF('Mapa final SI'!AH406="","",'Mapa final SI'!AH406)</f>
        <v/>
      </c>
      <c r="M403" s="345" t="str">
        <f>IF('Mapa final SI'!T406="","",'Mapa final SI'!T406)</f>
        <v/>
      </c>
      <c r="N403" s="70"/>
      <c r="O403" s="70"/>
      <c r="P403" s="70"/>
      <c r="Q403" s="177"/>
    </row>
    <row r="404" spans="1:17" ht="51.75" customHeight="1" x14ac:dyDescent="0.25">
      <c r="A404" s="119" t="s">
        <v>936</v>
      </c>
      <c r="B404" s="713"/>
      <c r="C404" s="715"/>
      <c r="D404" s="717"/>
      <c r="E404" s="715"/>
      <c r="F404" s="718"/>
      <c r="G404" s="718"/>
      <c r="H404" s="824"/>
      <c r="I404" s="344" t="str">
        <f>IF('Mapa final SI'!AC407="","",'Mapa final SI'!AC407)</f>
        <v/>
      </c>
      <c r="J404" s="344" t="str">
        <f>IF('Mapa final SI'!AE407="","",'Mapa final SI'!AE407)</f>
        <v/>
      </c>
      <c r="K404" s="344" t="str">
        <f t="shared" si="6"/>
        <v/>
      </c>
      <c r="L404" s="344" t="str">
        <f>IF('Mapa final SI'!AH407="","",'Mapa final SI'!AH407)</f>
        <v/>
      </c>
      <c r="M404" s="345" t="str">
        <f>IF('Mapa final SI'!T407="","",'Mapa final SI'!T407)</f>
        <v/>
      </c>
      <c r="N404" s="70"/>
      <c r="O404" s="70"/>
      <c r="P404" s="70"/>
      <c r="Q404" s="177"/>
    </row>
    <row r="405" spans="1:17" ht="51.75" customHeight="1" x14ac:dyDescent="0.25">
      <c r="A405" s="119" t="s">
        <v>937</v>
      </c>
      <c r="B405" s="713"/>
      <c r="C405" s="715"/>
      <c r="D405" s="717"/>
      <c r="E405" s="715"/>
      <c r="F405" s="718"/>
      <c r="G405" s="718"/>
      <c r="H405" s="824"/>
      <c r="I405" s="344" t="str">
        <f>IF('Mapa final SI'!AC408="","",'Mapa final SI'!AC408)</f>
        <v/>
      </c>
      <c r="J405" s="344" t="str">
        <f>IF('Mapa final SI'!AE408="","",'Mapa final SI'!AE408)</f>
        <v/>
      </c>
      <c r="K405" s="344" t="str">
        <f t="shared" si="6"/>
        <v/>
      </c>
      <c r="L405" s="344" t="str">
        <f>IF('Mapa final SI'!AH408="","",'Mapa final SI'!AH408)</f>
        <v/>
      </c>
      <c r="M405" s="345" t="str">
        <f>IF('Mapa final SI'!T408="","",'Mapa final SI'!T408)</f>
        <v/>
      </c>
      <c r="N405" s="70"/>
      <c r="O405" s="70"/>
      <c r="P405" s="70"/>
      <c r="Q405" s="177"/>
    </row>
    <row r="406" spans="1:17" ht="51.75" customHeight="1" x14ac:dyDescent="0.25">
      <c r="A406" s="119" t="s">
        <v>938</v>
      </c>
      <c r="B406" s="713"/>
      <c r="C406" s="715"/>
      <c r="D406" s="717"/>
      <c r="E406" s="715"/>
      <c r="F406" s="718"/>
      <c r="G406" s="718"/>
      <c r="H406" s="824"/>
      <c r="I406" s="344" t="str">
        <f>IF('Mapa final SI'!AC409="","",'Mapa final SI'!AC409)</f>
        <v/>
      </c>
      <c r="J406" s="344" t="str">
        <f>IF('Mapa final SI'!AE409="","",'Mapa final SI'!AE409)</f>
        <v/>
      </c>
      <c r="K406" s="344" t="str">
        <f t="shared" si="6"/>
        <v/>
      </c>
      <c r="L406" s="344" t="str">
        <f>IF('Mapa final SI'!AH409="","",'Mapa final SI'!AH409)</f>
        <v/>
      </c>
      <c r="M406" s="345" t="str">
        <f>IF('Mapa final SI'!T409="","",'Mapa final SI'!T409)</f>
        <v/>
      </c>
      <c r="N406" s="70"/>
      <c r="O406" s="70"/>
      <c r="P406" s="70"/>
      <c r="Q406" s="177"/>
    </row>
    <row r="407" spans="1:17" ht="51.75" customHeight="1" x14ac:dyDescent="0.25">
      <c r="A407" s="119" t="s">
        <v>939</v>
      </c>
      <c r="B407" s="713"/>
      <c r="C407" s="715"/>
      <c r="D407" s="717"/>
      <c r="E407" s="715"/>
      <c r="F407" s="718"/>
      <c r="G407" s="718"/>
      <c r="H407" s="824"/>
      <c r="I407" s="344" t="str">
        <f>IF('Mapa final SI'!AC410="","",'Mapa final SI'!AC410)</f>
        <v/>
      </c>
      <c r="J407" s="344" t="str">
        <f>IF('Mapa final SI'!AE410="","",'Mapa final SI'!AE410)</f>
        <v/>
      </c>
      <c r="K407" s="344" t="str">
        <f t="shared" si="6"/>
        <v/>
      </c>
      <c r="L407" s="344" t="str">
        <f>IF('Mapa final SI'!AH410="","",'Mapa final SI'!AH410)</f>
        <v/>
      </c>
      <c r="M407" s="345" t="str">
        <f>IF('Mapa final SI'!T410="","",'Mapa final SI'!T410)</f>
        <v/>
      </c>
      <c r="N407" s="70"/>
      <c r="O407" s="70"/>
      <c r="P407" s="70"/>
      <c r="Q407" s="177"/>
    </row>
    <row r="408" spans="1:17" ht="51.75" customHeight="1" x14ac:dyDescent="0.25">
      <c r="A408" s="119" t="s">
        <v>940</v>
      </c>
      <c r="B408" s="713"/>
      <c r="C408" s="715"/>
      <c r="D408" s="717"/>
      <c r="E408" s="715"/>
      <c r="F408" s="718"/>
      <c r="G408" s="718"/>
      <c r="H408" s="719"/>
      <c r="I408" s="344" t="str">
        <f>IF('Mapa final SI'!AC411="","",'Mapa final SI'!AC411)</f>
        <v/>
      </c>
      <c r="J408" s="344" t="str">
        <f>IF('Mapa final SI'!AE411="","",'Mapa final SI'!AE411)</f>
        <v/>
      </c>
      <c r="K408" s="344" t="str">
        <f t="shared" si="6"/>
        <v/>
      </c>
      <c r="L408" s="344" t="str">
        <f>IF('Mapa final SI'!AH411="","",'Mapa final SI'!AH411)</f>
        <v/>
      </c>
      <c r="M408" s="345" t="str">
        <f>IF('Mapa final SI'!T411="","",'Mapa final SI'!T411)</f>
        <v/>
      </c>
      <c r="N408" s="70"/>
      <c r="O408" s="70"/>
      <c r="P408" s="70"/>
      <c r="Q408" s="177"/>
    </row>
    <row r="409" spans="1:17" ht="51.75" customHeight="1" x14ac:dyDescent="0.25">
      <c r="A409" s="119" t="s">
        <v>941</v>
      </c>
      <c r="B409" s="712"/>
      <c r="C409" s="714" t="str">
        <f>IF('Mapa final SI'!G412="","",'Mapa final SI'!G412)</f>
        <v/>
      </c>
      <c r="D409" s="716"/>
      <c r="E409" s="714" t="str">
        <f>IF('Mapa final SI'!F412="","",'Mapa final SI'!F412)</f>
        <v/>
      </c>
      <c r="F409" s="720" t="str">
        <f>IF('Mapa final SI'!L412="","",'Mapa final SI'!L412)</f>
        <v/>
      </c>
      <c r="G409" s="720" t="str">
        <f>IF('Mapa final SI'!P412="","",'Mapa final SI'!P412)</f>
        <v/>
      </c>
      <c r="H409" s="82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4" t="str">
        <f>IF('Mapa final SI'!AC412="","",'Mapa final SI'!AC412)</f>
        <v/>
      </c>
      <c r="J409" s="344" t="str">
        <f>IF('Mapa final SI'!AE412="","",'Mapa final SI'!AE412)</f>
        <v/>
      </c>
      <c r="K409" s="344" t="str">
        <f t="shared" si="6"/>
        <v/>
      </c>
      <c r="L409" s="344" t="str">
        <f>IF('Mapa final SI'!AH412="","",'Mapa final SI'!AH412)</f>
        <v/>
      </c>
      <c r="M409" s="345" t="str">
        <f>IF('Mapa final SI'!T412="","",'Mapa final SI'!T412)</f>
        <v/>
      </c>
      <c r="N409" s="70"/>
      <c r="O409" s="70"/>
      <c r="P409" s="70"/>
      <c r="Q409" s="177"/>
    </row>
    <row r="410" spans="1:17" ht="51.75" customHeight="1" x14ac:dyDescent="0.25">
      <c r="A410" s="119" t="s">
        <v>942</v>
      </c>
      <c r="B410" s="713"/>
      <c r="C410" s="715"/>
      <c r="D410" s="717"/>
      <c r="E410" s="715"/>
      <c r="F410" s="718"/>
      <c r="G410" s="718"/>
      <c r="H410" s="824"/>
      <c r="I410" s="344" t="str">
        <f>IF('Mapa final SI'!AC413="","",'Mapa final SI'!AC413)</f>
        <v/>
      </c>
      <c r="J410" s="344" t="str">
        <f>IF('Mapa final SI'!AE413="","",'Mapa final SI'!AE413)</f>
        <v/>
      </c>
      <c r="K410" s="344" t="str">
        <f t="shared" si="6"/>
        <v/>
      </c>
      <c r="L410" s="344" t="str">
        <f>IF('Mapa final SI'!AH413="","",'Mapa final SI'!AH413)</f>
        <v/>
      </c>
      <c r="M410" s="345" t="str">
        <f>IF('Mapa final SI'!T413="","",'Mapa final SI'!T413)</f>
        <v/>
      </c>
      <c r="N410" s="70"/>
      <c r="O410" s="70"/>
      <c r="P410" s="70"/>
      <c r="Q410" s="177"/>
    </row>
    <row r="411" spans="1:17" ht="51.75" customHeight="1" x14ac:dyDescent="0.25">
      <c r="A411" s="119" t="s">
        <v>943</v>
      </c>
      <c r="B411" s="713"/>
      <c r="C411" s="715"/>
      <c r="D411" s="717"/>
      <c r="E411" s="715"/>
      <c r="F411" s="718"/>
      <c r="G411" s="718"/>
      <c r="H411" s="824"/>
      <c r="I411" s="344" t="str">
        <f>IF('Mapa final SI'!AC414="","",'Mapa final SI'!AC414)</f>
        <v/>
      </c>
      <c r="J411" s="344" t="str">
        <f>IF('Mapa final SI'!AE414="","",'Mapa final SI'!AE414)</f>
        <v/>
      </c>
      <c r="K411" s="344" t="str">
        <f t="shared" si="6"/>
        <v/>
      </c>
      <c r="L411" s="344" t="str">
        <f>IF('Mapa final SI'!AH414="","",'Mapa final SI'!AH414)</f>
        <v/>
      </c>
      <c r="M411" s="345" t="str">
        <f>IF('Mapa final SI'!T414="","",'Mapa final SI'!T414)</f>
        <v/>
      </c>
      <c r="N411" s="70"/>
      <c r="O411" s="70"/>
      <c r="P411" s="70"/>
      <c r="Q411" s="177"/>
    </row>
    <row r="412" spans="1:17" ht="51.75" customHeight="1" x14ac:dyDescent="0.25">
      <c r="A412" s="119" t="s">
        <v>944</v>
      </c>
      <c r="B412" s="713"/>
      <c r="C412" s="715"/>
      <c r="D412" s="717"/>
      <c r="E412" s="715"/>
      <c r="F412" s="718"/>
      <c r="G412" s="718"/>
      <c r="H412" s="824"/>
      <c r="I412" s="344" t="str">
        <f>IF('Mapa final SI'!AC415="","",'Mapa final SI'!AC415)</f>
        <v/>
      </c>
      <c r="J412" s="344" t="str">
        <f>IF('Mapa final SI'!AE415="","",'Mapa final SI'!AE415)</f>
        <v/>
      </c>
      <c r="K412" s="344" t="str">
        <f t="shared" si="6"/>
        <v/>
      </c>
      <c r="L412" s="344" t="str">
        <f>IF('Mapa final SI'!AH415="","",'Mapa final SI'!AH415)</f>
        <v/>
      </c>
      <c r="M412" s="345" t="str">
        <f>IF('Mapa final SI'!T415="","",'Mapa final SI'!T415)</f>
        <v/>
      </c>
      <c r="N412" s="70"/>
      <c r="O412" s="70"/>
      <c r="P412" s="70"/>
      <c r="Q412" s="177"/>
    </row>
    <row r="413" spans="1:17" ht="51.75" customHeight="1" x14ac:dyDescent="0.25">
      <c r="A413" s="119" t="s">
        <v>945</v>
      </c>
      <c r="B413" s="713"/>
      <c r="C413" s="715"/>
      <c r="D413" s="717"/>
      <c r="E413" s="715"/>
      <c r="F413" s="718"/>
      <c r="G413" s="718"/>
      <c r="H413" s="824"/>
      <c r="I413" s="344" t="str">
        <f>IF('Mapa final SI'!AC416="","",'Mapa final SI'!AC416)</f>
        <v/>
      </c>
      <c r="J413" s="344" t="str">
        <f>IF('Mapa final SI'!AE416="","",'Mapa final SI'!AE416)</f>
        <v/>
      </c>
      <c r="K413" s="344" t="str">
        <f t="shared" si="6"/>
        <v/>
      </c>
      <c r="L413" s="344" t="str">
        <f>IF('Mapa final SI'!AH416="","",'Mapa final SI'!AH416)</f>
        <v/>
      </c>
      <c r="M413" s="345" t="str">
        <f>IF('Mapa final SI'!T416="","",'Mapa final SI'!T416)</f>
        <v/>
      </c>
      <c r="N413" s="70"/>
      <c r="O413" s="70"/>
      <c r="P413" s="70"/>
      <c r="Q413" s="177"/>
    </row>
    <row r="414" spans="1:17" ht="51.75" customHeight="1" x14ac:dyDescent="0.25">
      <c r="A414" s="119" t="s">
        <v>946</v>
      </c>
      <c r="B414" s="713"/>
      <c r="C414" s="715"/>
      <c r="D414" s="717"/>
      <c r="E414" s="715"/>
      <c r="F414" s="718"/>
      <c r="G414" s="718"/>
      <c r="H414" s="719"/>
      <c r="I414" s="344" t="str">
        <f>IF('Mapa final SI'!AC417="","",'Mapa final SI'!AC417)</f>
        <v/>
      </c>
      <c r="J414" s="344" t="str">
        <f>IF('Mapa final SI'!AE417="","",'Mapa final SI'!AE417)</f>
        <v/>
      </c>
      <c r="K414" s="344" t="str">
        <f t="shared" si="6"/>
        <v/>
      </c>
      <c r="L414" s="344" t="str">
        <f>IF('Mapa final SI'!AH417="","",'Mapa final SI'!AH417)</f>
        <v/>
      </c>
      <c r="M414" s="345" t="str">
        <f>IF('Mapa final SI'!T417="","",'Mapa final SI'!T417)</f>
        <v/>
      </c>
      <c r="N414" s="70"/>
      <c r="O414" s="70"/>
      <c r="P414" s="70"/>
      <c r="Q414" s="177"/>
    </row>
    <row r="415" spans="1:17" ht="51.75" customHeight="1" x14ac:dyDescent="0.25">
      <c r="A415" s="119" t="s">
        <v>947</v>
      </c>
      <c r="B415" s="712"/>
      <c r="C415" s="714" t="str">
        <f>IF('Mapa final SI'!G418="","",'Mapa final SI'!G418)</f>
        <v/>
      </c>
      <c r="D415" s="716"/>
      <c r="E415" s="714" t="str">
        <f>IF('Mapa final SI'!F418="","",'Mapa final SI'!F418)</f>
        <v/>
      </c>
      <c r="F415" s="720" t="str">
        <f>IF('Mapa final SI'!L418="","",'Mapa final SI'!L418)</f>
        <v/>
      </c>
      <c r="G415" s="720" t="str">
        <f>IF('Mapa final SI'!P418="","",'Mapa final SI'!P418)</f>
        <v/>
      </c>
      <c r="H415" s="82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4" t="str">
        <f>IF('Mapa final SI'!AC418="","",'Mapa final SI'!AC418)</f>
        <v/>
      </c>
      <c r="J415" s="344" t="str">
        <f>IF('Mapa final SI'!AE418="","",'Mapa final SI'!AE418)</f>
        <v/>
      </c>
      <c r="K415" s="344" t="str">
        <f t="shared" si="6"/>
        <v/>
      </c>
      <c r="L415" s="344" t="str">
        <f>IF('Mapa final SI'!AH418="","",'Mapa final SI'!AH418)</f>
        <v/>
      </c>
      <c r="M415" s="345" t="str">
        <f>IF('Mapa final SI'!T418="","",'Mapa final SI'!T418)</f>
        <v/>
      </c>
      <c r="N415" s="70"/>
      <c r="O415" s="70"/>
      <c r="P415" s="70"/>
      <c r="Q415" s="177"/>
    </row>
    <row r="416" spans="1:17" ht="51.75" customHeight="1" x14ac:dyDescent="0.25">
      <c r="A416" s="119" t="s">
        <v>948</v>
      </c>
      <c r="B416" s="713"/>
      <c r="C416" s="715"/>
      <c r="D416" s="717"/>
      <c r="E416" s="715"/>
      <c r="F416" s="718"/>
      <c r="G416" s="718"/>
      <c r="H416" s="824"/>
      <c r="I416" s="344" t="str">
        <f>IF('Mapa final SI'!AC419="","",'Mapa final SI'!AC419)</f>
        <v/>
      </c>
      <c r="J416" s="344" t="str">
        <f>IF('Mapa final SI'!AE419="","",'Mapa final SI'!AE419)</f>
        <v/>
      </c>
      <c r="K416" s="344" t="str">
        <f t="shared" si="6"/>
        <v/>
      </c>
      <c r="L416" s="344" t="str">
        <f>IF('Mapa final SI'!AH419="","",'Mapa final SI'!AH419)</f>
        <v/>
      </c>
      <c r="M416" s="345" t="str">
        <f>IF('Mapa final SI'!T419="","",'Mapa final SI'!T419)</f>
        <v/>
      </c>
      <c r="N416" s="70"/>
      <c r="O416" s="70"/>
      <c r="P416" s="70"/>
      <c r="Q416" s="177"/>
    </row>
    <row r="417" spans="1:18" ht="51.75" customHeight="1" x14ac:dyDescent="0.25">
      <c r="A417" s="119" t="s">
        <v>949</v>
      </c>
      <c r="B417" s="713"/>
      <c r="C417" s="715"/>
      <c r="D417" s="717"/>
      <c r="E417" s="715"/>
      <c r="F417" s="718"/>
      <c r="G417" s="718"/>
      <c r="H417" s="824"/>
      <c r="I417" s="344" t="str">
        <f>IF('Mapa final SI'!AC420="","",'Mapa final SI'!AC420)</f>
        <v/>
      </c>
      <c r="J417" s="344" t="str">
        <f>IF('Mapa final SI'!AE420="","",'Mapa final SI'!AE420)</f>
        <v/>
      </c>
      <c r="K417" s="344" t="str">
        <f t="shared" si="6"/>
        <v/>
      </c>
      <c r="L417" s="344" t="str">
        <f>IF('Mapa final SI'!AH420="","",'Mapa final SI'!AH420)</f>
        <v/>
      </c>
      <c r="M417" s="345" t="str">
        <f>IF('Mapa final SI'!T420="","",'Mapa final SI'!T420)</f>
        <v/>
      </c>
      <c r="N417" s="70"/>
      <c r="O417" s="70"/>
      <c r="P417" s="70"/>
      <c r="Q417" s="177"/>
    </row>
    <row r="418" spans="1:18" ht="51.75" customHeight="1" x14ac:dyDescent="0.25">
      <c r="A418" s="119" t="s">
        <v>950</v>
      </c>
      <c r="B418" s="713"/>
      <c r="C418" s="715"/>
      <c r="D418" s="717"/>
      <c r="E418" s="715"/>
      <c r="F418" s="718"/>
      <c r="G418" s="718"/>
      <c r="H418" s="824"/>
      <c r="I418" s="344" t="str">
        <f>IF('Mapa final SI'!AC421="","",'Mapa final SI'!AC421)</f>
        <v/>
      </c>
      <c r="J418" s="344" t="str">
        <f>IF('Mapa final SI'!AE421="","",'Mapa final SI'!AE421)</f>
        <v/>
      </c>
      <c r="K418" s="344" t="str">
        <f t="shared" si="6"/>
        <v/>
      </c>
      <c r="L418" s="344" t="str">
        <f>IF('Mapa final SI'!AH421="","",'Mapa final SI'!AH421)</f>
        <v/>
      </c>
      <c r="M418" s="345" t="str">
        <f>IF('Mapa final SI'!T421="","",'Mapa final SI'!T421)</f>
        <v/>
      </c>
      <c r="N418" s="70"/>
      <c r="O418" s="70"/>
      <c r="P418" s="70"/>
      <c r="Q418" s="177"/>
    </row>
    <row r="419" spans="1:18" ht="51.75" customHeight="1" x14ac:dyDescent="0.25">
      <c r="A419" s="119" t="s">
        <v>951</v>
      </c>
      <c r="B419" s="713"/>
      <c r="C419" s="715"/>
      <c r="D419" s="717"/>
      <c r="E419" s="715"/>
      <c r="F419" s="718"/>
      <c r="G419" s="718"/>
      <c r="H419" s="824"/>
      <c r="I419" s="344" t="str">
        <f>IF('Mapa final SI'!AC422="","",'Mapa final SI'!AC422)</f>
        <v/>
      </c>
      <c r="J419" s="344" t="str">
        <f>IF('Mapa final SI'!AE422="","",'Mapa final SI'!AE422)</f>
        <v/>
      </c>
      <c r="K419" s="344" t="str">
        <f t="shared" si="6"/>
        <v/>
      </c>
      <c r="L419" s="344" t="str">
        <f>IF('Mapa final SI'!AH422="","",'Mapa final SI'!AH422)</f>
        <v/>
      </c>
      <c r="M419" s="345" t="str">
        <f>IF('Mapa final SI'!T422="","",'Mapa final SI'!T422)</f>
        <v/>
      </c>
      <c r="N419" s="70"/>
      <c r="O419" s="70"/>
      <c r="P419" s="70"/>
      <c r="Q419" s="177"/>
    </row>
    <row r="420" spans="1:18" ht="51.75" customHeight="1" x14ac:dyDescent="0.25">
      <c r="A420" s="119" t="s">
        <v>952</v>
      </c>
      <c r="B420" s="713"/>
      <c r="C420" s="715"/>
      <c r="D420" s="717"/>
      <c r="E420" s="715"/>
      <c r="F420" s="718"/>
      <c r="G420" s="718"/>
      <c r="H420" s="719"/>
      <c r="I420" s="344" t="str">
        <f>IF('Mapa final SI'!AC423="","",'Mapa final SI'!AC423)</f>
        <v/>
      </c>
      <c r="J420" s="344" t="str">
        <f>IF('Mapa final SI'!AE423="","",'Mapa final SI'!AE423)</f>
        <v/>
      </c>
      <c r="K420" s="344" t="str">
        <f t="shared" si="6"/>
        <v/>
      </c>
      <c r="L420" s="344" t="str">
        <f>IF('Mapa final SI'!AH423="","",'Mapa final SI'!AH423)</f>
        <v/>
      </c>
      <c r="M420" s="345" t="str">
        <f>IF('Mapa final SI'!T423="","",'Mapa final SI'!T423)</f>
        <v/>
      </c>
      <c r="N420" s="70"/>
      <c r="O420" s="70"/>
      <c r="P420" s="70"/>
      <c r="Q420" s="177"/>
    </row>
    <row r="421" spans="1:18" ht="51.75" customHeight="1" x14ac:dyDescent="0.25">
      <c r="A421" s="119" t="s">
        <v>953</v>
      </c>
      <c r="B421" s="712"/>
      <c r="C421" s="714" t="str">
        <f>IF('Mapa final SI'!G424="","",'Mapa final SI'!G424)</f>
        <v/>
      </c>
      <c r="D421" s="716"/>
      <c r="E421" s="714" t="str">
        <f>IF('Mapa final SI'!F424="","",'Mapa final SI'!F424)</f>
        <v/>
      </c>
      <c r="F421" s="720" t="str">
        <f>IF('Mapa final SI'!L424="","",'Mapa final SI'!L424)</f>
        <v/>
      </c>
      <c r="G421" s="720" t="str">
        <f>IF('Mapa final SI'!P424="","",'Mapa final SI'!P424)</f>
        <v/>
      </c>
      <c r="H421" s="82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4" t="str">
        <f>IF('Mapa final SI'!AC424="","",'Mapa final SI'!AC424)</f>
        <v/>
      </c>
      <c r="J421" s="344" t="str">
        <f>IF('Mapa final SI'!AE424="","",'Mapa final SI'!AE424)</f>
        <v/>
      </c>
      <c r="K421" s="344" t="str">
        <f t="shared" si="6"/>
        <v/>
      </c>
      <c r="L421" s="344" t="str">
        <f>IF('Mapa final SI'!AH424="","",'Mapa final SI'!AH424)</f>
        <v/>
      </c>
      <c r="M421" s="345" t="str">
        <f>IF('Mapa final SI'!T424="","",'Mapa final SI'!T424)</f>
        <v/>
      </c>
      <c r="N421" s="70"/>
      <c r="O421" s="70"/>
      <c r="P421" s="70"/>
      <c r="Q421" s="177"/>
    </row>
    <row r="422" spans="1:18" ht="51.75" customHeight="1" x14ac:dyDescent="0.25">
      <c r="A422" s="119" t="s">
        <v>954</v>
      </c>
      <c r="B422" s="713"/>
      <c r="C422" s="715"/>
      <c r="D422" s="717"/>
      <c r="E422" s="715"/>
      <c r="F422" s="718"/>
      <c r="G422" s="718"/>
      <c r="H422" s="824"/>
      <c r="I422" s="344" t="str">
        <f>IF('Mapa final SI'!AC425="","",'Mapa final SI'!AC425)</f>
        <v/>
      </c>
      <c r="J422" s="344" t="str">
        <f>IF('Mapa final SI'!AE425="","",'Mapa final SI'!AE425)</f>
        <v/>
      </c>
      <c r="K422" s="344" t="str">
        <f t="shared" si="6"/>
        <v/>
      </c>
      <c r="L422" s="344" t="str">
        <f>IF('Mapa final SI'!AH425="","",'Mapa final SI'!AH425)</f>
        <v/>
      </c>
      <c r="M422" s="345" t="str">
        <f>IF('Mapa final SI'!T425="","",'Mapa final SI'!T425)</f>
        <v/>
      </c>
      <c r="N422" s="70"/>
      <c r="O422" s="70"/>
      <c r="P422" s="70"/>
      <c r="Q422" s="177"/>
    </row>
    <row r="423" spans="1:18" ht="51.75" customHeight="1" x14ac:dyDescent="0.25">
      <c r="A423" s="119" t="s">
        <v>955</v>
      </c>
      <c r="B423" s="713"/>
      <c r="C423" s="715"/>
      <c r="D423" s="717"/>
      <c r="E423" s="715"/>
      <c r="F423" s="718"/>
      <c r="G423" s="718"/>
      <c r="H423" s="824"/>
      <c r="I423" s="344" t="str">
        <f>IF('Mapa final SI'!AC426="","",'Mapa final SI'!AC426)</f>
        <v/>
      </c>
      <c r="J423" s="344" t="str">
        <f>IF('Mapa final SI'!AE426="","",'Mapa final SI'!AE426)</f>
        <v/>
      </c>
      <c r="K423" s="344" t="str">
        <f t="shared" si="6"/>
        <v/>
      </c>
      <c r="L423" s="344" t="str">
        <f>IF('Mapa final SI'!AH426="","",'Mapa final SI'!AH426)</f>
        <v/>
      </c>
      <c r="M423" s="345" t="str">
        <f>IF('Mapa final SI'!T426="","",'Mapa final SI'!T426)</f>
        <v/>
      </c>
      <c r="N423" s="70"/>
      <c r="O423" s="70"/>
      <c r="P423" s="70"/>
      <c r="Q423" s="177"/>
    </row>
    <row r="424" spans="1:18" ht="51.75" customHeight="1" x14ac:dyDescent="0.25">
      <c r="A424" s="119" t="s">
        <v>956</v>
      </c>
      <c r="B424" s="713"/>
      <c r="C424" s="715"/>
      <c r="D424" s="717"/>
      <c r="E424" s="715"/>
      <c r="F424" s="718"/>
      <c r="G424" s="718"/>
      <c r="H424" s="824"/>
      <c r="I424" s="344" t="str">
        <f>IF('Mapa final SI'!AC427="","",'Mapa final SI'!AC427)</f>
        <v/>
      </c>
      <c r="J424" s="344" t="str">
        <f>IF('Mapa final SI'!AE427="","",'Mapa final SI'!AE427)</f>
        <v/>
      </c>
      <c r="K424" s="344" t="str">
        <f t="shared" si="6"/>
        <v/>
      </c>
      <c r="L424" s="344" t="str">
        <f>IF('Mapa final SI'!AH427="","",'Mapa final SI'!AH427)</f>
        <v/>
      </c>
      <c r="M424" s="345" t="str">
        <f>IF('Mapa final SI'!T427="","",'Mapa final SI'!T427)</f>
        <v/>
      </c>
      <c r="N424" s="70"/>
      <c r="O424" s="70"/>
      <c r="P424" s="70"/>
      <c r="Q424" s="177"/>
    </row>
    <row r="425" spans="1:18" ht="51.75" customHeight="1" x14ac:dyDescent="0.25">
      <c r="A425" s="119" t="s">
        <v>957</v>
      </c>
      <c r="B425" s="713"/>
      <c r="C425" s="715"/>
      <c r="D425" s="717"/>
      <c r="E425" s="715"/>
      <c r="F425" s="718"/>
      <c r="G425" s="718"/>
      <c r="H425" s="824"/>
      <c r="I425" s="344" t="str">
        <f>IF('Mapa final SI'!AC428="","",'Mapa final SI'!AC428)</f>
        <v/>
      </c>
      <c r="J425" s="344" t="str">
        <f>IF('Mapa final SI'!AE428="","",'Mapa final SI'!AE428)</f>
        <v/>
      </c>
      <c r="K425" s="344" t="str">
        <f t="shared" si="6"/>
        <v/>
      </c>
      <c r="L425" s="344" t="str">
        <f>IF('Mapa final SI'!AH428="","",'Mapa final SI'!AH428)</f>
        <v/>
      </c>
      <c r="M425" s="345" t="str">
        <f>IF('Mapa final SI'!T428="","",'Mapa final SI'!T428)</f>
        <v/>
      </c>
      <c r="N425" s="70"/>
      <c r="O425" s="70"/>
      <c r="P425" s="70"/>
      <c r="Q425" s="177"/>
    </row>
    <row r="426" spans="1:18" ht="51.75" customHeight="1" x14ac:dyDescent="0.25">
      <c r="A426" s="119" t="s">
        <v>958</v>
      </c>
      <c r="B426" s="713"/>
      <c r="C426" s="715"/>
      <c r="D426" s="717"/>
      <c r="E426" s="715"/>
      <c r="F426" s="718"/>
      <c r="G426" s="718"/>
      <c r="H426" s="719"/>
      <c r="I426" s="344" t="str">
        <f>IF('Mapa final SI'!AC429="","",'Mapa final SI'!AC429)</f>
        <v/>
      </c>
      <c r="J426" s="344" t="str">
        <f>IF('Mapa final SI'!AE429="","",'Mapa final SI'!AE429)</f>
        <v/>
      </c>
      <c r="K426" s="344" t="str">
        <f t="shared" si="6"/>
        <v/>
      </c>
      <c r="L426" s="344" t="str">
        <f>IF('Mapa final SI'!AH429="","",'Mapa final SI'!AH429)</f>
        <v/>
      </c>
      <c r="M426" s="345" t="str">
        <f>IF('Mapa final SI'!T429="","",'Mapa final SI'!T429)</f>
        <v/>
      </c>
      <c r="N426" s="70"/>
      <c r="O426" s="70"/>
      <c r="P426" s="70"/>
      <c r="Q426" s="177"/>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U13"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63">
        <v>1</v>
      </c>
      <c r="AC20" s="163">
        <v>2</v>
      </c>
    </row>
    <row r="21" spans="3:30" x14ac:dyDescent="0.25">
      <c r="C21">
        <v>9019</v>
      </c>
      <c r="E21" s="14" t="s">
        <v>227</v>
      </c>
      <c r="F21" s="14"/>
      <c r="G21" s="14" t="s">
        <v>503</v>
      </c>
      <c r="H21" s="14"/>
      <c r="I21" s="14" t="s">
        <v>533</v>
      </c>
      <c r="K21" t="s">
        <v>475</v>
      </c>
      <c r="O21" s="14"/>
      <c r="S21" t="s">
        <v>439</v>
      </c>
      <c r="AB21" s="162" t="s">
        <v>207</v>
      </c>
      <c r="AC21" s="162" t="s">
        <v>974</v>
      </c>
      <c r="AD21" s="162" t="s">
        <v>1213</v>
      </c>
    </row>
    <row r="22" spans="3:30" ht="57" x14ac:dyDescent="0.25">
      <c r="C22">
        <v>9020</v>
      </c>
      <c r="E22" s="14" t="s">
        <v>238</v>
      </c>
      <c r="G22" s="14" t="s">
        <v>504</v>
      </c>
      <c r="H22" s="14"/>
      <c r="I22" s="14" t="s">
        <v>534</v>
      </c>
      <c r="K22" t="s">
        <v>476</v>
      </c>
      <c r="O22" s="14"/>
      <c r="S22" t="s">
        <v>440</v>
      </c>
      <c r="AA22" s="163">
        <v>1</v>
      </c>
      <c r="AB22" s="355" t="s">
        <v>980</v>
      </c>
      <c r="AC22" s="350" t="s">
        <v>1232</v>
      </c>
      <c r="AD22" s="359" t="s">
        <v>1215</v>
      </c>
    </row>
    <row r="23" spans="3:30" ht="71.25" x14ac:dyDescent="0.25">
      <c r="C23">
        <v>9021</v>
      </c>
      <c r="E23" s="14" t="s">
        <v>239</v>
      </c>
      <c r="G23" s="14" t="s">
        <v>505</v>
      </c>
      <c r="H23" s="14"/>
      <c r="I23" s="14" t="s">
        <v>535</v>
      </c>
      <c r="K23" t="s">
        <v>477</v>
      </c>
      <c r="S23" t="s">
        <v>441</v>
      </c>
      <c r="AA23" s="163">
        <v>2</v>
      </c>
      <c r="AB23" s="355" t="s">
        <v>1189</v>
      </c>
      <c r="AC23" s="350" t="s">
        <v>1206</v>
      </c>
      <c r="AD23" s="359" t="s">
        <v>1216</v>
      </c>
    </row>
    <row r="24" spans="3:30" ht="85.5" x14ac:dyDescent="0.25">
      <c r="C24">
        <v>9022</v>
      </c>
      <c r="E24" s="14" t="s">
        <v>240</v>
      </c>
      <c r="G24" s="14" t="s">
        <v>506</v>
      </c>
      <c r="H24" s="14"/>
      <c r="I24" s="14" t="s">
        <v>536</v>
      </c>
      <c r="S24" t="s">
        <v>442</v>
      </c>
      <c r="AA24" s="163">
        <v>3</v>
      </c>
      <c r="AB24" s="356" t="s">
        <v>172</v>
      </c>
      <c r="AC24" s="350" t="s">
        <v>1231</v>
      </c>
      <c r="AD24" s="359" t="s">
        <v>1217</v>
      </c>
    </row>
    <row r="25" spans="3:30" ht="42.75" x14ac:dyDescent="0.25">
      <c r="C25">
        <v>9023</v>
      </c>
      <c r="E25" s="14" t="s">
        <v>241</v>
      </c>
      <c r="G25" s="14" t="s">
        <v>507</v>
      </c>
      <c r="H25" s="14"/>
      <c r="I25" s="14" t="s">
        <v>537</v>
      </c>
      <c r="S25" t="s">
        <v>443</v>
      </c>
      <c r="AA25" s="163">
        <v>4</v>
      </c>
      <c r="AB25" s="356" t="s">
        <v>1190</v>
      </c>
      <c r="AC25" s="350" t="s">
        <v>1207</v>
      </c>
      <c r="AD25" s="359" t="s">
        <v>1218</v>
      </c>
    </row>
    <row r="26" spans="3:30" ht="71.25" x14ac:dyDescent="0.25">
      <c r="C26">
        <v>9024</v>
      </c>
      <c r="E26" s="14" t="s">
        <v>242</v>
      </c>
      <c r="G26" s="14" t="s">
        <v>508</v>
      </c>
      <c r="H26" s="14"/>
      <c r="I26" s="14" t="s">
        <v>538</v>
      </c>
      <c r="K26" t="s">
        <v>479</v>
      </c>
      <c r="S26" t="s">
        <v>444</v>
      </c>
      <c r="AA26" s="163">
        <v>5</v>
      </c>
      <c r="AB26" s="355" t="s">
        <v>1191</v>
      </c>
      <c r="AC26" s="350" t="s">
        <v>1208</v>
      </c>
      <c r="AD26" s="359" t="s">
        <v>1219</v>
      </c>
    </row>
    <row r="27" spans="3:30" ht="42.75" x14ac:dyDescent="0.25">
      <c r="C27">
        <v>9025</v>
      </c>
      <c r="E27" s="14" t="s">
        <v>243</v>
      </c>
      <c r="G27" s="14" t="s">
        <v>509</v>
      </c>
      <c r="H27" s="14"/>
      <c r="I27" s="14" t="s">
        <v>539</v>
      </c>
      <c r="K27" t="s">
        <v>202</v>
      </c>
      <c r="S27" t="s">
        <v>445</v>
      </c>
      <c r="AA27" s="163">
        <v>6</v>
      </c>
      <c r="AB27" s="355" t="s">
        <v>1192</v>
      </c>
      <c r="AC27" s="350" t="s">
        <v>1209</v>
      </c>
      <c r="AD27" s="359" t="s">
        <v>1220</v>
      </c>
    </row>
    <row r="28" spans="3:30" ht="28.5" x14ac:dyDescent="0.25">
      <c r="C28">
        <v>9026</v>
      </c>
      <c r="E28" s="14" t="s">
        <v>244</v>
      </c>
      <c r="G28" s="14" t="s">
        <v>510</v>
      </c>
      <c r="H28" s="14"/>
      <c r="I28" s="14" t="s">
        <v>540</v>
      </c>
      <c r="K28" t="s">
        <v>478</v>
      </c>
      <c r="S28" t="s">
        <v>446</v>
      </c>
      <c r="AA28" s="163">
        <v>7</v>
      </c>
      <c r="AB28" s="356" t="s">
        <v>173</v>
      </c>
      <c r="AC28" s="350" t="s">
        <v>975</v>
      </c>
      <c r="AD28" s="359" t="s">
        <v>1221</v>
      </c>
    </row>
    <row r="29" spans="3:30" ht="42.75" x14ac:dyDescent="0.25">
      <c r="C29">
        <v>9027</v>
      </c>
      <c r="E29" s="14" t="s">
        <v>245</v>
      </c>
      <c r="G29" s="14" t="s">
        <v>511</v>
      </c>
      <c r="H29" s="14"/>
      <c r="I29" s="14" t="s">
        <v>541</v>
      </c>
      <c r="K29" t="s">
        <v>480</v>
      </c>
      <c r="AA29" s="163">
        <v>8</v>
      </c>
      <c r="AB29" s="356" t="s">
        <v>174</v>
      </c>
      <c r="AC29" s="350" t="s">
        <v>1210</v>
      </c>
      <c r="AD29" s="359" t="s">
        <v>1222</v>
      </c>
    </row>
    <row r="30" spans="3:30" ht="29.25" thickBot="1" x14ac:dyDescent="0.3">
      <c r="C30">
        <v>9028</v>
      </c>
      <c r="E30" s="14" t="s">
        <v>246</v>
      </c>
      <c r="G30" s="14" t="s">
        <v>512</v>
      </c>
      <c r="H30" s="14"/>
      <c r="I30" s="14" t="s">
        <v>542</v>
      </c>
      <c r="Q30" s="14">
        <v>1</v>
      </c>
      <c r="R30" s="14">
        <v>2</v>
      </c>
      <c r="AA30" s="163">
        <v>9</v>
      </c>
      <c r="AB30" s="356" t="s">
        <v>175</v>
      </c>
      <c r="AC30" s="350" t="s">
        <v>984</v>
      </c>
      <c r="AD30" s="359" t="s">
        <v>1223</v>
      </c>
    </row>
    <row r="31" spans="3:30" ht="43.5" thickBot="1" x14ac:dyDescent="0.3">
      <c r="C31">
        <v>9029</v>
      </c>
      <c r="E31" s="14" t="s">
        <v>247</v>
      </c>
      <c r="G31" s="14" t="s">
        <v>513</v>
      </c>
      <c r="H31" s="14"/>
      <c r="I31" s="14" t="s">
        <v>543</v>
      </c>
      <c r="Q31" s="28" t="s">
        <v>159</v>
      </c>
      <c r="R31" s="28" t="s">
        <v>25</v>
      </c>
      <c r="AA31" s="163">
        <v>10</v>
      </c>
      <c r="AB31" s="356" t="s">
        <v>178</v>
      </c>
      <c r="AC31" s="351" t="s">
        <v>978</v>
      </c>
      <c r="AD31" s="359" t="s">
        <v>1224</v>
      </c>
    </row>
    <row r="32" spans="3:30" ht="42.75" x14ac:dyDescent="0.25">
      <c r="C32">
        <v>9030</v>
      </c>
      <c r="E32" s="14" t="s">
        <v>248</v>
      </c>
      <c r="P32" s="11">
        <v>1</v>
      </c>
      <c r="Q32" s="27" t="s">
        <v>211</v>
      </c>
      <c r="R32" s="24" t="s">
        <v>452</v>
      </c>
      <c r="AA32" s="163">
        <v>11</v>
      </c>
      <c r="AB32" s="357" t="s">
        <v>1193</v>
      </c>
      <c r="AC32" s="352" t="s">
        <v>1211</v>
      </c>
      <c r="AD32" s="359" t="s">
        <v>1225</v>
      </c>
    </row>
    <row r="33" spans="3:30" ht="28.5" x14ac:dyDescent="0.25">
      <c r="C33">
        <v>9031</v>
      </c>
      <c r="E33" s="14" t="s">
        <v>249</v>
      </c>
      <c r="P33" s="11">
        <v>2</v>
      </c>
      <c r="Q33" s="27" t="s">
        <v>189</v>
      </c>
      <c r="R33" s="24" t="s">
        <v>453</v>
      </c>
      <c r="AA33" s="163">
        <v>12</v>
      </c>
      <c r="AB33" s="358" t="s">
        <v>979</v>
      </c>
      <c r="AC33" s="353" t="s">
        <v>983</v>
      </c>
      <c r="AD33" s="359" t="s">
        <v>1226</v>
      </c>
    </row>
    <row r="34" spans="3:30" ht="42.75" x14ac:dyDescent="0.25">
      <c r="C34">
        <v>9032</v>
      </c>
      <c r="E34" s="14" t="s">
        <v>250</v>
      </c>
      <c r="P34" s="11">
        <v>3</v>
      </c>
      <c r="Q34" s="27" t="s">
        <v>210</v>
      </c>
      <c r="R34" s="24" t="s">
        <v>451</v>
      </c>
      <c r="AA34" s="163">
        <v>13</v>
      </c>
      <c r="AB34" s="355" t="s">
        <v>180</v>
      </c>
      <c r="AC34" s="354" t="s">
        <v>982</v>
      </c>
      <c r="AD34" s="359" t="s">
        <v>1227</v>
      </c>
    </row>
    <row r="35" spans="3:30" ht="85.5" x14ac:dyDescent="0.25">
      <c r="C35">
        <v>9033</v>
      </c>
      <c r="E35" s="14" t="s">
        <v>251</v>
      </c>
      <c r="P35" s="11">
        <v>4</v>
      </c>
      <c r="Q35" s="27" t="s">
        <v>211</v>
      </c>
      <c r="R35" s="24" t="s">
        <v>454</v>
      </c>
      <c r="AA35" s="163">
        <v>13</v>
      </c>
      <c r="AB35" s="358" t="s">
        <v>1194</v>
      </c>
      <c r="AC35" s="352" t="s">
        <v>1212</v>
      </c>
      <c r="AD35" s="351" t="s">
        <v>1214</v>
      </c>
    </row>
    <row r="36" spans="3:30" x14ac:dyDescent="0.25">
      <c r="C36">
        <v>9034</v>
      </c>
      <c r="E36" s="14" t="s">
        <v>252</v>
      </c>
      <c r="P36" s="11">
        <v>5</v>
      </c>
      <c r="Q36" s="27" t="s">
        <v>212</v>
      </c>
      <c r="R36" s="24" t="s">
        <v>455</v>
      </c>
      <c r="AD36" s="360"/>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B1:H45"/>
  <sheetViews>
    <sheetView zoomScale="49" zoomScaleNormal="110" workbookViewId="0">
      <selection activeCell="B7" sqref="B7:H7"/>
    </sheetView>
  </sheetViews>
  <sheetFormatPr baseColWidth="10"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74" t="s">
        <v>1205</v>
      </c>
      <c r="C2" s="475"/>
      <c r="D2" s="475"/>
      <c r="E2" s="475"/>
      <c r="F2" s="475"/>
      <c r="G2" s="475"/>
      <c r="H2" s="476"/>
    </row>
    <row r="3" spans="2:8" x14ac:dyDescent="0.25">
      <c r="B3" s="203"/>
      <c r="C3" s="204"/>
      <c r="D3" s="204"/>
      <c r="E3" s="204"/>
      <c r="F3" s="204"/>
      <c r="G3" s="204"/>
      <c r="H3" s="205"/>
    </row>
    <row r="4" spans="2:8" ht="63" customHeight="1" x14ac:dyDescent="0.25">
      <c r="B4" s="477" t="s">
        <v>986</v>
      </c>
      <c r="C4" s="478"/>
      <c r="D4" s="478"/>
      <c r="E4" s="478"/>
      <c r="F4" s="478"/>
      <c r="G4" s="478"/>
      <c r="H4" s="479"/>
    </row>
    <row r="5" spans="2:8" ht="63" customHeight="1" x14ac:dyDescent="0.25">
      <c r="B5" s="480"/>
      <c r="C5" s="481"/>
      <c r="D5" s="481"/>
      <c r="E5" s="481"/>
      <c r="F5" s="481"/>
      <c r="G5" s="481"/>
      <c r="H5" s="482"/>
    </row>
    <row r="6" spans="2:8" ht="16.5" x14ac:dyDescent="0.25">
      <c r="B6" s="483" t="s">
        <v>987</v>
      </c>
      <c r="C6" s="484"/>
      <c r="D6" s="484"/>
      <c r="E6" s="484"/>
      <c r="F6" s="484"/>
      <c r="G6" s="484"/>
      <c r="H6" s="485"/>
    </row>
    <row r="7" spans="2:8" ht="102.75" customHeight="1" x14ac:dyDescent="0.25">
      <c r="B7" s="486" t="s">
        <v>988</v>
      </c>
      <c r="C7" s="487"/>
      <c r="D7" s="487"/>
      <c r="E7" s="487"/>
      <c r="F7" s="487"/>
      <c r="G7" s="487"/>
      <c r="H7" s="488"/>
    </row>
    <row r="8" spans="2:8" ht="16.5" x14ac:dyDescent="0.25">
      <c r="B8" s="206"/>
      <c r="C8" s="207"/>
      <c r="D8" s="207"/>
      <c r="E8" s="207"/>
      <c r="F8" s="207"/>
      <c r="G8" s="207"/>
      <c r="H8" s="208"/>
    </row>
    <row r="9" spans="2:8" ht="16.5" customHeight="1" x14ac:dyDescent="0.25">
      <c r="B9" s="489" t="s">
        <v>1180</v>
      </c>
      <c r="C9" s="490"/>
      <c r="D9" s="490"/>
      <c r="E9" s="490"/>
      <c r="F9" s="490"/>
      <c r="G9" s="490"/>
      <c r="H9" s="491"/>
    </row>
    <row r="10" spans="2:8" ht="44.25" customHeight="1" x14ac:dyDescent="0.25">
      <c r="B10" s="489"/>
      <c r="C10" s="490"/>
      <c r="D10" s="490"/>
      <c r="E10" s="490"/>
      <c r="F10" s="490"/>
      <c r="G10" s="490"/>
      <c r="H10" s="491"/>
    </row>
    <row r="11" spans="2:8" ht="15.75" thickBot="1" x14ac:dyDescent="0.3">
      <c r="B11" s="209"/>
      <c r="C11" s="210"/>
      <c r="D11" s="211"/>
      <c r="E11" s="212"/>
      <c r="F11" s="212"/>
      <c r="G11" s="213"/>
      <c r="H11" s="214"/>
    </row>
    <row r="12" spans="2:8" ht="15.75" thickTop="1" x14ac:dyDescent="0.25">
      <c r="B12" s="209"/>
      <c r="C12" s="470" t="s">
        <v>989</v>
      </c>
      <c r="D12" s="471"/>
      <c r="E12" s="472" t="s">
        <v>990</v>
      </c>
      <c r="F12" s="473"/>
      <c r="G12" s="210"/>
      <c r="H12" s="214"/>
    </row>
    <row r="13" spans="2:8" ht="35.25" customHeight="1" x14ac:dyDescent="0.25">
      <c r="B13" s="209"/>
      <c r="C13" s="492" t="s">
        <v>1</v>
      </c>
      <c r="D13" s="493"/>
      <c r="E13" s="494" t="s">
        <v>991</v>
      </c>
      <c r="F13" s="495"/>
      <c r="G13" s="210"/>
      <c r="H13" s="214"/>
    </row>
    <row r="14" spans="2:8" ht="17.25" customHeight="1" x14ac:dyDescent="0.25">
      <c r="B14" s="209"/>
      <c r="C14" s="492" t="s">
        <v>992</v>
      </c>
      <c r="D14" s="493"/>
      <c r="E14" s="494" t="s">
        <v>993</v>
      </c>
      <c r="F14" s="495"/>
      <c r="G14" s="210"/>
      <c r="H14" s="214"/>
    </row>
    <row r="15" spans="2:8" ht="19.5" customHeight="1" x14ac:dyDescent="0.25">
      <c r="B15" s="209"/>
      <c r="C15" s="492" t="s">
        <v>994</v>
      </c>
      <c r="D15" s="493"/>
      <c r="E15" s="494" t="s">
        <v>995</v>
      </c>
      <c r="F15" s="495"/>
      <c r="G15" s="210"/>
      <c r="H15" s="214"/>
    </row>
    <row r="16" spans="2:8" ht="69.75" customHeight="1" x14ac:dyDescent="0.25">
      <c r="B16" s="209"/>
      <c r="C16" s="492" t="s">
        <v>996</v>
      </c>
      <c r="D16" s="493"/>
      <c r="E16" s="494" t="s">
        <v>997</v>
      </c>
      <c r="F16" s="495"/>
      <c r="G16" s="210"/>
      <c r="H16" s="214"/>
    </row>
    <row r="17" spans="2:8" ht="34.5" customHeight="1" x14ac:dyDescent="0.25">
      <c r="B17" s="209"/>
      <c r="C17" s="496" t="s">
        <v>5</v>
      </c>
      <c r="D17" s="497"/>
      <c r="E17" s="498" t="s">
        <v>998</v>
      </c>
      <c r="F17" s="499"/>
      <c r="G17" s="210"/>
      <c r="H17" s="214"/>
    </row>
    <row r="18" spans="2:8" ht="27.75" customHeight="1" x14ac:dyDescent="0.25">
      <c r="B18" s="209"/>
      <c r="C18" s="496" t="s">
        <v>999</v>
      </c>
      <c r="D18" s="497"/>
      <c r="E18" s="498" t="s">
        <v>1000</v>
      </c>
      <c r="F18" s="499"/>
      <c r="G18" s="210"/>
      <c r="H18" s="214"/>
    </row>
    <row r="19" spans="2:8" ht="28.5" customHeight="1" x14ac:dyDescent="0.25">
      <c r="B19" s="209"/>
      <c r="C19" s="496" t="s">
        <v>1001</v>
      </c>
      <c r="D19" s="497"/>
      <c r="E19" s="498" t="s">
        <v>1002</v>
      </c>
      <c r="F19" s="499"/>
      <c r="G19" s="210"/>
      <c r="H19" s="214"/>
    </row>
    <row r="20" spans="2:8" ht="72.75" customHeight="1" x14ac:dyDescent="0.25">
      <c r="B20" s="209"/>
      <c r="C20" s="496" t="s">
        <v>184</v>
      </c>
      <c r="D20" s="497"/>
      <c r="E20" s="498" t="s">
        <v>1195</v>
      </c>
      <c r="F20" s="499"/>
      <c r="G20" s="210"/>
      <c r="H20" s="214"/>
    </row>
    <row r="21" spans="2:8" ht="64.5" customHeight="1" x14ac:dyDescent="0.25">
      <c r="B21" s="209"/>
      <c r="C21" s="496" t="s">
        <v>1003</v>
      </c>
      <c r="D21" s="497"/>
      <c r="E21" s="498" t="s">
        <v>1004</v>
      </c>
      <c r="F21" s="499"/>
      <c r="G21" s="210"/>
      <c r="H21" s="214"/>
    </row>
    <row r="22" spans="2:8" ht="71.25" customHeight="1" x14ac:dyDescent="0.25">
      <c r="B22" s="209"/>
      <c r="C22" s="496" t="s">
        <v>1005</v>
      </c>
      <c r="D22" s="497"/>
      <c r="E22" s="498" t="s">
        <v>1006</v>
      </c>
      <c r="F22" s="499"/>
      <c r="G22" s="210"/>
      <c r="H22" s="214"/>
    </row>
    <row r="23" spans="2:8" ht="55.5" customHeight="1" x14ac:dyDescent="0.25">
      <c r="B23" s="209"/>
      <c r="C23" s="500" t="s">
        <v>1007</v>
      </c>
      <c r="D23" s="501"/>
      <c r="E23" s="498" t="s">
        <v>1008</v>
      </c>
      <c r="F23" s="499"/>
      <c r="G23" s="210"/>
      <c r="H23" s="214"/>
    </row>
    <row r="24" spans="2:8" ht="42" customHeight="1" x14ac:dyDescent="0.25">
      <c r="B24" s="209"/>
      <c r="C24" s="500" t="s">
        <v>157</v>
      </c>
      <c r="D24" s="501"/>
      <c r="E24" s="498" t="s">
        <v>1009</v>
      </c>
      <c r="F24" s="499"/>
      <c r="G24" s="210"/>
      <c r="H24" s="214"/>
    </row>
    <row r="25" spans="2:8" ht="59.25" customHeight="1" x14ac:dyDescent="0.25">
      <c r="B25" s="209"/>
      <c r="C25" s="500" t="s">
        <v>1010</v>
      </c>
      <c r="D25" s="501"/>
      <c r="E25" s="498" t="s">
        <v>1196</v>
      </c>
      <c r="F25" s="499"/>
      <c r="G25" s="210"/>
      <c r="H25" s="214"/>
    </row>
    <row r="26" spans="2:8" ht="23.25" customHeight="1" x14ac:dyDescent="0.25">
      <c r="B26" s="209"/>
      <c r="C26" s="500" t="s">
        <v>1011</v>
      </c>
      <c r="D26" s="501"/>
      <c r="E26" s="498" t="s">
        <v>1012</v>
      </c>
      <c r="F26" s="499"/>
      <c r="G26" s="210"/>
      <c r="H26" s="214"/>
    </row>
    <row r="27" spans="2:8" ht="30.75" customHeight="1" x14ac:dyDescent="0.25">
      <c r="B27" s="209"/>
      <c r="C27" s="500" t="s">
        <v>1197</v>
      </c>
      <c r="D27" s="501"/>
      <c r="E27" s="498" t="s">
        <v>1013</v>
      </c>
      <c r="F27" s="499"/>
      <c r="G27" s="210"/>
      <c r="H27" s="214"/>
    </row>
    <row r="28" spans="2:8" ht="35.25" customHeight="1" x14ac:dyDescent="0.25">
      <c r="B28" s="209"/>
      <c r="C28" s="500" t="s">
        <v>1198</v>
      </c>
      <c r="D28" s="501"/>
      <c r="E28" s="498" t="s">
        <v>1014</v>
      </c>
      <c r="F28" s="499"/>
      <c r="G28" s="210"/>
      <c r="H28" s="214"/>
    </row>
    <row r="29" spans="2:8" ht="33" customHeight="1" x14ac:dyDescent="0.25">
      <c r="B29" s="209"/>
      <c r="C29" s="500" t="s">
        <v>1198</v>
      </c>
      <c r="D29" s="501"/>
      <c r="E29" s="498" t="s">
        <v>1014</v>
      </c>
      <c r="F29" s="499"/>
      <c r="G29" s="210"/>
      <c r="H29" s="214"/>
    </row>
    <row r="30" spans="2:8" ht="30" customHeight="1" x14ac:dyDescent="0.25">
      <c r="B30" s="209"/>
      <c r="C30" s="500" t="s">
        <v>1199</v>
      </c>
      <c r="D30" s="501"/>
      <c r="E30" s="498" t="s">
        <v>1015</v>
      </c>
      <c r="F30" s="499"/>
      <c r="G30" s="210"/>
      <c r="H30" s="214"/>
    </row>
    <row r="31" spans="2:8" ht="35.25" customHeight="1" x14ac:dyDescent="0.25">
      <c r="B31" s="209"/>
      <c r="C31" s="500" t="s">
        <v>1200</v>
      </c>
      <c r="D31" s="501"/>
      <c r="E31" s="498" t="s">
        <v>1016</v>
      </c>
      <c r="F31" s="499"/>
      <c r="G31" s="210"/>
      <c r="H31" s="214"/>
    </row>
    <row r="32" spans="2:8" ht="31.5" customHeight="1" x14ac:dyDescent="0.25">
      <c r="B32" s="209"/>
      <c r="C32" s="500" t="s">
        <v>1201</v>
      </c>
      <c r="D32" s="501"/>
      <c r="E32" s="498" t="s">
        <v>1017</v>
      </c>
      <c r="F32" s="499"/>
      <c r="G32" s="210"/>
      <c r="H32" s="214"/>
    </row>
    <row r="33" spans="2:8" ht="35.25" customHeight="1" x14ac:dyDescent="0.25">
      <c r="B33" s="209"/>
      <c r="C33" s="500" t="s">
        <v>1202</v>
      </c>
      <c r="D33" s="501"/>
      <c r="E33" s="498" t="s">
        <v>1018</v>
      </c>
      <c r="F33" s="499"/>
      <c r="G33" s="210"/>
      <c r="H33" s="214"/>
    </row>
    <row r="34" spans="2:8" ht="59.25" customHeight="1" x14ac:dyDescent="0.25">
      <c r="B34" s="209"/>
      <c r="C34" s="500" t="s">
        <v>1019</v>
      </c>
      <c r="D34" s="501"/>
      <c r="E34" s="498" t="s">
        <v>1203</v>
      </c>
      <c r="F34" s="499"/>
      <c r="G34" s="210"/>
      <c r="H34" s="214"/>
    </row>
    <row r="35" spans="2:8" ht="29.25" customHeight="1" x14ac:dyDescent="0.25">
      <c r="B35" s="209"/>
      <c r="C35" s="500" t="s">
        <v>77</v>
      </c>
      <c r="D35" s="501"/>
      <c r="E35" s="498" t="s">
        <v>1020</v>
      </c>
      <c r="F35" s="499"/>
      <c r="G35" s="210"/>
      <c r="H35" s="214"/>
    </row>
    <row r="36" spans="2:8" ht="82.5" customHeight="1" x14ac:dyDescent="0.25">
      <c r="B36" s="209"/>
      <c r="C36" s="500" t="s">
        <v>1204</v>
      </c>
      <c r="D36" s="501"/>
      <c r="E36" s="498" t="s">
        <v>1021</v>
      </c>
      <c r="F36" s="499"/>
      <c r="G36" s="210"/>
      <c r="H36" s="214"/>
    </row>
    <row r="37" spans="2:8" ht="46.5" customHeight="1" x14ac:dyDescent="0.25">
      <c r="B37" s="209"/>
      <c r="C37" s="500" t="s">
        <v>1022</v>
      </c>
      <c r="D37" s="501"/>
      <c r="E37" s="498" t="s">
        <v>1023</v>
      </c>
      <c r="F37" s="499"/>
      <c r="G37" s="210"/>
      <c r="H37" s="214"/>
    </row>
    <row r="38" spans="2:8" ht="6.75" customHeight="1" thickBot="1" x14ac:dyDescent="0.3">
      <c r="B38" s="209"/>
      <c r="C38" s="505"/>
      <c r="D38" s="506"/>
      <c r="E38" s="507"/>
      <c r="F38" s="508"/>
      <c r="G38" s="210"/>
      <c r="H38" s="214"/>
    </row>
    <row r="39" spans="2:8" ht="15.75" thickTop="1" x14ac:dyDescent="0.25">
      <c r="B39" s="209"/>
      <c r="C39" s="215"/>
      <c r="D39" s="215"/>
      <c r="E39" s="216"/>
      <c r="F39" s="216"/>
      <c r="G39" s="210"/>
      <c r="H39" s="214"/>
    </row>
    <row r="40" spans="2:8" ht="21" customHeight="1" x14ac:dyDescent="0.25">
      <c r="B40" s="502" t="s">
        <v>1181</v>
      </c>
      <c r="C40" s="503"/>
      <c r="D40" s="503"/>
      <c r="E40" s="503"/>
      <c r="F40" s="503"/>
      <c r="G40" s="503"/>
      <c r="H40" s="504"/>
    </row>
    <row r="41" spans="2:8" ht="20.25" customHeight="1" x14ac:dyDescent="0.25">
      <c r="B41" s="502" t="s">
        <v>1182</v>
      </c>
      <c r="C41" s="503"/>
      <c r="D41" s="503"/>
      <c r="E41" s="503"/>
      <c r="F41" s="503"/>
      <c r="G41" s="503"/>
      <c r="H41" s="504"/>
    </row>
    <row r="42" spans="2:8" ht="20.25" customHeight="1" x14ac:dyDescent="0.25">
      <c r="B42" s="502" t="s">
        <v>1183</v>
      </c>
      <c r="C42" s="503"/>
      <c r="D42" s="503"/>
      <c r="E42" s="503"/>
      <c r="F42" s="503"/>
      <c r="G42" s="503"/>
      <c r="H42" s="504"/>
    </row>
    <row r="43" spans="2:8" ht="20.25" customHeight="1" x14ac:dyDescent="0.25">
      <c r="B43" s="502" t="s">
        <v>1184</v>
      </c>
      <c r="C43" s="503"/>
      <c r="D43" s="503"/>
      <c r="E43" s="503"/>
      <c r="F43" s="503"/>
      <c r="G43" s="503"/>
      <c r="H43" s="504"/>
    </row>
    <row r="44" spans="2:8" x14ac:dyDescent="0.25">
      <c r="B44" s="502" t="s">
        <v>1185</v>
      </c>
      <c r="C44" s="503"/>
      <c r="D44" s="503"/>
      <c r="E44" s="503"/>
      <c r="F44" s="503"/>
      <c r="G44" s="503"/>
      <c r="H44" s="504"/>
    </row>
    <row r="45" spans="2:8" ht="15.75" thickBot="1" x14ac:dyDescent="0.3">
      <c r="B45" s="217"/>
      <c r="C45" s="218"/>
      <c r="D45" s="218"/>
      <c r="E45" s="218"/>
      <c r="F45" s="218"/>
      <c r="G45" s="218"/>
      <c r="H45" s="219"/>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5" zoomScale="55" zoomScaleNormal="55" workbookViewId="0">
      <selection activeCell="AK12" sqref="AK12"/>
    </sheetView>
  </sheetViews>
  <sheetFormatPr baseColWidth="10" defaultRowHeight="16.5" x14ac:dyDescent="0.3"/>
  <cols>
    <col min="1" max="1" width="4" style="460" bestFit="1" customWidth="1"/>
    <col min="2" max="2" width="14.140625" style="247" customWidth="1"/>
    <col min="3" max="3" width="32.140625" style="247" customWidth="1"/>
    <col min="4" max="4" width="35.42578125" style="247" customWidth="1"/>
    <col min="5" max="5" width="51.42578125" style="221" customWidth="1"/>
    <col min="6" max="6" width="25.7109375" style="248" customWidth="1"/>
    <col min="7" max="7" width="17.85546875" style="221" customWidth="1"/>
    <col min="8" max="8" width="24.85546875" style="221" customWidth="1"/>
    <col min="9" max="9" width="6.28515625" style="221" bestFit="1" customWidth="1"/>
    <col min="10" max="10" width="27.28515625" style="221" bestFit="1" customWidth="1"/>
    <col min="11" max="11" width="18.85546875" style="221" hidden="1" customWidth="1"/>
    <col min="12" max="12" width="17.5703125" style="221" customWidth="1"/>
    <col min="13" max="13" width="6.28515625" style="221" bestFit="1" customWidth="1"/>
    <col min="14" max="14" width="16" style="221" customWidth="1"/>
    <col min="15" max="15" width="5.85546875" style="441" customWidth="1"/>
    <col min="16" max="16" width="90.7109375" style="221" customWidth="1"/>
    <col min="17" max="17" width="19.140625" style="221" customWidth="1"/>
    <col min="18" max="18" width="6.85546875" style="221" customWidth="1"/>
    <col min="19" max="19" width="5" style="221" customWidth="1"/>
    <col min="20" max="20" width="7.85546875" style="221" customWidth="1"/>
    <col min="21" max="21" width="7.140625" style="221" customWidth="1"/>
    <col min="22" max="22" width="6.7109375" style="221" customWidth="1"/>
    <col min="23" max="23" width="7.5703125" style="221" customWidth="1"/>
    <col min="24" max="24" width="12.140625" style="221" hidden="1" customWidth="1"/>
    <col min="25" max="25" width="8.7109375" style="221" customWidth="1"/>
    <col min="26" max="26" width="10.42578125" style="221" customWidth="1"/>
    <col min="27" max="27" width="9.28515625" style="221" customWidth="1"/>
    <col min="28" max="28" width="9.140625" style="221" customWidth="1"/>
    <col min="29" max="29" width="8.42578125" style="221" customWidth="1"/>
    <col min="30" max="30" width="7.28515625" style="221" customWidth="1"/>
    <col min="31" max="31" width="23.140625" style="221" customWidth="1"/>
    <col min="32" max="32" width="26" style="221" customWidth="1"/>
    <col min="33" max="33" width="30.140625" style="221" customWidth="1"/>
    <col min="34" max="34" width="25.85546875" style="221" customWidth="1"/>
    <col min="35" max="35" width="22.28515625" style="221" customWidth="1"/>
    <col min="36" max="36" width="21" style="221" customWidth="1"/>
    <col min="37" max="37" width="97.28515625" style="221" customWidth="1"/>
    <col min="38" max="38" width="76" style="221" customWidth="1"/>
    <col min="39" max="39" width="31.140625" style="221" customWidth="1"/>
    <col min="40" max="16384" width="11.42578125" style="221"/>
  </cols>
  <sheetData>
    <row r="1" spans="1:68" ht="32.25" customHeight="1" x14ac:dyDescent="0.3">
      <c r="A1" s="562"/>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row>
    <row r="2" spans="1:68" ht="133.5" customHeight="1" x14ac:dyDescent="0.3">
      <c r="A2" s="562"/>
      <c r="B2" s="563"/>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row>
    <row r="3" spans="1:68" x14ac:dyDescent="0.3">
      <c r="A3" s="438"/>
      <c r="B3" s="223"/>
      <c r="C3" s="222"/>
      <c r="D3" s="222"/>
      <c r="E3" s="220"/>
      <c r="F3" s="224"/>
      <c r="G3" s="220"/>
      <c r="H3" s="220"/>
      <c r="I3" s="220"/>
      <c r="J3" s="220"/>
      <c r="K3" s="220"/>
      <c r="L3" s="220"/>
      <c r="M3" s="220"/>
      <c r="N3" s="220"/>
      <c r="O3" s="44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row>
    <row r="4" spans="1:68" ht="26.25" customHeight="1" x14ac:dyDescent="0.3">
      <c r="A4" s="564" t="s">
        <v>1024</v>
      </c>
      <c r="B4" s="565"/>
      <c r="C4" s="566" t="s">
        <v>1192</v>
      </c>
      <c r="D4" s="567"/>
      <c r="E4" s="567"/>
      <c r="F4" s="567"/>
      <c r="G4" s="567"/>
      <c r="H4" s="567"/>
      <c r="I4" s="567"/>
      <c r="J4" s="567"/>
      <c r="K4" s="567"/>
      <c r="L4" s="567"/>
      <c r="M4" s="567"/>
      <c r="N4" s="567"/>
      <c r="O4" s="567"/>
      <c r="P4" s="567"/>
      <c r="Q4" s="567"/>
      <c r="R4" s="567"/>
      <c r="S4" s="567"/>
      <c r="T4" s="567"/>
      <c r="U4" s="567"/>
      <c r="V4" s="568"/>
      <c r="W4" s="430"/>
      <c r="X4" s="430"/>
      <c r="Y4" s="430"/>
      <c r="Z4" s="430"/>
      <c r="AA4" s="430"/>
      <c r="AB4" s="430"/>
      <c r="AC4" s="430"/>
      <c r="AD4" s="430"/>
      <c r="AE4" s="430"/>
      <c r="AF4" s="430"/>
      <c r="AG4" s="430"/>
      <c r="AH4" s="430"/>
      <c r="AI4" s="430"/>
      <c r="AJ4" s="430"/>
      <c r="AK4" s="430"/>
      <c r="AL4" s="430"/>
      <c r="AM4" s="43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row>
    <row r="5" spans="1:68" ht="77.25" customHeight="1" x14ac:dyDescent="0.3">
      <c r="A5" s="564" t="s">
        <v>1025</v>
      </c>
      <c r="B5" s="565"/>
      <c r="C5" s="569" t="s">
        <v>1209</v>
      </c>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1"/>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row>
    <row r="6" spans="1:68" ht="49.5" customHeight="1" x14ac:dyDescent="0.3">
      <c r="A6" s="564" t="s">
        <v>1026</v>
      </c>
      <c r="B6" s="572"/>
      <c r="C6" s="573" t="s">
        <v>1220</v>
      </c>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row>
    <row r="7" spans="1:68" s="436" customFormat="1" ht="49.5" customHeight="1" x14ac:dyDescent="0.25">
      <c r="A7" s="553" t="s">
        <v>1027</v>
      </c>
      <c r="B7" s="554"/>
      <c r="C7" s="555"/>
      <c r="D7" s="555"/>
      <c r="E7" s="555"/>
      <c r="F7" s="555"/>
      <c r="G7" s="556"/>
      <c r="H7" s="546" t="s">
        <v>1028</v>
      </c>
      <c r="I7" s="555"/>
      <c r="J7" s="555"/>
      <c r="K7" s="555"/>
      <c r="L7" s="555"/>
      <c r="M7" s="555"/>
      <c r="N7" s="556"/>
      <c r="O7" s="546" t="s">
        <v>1029</v>
      </c>
      <c r="P7" s="555"/>
      <c r="Q7" s="555"/>
      <c r="R7" s="555"/>
      <c r="S7" s="555"/>
      <c r="T7" s="555"/>
      <c r="U7" s="555"/>
      <c r="V7" s="555"/>
      <c r="W7" s="556"/>
      <c r="X7" s="559" t="s">
        <v>1030</v>
      </c>
      <c r="Y7" s="560"/>
      <c r="Z7" s="560"/>
      <c r="AA7" s="560"/>
      <c r="AB7" s="560"/>
      <c r="AC7" s="560"/>
      <c r="AD7" s="561"/>
      <c r="AE7" s="546" t="s">
        <v>1031</v>
      </c>
      <c r="AF7" s="555"/>
      <c r="AG7" s="555"/>
      <c r="AH7" s="555"/>
      <c r="AI7" s="555"/>
      <c r="AJ7" s="556"/>
      <c r="AK7" s="546" t="s">
        <v>153</v>
      </c>
      <c r="AL7" s="555"/>
      <c r="AM7" s="556"/>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row>
    <row r="8" spans="1:68" s="436" customFormat="1" ht="16.5" customHeight="1" x14ac:dyDescent="0.25">
      <c r="A8" s="548" t="s">
        <v>1032</v>
      </c>
      <c r="B8" s="550" t="s">
        <v>5</v>
      </c>
      <c r="C8" s="547" t="s">
        <v>999</v>
      </c>
      <c r="D8" s="547" t="s">
        <v>1001</v>
      </c>
      <c r="E8" s="551" t="s">
        <v>184</v>
      </c>
      <c r="F8" s="552" t="s">
        <v>1003</v>
      </c>
      <c r="G8" s="547" t="s">
        <v>1033</v>
      </c>
      <c r="H8" s="557" t="s">
        <v>1034</v>
      </c>
      <c r="I8" s="545" t="s">
        <v>1035</v>
      </c>
      <c r="J8" s="552" t="s">
        <v>1036</v>
      </c>
      <c r="K8" s="552" t="s">
        <v>1037</v>
      </c>
      <c r="L8" s="558" t="s">
        <v>1038</v>
      </c>
      <c r="M8" s="545" t="s">
        <v>1035</v>
      </c>
      <c r="N8" s="547" t="s">
        <v>157</v>
      </c>
      <c r="O8" s="542" t="s">
        <v>1039</v>
      </c>
      <c r="P8" s="541" t="s">
        <v>1010</v>
      </c>
      <c r="Q8" s="552" t="s">
        <v>1011</v>
      </c>
      <c r="R8" s="541" t="s">
        <v>1040</v>
      </c>
      <c r="S8" s="541"/>
      <c r="T8" s="541"/>
      <c r="U8" s="541"/>
      <c r="V8" s="541"/>
      <c r="W8" s="541"/>
      <c r="X8" s="544" t="s">
        <v>1041</v>
      </c>
      <c r="Y8" s="544" t="s">
        <v>1042</v>
      </c>
      <c r="Z8" s="544" t="s">
        <v>1035</v>
      </c>
      <c r="AA8" s="544" t="s">
        <v>1043</v>
      </c>
      <c r="AB8" s="544" t="s">
        <v>1035</v>
      </c>
      <c r="AC8" s="544" t="s">
        <v>1044</v>
      </c>
      <c r="AD8" s="542" t="s">
        <v>77</v>
      </c>
      <c r="AE8" s="541" t="s">
        <v>1031</v>
      </c>
      <c r="AF8" s="541" t="s">
        <v>0</v>
      </c>
      <c r="AG8" s="541" t="s">
        <v>1045</v>
      </c>
      <c r="AH8" s="541" t="s">
        <v>1046</v>
      </c>
      <c r="AI8" s="541" t="s">
        <v>153</v>
      </c>
      <c r="AJ8" s="541" t="s">
        <v>1022</v>
      </c>
      <c r="AK8" s="541" t="s">
        <v>1261</v>
      </c>
      <c r="AL8" s="541" t="s">
        <v>1262</v>
      </c>
      <c r="AM8" s="541" t="s">
        <v>1263</v>
      </c>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row>
    <row r="9" spans="1:68" s="439" customFormat="1" ht="94.5" customHeight="1" x14ac:dyDescent="0.25">
      <c r="A9" s="549"/>
      <c r="B9" s="550"/>
      <c r="C9" s="541"/>
      <c r="D9" s="541"/>
      <c r="E9" s="550"/>
      <c r="F9" s="547"/>
      <c r="G9" s="541"/>
      <c r="H9" s="547"/>
      <c r="I9" s="546"/>
      <c r="J9" s="547"/>
      <c r="K9" s="547"/>
      <c r="L9" s="546"/>
      <c r="M9" s="546"/>
      <c r="N9" s="541"/>
      <c r="O9" s="543"/>
      <c r="P9" s="541"/>
      <c r="Q9" s="547"/>
      <c r="R9" s="437" t="s">
        <v>27</v>
      </c>
      <c r="S9" s="437" t="s">
        <v>1047</v>
      </c>
      <c r="T9" s="437" t="s">
        <v>1048</v>
      </c>
      <c r="U9" s="437" t="s">
        <v>1049</v>
      </c>
      <c r="V9" s="437" t="s">
        <v>154</v>
      </c>
      <c r="W9" s="437" t="s">
        <v>1050</v>
      </c>
      <c r="X9" s="544"/>
      <c r="Y9" s="544"/>
      <c r="Z9" s="544"/>
      <c r="AA9" s="544"/>
      <c r="AB9" s="544"/>
      <c r="AC9" s="544"/>
      <c r="AD9" s="543"/>
      <c r="AE9" s="541"/>
      <c r="AF9" s="541"/>
      <c r="AG9" s="541"/>
      <c r="AH9" s="541"/>
      <c r="AI9" s="541"/>
      <c r="AJ9" s="541"/>
      <c r="AK9" s="541"/>
      <c r="AL9" s="541"/>
      <c r="AM9" s="541"/>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c r="BP9" s="438"/>
    </row>
    <row r="10" spans="1:68" s="242" customFormat="1" ht="138" customHeight="1" x14ac:dyDescent="0.25">
      <c r="A10" s="524"/>
      <c r="B10" s="527" t="s">
        <v>1141</v>
      </c>
      <c r="C10" s="527" t="s">
        <v>1265</v>
      </c>
      <c r="D10" s="530" t="s">
        <v>1264</v>
      </c>
      <c r="E10" s="530" t="s">
        <v>1294</v>
      </c>
      <c r="F10" s="527" t="s">
        <v>1156</v>
      </c>
      <c r="G10" s="533">
        <v>25</v>
      </c>
      <c r="H10" s="536" t="str">
        <f>IF(G10&lt;=0,"",IF(G10&lt;=2,"Muy Baja",IF(G10&lt;=24,"Baja",IF(G10&lt;=500,"Media",IF(G10&lt;=5000,"Alta","Muy Alta")))))</f>
        <v>Media</v>
      </c>
      <c r="I10" s="512">
        <f>IF(H10="","",IF(H10="Muy Baja",0.2,IF(H10="Baja",0.4,IF(H10="Media",0.6,IF(H10="Alta",0.8,IF(H10="Muy Alta",1,))))))</f>
        <v>0.6</v>
      </c>
      <c r="J10" s="515" t="s">
        <v>1099</v>
      </c>
      <c r="K10" s="512" t="str">
        <f>IF(NOT(ISERROR(MATCH(J10,'Tabla Impacto'!$B$221:$B$223,0))),'Tabla Impacto'!$F$223&amp;"Por favor no seleccionar los criterios de impacto(Afectación Económica o presupuestal y Pérdida Reputacional)",J10)</f>
        <v xml:space="preserve">     Entre 10 y 50 SMLMV </v>
      </c>
      <c r="L10" s="518" t="str">
        <f>IF(OR(K10='Tabla Impacto'!$C$11,K10='Tabla Impacto'!$D$11),"Leve",IF(OR(K10='Tabla Impacto'!$C$12,K10='Tabla Impacto'!$D$12),"Menor",IF(OR(K10='Tabla Impacto'!$C$13,K10='Tabla Impacto'!$D$13),"Moderado",IF(OR(K10='Tabla Impacto'!$C$14,K10='Tabla Impacto'!$D$14),"Mayor",IF(OR(K10='Tabla Impacto'!$C$15,K10='Tabla Impacto'!$D$15),"Catastrófico","")))))</f>
        <v>Menor</v>
      </c>
      <c r="M10" s="512">
        <f>IF(L10="","",IF(L10="Leve",0.2,IF(L10="Menor",0.4,IF(L10="Moderado",0.6,IF(L10="Mayor",0.8,IF(L10="Catastrófico",1,))))))</f>
        <v>0.4</v>
      </c>
      <c r="N10" s="52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2">
        <v>1</v>
      </c>
      <c r="P10" s="443" t="s">
        <v>1241</v>
      </c>
      <c r="Q10" s="444" t="str">
        <f t="shared" ref="Q10:Q41" si="0">IF(OR(R10="Preventivo",R10="Detectivo"),"Probabilidad",IF(R10="Correctivo","Impacto",""))</f>
        <v>Probabilidad</v>
      </c>
      <c r="R10" s="445" t="s">
        <v>1115</v>
      </c>
      <c r="S10" s="445" t="s">
        <v>1123</v>
      </c>
      <c r="T10" s="446" t="str">
        <f t="shared" ref="T10:T41" si="1">IF(AND(R10="Preventivo",S10="Automático"),"50%",IF(AND(R10="Preventivo",S10="Manual"),"40%",IF(AND(R10="Detectivo",S10="Automático"),"40%",IF(AND(R10="Detectivo",S10="Manual"),"30%",IF(AND(R10="Correctivo",S10="Automático"),"35%",IF(AND(R10="Correctivo",S10="Manual"),"25%",""))))))</f>
        <v>40%</v>
      </c>
      <c r="U10" s="445" t="s">
        <v>1126</v>
      </c>
      <c r="V10" s="445" t="s">
        <v>1133</v>
      </c>
      <c r="W10" s="445" t="s">
        <v>1135</v>
      </c>
      <c r="X10" s="461">
        <f>IFERROR(IF(Q10="Probabilidad",(I10-(+I10*T10)),IF(Q10="Impacto",I10,"")),"")</f>
        <v>0.36</v>
      </c>
      <c r="Y10" s="448" t="str">
        <f>IFERROR(IF(X10="","",IF(X10&lt;=0.2,"Muy Baja",IF(X10&lt;=0.4,"Baja",IF(X10&lt;=0.6,"Media",IF(X10&lt;=0.8,"Alta","Muy Alta"))))),"")</f>
        <v>Baja</v>
      </c>
      <c r="Z10" s="449">
        <f t="shared" ref="Z10:Z41" si="2">+X10</f>
        <v>0.36</v>
      </c>
      <c r="AA10" s="448" t="str">
        <f>IFERROR(IF(AB10="","",IF(AB10&lt;=0.2,"Leve",IF(AB10&lt;=0.4,"Menor",IF(AB10&lt;=0.6,"Moderado",IF(AB10&lt;=0.8,"Mayor","Catastrófico"))))),"")</f>
        <v>Leve</v>
      </c>
      <c r="AB10" s="449">
        <v>0.2</v>
      </c>
      <c r="AC10" s="450"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1"/>
      <c r="AE10" s="452"/>
      <c r="AF10" s="453"/>
      <c r="AG10" s="453"/>
      <c r="AH10" s="453"/>
      <c r="AI10" s="452"/>
      <c r="AJ10" s="454"/>
      <c r="AK10" s="443" t="s">
        <v>1307</v>
      </c>
      <c r="AL10" s="465" t="s">
        <v>1316</v>
      </c>
      <c r="AM10" s="898"/>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row>
    <row r="11" spans="1:68" ht="142.5" customHeight="1" x14ac:dyDescent="0.3">
      <c r="A11" s="525"/>
      <c r="B11" s="528"/>
      <c r="C11" s="528"/>
      <c r="D11" s="528"/>
      <c r="E11" s="531"/>
      <c r="F11" s="528"/>
      <c r="G11" s="534"/>
      <c r="H11" s="537"/>
      <c r="I11" s="513"/>
      <c r="J11" s="516"/>
      <c r="K11" s="513">
        <f>IF(NOT(ISERROR(MATCH(J11,_xlfn.ANCHORARRAY(E22),0))),I24&amp;"Por favor no seleccionar los criterios de impacto",J11)</f>
        <v>0</v>
      </c>
      <c r="L11" s="519"/>
      <c r="M11" s="513"/>
      <c r="N11" s="522"/>
      <c r="O11" s="442">
        <v>2</v>
      </c>
      <c r="P11" s="443" t="s">
        <v>1242</v>
      </c>
      <c r="Q11" s="444" t="str">
        <f t="shared" si="0"/>
        <v>Probabilidad</v>
      </c>
      <c r="R11" s="445" t="s">
        <v>1115</v>
      </c>
      <c r="S11" s="445" t="s">
        <v>1123</v>
      </c>
      <c r="T11" s="446" t="str">
        <f t="shared" si="1"/>
        <v>40%</v>
      </c>
      <c r="U11" s="445" t="s">
        <v>1126</v>
      </c>
      <c r="V11" s="445" t="s">
        <v>1133</v>
      </c>
      <c r="W11" s="445" t="s">
        <v>1135</v>
      </c>
      <c r="X11" s="461">
        <f>IFERROR(IF(AND(Q10="Probabilidad",Q11="Probabilidad"),(Z10-(+Z10*T11)),IF(Q11="Probabilidad",(I10-(+I10*T11)),IF(Q11="Impacto",Z10,""))),"")</f>
        <v>0.216</v>
      </c>
      <c r="Y11" s="448" t="str">
        <f>IFERROR(IF(X11="","",IF(X11&lt;=0.2,"Muy Baja",IF(X11&lt;=0.4,"Baja",IF(X11&lt;=0.6,"Media",IF(X11&lt;=0.8,"Alta","Muy Alta"))))),"")</f>
        <v>Baja</v>
      </c>
      <c r="Z11" s="449">
        <f t="shared" si="2"/>
        <v>0.216</v>
      </c>
      <c r="AA11" s="448" t="str">
        <f>IFERROR(IF(AB11="","",IF(AB11&lt;=0.2,"Leve",IF(AB11&lt;=0.4,"Menor",IF(AB11&lt;=0.6,"Moderado",IF(AB11&lt;=0.8,"Mayor","Catastrófico"))))),"")</f>
        <v>Leve</v>
      </c>
      <c r="AB11" s="449">
        <f>IFERROR(IF(AND(Q10="Impacto",Q11="Impacto"),(AB10-(+AB10*T11)),IF(Q11="Impacto",(M10-(+M10*T11)),IF(Q11="Probabilidad",AB10,""))),"")</f>
        <v>0.2</v>
      </c>
      <c r="AC11" s="450" t="str">
        <f t="shared" si="3"/>
        <v>Bajo</v>
      </c>
      <c r="AD11" s="451"/>
      <c r="AE11" s="452"/>
      <c r="AF11" s="453"/>
      <c r="AG11" s="453"/>
      <c r="AH11" s="453"/>
      <c r="AI11" s="452"/>
      <c r="AJ11" s="454"/>
      <c r="AK11" s="443" t="s">
        <v>1306</v>
      </c>
      <c r="AL11" s="465" t="s">
        <v>1317</v>
      </c>
      <c r="AM11" s="898"/>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row>
    <row r="12" spans="1:68" ht="111" customHeight="1" x14ac:dyDescent="0.3">
      <c r="A12" s="525"/>
      <c r="B12" s="528"/>
      <c r="C12" s="528"/>
      <c r="D12" s="528"/>
      <c r="E12" s="531"/>
      <c r="F12" s="528"/>
      <c r="G12" s="534"/>
      <c r="H12" s="537"/>
      <c r="I12" s="513"/>
      <c r="J12" s="516"/>
      <c r="K12" s="513">
        <f>IF(NOT(ISERROR(MATCH(J12,_xlfn.ANCHORARRAY(E23),0))),I25&amp;"Por favor no seleccionar los criterios de impacto",J12)</f>
        <v>0</v>
      </c>
      <c r="L12" s="519"/>
      <c r="M12" s="513"/>
      <c r="N12" s="522"/>
      <c r="O12" s="442">
        <v>3</v>
      </c>
      <c r="P12" s="443" t="s">
        <v>1280</v>
      </c>
      <c r="Q12" s="444" t="str">
        <f t="shared" si="0"/>
        <v>Probabilidad</v>
      </c>
      <c r="R12" s="445" t="s">
        <v>1115</v>
      </c>
      <c r="S12" s="445" t="s">
        <v>1123</v>
      </c>
      <c r="T12" s="446" t="str">
        <f t="shared" si="1"/>
        <v>40%</v>
      </c>
      <c r="U12" s="445" t="s">
        <v>1126</v>
      </c>
      <c r="V12" s="445" t="s">
        <v>1133</v>
      </c>
      <c r="W12" s="445" t="s">
        <v>1135</v>
      </c>
      <c r="X12" s="461">
        <f>IFERROR(IF(AND(Q11="Probabilidad",Q12="Probabilidad"),(Z11-(+Z11*T12)),IF(AND(Q11="Impacto",Q12="Probabilidad"),(Z10-(+Z10*T12)),IF(Q12="Impacto",Z11,""))),"")</f>
        <v>0.12959999999999999</v>
      </c>
      <c r="Y12" s="448" t="str">
        <f>IFERROR(IF(X12="","",IF(X12&lt;=0.2,"Muy Baja",IF(X12&lt;=0.4,"Baja",IF(X12&lt;=0.6,"Media",IF(X12&lt;=0.8,"Alta","Muy Alta"))))),"")</f>
        <v>Muy Baja</v>
      </c>
      <c r="Z12" s="449">
        <f t="shared" si="2"/>
        <v>0.12959999999999999</v>
      </c>
      <c r="AA12" s="448" t="str">
        <f>IFERROR(IF(AB12="","",IF(AB12&lt;=0.2,"Leve",IF(AB12&lt;=0.4,"Menor",IF(AB12&lt;=0.6,"Moderado",IF(AB12&lt;=0.8,"Mayor","Catastrófico"))))),"")</f>
        <v>Leve</v>
      </c>
      <c r="AB12" s="449">
        <f>IFERROR(IF(AND(Q11="Impacto",Q12="Impacto"),(AB11-(+AB11*T12)),IF(AND(Q11="Probabilidad",Q12="Impacto"),(AB10-(+AB10*T12)),IF(Q12="Probabilidad",AB11,""))),"")</f>
        <v>0.2</v>
      </c>
      <c r="AC12" s="450" t="str">
        <f t="shared" si="3"/>
        <v>Bajo</v>
      </c>
      <c r="AD12" s="451" t="s">
        <v>1140</v>
      </c>
      <c r="AE12" s="452"/>
      <c r="AF12" s="453"/>
      <c r="AG12" s="453"/>
      <c r="AH12" s="453"/>
      <c r="AI12" s="452"/>
      <c r="AJ12" s="454"/>
      <c r="AK12" s="443" t="s">
        <v>1308</v>
      </c>
      <c r="AL12" s="465" t="s">
        <v>1315</v>
      </c>
      <c r="AM12" s="898"/>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row>
    <row r="13" spans="1:68" ht="29.25" customHeight="1" x14ac:dyDescent="0.3">
      <c r="A13" s="525"/>
      <c r="B13" s="528"/>
      <c r="C13" s="528"/>
      <c r="D13" s="528"/>
      <c r="E13" s="531"/>
      <c r="F13" s="528"/>
      <c r="G13" s="534"/>
      <c r="H13" s="537"/>
      <c r="I13" s="513"/>
      <c r="J13" s="516"/>
      <c r="K13" s="513">
        <f>IF(NOT(ISERROR(MATCH(J13,_xlfn.ANCHORARRAY(E24),0))),I26&amp;"Por favor no seleccionar los criterios de impacto",J13)</f>
        <v>0</v>
      </c>
      <c r="L13" s="519"/>
      <c r="M13" s="513"/>
      <c r="N13" s="522"/>
      <c r="O13" s="442">
        <v>4</v>
      </c>
      <c r="P13" s="455"/>
      <c r="Q13" s="444" t="str">
        <f t="shared" si="0"/>
        <v/>
      </c>
      <c r="R13" s="445"/>
      <c r="S13" s="445"/>
      <c r="T13" s="446" t="str">
        <f t="shared" si="1"/>
        <v/>
      </c>
      <c r="U13" s="445"/>
      <c r="V13" s="445"/>
      <c r="W13" s="445"/>
      <c r="X13" s="461" t="str">
        <f>IFERROR(IF(AND(Q12="Probabilidad",Q13="Probabilidad"),(Z12-(+Z12*T13)),IF(AND(Q12="Impacto",Q13="Probabilidad"),(Z11-(+Z11*T13)),IF(Q13="Impacto",Z12,""))),"")</f>
        <v/>
      </c>
      <c r="Y13" s="448" t="str">
        <f t="shared" ref="Y13:Y69" si="4">IFERROR(IF(X13="","",IF(X13&lt;=0.2,"Muy Baja",IF(X13&lt;=0.4,"Baja",IF(X13&lt;=0.6,"Media",IF(X13&lt;=0.8,"Alta","Muy Alta"))))),"")</f>
        <v/>
      </c>
      <c r="Z13" s="449" t="str">
        <f t="shared" si="2"/>
        <v/>
      </c>
      <c r="AA13" s="448" t="str">
        <f t="shared" ref="AA13:AA69" si="5">IFERROR(IF(AB13="","",IF(AB13&lt;=0.2,"Leve",IF(AB13&lt;=0.4,"Menor",IF(AB13&lt;=0.6,"Moderado",IF(AB13&lt;=0.8,"Mayor","Catastrófico"))))),"")</f>
        <v/>
      </c>
      <c r="AB13" s="449" t="str">
        <f>IFERROR(IF(AND(Q12="Impacto",Q13="Impacto"),(AB12-(+AB12*T13)),IF(AND(Q12="Probabilidad",Q13="Impacto"),(AB11-(+AB11*T13)),IF(Q13="Probabilidad",AB12,""))),"")</f>
        <v/>
      </c>
      <c r="AC13" s="450" t="str">
        <f t="shared" si="3"/>
        <v/>
      </c>
      <c r="AD13" s="451"/>
      <c r="AE13" s="452"/>
      <c r="AF13" s="453"/>
      <c r="AG13" s="453"/>
      <c r="AH13" s="453"/>
      <c r="AI13" s="452"/>
      <c r="AJ13" s="454"/>
      <c r="AK13" s="454"/>
      <c r="AL13" s="454"/>
      <c r="AM13" s="454"/>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row>
    <row r="14" spans="1:68" ht="29.25" customHeight="1" x14ac:dyDescent="0.3">
      <c r="A14" s="525"/>
      <c r="B14" s="528"/>
      <c r="C14" s="528"/>
      <c r="D14" s="528"/>
      <c r="E14" s="531"/>
      <c r="F14" s="528"/>
      <c r="G14" s="534"/>
      <c r="H14" s="537"/>
      <c r="I14" s="513"/>
      <c r="J14" s="516"/>
      <c r="K14" s="513">
        <f>IF(NOT(ISERROR(MATCH(J14,_xlfn.ANCHORARRAY(E25),0))),I27&amp;"Por favor no seleccionar los criterios de impacto",J14)</f>
        <v>0</v>
      </c>
      <c r="L14" s="519"/>
      <c r="M14" s="513"/>
      <c r="N14" s="522"/>
      <c r="O14" s="442">
        <v>5</v>
      </c>
      <c r="P14" s="455"/>
      <c r="Q14" s="444" t="str">
        <f t="shared" si="0"/>
        <v/>
      </c>
      <c r="R14" s="445"/>
      <c r="S14" s="445"/>
      <c r="T14" s="446" t="str">
        <f t="shared" si="1"/>
        <v/>
      </c>
      <c r="U14" s="445"/>
      <c r="V14" s="445"/>
      <c r="W14" s="445"/>
      <c r="X14" s="461" t="str">
        <f>IFERROR(IF(AND(Q13="Probabilidad",Q14="Probabilidad"),(Z13-(+Z13*T14)),IF(AND(Q13="Impacto",Q14="Probabilidad"),(Z12-(+Z12*T14)),IF(Q14="Impacto",Z13,""))),"")</f>
        <v/>
      </c>
      <c r="Y14" s="448" t="str">
        <f t="shared" si="4"/>
        <v/>
      </c>
      <c r="Z14" s="449" t="str">
        <f t="shared" si="2"/>
        <v/>
      </c>
      <c r="AA14" s="448" t="str">
        <f t="shared" si="5"/>
        <v/>
      </c>
      <c r="AB14" s="449" t="str">
        <f>IFERROR(IF(AND(Q13="Impacto",Q14="Impacto"),(AB13-(+AB13*T14)),IF(AND(Q13="Probabilidad",Q14="Impacto"),(AB12-(+AB12*T14)),IF(Q14="Probabilidad",AB13,""))),"")</f>
        <v/>
      </c>
      <c r="AC14" s="450" t="str">
        <f t="shared" si="3"/>
        <v/>
      </c>
      <c r="AD14" s="451"/>
      <c r="AE14" s="452"/>
      <c r="AF14" s="453"/>
      <c r="AG14" s="453"/>
      <c r="AH14" s="453"/>
      <c r="AI14" s="452"/>
      <c r="AJ14" s="454"/>
      <c r="AK14" s="454"/>
      <c r="AL14" s="454"/>
      <c r="AM14" s="454"/>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row>
    <row r="15" spans="1:68" ht="29.25" customHeight="1" x14ac:dyDescent="0.3">
      <c r="A15" s="526"/>
      <c r="B15" s="529"/>
      <c r="C15" s="529"/>
      <c r="D15" s="529"/>
      <c r="E15" s="532"/>
      <c r="F15" s="529"/>
      <c r="G15" s="535"/>
      <c r="H15" s="538"/>
      <c r="I15" s="514"/>
      <c r="J15" s="517"/>
      <c r="K15" s="514">
        <f>IF(NOT(ISERROR(MATCH(J15,_xlfn.ANCHORARRAY(E26),0))),I28&amp;"Por favor no seleccionar los criterios de impacto",J15)</f>
        <v>0</v>
      </c>
      <c r="L15" s="520"/>
      <c r="M15" s="514"/>
      <c r="N15" s="523"/>
      <c r="O15" s="442">
        <v>6</v>
      </c>
      <c r="P15" s="455"/>
      <c r="Q15" s="444" t="str">
        <f t="shared" si="0"/>
        <v/>
      </c>
      <c r="R15" s="445"/>
      <c r="S15" s="445"/>
      <c r="T15" s="446" t="str">
        <f t="shared" si="1"/>
        <v/>
      </c>
      <c r="U15" s="445"/>
      <c r="V15" s="445"/>
      <c r="W15" s="445"/>
      <c r="X15" s="461" t="str">
        <f>IFERROR(IF(AND(Q14="Probabilidad",Q15="Probabilidad"),(Z14-(+Z14*T15)),IF(AND(Q14="Impacto",Q15="Probabilidad"),(Z13-(+Z13*T15)),IF(Q15="Impacto",Z14,""))),"")</f>
        <v/>
      </c>
      <c r="Y15" s="448" t="str">
        <f t="shared" si="4"/>
        <v/>
      </c>
      <c r="Z15" s="449" t="str">
        <f t="shared" si="2"/>
        <v/>
      </c>
      <c r="AA15" s="448" t="str">
        <f t="shared" si="5"/>
        <v/>
      </c>
      <c r="AB15" s="449" t="str">
        <f>IFERROR(IF(AND(Q14="Impacto",Q15="Impacto"),(AB14-(+AB14*T15)),IF(AND(Q14="Probabilidad",Q15="Impacto"),(AB13-(+AB13*T15)),IF(Q15="Probabilidad",AB14,""))),"")</f>
        <v/>
      </c>
      <c r="AC15" s="450" t="str">
        <f t="shared" si="3"/>
        <v/>
      </c>
      <c r="AD15" s="451"/>
      <c r="AE15" s="452"/>
      <c r="AF15" s="453"/>
      <c r="AG15" s="453"/>
      <c r="AH15" s="453"/>
      <c r="AI15" s="452"/>
      <c r="AJ15" s="454"/>
      <c r="AK15" s="454"/>
      <c r="AL15" s="454"/>
      <c r="AM15" s="454"/>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row>
    <row r="16" spans="1:68" ht="204" customHeight="1" x14ac:dyDescent="0.3">
      <c r="A16" s="524">
        <v>2</v>
      </c>
      <c r="B16" s="527" t="s">
        <v>1141</v>
      </c>
      <c r="C16" s="527" t="s">
        <v>1273</v>
      </c>
      <c r="D16" s="530" t="s">
        <v>1281</v>
      </c>
      <c r="E16" s="530" t="s">
        <v>1295</v>
      </c>
      <c r="F16" s="527" t="s">
        <v>1156</v>
      </c>
      <c r="G16" s="533">
        <v>25</v>
      </c>
      <c r="H16" s="536" t="str">
        <f>IF(G16&lt;=0,"",IF(G16&lt;=2,"Muy Baja",IF(G16&lt;=24,"Baja",IF(G16&lt;=500,"Media",IF(G16&lt;=5000,"Alta","Muy Alta")))))</f>
        <v>Media</v>
      </c>
      <c r="I16" s="512">
        <f>IF(H16="","",IF(H16="Muy Baja",0.2,IF(H16="Baja",0.4,IF(H16="Media",0.6,IF(H16="Alta",0.8,IF(H16="Muy Alta",1,))))))</f>
        <v>0.6</v>
      </c>
      <c r="J16" s="515" t="s">
        <v>1099</v>
      </c>
      <c r="K16" s="512" t="str">
        <f>IF(NOT(ISERROR(MATCH(J16,'Tabla Impacto'!$B$221:$B$223,0))),'Tabla Impacto'!$F$223&amp;"Por favor no seleccionar los criterios de impacto(Afectación Económica o presupuestal y Pérdida Reputacional)",J16)</f>
        <v xml:space="preserve">     Entre 10 y 50 SMLMV </v>
      </c>
      <c r="L16" s="518" t="str">
        <f>IF(OR(K16='Tabla Impacto'!$C$11,K16='Tabla Impacto'!$D$11),"Leve",IF(OR(K16='Tabla Impacto'!$C$12,K16='Tabla Impacto'!$D$12),"Menor",IF(OR(K16='Tabla Impacto'!$C$13,K16='Tabla Impacto'!$D$13),"Moderado",IF(OR(K16='Tabla Impacto'!$C$14,K16='Tabla Impacto'!$D$14),"Mayor",IF(OR(K16='Tabla Impacto'!$C$15,K16='Tabla Impacto'!$D$15),"Catastrófico","")))))</f>
        <v>Menor</v>
      </c>
      <c r="M16" s="512">
        <f>IF(L16="","",IF(L16="Leve",0.2,IF(L16="Menor",0.4,IF(L16="Moderado",0.6,IF(L16="Mayor",0.8,IF(L16="Catastrófico",1,))))))</f>
        <v>0.4</v>
      </c>
      <c r="N16" s="52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42">
        <v>1</v>
      </c>
      <c r="P16" s="443" t="s">
        <v>1282</v>
      </c>
      <c r="Q16" s="444" t="str">
        <f t="shared" si="0"/>
        <v>Probabilidad</v>
      </c>
      <c r="R16" s="445" t="s">
        <v>1115</v>
      </c>
      <c r="S16" s="445" t="s">
        <v>1123</v>
      </c>
      <c r="T16" s="446">
        <v>0.4</v>
      </c>
      <c r="U16" s="445" t="s">
        <v>1126</v>
      </c>
      <c r="V16" s="445" t="s">
        <v>1133</v>
      </c>
      <c r="W16" s="445" t="s">
        <v>1135</v>
      </c>
      <c r="X16" s="461">
        <f>IFERROR(IF(Q16="Probabilidad",(I16-(+I16*T16)),IF(Q16="Impacto",I16,"")),"")</f>
        <v>0.36</v>
      </c>
      <c r="Y16" s="448" t="str">
        <f>IFERROR(IF(X16="","",IF(X16&lt;=0.2,"Muy Baja",IF(X16&lt;=0.4,"Baja",IF(X16&lt;=0.6,"Media",IF(X16&lt;=0.8,"Alta","Muy Alta"))))),"")</f>
        <v>Baja</v>
      </c>
      <c r="Z16" s="449">
        <v>0.12</v>
      </c>
      <c r="AA16" s="448" t="str">
        <f>IFERROR(IF(AB16="","",IF(AB16&lt;=0.2,"Leve",IF(AB16&lt;=0.4,"Menor",IF(AB16&lt;=0.6,"Moderado",IF(AB16&lt;=0.8,"Mayor","Catastrófico"))))),"")</f>
        <v>Leve</v>
      </c>
      <c r="AB16" s="449">
        <v>0.2</v>
      </c>
      <c r="AC16" s="450" t="str">
        <f t="shared" si="3"/>
        <v>Bajo</v>
      </c>
      <c r="AD16" s="451"/>
      <c r="AE16" s="452"/>
      <c r="AF16" s="453"/>
      <c r="AG16" s="453"/>
      <c r="AH16" s="453"/>
      <c r="AI16" s="452"/>
      <c r="AJ16" s="454"/>
      <c r="AK16" s="443" t="s">
        <v>1304</v>
      </c>
      <c r="AL16" s="464" t="s">
        <v>1312</v>
      </c>
      <c r="AM16" s="899"/>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row>
    <row r="17" spans="1:68" ht="177.75" customHeight="1" x14ac:dyDescent="0.3">
      <c r="A17" s="525"/>
      <c r="B17" s="528"/>
      <c r="C17" s="528"/>
      <c r="D17" s="531"/>
      <c r="E17" s="539"/>
      <c r="F17" s="528"/>
      <c r="G17" s="534"/>
      <c r="H17" s="537"/>
      <c r="I17" s="513"/>
      <c r="J17" s="516"/>
      <c r="K17" s="513">
        <f>IF(NOT(ISERROR(MATCH(J17,_xlfn.ANCHORARRAY(E28),0))),I30&amp;"Por favor no seleccionar los criterios de impacto",J17)</f>
        <v>0</v>
      </c>
      <c r="L17" s="519"/>
      <c r="M17" s="513"/>
      <c r="N17" s="522"/>
      <c r="O17" s="442">
        <v>2</v>
      </c>
      <c r="P17" s="443" t="s">
        <v>1283</v>
      </c>
      <c r="Q17" s="444" t="str">
        <f t="shared" si="0"/>
        <v>Probabilidad</v>
      </c>
      <c r="R17" s="445" t="s">
        <v>1115</v>
      </c>
      <c r="S17" s="445" t="s">
        <v>1123</v>
      </c>
      <c r="T17" s="446" t="str">
        <f t="shared" si="1"/>
        <v>40%</v>
      </c>
      <c r="U17" s="445" t="s">
        <v>1126</v>
      </c>
      <c r="V17" s="445" t="s">
        <v>1133</v>
      </c>
      <c r="W17" s="445" t="s">
        <v>1135</v>
      </c>
      <c r="X17" s="461">
        <f>IFERROR(IF(AND(Q16="Probabilidad",Q17="Probabilidad"),(Z16-(+Z16*T17)),IF(Q17="Probabilidad",(I16-(+I16*T17)),IF(Q17="Impacto",Z16,""))),"")</f>
        <v>7.1999999999999995E-2</v>
      </c>
      <c r="Y17" s="448" t="str">
        <f>IFERROR(IF(X17="","",IF(X17&lt;=0.2,"Muy Baja",IF(X17&lt;=0.4,"Baja",IF(X17&lt;=0.6,"Media",IF(X17&lt;=0.8,"Alta","Muy Alta"))))),"")</f>
        <v>Muy Baja</v>
      </c>
      <c r="Z17" s="449">
        <v>7.0000000000000007E-2</v>
      </c>
      <c r="AA17" s="448" t="str">
        <f>IFERROR(IF(AB17="","",IF(AB17&lt;=0.2,"Leve",IF(AB17&lt;=0.4,"Menor",IF(AB17&lt;=0.6,"Moderado",IF(AB17&lt;=0.8,"Mayor","Catastrófico"))))),"")</f>
        <v>Leve</v>
      </c>
      <c r="AB17" s="449">
        <f>IFERROR(IF(AND(Q16="Impacto",Q17="Impacto"),(AB16-(+AB16*T17)),IF(Q17="Impacto",(M16-(+M16*T17)),IF(Q17="Probabilidad",AB16,""))),"")</f>
        <v>0.2</v>
      </c>
      <c r="AC17" s="450" t="str">
        <f t="shared" si="3"/>
        <v>Bajo</v>
      </c>
      <c r="AD17" s="451"/>
      <c r="AE17" s="452"/>
      <c r="AF17" s="453"/>
      <c r="AG17" s="453"/>
      <c r="AH17" s="453"/>
      <c r="AI17" s="452"/>
      <c r="AJ17" s="454"/>
      <c r="AK17" s="443" t="s">
        <v>1303</v>
      </c>
      <c r="AL17" s="464" t="s">
        <v>1313</v>
      </c>
      <c r="AM17" s="90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row>
    <row r="18" spans="1:68" ht="157.5" customHeight="1" x14ac:dyDescent="0.3">
      <c r="A18" s="525"/>
      <c r="B18" s="528"/>
      <c r="C18" s="528"/>
      <c r="D18" s="531"/>
      <c r="E18" s="539"/>
      <c r="F18" s="528"/>
      <c r="G18" s="534"/>
      <c r="H18" s="537"/>
      <c r="I18" s="513"/>
      <c r="J18" s="516"/>
      <c r="K18" s="513">
        <f>IF(NOT(ISERROR(MATCH(J18,_xlfn.ANCHORARRAY(E29),0))),I31&amp;"Por favor no seleccionar los criterios de impacto",J18)</f>
        <v>0</v>
      </c>
      <c r="L18" s="519"/>
      <c r="M18" s="513"/>
      <c r="N18" s="522"/>
      <c r="O18" s="442">
        <v>3</v>
      </c>
      <c r="P18" s="443" t="s">
        <v>1284</v>
      </c>
      <c r="Q18" s="444" t="str">
        <f t="shared" si="0"/>
        <v>Probabilidad</v>
      </c>
      <c r="R18" s="445" t="s">
        <v>1115</v>
      </c>
      <c r="S18" s="445" t="s">
        <v>1123</v>
      </c>
      <c r="T18" s="446" t="str">
        <f t="shared" si="1"/>
        <v>40%</v>
      </c>
      <c r="U18" s="445" t="s">
        <v>1126</v>
      </c>
      <c r="V18" s="445" t="s">
        <v>1133</v>
      </c>
      <c r="W18" s="445" t="s">
        <v>1135</v>
      </c>
      <c r="X18" s="461">
        <f>IFERROR(IF(AND(Q17="Probabilidad",Q18="Probabilidad"),(Z17-(+Z17*T18)),IF(AND(Q17="Impacto",Q18="Probabilidad"),(Z16-(+Z16*T18)),IF(Q18="Impacto",Z17,""))),"")</f>
        <v>4.2000000000000003E-2</v>
      </c>
      <c r="Y18" s="448" t="str">
        <f>IFERROR(IF(X18="","",IF(X18&lt;=0.2,"Muy Baja",IF(X18&lt;=0.4,"Baja",IF(X18&lt;=0.6,"Media",IF(X18&lt;=0.8,"Alta","Muy Alta"))))),"")</f>
        <v>Muy Baja</v>
      </c>
      <c r="Z18" s="449">
        <v>0.04</v>
      </c>
      <c r="AA18" s="448" t="str">
        <f>IFERROR(IF(AB18="","",IF(AB18&lt;=0.2,"Leve",IF(AB18&lt;=0.4,"Menor",IF(AB18&lt;=0.6,"Moderado",IF(AB18&lt;=0.8,"Mayor","Catastrófico"))))),"")</f>
        <v>Leve</v>
      </c>
      <c r="AB18" s="449">
        <f>IFERROR(IF(AND(Q17="Impacto",Q18="Impacto"),(AB17-(+AB17*T18)),IF(AND(Q17="Probabilidad",Q18="Impacto"),(AB16-(+AB16*T18)),IF(Q18="Probabilidad",AB17,""))),"")</f>
        <v>0.2</v>
      </c>
      <c r="AC18" s="450" t="str">
        <f t="shared" si="3"/>
        <v>Bajo</v>
      </c>
      <c r="AD18" s="451" t="s">
        <v>1140</v>
      </c>
      <c r="AE18" s="452"/>
      <c r="AF18" s="453"/>
      <c r="AG18" s="453"/>
      <c r="AH18" s="453"/>
      <c r="AI18" s="452"/>
      <c r="AJ18" s="454"/>
      <c r="AK18" s="443" t="s">
        <v>1301</v>
      </c>
      <c r="AL18" s="464" t="s">
        <v>1310</v>
      </c>
      <c r="AM18" s="899"/>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row>
    <row r="19" spans="1:68" ht="50.25" customHeight="1" x14ac:dyDescent="0.3">
      <c r="A19" s="525"/>
      <c r="B19" s="528"/>
      <c r="C19" s="528"/>
      <c r="D19" s="531"/>
      <c r="E19" s="539"/>
      <c r="F19" s="528"/>
      <c r="G19" s="534"/>
      <c r="H19" s="537"/>
      <c r="I19" s="513"/>
      <c r="J19" s="516"/>
      <c r="K19" s="513">
        <f>IF(NOT(ISERROR(MATCH(J19,_xlfn.ANCHORARRAY(E30),0))),I32&amp;"Por favor no seleccionar los criterios de impacto",J19)</f>
        <v>0</v>
      </c>
      <c r="L19" s="519"/>
      <c r="M19" s="513"/>
      <c r="N19" s="522"/>
      <c r="O19" s="442">
        <v>4</v>
      </c>
      <c r="P19" s="455"/>
      <c r="Q19" s="444" t="str">
        <f t="shared" si="0"/>
        <v/>
      </c>
      <c r="R19" s="445"/>
      <c r="S19" s="445"/>
      <c r="T19" s="446" t="str">
        <f t="shared" si="1"/>
        <v/>
      </c>
      <c r="U19" s="445"/>
      <c r="V19" s="445"/>
      <c r="W19" s="445"/>
      <c r="X19" s="461" t="str">
        <f>IFERROR(IF(AND(Q18="Probabilidad",Q19="Probabilidad"),(Z18-(+Z18*T19)),IF(AND(Q18="Impacto",Q19="Probabilidad"),(Z17-(+Z17*T19)),IF(Q19="Impacto",Z18,""))),"")</f>
        <v/>
      </c>
      <c r="Y19" s="448" t="str">
        <f t="shared" si="4"/>
        <v/>
      </c>
      <c r="Z19" s="449" t="str">
        <f t="shared" si="2"/>
        <v/>
      </c>
      <c r="AA19" s="448" t="str">
        <f t="shared" si="5"/>
        <v/>
      </c>
      <c r="AB19" s="449" t="str">
        <f>IFERROR(IF(AND(Q18="Impacto",Q19="Impacto"),(AB18-(+AB18*T19)),IF(AND(Q18="Probabilidad",Q19="Impacto"),(AB17-(+AB17*T19)),IF(Q19="Probabilidad",AB18,""))),"")</f>
        <v/>
      </c>
      <c r="AC19" s="450" t="str">
        <f t="shared" si="3"/>
        <v/>
      </c>
      <c r="AD19" s="451"/>
      <c r="AE19" s="452"/>
      <c r="AF19" s="453"/>
      <c r="AG19" s="453"/>
      <c r="AH19" s="453"/>
      <c r="AI19" s="452"/>
      <c r="AJ19" s="454"/>
      <c r="AK19" s="443"/>
      <c r="AL19" s="454"/>
      <c r="AM19" s="454"/>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row>
    <row r="20" spans="1:68" ht="50.25" customHeight="1" x14ac:dyDescent="0.3">
      <c r="A20" s="525"/>
      <c r="B20" s="528"/>
      <c r="C20" s="528"/>
      <c r="D20" s="531"/>
      <c r="E20" s="539"/>
      <c r="F20" s="528"/>
      <c r="G20" s="534"/>
      <c r="H20" s="537"/>
      <c r="I20" s="513"/>
      <c r="J20" s="516"/>
      <c r="K20" s="513">
        <f>IF(NOT(ISERROR(MATCH(J20,_xlfn.ANCHORARRAY(E31),0))),I33&amp;"Por favor no seleccionar los criterios de impacto",J20)</f>
        <v>0</v>
      </c>
      <c r="L20" s="519"/>
      <c r="M20" s="513"/>
      <c r="N20" s="522"/>
      <c r="O20" s="442">
        <v>5</v>
      </c>
      <c r="P20" s="455"/>
      <c r="Q20" s="444" t="str">
        <f t="shared" si="0"/>
        <v/>
      </c>
      <c r="R20" s="445"/>
      <c r="S20" s="445"/>
      <c r="T20" s="446" t="str">
        <f t="shared" si="1"/>
        <v/>
      </c>
      <c r="U20" s="445"/>
      <c r="V20" s="445"/>
      <c r="W20" s="445"/>
      <c r="X20" s="461" t="str">
        <f>IFERROR(IF(AND(Q19="Probabilidad",Q20="Probabilidad"),(Z19-(+Z19*T20)),IF(AND(Q19="Impacto",Q20="Probabilidad"),(Z18-(+Z18*T20)),IF(Q20="Impacto",Z19,""))),"")</f>
        <v/>
      </c>
      <c r="Y20" s="448" t="str">
        <f t="shared" si="4"/>
        <v/>
      </c>
      <c r="Z20" s="449" t="str">
        <f t="shared" si="2"/>
        <v/>
      </c>
      <c r="AA20" s="448" t="str">
        <f t="shared" si="5"/>
        <v/>
      </c>
      <c r="AB20" s="449" t="str">
        <f>IFERROR(IF(AND(Q19="Impacto",Q20="Impacto"),(AB19-(+AB19*T20)),IF(AND(Q19="Probabilidad",Q20="Impacto"),(AB18-(+AB18*T20)),IF(Q20="Probabilidad",AB19,""))),"")</f>
        <v/>
      </c>
      <c r="AC20" s="450" t="str">
        <f t="shared" si="3"/>
        <v/>
      </c>
      <c r="AD20" s="451"/>
      <c r="AE20" s="452"/>
      <c r="AF20" s="453"/>
      <c r="AG20" s="453"/>
      <c r="AH20" s="453"/>
      <c r="AI20" s="452"/>
      <c r="AJ20" s="454"/>
      <c r="AK20" s="443"/>
      <c r="AL20" s="454"/>
      <c r="AM20" s="454"/>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row>
    <row r="21" spans="1:68" ht="50.25" customHeight="1" x14ac:dyDescent="0.3">
      <c r="A21" s="526"/>
      <c r="B21" s="529"/>
      <c r="C21" s="529"/>
      <c r="D21" s="532"/>
      <c r="E21" s="540"/>
      <c r="F21" s="529"/>
      <c r="G21" s="535"/>
      <c r="H21" s="538"/>
      <c r="I21" s="514"/>
      <c r="J21" s="517"/>
      <c r="K21" s="514">
        <f>IF(NOT(ISERROR(MATCH(J21,_xlfn.ANCHORARRAY(E32),0))),I34&amp;"Por favor no seleccionar los criterios de impacto",J21)</f>
        <v>0</v>
      </c>
      <c r="L21" s="520"/>
      <c r="M21" s="514"/>
      <c r="N21" s="523"/>
      <c r="O21" s="442">
        <v>6</v>
      </c>
      <c r="P21" s="455"/>
      <c r="Q21" s="444" t="str">
        <f t="shared" si="0"/>
        <v/>
      </c>
      <c r="R21" s="445"/>
      <c r="S21" s="445"/>
      <c r="T21" s="446" t="str">
        <f t="shared" si="1"/>
        <v/>
      </c>
      <c r="U21" s="445"/>
      <c r="V21" s="445"/>
      <c r="W21" s="445"/>
      <c r="X21" s="461" t="str">
        <f>IFERROR(IF(AND(Q20="Probabilidad",Q21="Probabilidad"),(Z20-(+Z20*T21)),IF(AND(Q20="Impacto",Q21="Probabilidad"),(Z19-(+Z19*T21)),IF(Q21="Impacto",Z20,""))),"")</f>
        <v/>
      </c>
      <c r="Y21" s="448" t="str">
        <f t="shared" si="4"/>
        <v/>
      </c>
      <c r="Z21" s="449" t="str">
        <f t="shared" si="2"/>
        <v/>
      </c>
      <c r="AA21" s="448" t="str">
        <f t="shared" si="5"/>
        <v/>
      </c>
      <c r="AB21" s="449" t="str">
        <f>IFERROR(IF(AND(Q20="Impacto",Q21="Impacto"),(AB20-(+AB20*T21)),IF(AND(Q20="Probabilidad",Q21="Impacto"),(AB19-(+AB19*T21)),IF(Q21="Probabilidad",AB20,""))),"")</f>
        <v/>
      </c>
      <c r="AC21" s="450" t="str">
        <f t="shared" si="3"/>
        <v/>
      </c>
      <c r="AD21" s="451"/>
      <c r="AE21" s="452"/>
      <c r="AF21" s="453"/>
      <c r="AG21" s="453"/>
      <c r="AH21" s="453"/>
      <c r="AI21" s="452"/>
      <c r="AJ21" s="454"/>
      <c r="AK21" s="443"/>
      <c r="AL21" s="454"/>
      <c r="AM21" s="454"/>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row>
    <row r="22" spans="1:68" ht="145.5" customHeight="1" x14ac:dyDescent="0.3">
      <c r="A22" s="524">
        <v>3</v>
      </c>
      <c r="B22" s="527" t="s">
        <v>1141</v>
      </c>
      <c r="C22" s="527" t="s">
        <v>1274</v>
      </c>
      <c r="D22" s="530" t="s">
        <v>1279</v>
      </c>
      <c r="E22" s="530" t="s">
        <v>1296</v>
      </c>
      <c r="F22" s="527" t="s">
        <v>1156</v>
      </c>
      <c r="G22" s="533">
        <v>2</v>
      </c>
      <c r="H22" s="536" t="str">
        <f>IF(G22&lt;=0,"",IF(G22&lt;=2,"Muy Baja",IF(G22&lt;=24,"Baja",IF(G22&lt;=500,"Media",IF(G22&lt;=5000,"Alta","Muy Alta")))))</f>
        <v>Muy Baja</v>
      </c>
      <c r="I22" s="512">
        <f>IF(H22="","",IF(H22="Muy Baja",0.2,IF(H22="Baja",0.4,IF(H22="Media",0.6,IF(H22="Alta",0.8,IF(H22="Muy Alta",1,))))))</f>
        <v>0.2</v>
      </c>
      <c r="J22" s="515" t="s">
        <v>1099</v>
      </c>
      <c r="K22" s="512" t="str">
        <f>IF(NOT(ISERROR(MATCH(J22,'Tabla Impacto'!$B$221:$B$223,0))),'Tabla Impacto'!$F$223&amp;"Por favor no seleccionar los criterios de impacto(Afectación Económica o presupuestal y Pérdida Reputacional)",J22)</f>
        <v xml:space="preserve">     Entre 10 y 50 SMLMV </v>
      </c>
      <c r="L22" s="518" t="str">
        <f>IF(OR(K22='Tabla Impacto'!$C$11,K22='Tabla Impacto'!$D$11),"Leve",IF(OR(K22='Tabla Impacto'!$C$12,K22='Tabla Impacto'!$D$12),"Menor",IF(OR(K22='Tabla Impacto'!$C$13,K22='Tabla Impacto'!$D$13),"Moderado",IF(OR(K22='Tabla Impacto'!$C$14,K22='Tabla Impacto'!$D$14),"Mayor",IF(OR(K22='Tabla Impacto'!$C$15,K22='Tabla Impacto'!$D$15),"Catastrófico","")))))</f>
        <v>Menor</v>
      </c>
      <c r="M22" s="512">
        <f>IF(L22="","",IF(L22="Leve",0.2,IF(L22="Menor",0.4,IF(L22="Moderado",0.6,IF(L22="Mayor",0.8,IF(L22="Catastrófico",1,))))))</f>
        <v>0.4</v>
      </c>
      <c r="N22" s="52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442">
        <v>1</v>
      </c>
      <c r="P22" s="443" t="s">
        <v>1276</v>
      </c>
      <c r="Q22" s="444" t="str">
        <f t="shared" si="0"/>
        <v>Probabilidad</v>
      </c>
      <c r="R22" s="445" t="s">
        <v>1115</v>
      </c>
      <c r="S22" s="445" t="s">
        <v>1123</v>
      </c>
      <c r="T22" s="446" t="str">
        <f t="shared" si="1"/>
        <v>40%</v>
      </c>
      <c r="U22" s="445" t="s">
        <v>1126</v>
      </c>
      <c r="V22" s="445" t="s">
        <v>1133</v>
      </c>
      <c r="W22" s="445" t="s">
        <v>1135</v>
      </c>
      <c r="X22" s="461">
        <f>IFERROR(IF(Q22="Probabilidad",(I22-(+I22*T22)),IF(Q22="Impacto",I22,"")),"")</f>
        <v>0.12</v>
      </c>
      <c r="Y22" s="448" t="str">
        <f>IFERROR(IF(X22="","",IF(X22&lt;=0.2,"Muy Baja",IF(X22&lt;=0.4,"Baja",IF(X22&lt;=0.6,"Media",IF(X22&lt;=0.8,"Alta","Muy Alta"))))),"")</f>
        <v>Muy Baja</v>
      </c>
      <c r="Z22" s="449">
        <f t="shared" si="2"/>
        <v>0.12</v>
      </c>
      <c r="AA22" s="448" t="str">
        <f>IFERROR(IF(AB22="","",IF(AB22&lt;=0.2,"Leve",IF(AB22&lt;=0.4,"Menor",IF(AB22&lt;=0.6,"Moderado",IF(AB22&lt;=0.8,"Mayor","Catastrófico"))))),"")</f>
        <v>Leve</v>
      </c>
      <c r="AB22" s="449">
        <v>0.2</v>
      </c>
      <c r="AC22" s="450" t="str">
        <f t="shared" si="3"/>
        <v>Bajo</v>
      </c>
      <c r="AD22" s="451"/>
      <c r="AE22" s="452"/>
      <c r="AF22" s="453"/>
      <c r="AG22" s="453"/>
      <c r="AH22" s="453"/>
      <c r="AI22" s="452"/>
      <c r="AJ22" s="454"/>
      <c r="AK22" s="443" t="s">
        <v>1309</v>
      </c>
      <c r="AL22" s="464" t="s">
        <v>1311</v>
      </c>
      <c r="AM22" s="90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row>
    <row r="23" spans="1:68" ht="105" customHeight="1" x14ac:dyDescent="0.3">
      <c r="A23" s="525"/>
      <c r="B23" s="528"/>
      <c r="C23" s="528"/>
      <c r="D23" s="539"/>
      <c r="E23" s="531"/>
      <c r="F23" s="528"/>
      <c r="G23" s="534"/>
      <c r="H23" s="537"/>
      <c r="I23" s="513"/>
      <c r="J23" s="516"/>
      <c r="K23" s="513">
        <f>IF(NOT(ISERROR(MATCH(J23,_xlfn.ANCHORARRAY(E34),0))),I36&amp;"Por favor no seleccionar los criterios de impacto",J23)</f>
        <v>0</v>
      </c>
      <c r="L23" s="519"/>
      <c r="M23" s="513"/>
      <c r="N23" s="522"/>
      <c r="O23" s="442">
        <v>2</v>
      </c>
      <c r="P23" s="443" t="s">
        <v>1285</v>
      </c>
      <c r="Q23" s="444" t="str">
        <f t="shared" si="0"/>
        <v>Probabilidad</v>
      </c>
      <c r="R23" s="445" t="s">
        <v>1115</v>
      </c>
      <c r="S23" s="445" t="s">
        <v>1123</v>
      </c>
      <c r="T23" s="446" t="str">
        <f t="shared" si="1"/>
        <v>40%</v>
      </c>
      <c r="U23" s="445" t="s">
        <v>1126</v>
      </c>
      <c r="V23" s="445" t="s">
        <v>1133</v>
      </c>
      <c r="W23" s="445" t="s">
        <v>1135</v>
      </c>
      <c r="X23" s="461">
        <f>IFERROR(IF(AND(Q22="Probabilidad",Q23="Probabilidad"),(Z22-(+Z22*T23)),IF(Q23="Probabilidad",(I22-(+I22*T23)),IF(Q23="Impacto",Z22,""))),"")</f>
        <v>7.1999999999999995E-2</v>
      </c>
      <c r="Y23" s="448" t="str">
        <f>IFERROR(IF(X23="","",IF(X23&lt;=0.2,"Muy Baja",IF(X23&lt;=0.4,"Baja",IF(X23&lt;=0.6,"Media",IF(X23&lt;=0.8,"Alta","Muy Alta"))))),"")</f>
        <v>Muy Baja</v>
      </c>
      <c r="Z23" s="449">
        <f t="shared" si="2"/>
        <v>7.1999999999999995E-2</v>
      </c>
      <c r="AA23" s="448" t="str">
        <f t="shared" si="5"/>
        <v>Leve</v>
      </c>
      <c r="AB23" s="449">
        <f>IFERROR(IF(AND(Q22="Impacto",Q23="Impacto"),(AB22-(+AB22*T23)),IF(Q23="Impacto",(M22-(+M22*T23)),IF(Q23="Probabilidad",AB22,""))),"")</f>
        <v>0.2</v>
      </c>
      <c r="AC23" s="450" t="str">
        <f t="shared" si="3"/>
        <v>Bajo</v>
      </c>
      <c r="AD23" s="451" t="s">
        <v>1140</v>
      </c>
      <c r="AE23" s="452"/>
      <c r="AF23" s="453"/>
      <c r="AG23" s="453"/>
      <c r="AH23" s="453"/>
      <c r="AI23" s="452"/>
      <c r="AJ23" s="454"/>
      <c r="AK23" s="443" t="s">
        <v>1305</v>
      </c>
      <c r="AL23" s="464" t="s">
        <v>1314</v>
      </c>
      <c r="AM23" s="899"/>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row>
    <row r="24" spans="1:68" x14ac:dyDescent="0.3">
      <c r="A24" s="525"/>
      <c r="B24" s="528"/>
      <c r="C24" s="528"/>
      <c r="D24" s="539"/>
      <c r="E24" s="531"/>
      <c r="F24" s="528"/>
      <c r="G24" s="534"/>
      <c r="H24" s="537"/>
      <c r="I24" s="513"/>
      <c r="J24" s="516"/>
      <c r="K24" s="513">
        <f>IF(NOT(ISERROR(MATCH(J24,_xlfn.ANCHORARRAY(E35),0))),I37&amp;"Por favor no seleccionar los criterios de impacto",J24)</f>
        <v>0</v>
      </c>
      <c r="L24" s="519"/>
      <c r="M24" s="513"/>
      <c r="N24" s="522"/>
      <c r="O24" s="442">
        <v>3</v>
      </c>
      <c r="P24" s="456"/>
      <c r="Q24" s="444" t="str">
        <f t="shared" si="0"/>
        <v/>
      </c>
      <c r="R24" s="445"/>
      <c r="S24" s="445"/>
      <c r="T24" s="446" t="str">
        <f t="shared" si="1"/>
        <v/>
      </c>
      <c r="U24" s="445"/>
      <c r="V24" s="445"/>
      <c r="W24" s="445"/>
      <c r="X24" s="461" t="str">
        <f>IFERROR(IF(AND(Q23="Probabilidad",Q24="Probabilidad"),(Z23-(+Z23*T24)),IF(AND(Q23="Impacto",Q24="Probabilidad"),(Z22-(+Z22*T24)),IF(Q24="Impacto",Z23,""))),"")</f>
        <v/>
      </c>
      <c r="Y24" s="448" t="str">
        <f t="shared" si="4"/>
        <v/>
      </c>
      <c r="Z24" s="449" t="str">
        <f t="shared" si="2"/>
        <v/>
      </c>
      <c r="AA24" s="448" t="str">
        <f t="shared" si="5"/>
        <v/>
      </c>
      <c r="AB24" s="449" t="str">
        <f>IFERROR(IF(AND(Q23="Impacto",Q24="Impacto"),(AB23-(+AB23*T24)),IF(AND(Q23="Probabilidad",Q24="Impacto"),(AB22-(+AB22*T24)),IF(Q24="Probabilidad",AB23,""))),"")</f>
        <v/>
      </c>
      <c r="AC24" s="450" t="str">
        <f t="shared" si="3"/>
        <v/>
      </c>
      <c r="AD24" s="451"/>
      <c r="AE24" s="452"/>
      <c r="AF24" s="453"/>
      <c r="AG24" s="453"/>
      <c r="AH24" s="453"/>
      <c r="AI24" s="452"/>
      <c r="AJ24" s="454"/>
      <c r="AK24" s="443"/>
      <c r="AL24" s="454"/>
      <c r="AM24" s="454"/>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row>
    <row r="25" spans="1:68" ht="30" customHeight="1" x14ac:dyDescent="0.3">
      <c r="A25" s="525"/>
      <c r="B25" s="528"/>
      <c r="C25" s="528"/>
      <c r="D25" s="539"/>
      <c r="E25" s="531"/>
      <c r="F25" s="528"/>
      <c r="G25" s="534"/>
      <c r="H25" s="537"/>
      <c r="I25" s="513"/>
      <c r="J25" s="516"/>
      <c r="K25" s="513">
        <f>IF(NOT(ISERROR(MATCH(J25,_xlfn.ANCHORARRAY(E36),0))),I38&amp;"Por favor no seleccionar los criterios de impacto",J25)</f>
        <v>0</v>
      </c>
      <c r="L25" s="519"/>
      <c r="M25" s="513"/>
      <c r="N25" s="522"/>
      <c r="O25" s="442">
        <v>4</v>
      </c>
      <c r="P25" s="455"/>
      <c r="Q25" s="444" t="str">
        <f t="shared" si="0"/>
        <v/>
      </c>
      <c r="R25" s="445"/>
      <c r="S25" s="445"/>
      <c r="T25" s="446" t="str">
        <f t="shared" si="1"/>
        <v/>
      </c>
      <c r="U25" s="445"/>
      <c r="V25" s="445"/>
      <c r="W25" s="445"/>
      <c r="X25" s="461" t="str">
        <f>IFERROR(IF(AND(Q24="Probabilidad",Q25="Probabilidad"),(Z24-(+Z24*T25)),IF(AND(Q24="Impacto",Q25="Probabilidad"),(Z23-(+Z23*T25)),IF(Q25="Impacto",Z24,""))),"")</f>
        <v/>
      </c>
      <c r="Y25" s="448" t="str">
        <f t="shared" si="4"/>
        <v/>
      </c>
      <c r="Z25" s="449" t="str">
        <f t="shared" si="2"/>
        <v/>
      </c>
      <c r="AA25" s="448" t="str">
        <f t="shared" si="5"/>
        <v/>
      </c>
      <c r="AB25" s="449" t="str">
        <f>IFERROR(IF(AND(Q24="Impacto",Q25="Impacto"),(AB24-(+AB24*T25)),IF(AND(Q24="Probabilidad",Q25="Impacto"),(AB23-(+AB23*T25)),IF(Q25="Probabilidad",AB24,""))),"")</f>
        <v/>
      </c>
      <c r="AC25" s="450" t="str">
        <f t="shared" si="3"/>
        <v/>
      </c>
      <c r="AD25" s="451"/>
      <c r="AE25" s="452"/>
      <c r="AF25" s="453"/>
      <c r="AG25" s="453"/>
      <c r="AH25" s="453"/>
      <c r="AI25" s="452"/>
      <c r="AJ25" s="454"/>
      <c r="AK25" s="443"/>
      <c r="AL25" s="454"/>
      <c r="AM25" s="454"/>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row>
    <row r="26" spans="1:68" ht="30" customHeight="1" x14ac:dyDescent="0.3">
      <c r="A26" s="525"/>
      <c r="B26" s="528"/>
      <c r="C26" s="528"/>
      <c r="D26" s="539"/>
      <c r="E26" s="531"/>
      <c r="F26" s="528"/>
      <c r="G26" s="534"/>
      <c r="H26" s="537"/>
      <c r="I26" s="513"/>
      <c r="J26" s="516"/>
      <c r="K26" s="513">
        <f>IF(NOT(ISERROR(MATCH(J26,_xlfn.ANCHORARRAY(E37),0))),I39&amp;"Por favor no seleccionar los criterios de impacto",J26)</f>
        <v>0</v>
      </c>
      <c r="L26" s="519"/>
      <c r="M26" s="513"/>
      <c r="N26" s="522"/>
      <c r="O26" s="442">
        <v>5</v>
      </c>
      <c r="P26" s="455"/>
      <c r="Q26" s="444" t="str">
        <f t="shared" si="0"/>
        <v/>
      </c>
      <c r="R26" s="445"/>
      <c r="S26" s="445"/>
      <c r="T26" s="446" t="str">
        <f t="shared" si="1"/>
        <v/>
      </c>
      <c r="U26" s="445"/>
      <c r="V26" s="445"/>
      <c r="W26" s="445"/>
      <c r="X26" s="461" t="str">
        <f>IFERROR(IF(AND(Q25="Probabilidad",Q26="Probabilidad"),(Z25-(+Z25*T26)),IF(AND(Q25="Impacto",Q26="Probabilidad"),(Z24-(+Z24*T26)),IF(Q26="Impacto",Z25,""))),"")</f>
        <v/>
      </c>
      <c r="Y26" s="448" t="str">
        <f t="shared" si="4"/>
        <v/>
      </c>
      <c r="Z26" s="449" t="str">
        <f t="shared" si="2"/>
        <v/>
      </c>
      <c r="AA26" s="448" t="str">
        <f t="shared" si="5"/>
        <v/>
      </c>
      <c r="AB26" s="449" t="str">
        <f>IFERROR(IF(AND(Q25="Impacto",Q26="Impacto"),(AB25-(+AB25*T26)),IF(AND(Q25="Probabilidad",Q26="Impacto"),(AB24-(+AB24*T26)),IF(Q26="Probabilidad",AB25,""))),"")</f>
        <v/>
      </c>
      <c r="AC26" s="450" t="str">
        <f t="shared" si="3"/>
        <v/>
      </c>
      <c r="AD26" s="451"/>
      <c r="AE26" s="452"/>
      <c r="AF26" s="453"/>
      <c r="AG26" s="453"/>
      <c r="AH26" s="453"/>
      <c r="AI26" s="452"/>
      <c r="AJ26" s="454"/>
      <c r="AK26" s="443"/>
      <c r="AL26" s="454"/>
      <c r="AM26" s="454"/>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row>
    <row r="27" spans="1:68" ht="30" customHeight="1" x14ac:dyDescent="0.3">
      <c r="A27" s="526"/>
      <c r="B27" s="529"/>
      <c r="C27" s="529"/>
      <c r="D27" s="540"/>
      <c r="E27" s="532"/>
      <c r="F27" s="529"/>
      <c r="G27" s="535"/>
      <c r="H27" s="538"/>
      <c r="I27" s="514"/>
      <c r="J27" s="517"/>
      <c r="K27" s="514">
        <f>IF(NOT(ISERROR(MATCH(J27,_xlfn.ANCHORARRAY(E38),0))),I40&amp;"Por favor no seleccionar los criterios de impacto",J27)</f>
        <v>0</v>
      </c>
      <c r="L27" s="520"/>
      <c r="M27" s="514"/>
      <c r="N27" s="523"/>
      <c r="O27" s="442">
        <v>6</v>
      </c>
      <c r="P27" s="455"/>
      <c r="Q27" s="444" t="str">
        <f t="shared" si="0"/>
        <v/>
      </c>
      <c r="R27" s="445"/>
      <c r="S27" s="445"/>
      <c r="T27" s="446" t="str">
        <f t="shared" si="1"/>
        <v/>
      </c>
      <c r="U27" s="445"/>
      <c r="V27" s="445"/>
      <c r="W27" s="445"/>
      <c r="X27" s="461" t="str">
        <f>IFERROR(IF(AND(Q26="Probabilidad",Q27="Probabilidad"),(Z26-(+Z26*T27)),IF(AND(Q26="Impacto",Q27="Probabilidad"),(Z25-(+Z25*T27)),IF(Q27="Impacto",Z26,""))),"")</f>
        <v/>
      </c>
      <c r="Y27" s="448" t="str">
        <f t="shared" si="4"/>
        <v/>
      </c>
      <c r="Z27" s="449" t="str">
        <f t="shared" si="2"/>
        <v/>
      </c>
      <c r="AA27" s="448" t="str">
        <f t="shared" si="5"/>
        <v/>
      </c>
      <c r="AB27" s="449" t="str">
        <f>IFERROR(IF(AND(Q26="Impacto",Q27="Impacto"),(AB26-(+AB26*T27)),IF(AND(Q26="Probabilidad",Q27="Impacto"),(AB25-(+AB25*T27)),IF(Q27="Probabilidad",AB26,""))),"")</f>
        <v/>
      </c>
      <c r="AC27" s="450" t="str">
        <f t="shared" si="3"/>
        <v/>
      </c>
      <c r="AD27" s="451"/>
      <c r="AE27" s="452"/>
      <c r="AF27" s="453"/>
      <c r="AG27" s="453"/>
      <c r="AH27" s="453"/>
      <c r="AI27" s="452"/>
      <c r="AJ27" s="454"/>
      <c r="AK27" s="443"/>
      <c r="AL27" s="454"/>
      <c r="AM27" s="454"/>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row>
    <row r="28" spans="1:68" ht="130.5" customHeight="1" x14ac:dyDescent="0.3">
      <c r="A28" s="524">
        <v>4</v>
      </c>
      <c r="B28" s="527" t="s">
        <v>1141</v>
      </c>
      <c r="C28" s="527" t="s">
        <v>1287</v>
      </c>
      <c r="D28" s="530" t="s">
        <v>1286</v>
      </c>
      <c r="E28" s="530" t="s">
        <v>1297</v>
      </c>
      <c r="F28" s="527" t="s">
        <v>1150</v>
      </c>
      <c r="G28" s="533">
        <v>25</v>
      </c>
      <c r="H28" s="536" t="str">
        <f>IF(G28&lt;=0,"",IF(G28&lt;=2,"Muy Baja",IF(G28&lt;=24,"Baja",IF(G28&lt;=500,"Media",IF(G28&lt;=5000,"Alta","Muy Alta")))))</f>
        <v>Media</v>
      </c>
      <c r="I28" s="512">
        <f>IF(H28="","",IF(H28="Muy Baja",0.2,IF(H28="Baja",0.4,IF(H28="Media",0.6,IF(H28="Alta",0.8,IF(H28="Muy Alta",1,))))))</f>
        <v>0.6</v>
      </c>
      <c r="J28" s="515" t="s">
        <v>1099</v>
      </c>
      <c r="K28" s="512" t="str">
        <f>IF(NOT(ISERROR(MATCH(J28,'Tabla Impacto'!$B$221:$B$223,0))),'Tabla Impacto'!$F$223&amp;"Por favor no seleccionar los criterios de impacto(Afectación Económica o presupuestal y Pérdida Reputacional)",J28)</f>
        <v xml:space="preserve">     Entre 10 y 50 SMLMV </v>
      </c>
      <c r="L28" s="518" t="str">
        <f>IF(OR(K28='Tabla Impacto'!$C$11,K28='Tabla Impacto'!$D$11),"Leve",IF(OR(K28='Tabla Impacto'!$C$12,K28='Tabla Impacto'!$D$12),"Menor",IF(OR(K28='Tabla Impacto'!$C$13,K28='Tabla Impacto'!$D$13),"Moderado",IF(OR(K28='Tabla Impacto'!$C$14,K28='Tabla Impacto'!$D$14),"Mayor",IF(OR(K28='Tabla Impacto'!$C$15,K28='Tabla Impacto'!$D$15),"Catastrófico","")))))</f>
        <v>Menor</v>
      </c>
      <c r="M28" s="512">
        <f>IF(L28="","",IF(L28="Leve",0.2,IF(L28="Menor",0.4,IF(L28="Moderado",0.6,IF(L28="Mayor",0.8,IF(L28="Catastrófico",1,))))))</f>
        <v>0.4</v>
      </c>
      <c r="N28" s="52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42">
        <v>1</v>
      </c>
      <c r="P28" s="443" t="s">
        <v>1278</v>
      </c>
      <c r="Q28" s="444" t="str">
        <f t="shared" si="0"/>
        <v>Probabilidad</v>
      </c>
      <c r="R28" s="445" t="s">
        <v>1115</v>
      </c>
      <c r="S28" s="445" t="s">
        <v>1121</v>
      </c>
      <c r="T28" s="446" t="str">
        <f t="shared" si="1"/>
        <v>50%</v>
      </c>
      <c r="U28" s="445" t="s">
        <v>1126</v>
      </c>
      <c r="V28" s="445" t="s">
        <v>1133</v>
      </c>
      <c r="W28" s="445" t="s">
        <v>1135</v>
      </c>
      <c r="X28" s="461">
        <f>IFERROR(IF(Q28="Probabilidad",(I28-(+I28*T28)),IF(Q28="Impacto",I28,"")),"")</f>
        <v>0.3</v>
      </c>
      <c r="Y28" s="448" t="str">
        <f>IFERROR(IF(X28="","",IF(X28&lt;=0.2,"Muy Baja",IF(X28&lt;=0.4,"Baja",IF(X28&lt;=0.6,"Media",IF(X28&lt;=0.8,"Alta","Muy Alta"))))),"")</f>
        <v>Baja</v>
      </c>
      <c r="Z28" s="449">
        <f t="shared" si="2"/>
        <v>0.3</v>
      </c>
      <c r="AA28" s="448" t="str">
        <f>IFERROR(IF(AB28="","",IF(AB28&lt;=0.2,"Leve",IF(AB28&lt;=0.4,"Menor",IF(AB28&lt;=0.6,"Moderado",IF(AB28&lt;=0.8,"Mayor","Catastrófico"))))),"")</f>
        <v>Leve</v>
      </c>
      <c r="AB28" s="449">
        <v>0.2</v>
      </c>
      <c r="AC28" s="450" t="str">
        <f t="shared" si="3"/>
        <v>Bajo</v>
      </c>
      <c r="AD28" s="451"/>
      <c r="AE28" s="452"/>
      <c r="AF28" s="453"/>
      <c r="AG28" s="453"/>
      <c r="AH28" s="453"/>
      <c r="AI28" s="452"/>
      <c r="AJ28" s="454"/>
      <c r="AK28" s="443" t="s">
        <v>1302</v>
      </c>
      <c r="AL28" s="462" t="s">
        <v>1318</v>
      </c>
      <c r="AM28" s="901"/>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row>
    <row r="29" spans="1:68" ht="141.75" customHeight="1" x14ac:dyDescent="0.3">
      <c r="A29" s="525"/>
      <c r="B29" s="528"/>
      <c r="C29" s="528"/>
      <c r="D29" s="531"/>
      <c r="E29" s="531"/>
      <c r="F29" s="528"/>
      <c r="G29" s="534"/>
      <c r="H29" s="537"/>
      <c r="I29" s="513"/>
      <c r="J29" s="516"/>
      <c r="K29" s="513">
        <f>IF(NOT(ISERROR(MATCH(J29,_xlfn.ANCHORARRAY(E40),0))),I42&amp;"Por favor no seleccionar los criterios de impacto",J29)</f>
        <v>0</v>
      </c>
      <c r="L29" s="519"/>
      <c r="M29" s="513"/>
      <c r="N29" s="522"/>
      <c r="O29" s="442">
        <v>2</v>
      </c>
      <c r="P29" s="443" t="s">
        <v>1277</v>
      </c>
      <c r="Q29" s="444" t="str">
        <f t="shared" si="0"/>
        <v>Probabilidad</v>
      </c>
      <c r="R29" s="445" t="s">
        <v>1115</v>
      </c>
      <c r="S29" s="445" t="s">
        <v>1121</v>
      </c>
      <c r="T29" s="446" t="str">
        <f t="shared" si="1"/>
        <v>50%</v>
      </c>
      <c r="U29" s="445" t="s">
        <v>1126</v>
      </c>
      <c r="V29" s="445" t="s">
        <v>1133</v>
      </c>
      <c r="W29" s="445" t="s">
        <v>1135</v>
      </c>
      <c r="X29" s="461">
        <f>IFERROR(IF(AND(Q28="Probabilidad",Q29="Probabilidad"),(Z28-(+Z28*T29)),IF(Q29="Probabilidad",(I28-(+I28*T29)),IF(Q29="Impacto",Z28,""))),"")</f>
        <v>0.15</v>
      </c>
      <c r="Y29" s="448" t="str">
        <f>IFERROR(IF(X29="","",IF(X29&lt;=0.2,"Muy Baja",IF(X29&lt;=0.4,"Baja",IF(X29&lt;=0.6,"Media",IF(X29&lt;=0.8,"Alta","Muy Alta"))))),"")</f>
        <v>Muy Baja</v>
      </c>
      <c r="Z29" s="449">
        <f t="shared" si="2"/>
        <v>0.15</v>
      </c>
      <c r="AA29" s="448" t="str">
        <f t="shared" si="5"/>
        <v>Leve</v>
      </c>
      <c r="AB29" s="449">
        <f>IFERROR(IF(AND(Q28="Impacto",Q29="Impacto"),(AB28-(+AB28*T29)),IF(Q29="Impacto",(M28-(+M28*T29)),IF(Q29="Probabilidad",AB28,""))),"")</f>
        <v>0.2</v>
      </c>
      <c r="AC29" s="450" t="str">
        <f t="shared" si="3"/>
        <v>Bajo</v>
      </c>
      <c r="AD29" s="451" t="s">
        <v>1140</v>
      </c>
      <c r="AE29" s="452"/>
      <c r="AF29" s="453"/>
      <c r="AG29" s="453"/>
      <c r="AH29" s="453"/>
      <c r="AI29" s="452"/>
      <c r="AJ29" s="454"/>
      <c r="AK29" s="443" t="s">
        <v>1300</v>
      </c>
      <c r="AL29" s="462" t="s">
        <v>1319</v>
      </c>
      <c r="AM29" s="90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row>
    <row r="30" spans="1:68" ht="36" customHeight="1" x14ac:dyDescent="0.3">
      <c r="A30" s="525"/>
      <c r="B30" s="528"/>
      <c r="C30" s="528"/>
      <c r="D30" s="531"/>
      <c r="E30" s="531"/>
      <c r="F30" s="528"/>
      <c r="G30" s="534"/>
      <c r="H30" s="537"/>
      <c r="I30" s="513"/>
      <c r="J30" s="516"/>
      <c r="K30" s="513">
        <f>IF(NOT(ISERROR(MATCH(J30,_xlfn.ANCHORARRAY(E41),0))),I43&amp;"Por favor no seleccionar los criterios de impacto",J30)</f>
        <v>0</v>
      </c>
      <c r="L30" s="519"/>
      <c r="M30" s="513"/>
      <c r="N30" s="522"/>
      <c r="O30" s="442">
        <v>3</v>
      </c>
      <c r="P30" s="456"/>
      <c r="Q30" s="444" t="str">
        <f t="shared" si="0"/>
        <v/>
      </c>
      <c r="R30" s="445"/>
      <c r="S30" s="445"/>
      <c r="T30" s="446" t="str">
        <f t="shared" si="1"/>
        <v/>
      </c>
      <c r="U30" s="445"/>
      <c r="V30" s="445"/>
      <c r="W30" s="445"/>
      <c r="X30" s="461" t="str">
        <f>IFERROR(IF(AND(Q29="Probabilidad",Q30="Probabilidad"),(Z29-(+Z29*T30)),IF(AND(Q29="Impacto",Q30="Probabilidad"),(Z28-(+Z28*T30)),IF(Q30="Impacto",Z29,""))),"")</f>
        <v/>
      </c>
      <c r="Y30" s="448" t="str">
        <f t="shared" si="4"/>
        <v/>
      </c>
      <c r="Z30" s="449" t="str">
        <f t="shared" si="2"/>
        <v/>
      </c>
      <c r="AA30" s="448" t="str">
        <f t="shared" si="5"/>
        <v/>
      </c>
      <c r="AB30" s="449" t="str">
        <f>IFERROR(IF(AND(Q29="Impacto",Q30="Impacto"),(AB29-(+AB29*T30)),IF(AND(Q29="Probabilidad",Q30="Impacto"),(AB28-(+AB28*T30)),IF(Q30="Probabilidad",AB29,""))),"")</f>
        <v/>
      </c>
      <c r="AC30" s="450" t="str">
        <f t="shared" si="3"/>
        <v/>
      </c>
      <c r="AD30" s="451"/>
      <c r="AE30" s="452"/>
      <c r="AF30" s="453"/>
      <c r="AG30" s="453"/>
      <c r="AH30" s="453"/>
      <c r="AI30" s="452"/>
      <c r="AJ30" s="454"/>
      <c r="AK30" s="452"/>
      <c r="AL30" s="454"/>
      <c r="AM30" s="454"/>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row>
    <row r="31" spans="1:68" ht="36" customHeight="1" x14ac:dyDescent="0.3">
      <c r="A31" s="525"/>
      <c r="B31" s="528"/>
      <c r="C31" s="528"/>
      <c r="D31" s="531"/>
      <c r="E31" s="531"/>
      <c r="F31" s="528"/>
      <c r="G31" s="534"/>
      <c r="H31" s="537"/>
      <c r="I31" s="513"/>
      <c r="J31" s="516"/>
      <c r="K31" s="513">
        <f>IF(NOT(ISERROR(MATCH(J31,_xlfn.ANCHORARRAY(E42),0))),I44&amp;"Por favor no seleccionar los criterios de impacto",J31)</f>
        <v>0</v>
      </c>
      <c r="L31" s="519"/>
      <c r="M31" s="513"/>
      <c r="N31" s="522"/>
      <c r="O31" s="442">
        <v>4</v>
      </c>
      <c r="P31" s="455"/>
      <c r="Q31" s="444" t="str">
        <f t="shared" si="0"/>
        <v/>
      </c>
      <c r="R31" s="445"/>
      <c r="S31" s="445"/>
      <c r="T31" s="446" t="str">
        <f t="shared" si="1"/>
        <v/>
      </c>
      <c r="U31" s="445"/>
      <c r="V31" s="445"/>
      <c r="W31" s="445"/>
      <c r="X31" s="461" t="str">
        <f>IFERROR(IF(AND(Q30="Probabilidad",Q31="Probabilidad"),(Z30-(+Z30*T31)),IF(AND(Q30="Impacto",Q31="Probabilidad"),(Z29-(+Z29*T31)),IF(Q31="Impacto",Z30,""))),"")</f>
        <v/>
      </c>
      <c r="Y31" s="448" t="str">
        <f t="shared" si="4"/>
        <v/>
      </c>
      <c r="Z31" s="449" t="str">
        <f t="shared" si="2"/>
        <v/>
      </c>
      <c r="AA31" s="448" t="str">
        <f t="shared" si="5"/>
        <v/>
      </c>
      <c r="AB31" s="449" t="str">
        <f>IFERROR(IF(AND(Q30="Impacto",Q31="Impacto"),(AB30-(+AB30*T31)),IF(AND(Q30="Probabilidad",Q31="Impacto"),(AB29-(+AB29*T31)),IF(Q31="Probabilidad",AB30,""))),"")</f>
        <v/>
      </c>
      <c r="AC31" s="450" t="str">
        <f t="shared" si="3"/>
        <v/>
      </c>
      <c r="AD31" s="451"/>
      <c r="AE31" s="452"/>
      <c r="AF31" s="453"/>
      <c r="AG31" s="453"/>
      <c r="AH31" s="453"/>
      <c r="AI31" s="452"/>
      <c r="AJ31" s="454"/>
      <c r="AK31" s="454"/>
      <c r="AL31" s="454"/>
      <c r="AM31" s="454"/>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row>
    <row r="32" spans="1:68" ht="36" customHeight="1" x14ac:dyDescent="0.3">
      <c r="A32" s="525"/>
      <c r="B32" s="528"/>
      <c r="C32" s="528"/>
      <c r="D32" s="531"/>
      <c r="E32" s="531"/>
      <c r="F32" s="528"/>
      <c r="G32" s="534"/>
      <c r="H32" s="537"/>
      <c r="I32" s="513"/>
      <c r="J32" s="516"/>
      <c r="K32" s="513">
        <f>IF(NOT(ISERROR(MATCH(J32,_xlfn.ANCHORARRAY(E43),0))),I45&amp;"Por favor no seleccionar los criterios de impacto",J32)</f>
        <v>0</v>
      </c>
      <c r="L32" s="519"/>
      <c r="M32" s="513"/>
      <c r="N32" s="522"/>
      <c r="O32" s="442">
        <v>5</v>
      </c>
      <c r="P32" s="455"/>
      <c r="Q32" s="444" t="str">
        <f t="shared" si="0"/>
        <v/>
      </c>
      <c r="R32" s="445"/>
      <c r="S32" s="445"/>
      <c r="T32" s="446" t="str">
        <f t="shared" si="1"/>
        <v/>
      </c>
      <c r="U32" s="445"/>
      <c r="V32" s="445"/>
      <c r="W32" s="445"/>
      <c r="X32" s="461" t="str">
        <f>IFERROR(IF(AND(Q31="Probabilidad",Q32="Probabilidad"),(Z31-(+Z31*T32)),IF(AND(Q31="Impacto",Q32="Probabilidad"),(Z30-(+Z30*T32)),IF(Q32="Impacto",Z31,""))),"")</f>
        <v/>
      </c>
      <c r="Y32" s="448" t="str">
        <f>IFERROR(IF(X32="","",IF(X32&lt;=0.2,"Muy Baja",IF(X32&lt;=0.4,"Baja",IF(X32&lt;=0.6,"Media",IF(X32&lt;=0.8,"Alta","Muy Alta"))))),"")</f>
        <v/>
      </c>
      <c r="Z32" s="449" t="str">
        <f t="shared" si="2"/>
        <v/>
      </c>
      <c r="AA32" s="448" t="str">
        <f t="shared" si="5"/>
        <v/>
      </c>
      <c r="AB32" s="449" t="str">
        <f>IFERROR(IF(AND(Q31="Impacto",Q32="Impacto"),(AB31-(+AB31*T32)),IF(AND(Q31="Probabilidad",Q32="Impacto"),(AB30-(+AB30*T32)),IF(Q32="Probabilidad",AB31,""))),"")</f>
        <v/>
      </c>
      <c r="AC32" s="450" t="str">
        <f t="shared" si="3"/>
        <v/>
      </c>
      <c r="AD32" s="451"/>
      <c r="AE32" s="452"/>
      <c r="AF32" s="453"/>
      <c r="AG32" s="453"/>
      <c r="AH32" s="453"/>
      <c r="AI32" s="452"/>
      <c r="AJ32" s="454"/>
      <c r="AK32" s="454"/>
      <c r="AL32" s="454"/>
      <c r="AM32" s="454"/>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row>
    <row r="33" spans="1:68" ht="36" customHeight="1" x14ac:dyDescent="0.3">
      <c r="A33" s="526"/>
      <c r="B33" s="529"/>
      <c r="C33" s="529"/>
      <c r="D33" s="532"/>
      <c r="E33" s="532"/>
      <c r="F33" s="529"/>
      <c r="G33" s="535"/>
      <c r="H33" s="538"/>
      <c r="I33" s="514"/>
      <c r="J33" s="517"/>
      <c r="K33" s="514">
        <f>IF(NOT(ISERROR(MATCH(J33,_xlfn.ANCHORARRAY(E44),0))),I46&amp;"Por favor no seleccionar los criterios de impacto",J33)</f>
        <v>0</v>
      </c>
      <c r="L33" s="520"/>
      <c r="M33" s="514"/>
      <c r="N33" s="523"/>
      <c r="O33" s="442">
        <v>6</v>
      </c>
      <c r="P33" s="455"/>
      <c r="Q33" s="444" t="str">
        <f t="shared" si="0"/>
        <v/>
      </c>
      <c r="R33" s="445"/>
      <c r="S33" s="445"/>
      <c r="T33" s="446" t="str">
        <f t="shared" si="1"/>
        <v/>
      </c>
      <c r="U33" s="445"/>
      <c r="V33" s="445"/>
      <c r="W33" s="445"/>
      <c r="X33" s="461" t="str">
        <f>IFERROR(IF(AND(Q32="Probabilidad",Q33="Probabilidad"),(Z32-(+Z32*T33)),IF(AND(Q32="Impacto",Q33="Probabilidad"),(Z31-(+Z31*T33)),IF(Q33="Impacto",Z32,""))),"")</f>
        <v/>
      </c>
      <c r="Y33" s="448" t="str">
        <f t="shared" si="4"/>
        <v/>
      </c>
      <c r="Z33" s="449" t="str">
        <f t="shared" si="2"/>
        <v/>
      </c>
      <c r="AA33" s="448" t="str">
        <f t="shared" si="5"/>
        <v/>
      </c>
      <c r="AB33" s="449" t="str">
        <f>IFERROR(IF(AND(Q32="Impacto",Q33="Impacto"),(AB32-(+AB32*T33)),IF(AND(Q32="Probabilidad",Q33="Impacto"),(AB31-(+AB31*T33)),IF(Q33="Probabilidad",AB32,""))),"")</f>
        <v/>
      </c>
      <c r="AC33" s="450" t="str">
        <f t="shared" si="3"/>
        <v/>
      </c>
      <c r="AD33" s="451"/>
      <c r="AE33" s="452"/>
      <c r="AF33" s="453"/>
      <c r="AG33" s="453"/>
      <c r="AH33" s="453"/>
      <c r="AI33" s="452"/>
      <c r="AJ33" s="454"/>
      <c r="AK33" s="454"/>
      <c r="AL33" s="454"/>
      <c r="AM33" s="454"/>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row>
    <row r="34" spans="1:68" ht="55.5" customHeight="1" x14ac:dyDescent="0.3">
      <c r="A34" s="524">
        <v>5</v>
      </c>
      <c r="B34" s="527"/>
      <c r="C34" s="527"/>
      <c r="D34" s="527"/>
      <c r="E34" s="530"/>
      <c r="F34" s="527"/>
      <c r="G34" s="533"/>
      <c r="H34" s="536" t="str">
        <f>IF(G34&lt;=0,"",IF(G34&lt;=2,"Muy Baja",IF(G34&lt;=24,"Baja",IF(G34&lt;=500,"Media",IF(G34&lt;=5000,"Alta","Muy Alta")))))</f>
        <v/>
      </c>
      <c r="I34" s="512" t="str">
        <f>IF(H34="","",IF(H34="Muy Baja",0.2,IF(H34="Baja",0.4,IF(H34="Media",0.6,IF(H34="Alta",0.8,IF(H34="Muy Alta",1,))))))</f>
        <v/>
      </c>
      <c r="J34" s="515"/>
      <c r="K34" s="512">
        <f>IF(NOT(ISERROR(MATCH(J34,'Tabla Impacto'!$B$221:$B$223,0))),'Tabla Impacto'!$F$223&amp;"Por favor no seleccionar los criterios de impacto(Afectación Económica o presupuestal y Pérdida Reputacional)",J34)</f>
        <v>0</v>
      </c>
      <c r="L34" s="518" t="s">
        <v>1266</v>
      </c>
      <c r="M34" s="512" t="str">
        <f>IF(L34="","",IF(L34="Leve",0.2,IF(L34="Menor",0.4,IF(L34="Moderado",0.6,IF(L34="Mayor",0.8,IF(L34="Catastrófico",1,))))))</f>
        <v/>
      </c>
      <c r="N34" s="52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2">
        <v>1</v>
      </c>
      <c r="P34" s="455"/>
      <c r="Q34" s="444" t="str">
        <f t="shared" si="0"/>
        <v/>
      </c>
      <c r="R34" s="445"/>
      <c r="S34" s="445"/>
      <c r="T34" s="446" t="str">
        <f t="shared" si="1"/>
        <v/>
      </c>
      <c r="U34" s="445"/>
      <c r="V34" s="445"/>
      <c r="W34" s="445"/>
      <c r="X34" s="461" t="str">
        <f>IFERROR(IF(Q34="Probabilidad",(I34-(+I34*T34)),IF(Q34="Impacto",I34,"")),"")</f>
        <v/>
      </c>
      <c r="Y34" s="448" t="str">
        <f>IFERROR(IF(X34="","",IF(X34&lt;=0.2,"Muy Baja",IF(X34&lt;=0.4,"Baja",IF(X34&lt;=0.6,"Media",IF(X34&lt;=0.8,"Alta","Muy Alta"))))),"")</f>
        <v/>
      </c>
      <c r="Z34" s="449" t="str">
        <f t="shared" si="2"/>
        <v/>
      </c>
      <c r="AA34" s="448" t="str">
        <f>IFERROR(IF(AB34="","",IF(AB34&lt;=0.2,"Leve",IF(AB34&lt;=0.4,"Menor",IF(AB34&lt;=0.6,"Moderado",IF(AB34&lt;=0.8,"Mayor","Catastrófico"))))),"")</f>
        <v/>
      </c>
      <c r="AB34" s="449" t="str">
        <f>IFERROR(IF(Q34="Impacto",(M34-(+M34*T34)),IF(Q34="Probabilidad",M34,"")),"")</f>
        <v/>
      </c>
      <c r="AC34" s="450" t="str">
        <f t="shared" si="3"/>
        <v/>
      </c>
      <c r="AD34" s="451"/>
      <c r="AE34" s="452"/>
      <c r="AF34" s="453"/>
      <c r="AG34" s="453"/>
      <c r="AH34" s="453"/>
      <c r="AI34" s="452"/>
      <c r="AJ34" s="454"/>
      <c r="AK34" s="454"/>
      <c r="AL34" s="454"/>
      <c r="AM34" s="454"/>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row>
    <row r="35" spans="1:68" ht="55.5" customHeight="1" x14ac:dyDescent="0.3">
      <c r="A35" s="525"/>
      <c r="B35" s="528"/>
      <c r="C35" s="528"/>
      <c r="D35" s="528"/>
      <c r="E35" s="531"/>
      <c r="F35" s="528"/>
      <c r="G35" s="534"/>
      <c r="H35" s="537"/>
      <c r="I35" s="513"/>
      <c r="J35" s="516"/>
      <c r="K35" s="513">
        <f>IF(NOT(ISERROR(MATCH(J35,_xlfn.ANCHORARRAY(E46),0))),I48&amp;"Por favor no seleccionar los criterios de impacto",J35)</f>
        <v>0</v>
      </c>
      <c r="L35" s="519"/>
      <c r="M35" s="513"/>
      <c r="N35" s="522"/>
      <c r="O35" s="442">
        <v>2</v>
      </c>
      <c r="P35" s="455"/>
      <c r="Q35" s="444" t="str">
        <f t="shared" si="0"/>
        <v/>
      </c>
      <c r="R35" s="445"/>
      <c r="S35" s="445"/>
      <c r="T35" s="446" t="str">
        <f t="shared" si="1"/>
        <v/>
      </c>
      <c r="U35" s="445"/>
      <c r="V35" s="445"/>
      <c r="W35" s="445"/>
      <c r="X35" s="461" t="str">
        <f>IFERROR(IF(AND(Q34="Probabilidad",Q35="Probabilidad"),(Z34-(+Z34*T35)),IF(Q35="Probabilidad",(I34-(+I34*T35)),IF(Q35="Impacto",Z34,""))),"")</f>
        <v/>
      </c>
      <c r="Y35" s="448" t="str">
        <f t="shared" si="4"/>
        <v/>
      </c>
      <c r="Z35" s="449" t="str">
        <f t="shared" si="2"/>
        <v/>
      </c>
      <c r="AA35" s="448" t="str">
        <f t="shared" si="5"/>
        <v/>
      </c>
      <c r="AB35" s="449" t="str">
        <f>IFERROR(IF(AND(Q34="Impacto",Q35="Impacto"),(AB34-(+AB34*T35)),IF(Q35="Impacto",(M34-(+M34*T35)),IF(Q35="Probabilidad",AB34,""))),"")</f>
        <v/>
      </c>
      <c r="AC35" s="450" t="str">
        <f t="shared" si="3"/>
        <v/>
      </c>
      <c r="AD35" s="451"/>
      <c r="AE35" s="452"/>
      <c r="AF35" s="453"/>
      <c r="AG35" s="453"/>
      <c r="AH35" s="453"/>
      <c r="AI35" s="452"/>
      <c r="AJ35" s="454"/>
      <c r="AK35" s="454"/>
      <c r="AL35" s="463"/>
      <c r="AM35" s="454"/>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row>
    <row r="36" spans="1:68" ht="55.5" customHeight="1" x14ac:dyDescent="0.3">
      <c r="A36" s="525"/>
      <c r="B36" s="528"/>
      <c r="C36" s="528"/>
      <c r="D36" s="528"/>
      <c r="E36" s="531"/>
      <c r="F36" s="528"/>
      <c r="G36" s="534"/>
      <c r="H36" s="537"/>
      <c r="I36" s="513"/>
      <c r="J36" s="516"/>
      <c r="K36" s="513">
        <f>IF(NOT(ISERROR(MATCH(J36,_xlfn.ANCHORARRAY(E47),0))),I49&amp;"Por favor no seleccionar los criterios de impacto",J36)</f>
        <v>0</v>
      </c>
      <c r="L36" s="519"/>
      <c r="M36" s="513"/>
      <c r="N36" s="522"/>
      <c r="O36" s="442">
        <v>3</v>
      </c>
      <c r="P36" s="456"/>
      <c r="Q36" s="444" t="str">
        <f t="shared" si="0"/>
        <v/>
      </c>
      <c r="R36" s="445"/>
      <c r="S36" s="445"/>
      <c r="T36" s="446" t="str">
        <f t="shared" si="1"/>
        <v/>
      </c>
      <c r="U36" s="445"/>
      <c r="V36" s="445"/>
      <c r="W36" s="445"/>
      <c r="X36" s="461" t="str">
        <f>IFERROR(IF(AND(Q35="Probabilidad",Q36="Probabilidad"),(Z35-(+Z35*T36)),IF(AND(Q35="Impacto",Q36="Probabilidad"),(Z34-(+Z34*T36)),IF(Q36="Impacto",Z35,""))),"")</f>
        <v/>
      </c>
      <c r="Y36" s="448" t="str">
        <f t="shared" si="4"/>
        <v/>
      </c>
      <c r="Z36" s="449" t="str">
        <f t="shared" si="2"/>
        <v/>
      </c>
      <c r="AA36" s="448" t="str">
        <f t="shared" si="5"/>
        <v/>
      </c>
      <c r="AB36" s="449" t="str">
        <f>IFERROR(IF(AND(Q35="Impacto",Q36="Impacto"),(AB35-(+AB35*T36)),IF(AND(Q35="Probabilidad",Q36="Impacto"),(AB34-(+AB34*T36)),IF(Q36="Probabilidad",AB35,""))),"")</f>
        <v/>
      </c>
      <c r="AC36" s="450" t="str">
        <f t="shared" si="3"/>
        <v/>
      </c>
      <c r="AD36" s="451"/>
      <c r="AE36" s="452"/>
      <c r="AF36" s="453"/>
      <c r="AG36" s="453"/>
      <c r="AH36" s="453"/>
      <c r="AI36" s="452"/>
      <c r="AJ36" s="454"/>
      <c r="AK36" s="454"/>
      <c r="AL36" s="454"/>
      <c r="AM36" s="454"/>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row>
    <row r="37" spans="1:68" ht="55.5" customHeight="1" x14ac:dyDescent="0.3">
      <c r="A37" s="525"/>
      <c r="B37" s="528"/>
      <c r="C37" s="528"/>
      <c r="D37" s="528"/>
      <c r="E37" s="531"/>
      <c r="F37" s="528"/>
      <c r="G37" s="534"/>
      <c r="H37" s="537"/>
      <c r="I37" s="513"/>
      <c r="J37" s="516"/>
      <c r="K37" s="513">
        <f>IF(NOT(ISERROR(MATCH(J37,_xlfn.ANCHORARRAY(E48),0))),I50&amp;"Por favor no seleccionar los criterios de impacto",J37)</f>
        <v>0</v>
      </c>
      <c r="L37" s="519"/>
      <c r="M37" s="513"/>
      <c r="N37" s="522"/>
      <c r="O37" s="442">
        <v>4</v>
      </c>
      <c r="P37" s="455"/>
      <c r="Q37" s="444" t="str">
        <f t="shared" si="0"/>
        <v/>
      </c>
      <c r="R37" s="445"/>
      <c r="S37" s="445"/>
      <c r="T37" s="446" t="str">
        <f t="shared" si="1"/>
        <v/>
      </c>
      <c r="U37" s="445"/>
      <c r="V37" s="445"/>
      <c r="W37" s="445"/>
      <c r="X37" s="461" t="str">
        <f>IFERROR(IF(AND(Q36="Probabilidad",Q37="Probabilidad"),(Z36-(+Z36*T37)),IF(AND(Q36="Impacto",Q37="Probabilidad"),(Z35-(+Z35*T37)),IF(Q37="Impacto",Z36,""))),"")</f>
        <v/>
      </c>
      <c r="Y37" s="448" t="str">
        <f t="shared" si="4"/>
        <v/>
      </c>
      <c r="Z37" s="449" t="str">
        <f t="shared" si="2"/>
        <v/>
      </c>
      <c r="AA37" s="448" t="str">
        <f t="shared" si="5"/>
        <v/>
      </c>
      <c r="AB37" s="449" t="str">
        <f>IFERROR(IF(AND(Q36="Impacto",Q37="Impacto"),(AB36-(+AB36*T37)),IF(AND(Q36="Probabilidad",Q37="Impacto"),(AB35-(+AB35*T37)),IF(Q37="Probabilidad",AB36,""))),"")</f>
        <v/>
      </c>
      <c r="AC37" s="450" t="str">
        <f t="shared" si="3"/>
        <v/>
      </c>
      <c r="AD37" s="451"/>
      <c r="AE37" s="452"/>
      <c r="AF37" s="453"/>
      <c r="AG37" s="453"/>
      <c r="AH37" s="453"/>
      <c r="AI37" s="452"/>
      <c r="AJ37" s="454"/>
      <c r="AK37" s="454"/>
      <c r="AL37" s="454"/>
      <c r="AM37" s="454"/>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row>
    <row r="38" spans="1:68" ht="55.5" customHeight="1" x14ac:dyDescent="0.3">
      <c r="A38" s="525"/>
      <c r="B38" s="528"/>
      <c r="C38" s="528"/>
      <c r="D38" s="528"/>
      <c r="E38" s="531"/>
      <c r="F38" s="528"/>
      <c r="G38" s="534"/>
      <c r="H38" s="537"/>
      <c r="I38" s="513"/>
      <c r="J38" s="516"/>
      <c r="K38" s="513">
        <f>IF(NOT(ISERROR(MATCH(J38,_xlfn.ANCHORARRAY(E49),0))),I51&amp;"Por favor no seleccionar los criterios de impacto",J38)</f>
        <v>0</v>
      </c>
      <c r="L38" s="519"/>
      <c r="M38" s="513"/>
      <c r="N38" s="522"/>
      <c r="O38" s="442">
        <v>5</v>
      </c>
      <c r="P38" s="455"/>
      <c r="Q38" s="444" t="str">
        <f t="shared" si="0"/>
        <v/>
      </c>
      <c r="R38" s="445"/>
      <c r="S38" s="445"/>
      <c r="T38" s="446" t="str">
        <f t="shared" si="1"/>
        <v/>
      </c>
      <c r="U38" s="445"/>
      <c r="V38" s="445"/>
      <c r="W38" s="445"/>
      <c r="X38" s="461" t="str">
        <f>IFERROR(IF(AND(Q37="Probabilidad",Q38="Probabilidad"),(Z37-(+Z37*T38)),IF(AND(Q37="Impacto",Q38="Probabilidad"),(Z36-(+Z36*T38)),IF(Q38="Impacto",Z37,""))),"")</f>
        <v/>
      </c>
      <c r="Y38" s="448" t="str">
        <f t="shared" si="4"/>
        <v/>
      </c>
      <c r="Z38" s="449" t="str">
        <f t="shared" si="2"/>
        <v/>
      </c>
      <c r="AA38" s="448" t="str">
        <f t="shared" si="5"/>
        <v/>
      </c>
      <c r="AB38" s="449" t="str">
        <f>IFERROR(IF(AND(Q37="Impacto",Q38="Impacto"),(AB37-(+AB37*T38)),IF(AND(Q37="Probabilidad",Q38="Impacto"),(AB36-(+AB36*T38)),IF(Q38="Probabilidad",AB37,""))),"")</f>
        <v/>
      </c>
      <c r="AC38" s="450" t="str">
        <f t="shared" si="3"/>
        <v/>
      </c>
      <c r="AD38" s="451"/>
      <c r="AE38" s="452"/>
      <c r="AF38" s="453"/>
      <c r="AG38" s="453"/>
      <c r="AH38" s="453"/>
      <c r="AI38" s="452"/>
      <c r="AJ38" s="454"/>
      <c r="AK38" s="454"/>
      <c r="AL38" s="454"/>
      <c r="AM38" s="454"/>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row>
    <row r="39" spans="1:68" ht="55.5" customHeight="1" x14ac:dyDescent="0.3">
      <c r="A39" s="526"/>
      <c r="B39" s="529"/>
      <c r="C39" s="529"/>
      <c r="D39" s="529"/>
      <c r="E39" s="532"/>
      <c r="F39" s="529"/>
      <c r="G39" s="535"/>
      <c r="H39" s="538"/>
      <c r="I39" s="514"/>
      <c r="J39" s="517"/>
      <c r="K39" s="514">
        <f>IF(NOT(ISERROR(MATCH(J39,_xlfn.ANCHORARRAY(E50),0))),I52&amp;"Por favor no seleccionar los criterios de impacto",J39)</f>
        <v>0</v>
      </c>
      <c r="L39" s="520"/>
      <c r="M39" s="514"/>
      <c r="N39" s="523"/>
      <c r="O39" s="442">
        <v>6</v>
      </c>
      <c r="P39" s="455"/>
      <c r="Q39" s="444" t="str">
        <f t="shared" si="0"/>
        <v/>
      </c>
      <c r="R39" s="445"/>
      <c r="S39" s="445"/>
      <c r="T39" s="446" t="str">
        <f t="shared" si="1"/>
        <v/>
      </c>
      <c r="U39" s="445"/>
      <c r="V39" s="445"/>
      <c r="W39" s="445"/>
      <c r="X39" s="461" t="str">
        <f>IFERROR(IF(AND(Q38="Probabilidad",Q39="Probabilidad"),(Z38-(+Z38*T39)),IF(AND(Q38="Impacto",Q39="Probabilidad"),(Z37-(+Z37*T39)),IF(Q39="Impacto",Z38,""))),"")</f>
        <v/>
      </c>
      <c r="Y39" s="448" t="str">
        <f t="shared" si="4"/>
        <v/>
      </c>
      <c r="Z39" s="449" t="str">
        <f t="shared" si="2"/>
        <v/>
      </c>
      <c r="AA39" s="448" t="str">
        <f t="shared" si="5"/>
        <v/>
      </c>
      <c r="AB39" s="449" t="str">
        <f>IFERROR(IF(AND(Q38="Impacto",Q39="Impacto"),(AB38-(+AB38*T39)),IF(AND(Q38="Probabilidad",Q39="Impacto"),(AB37-(+AB37*T39)),IF(Q39="Probabilidad",AB38,""))),"")</f>
        <v/>
      </c>
      <c r="AC39" s="450" t="str">
        <f t="shared" si="3"/>
        <v/>
      </c>
      <c r="AD39" s="451"/>
      <c r="AE39" s="452"/>
      <c r="AF39" s="453"/>
      <c r="AG39" s="453"/>
      <c r="AH39" s="453"/>
      <c r="AI39" s="452"/>
      <c r="AJ39" s="454"/>
      <c r="AK39" s="454"/>
      <c r="AL39" s="454"/>
      <c r="AM39" s="454"/>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row>
    <row r="40" spans="1:68" ht="55.5" customHeight="1" x14ac:dyDescent="0.3">
      <c r="A40" s="524">
        <v>6</v>
      </c>
      <c r="B40" s="527"/>
      <c r="C40" s="527"/>
      <c r="D40" s="527"/>
      <c r="E40" s="530"/>
      <c r="F40" s="527"/>
      <c r="G40" s="533"/>
      <c r="H40" s="536" t="str">
        <f>IF(G40&lt;=0,"",IF(G40&lt;=2,"Muy Baja",IF(G40&lt;=24,"Baja",IF(G40&lt;=500,"Media",IF(G40&lt;=5000,"Alta","Muy Alta")))))</f>
        <v/>
      </c>
      <c r="I40" s="512" t="str">
        <f>IF(H40="","",IF(H40="Muy Baja",0.2,IF(H40="Baja",0.4,IF(H40="Media",0.6,IF(H40="Alta",0.8,IF(H40="Muy Alta",1,))))))</f>
        <v/>
      </c>
      <c r="J40" s="515"/>
      <c r="K40" s="512">
        <f>IF(NOT(ISERROR(MATCH(J40,'Tabla Impacto'!$B$221:$B$223,0))),'Tabla Impacto'!$F$223&amp;"Por favor no seleccionar los criterios de impacto(Afectación Económica o presupuestal y Pérdida Reputacional)",J40)</f>
        <v>0</v>
      </c>
      <c r="L40" s="518" t="s">
        <v>1266</v>
      </c>
      <c r="M40" s="512" t="str">
        <f>IF(L40="","",IF(L40="Leve",0.2,IF(L40="Menor",0.4,IF(L40="Moderado",0.6,IF(L40="Mayor",0.8,IF(L40="Catastrófico",1,))))))</f>
        <v/>
      </c>
      <c r="N40" s="52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42">
        <v>1</v>
      </c>
      <c r="P40" s="455"/>
      <c r="Q40" s="444" t="str">
        <f t="shared" si="0"/>
        <v/>
      </c>
      <c r="R40" s="445"/>
      <c r="S40" s="445"/>
      <c r="T40" s="446" t="str">
        <f t="shared" si="1"/>
        <v/>
      </c>
      <c r="U40" s="445"/>
      <c r="V40" s="445"/>
      <c r="W40" s="445"/>
      <c r="X40" s="461" t="str">
        <f>IFERROR(IF(Q40="Probabilidad",(I40-(+I40*T40)),IF(Q40="Impacto",I40,"")),"")</f>
        <v/>
      </c>
      <c r="Y40" s="448" t="str">
        <f>IFERROR(IF(X40="","",IF(X40&lt;=0.2,"Muy Baja",IF(X40&lt;=0.4,"Baja",IF(X40&lt;=0.6,"Media",IF(X40&lt;=0.8,"Alta","Muy Alta"))))),"")</f>
        <v/>
      </c>
      <c r="Z40" s="449" t="str">
        <f t="shared" si="2"/>
        <v/>
      </c>
      <c r="AA40" s="448" t="str">
        <f>IFERROR(IF(AB40="","",IF(AB40&lt;=0.2,"Leve",IF(AB40&lt;=0.4,"Menor",IF(AB40&lt;=0.6,"Moderado",IF(AB40&lt;=0.8,"Mayor","Catastrófico"))))),"")</f>
        <v/>
      </c>
      <c r="AB40" s="449" t="str">
        <f>IFERROR(IF(Q40="Impacto",(M40-(+M40*T40)),IF(Q40="Probabilidad",M40,"")),"")</f>
        <v/>
      </c>
      <c r="AC40" s="450" t="str">
        <f t="shared" si="3"/>
        <v/>
      </c>
      <c r="AD40" s="451"/>
      <c r="AE40" s="452"/>
      <c r="AF40" s="453"/>
      <c r="AG40" s="453"/>
      <c r="AH40" s="453"/>
      <c r="AI40" s="452"/>
      <c r="AJ40" s="454"/>
      <c r="AK40" s="454"/>
      <c r="AL40" s="454"/>
      <c r="AM40" s="454"/>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row>
    <row r="41" spans="1:68" ht="55.5" customHeight="1" x14ac:dyDescent="0.3">
      <c r="A41" s="525"/>
      <c r="B41" s="528"/>
      <c r="C41" s="528"/>
      <c r="D41" s="528"/>
      <c r="E41" s="531"/>
      <c r="F41" s="528"/>
      <c r="G41" s="534"/>
      <c r="H41" s="537"/>
      <c r="I41" s="513"/>
      <c r="J41" s="516"/>
      <c r="K41" s="513">
        <f>IF(NOT(ISERROR(MATCH(J41,_xlfn.ANCHORARRAY(E52),0))),I54&amp;"Por favor no seleccionar los criterios de impacto",J41)</f>
        <v>0</v>
      </c>
      <c r="L41" s="519"/>
      <c r="M41" s="513"/>
      <c r="N41" s="522"/>
      <c r="O41" s="442">
        <v>2</v>
      </c>
      <c r="P41" s="455"/>
      <c r="Q41" s="444" t="str">
        <f t="shared" si="0"/>
        <v/>
      </c>
      <c r="R41" s="445"/>
      <c r="S41" s="445"/>
      <c r="T41" s="446" t="str">
        <f t="shared" si="1"/>
        <v/>
      </c>
      <c r="U41" s="445"/>
      <c r="V41" s="445"/>
      <c r="W41" s="445"/>
      <c r="X41" s="461" t="str">
        <f>IFERROR(IF(AND(Q40="Probabilidad",Q41="Probabilidad"),(Z40-(+Z40*T41)),IF(Q41="Probabilidad",(I40-(+I40*T41)),IF(Q41="Impacto",Z40,""))),"")</f>
        <v/>
      </c>
      <c r="Y41" s="448" t="str">
        <f t="shared" si="4"/>
        <v/>
      </c>
      <c r="Z41" s="449" t="str">
        <f t="shared" si="2"/>
        <v/>
      </c>
      <c r="AA41" s="448" t="str">
        <f t="shared" si="5"/>
        <v/>
      </c>
      <c r="AB41" s="449" t="str">
        <f>IFERROR(IF(AND(Q40="Impacto",Q41="Impacto"),(AB40-(+AB40*T41)),IF(Q41="Impacto",(M40-(+M40*T41)),IF(Q41="Probabilidad",AB40,""))),"")</f>
        <v/>
      </c>
      <c r="AC41" s="450" t="str">
        <f t="shared" si="3"/>
        <v/>
      </c>
      <c r="AD41" s="451"/>
      <c r="AE41" s="452"/>
      <c r="AF41" s="453"/>
      <c r="AG41" s="453"/>
      <c r="AH41" s="453"/>
      <c r="AI41" s="452"/>
      <c r="AJ41" s="454"/>
      <c r="AK41" s="454"/>
      <c r="AL41" s="454"/>
      <c r="AM41" s="454"/>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row>
    <row r="42" spans="1:68" ht="55.5" customHeight="1" x14ac:dyDescent="0.3">
      <c r="A42" s="525"/>
      <c r="B42" s="528"/>
      <c r="C42" s="528"/>
      <c r="D42" s="528"/>
      <c r="E42" s="531"/>
      <c r="F42" s="528"/>
      <c r="G42" s="534"/>
      <c r="H42" s="537"/>
      <c r="I42" s="513"/>
      <c r="J42" s="516"/>
      <c r="K42" s="513">
        <f>IF(NOT(ISERROR(MATCH(J42,_xlfn.ANCHORARRAY(E53),0))),I55&amp;"Por favor no seleccionar los criterios de impacto",J42)</f>
        <v>0</v>
      </c>
      <c r="L42" s="519"/>
      <c r="M42" s="513"/>
      <c r="N42" s="522"/>
      <c r="O42" s="442">
        <v>3</v>
      </c>
      <c r="P42" s="456"/>
      <c r="Q42" s="444" t="str">
        <f t="shared" ref="Q42:Q69" si="6">IF(OR(R42="Preventivo",R42="Detectivo"),"Probabilidad",IF(R42="Correctivo","Impacto",""))</f>
        <v/>
      </c>
      <c r="R42" s="445"/>
      <c r="S42" s="445"/>
      <c r="T42" s="446" t="str">
        <f t="shared" ref="T42:T69" si="7">IF(AND(R42="Preventivo",S42="Automático"),"50%",IF(AND(R42="Preventivo",S42="Manual"),"40%",IF(AND(R42="Detectivo",S42="Automático"),"40%",IF(AND(R42="Detectivo",S42="Manual"),"30%",IF(AND(R42="Correctivo",S42="Automático"),"35%",IF(AND(R42="Correctivo",S42="Manual"),"25%",""))))))</f>
        <v/>
      </c>
      <c r="U42" s="445"/>
      <c r="V42" s="445"/>
      <c r="W42" s="445"/>
      <c r="X42" s="461" t="str">
        <f>IFERROR(IF(AND(Q41="Probabilidad",Q42="Probabilidad"),(Z41-(+Z41*T42)),IF(AND(Q41="Impacto",Q42="Probabilidad"),(Z40-(+Z40*T42)),IF(Q42="Impacto",Z41,""))),"")</f>
        <v/>
      </c>
      <c r="Y42" s="448" t="str">
        <f t="shared" si="4"/>
        <v/>
      </c>
      <c r="Z42" s="449" t="str">
        <f t="shared" ref="Z42:Z69" si="8">+X42</f>
        <v/>
      </c>
      <c r="AA42" s="448" t="str">
        <f t="shared" si="5"/>
        <v/>
      </c>
      <c r="AB42" s="449" t="str">
        <f>IFERROR(IF(AND(Q41="Impacto",Q42="Impacto"),(AB41-(+AB41*T42)),IF(AND(Q41="Probabilidad",Q42="Impacto"),(AB40-(+AB40*T42)),IF(Q42="Probabilidad",AB41,""))),"")</f>
        <v/>
      </c>
      <c r="AC42" s="450"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51"/>
      <c r="AE42" s="452"/>
      <c r="AF42" s="453"/>
      <c r="AG42" s="453"/>
      <c r="AH42" s="453"/>
      <c r="AI42" s="452"/>
      <c r="AJ42" s="454"/>
      <c r="AK42" s="454"/>
      <c r="AL42" s="454"/>
      <c r="AM42" s="454"/>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row>
    <row r="43" spans="1:68" ht="55.5" customHeight="1" x14ac:dyDescent="0.3">
      <c r="A43" s="525"/>
      <c r="B43" s="528"/>
      <c r="C43" s="528"/>
      <c r="D43" s="528"/>
      <c r="E43" s="531"/>
      <c r="F43" s="528"/>
      <c r="G43" s="534"/>
      <c r="H43" s="537"/>
      <c r="I43" s="513"/>
      <c r="J43" s="516"/>
      <c r="K43" s="513">
        <f>IF(NOT(ISERROR(MATCH(J43,_xlfn.ANCHORARRAY(E54),0))),I56&amp;"Por favor no seleccionar los criterios de impacto",J43)</f>
        <v>0</v>
      </c>
      <c r="L43" s="519"/>
      <c r="M43" s="513"/>
      <c r="N43" s="522"/>
      <c r="O43" s="442">
        <v>4</v>
      </c>
      <c r="P43" s="455"/>
      <c r="Q43" s="444" t="str">
        <f t="shared" si="6"/>
        <v/>
      </c>
      <c r="R43" s="445"/>
      <c r="S43" s="445"/>
      <c r="T43" s="446" t="str">
        <f t="shared" si="7"/>
        <v/>
      </c>
      <c r="U43" s="445"/>
      <c r="V43" s="445"/>
      <c r="W43" s="445"/>
      <c r="X43" s="461" t="str">
        <f>IFERROR(IF(AND(Q42="Probabilidad",Q43="Probabilidad"),(Z42-(+Z42*T43)),IF(AND(Q42="Impacto",Q43="Probabilidad"),(Z41-(+Z41*T43)),IF(Q43="Impacto",Z42,""))),"")</f>
        <v/>
      </c>
      <c r="Y43" s="448" t="str">
        <f t="shared" si="4"/>
        <v/>
      </c>
      <c r="Z43" s="449" t="str">
        <f t="shared" si="8"/>
        <v/>
      </c>
      <c r="AA43" s="448" t="str">
        <f t="shared" si="5"/>
        <v/>
      </c>
      <c r="AB43" s="449" t="str">
        <f>IFERROR(IF(AND(Q42="Impacto",Q43="Impacto"),(AB42-(+AB42*T43)),IF(AND(Q42="Probabilidad",Q43="Impacto"),(AB41-(+AB41*T43)),IF(Q43="Probabilidad",AB42,""))),"")</f>
        <v/>
      </c>
      <c r="AC43" s="450" t="str">
        <f t="shared" si="9"/>
        <v/>
      </c>
      <c r="AD43" s="451"/>
      <c r="AE43" s="452"/>
      <c r="AF43" s="453"/>
      <c r="AG43" s="453"/>
      <c r="AH43" s="453"/>
      <c r="AI43" s="452"/>
      <c r="AJ43" s="454"/>
      <c r="AK43" s="454"/>
      <c r="AL43" s="454"/>
      <c r="AM43" s="454"/>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row>
    <row r="44" spans="1:68" ht="55.5" customHeight="1" x14ac:dyDescent="0.3">
      <c r="A44" s="525"/>
      <c r="B44" s="528"/>
      <c r="C44" s="528"/>
      <c r="D44" s="528"/>
      <c r="E44" s="531"/>
      <c r="F44" s="528"/>
      <c r="G44" s="534"/>
      <c r="H44" s="537"/>
      <c r="I44" s="513"/>
      <c r="J44" s="516"/>
      <c r="K44" s="513">
        <f>IF(NOT(ISERROR(MATCH(J44,_xlfn.ANCHORARRAY(E55),0))),I57&amp;"Por favor no seleccionar los criterios de impacto",J44)</f>
        <v>0</v>
      </c>
      <c r="L44" s="519"/>
      <c r="M44" s="513"/>
      <c r="N44" s="522"/>
      <c r="O44" s="442">
        <v>5</v>
      </c>
      <c r="P44" s="455"/>
      <c r="Q44" s="444" t="str">
        <f t="shared" si="6"/>
        <v/>
      </c>
      <c r="R44" s="445"/>
      <c r="S44" s="445"/>
      <c r="T44" s="446" t="str">
        <f t="shared" si="7"/>
        <v/>
      </c>
      <c r="U44" s="445"/>
      <c r="V44" s="445"/>
      <c r="W44" s="445"/>
      <c r="X44" s="461" t="str">
        <f>IFERROR(IF(AND(Q43="Probabilidad",Q44="Probabilidad"),(Z43-(+Z43*T44)),IF(AND(Q43="Impacto",Q44="Probabilidad"),(Z42-(+Z42*T44)),IF(Q44="Impacto",Z43,""))),"")</f>
        <v/>
      </c>
      <c r="Y44" s="448" t="str">
        <f t="shared" si="4"/>
        <v/>
      </c>
      <c r="Z44" s="449" t="str">
        <f t="shared" si="8"/>
        <v/>
      </c>
      <c r="AA44" s="448" t="str">
        <f t="shared" si="5"/>
        <v/>
      </c>
      <c r="AB44" s="449" t="str">
        <f>IFERROR(IF(AND(Q43="Impacto",Q44="Impacto"),(AB43-(+AB43*T44)),IF(AND(Q43="Probabilidad",Q44="Impacto"),(AB42-(+AB42*T44)),IF(Q44="Probabilidad",AB43,""))),"")</f>
        <v/>
      </c>
      <c r="AC44" s="450" t="str">
        <f t="shared" si="9"/>
        <v/>
      </c>
      <c r="AD44" s="451"/>
      <c r="AE44" s="452"/>
      <c r="AF44" s="453"/>
      <c r="AG44" s="453"/>
      <c r="AH44" s="453"/>
      <c r="AI44" s="452"/>
      <c r="AJ44" s="454"/>
      <c r="AK44" s="454"/>
      <c r="AL44" s="454"/>
      <c r="AM44" s="454"/>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row>
    <row r="45" spans="1:68" ht="55.5" customHeight="1" x14ac:dyDescent="0.3">
      <c r="A45" s="526"/>
      <c r="B45" s="529"/>
      <c r="C45" s="529"/>
      <c r="D45" s="529"/>
      <c r="E45" s="532"/>
      <c r="F45" s="529"/>
      <c r="G45" s="535"/>
      <c r="H45" s="538"/>
      <c r="I45" s="514"/>
      <c r="J45" s="517"/>
      <c r="K45" s="514">
        <f>IF(NOT(ISERROR(MATCH(J45,_xlfn.ANCHORARRAY(E56),0))),I58&amp;"Por favor no seleccionar los criterios de impacto",J45)</f>
        <v>0</v>
      </c>
      <c r="L45" s="520"/>
      <c r="M45" s="514"/>
      <c r="N45" s="523"/>
      <c r="O45" s="442">
        <v>6</v>
      </c>
      <c r="P45" s="455"/>
      <c r="Q45" s="444" t="str">
        <f t="shared" si="6"/>
        <v/>
      </c>
      <c r="R45" s="445"/>
      <c r="S45" s="445"/>
      <c r="T45" s="446" t="str">
        <f t="shared" si="7"/>
        <v/>
      </c>
      <c r="U45" s="445"/>
      <c r="V45" s="445"/>
      <c r="W45" s="445"/>
      <c r="X45" s="461" t="str">
        <f>IFERROR(IF(AND(Q44="Probabilidad",Q45="Probabilidad"),(Z44-(+Z44*T45)),IF(AND(Q44="Impacto",Q45="Probabilidad"),(Z43-(+Z43*T45)),IF(Q45="Impacto",Z44,""))),"")</f>
        <v/>
      </c>
      <c r="Y45" s="448" t="str">
        <f t="shared" si="4"/>
        <v/>
      </c>
      <c r="Z45" s="449" t="str">
        <f t="shared" si="8"/>
        <v/>
      </c>
      <c r="AA45" s="448" t="str">
        <f>IFERROR(IF(AB45="","",IF(AB45&lt;=0.2,"Leve",IF(AB45&lt;=0.4,"Menor",IF(AB45&lt;=0.6,"Moderado",IF(AB45&lt;=0.8,"Mayor","Catastrófico"))))),"")</f>
        <v/>
      </c>
      <c r="AB45" s="449" t="str">
        <f>IFERROR(IF(AND(Q44="Impacto",Q45="Impacto"),(AB44-(+AB44*T45)),IF(AND(Q44="Probabilidad",Q45="Impacto"),(AB43-(+AB43*T45)),IF(Q45="Probabilidad",AB44,""))),"")</f>
        <v/>
      </c>
      <c r="AC45" s="450" t="str">
        <f t="shared" si="9"/>
        <v/>
      </c>
      <c r="AD45" s="451"/>
      <c r="AE45" s="452"/>
      <c r="AF45" s="453"/>
      <c r="AG45" s="453"/>
      <c r="AH45" s="453"/>
      <c r="AI45" s="452"/>
      <c r="AJ45" s="454"/>
      <c r="AK45" s="454"/>
      <c r="AL45" s="454"/>
      <c r="AM45" s="454"/>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row>
    <row r="46" spans="1:68" ht="55.5" customHeight="1" x14ac:dyDescent="0.3">
      <c r="A46" s="524">
        <v>7</v>
      </c>
      <c r="B46" s="527"/>
      <c r="C46" s="527"/>
      <c r="D46" s="527"/>
      <c r="E46" s="530"/>
      <c r="F46" s="527"/>
      <c r="G46" s="533"/>
      <c r="H46" s="536" t="str">
        <f>IF(G46&lt;=0,"",IF(G46&lt;=2,"Muy Baja",IF(G46&lt;=24,"Baja",IF(G46&lt;=500,"Media",IF(G46&lt;=5000,"Alta","Muy Alta")))))</f>
        <v/>
      </c>
      <c r="I46" s="512" t="str">
        <f>IF(H46="","",IF(H46="Muy Baja",0.2,IF(H46="Baja",0.4,IF(H46="Media",0.6,IF(H46="Alta",0.8,IF(H46="Muy Alta",1,))))))</f>
        <v/>
      </c>
      <c r="J46" s="515"/>
      <c r="K46" s="512">
        <f>IF(NOT(ISERROR(MATCH(J46,'Tabla Impacto'!$B$221:$B$223,0))),'Tabla Impacto'!$F$223&amp;"Por favor no seleccionar los criterios de impacto(Afectación Económica o presupuestal y Pérdida Reputacional)",J46)</f>
        <v>0</v>
      </c>
      <c r="L46" s="518" t="s">
        <v>1266</v>
      </c>
      <c r="M46" s="512" t="str">
        <f>IF(L46="","",IF(L46="Leve",0.2,IF(L46="Menor",0.4,IF(L46="Moderado",0.6,IF(L46="Mayor",0.8,IF(L46="Catastrófico",1,))))))</f>
        <v/>
      </c>
      <c r="N46" s="52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2">
        <v>1</v>
      </c>
      <c r="P46" s="455"/>
      <c r="Q46" s="444" t="str">
        <f t="shared" si="6"/>
        <v/>
      </c>
      <c r="R46" s="445"/>
      <c r="S46" s="445"/>
      <c r="T46" s="446" t="str">
        <f t="shared" si="7"/>
        <v/>
      </c>
      <c r="U46" s="445"/>
      <c r="V46" s="445"/>
      <c r="W46" s="445"/>
      <c r="X46" s="461" t="str">
        <f>IFERROR(IF(Q46="Probabilidad",(I46-(+I46*T46)),IF(Q46="Impacto",I46,"")),"")</f>
        <v/>
      </c>
      <c r="Y46" s="448" t="str">
        <f>IFERROR(IF(X46="","",IF(X46&lt;=0.2,"Muy Baja",IF(X46&lt;=0.4,"Baja",IF(X46&lt;=0.6,"Media",IF(X46&lt;=0.8,"Alta","Muy Alta"))))),"")</f>
        <v/>
      </c>
      <c r="Z46" s="449" t="str">
        <f t="shared" si="8"/>
        <v/>
      </c>
      <c r="AA46" s="448" t="str">
        <f>IFERROR(IF(AB46="","",IF(AB46&lt;=0.2,"Leve",IF(AB46&lt;=0.4,"Menor",IF(AB46&lt;=0.6,"Moderado",IF(AB46&lt;=0.8,"Mayor","Catastrófico"))))),"")</f>
        <v/>
      </c>
      <c r="AB46" s="449" t="str">
        <f>IFERROR(IF(Q46="Impacto",(M46-(+M46*T46)),IF(Q46="Probabilidad",M46,"")),"")</f>
        <v/>
      </c>
      <c r="AC46" s="450" t="str">
        <f t="shared" si="9"/>
        <v/>
      </c>
      <c r="AD46" s="451"/>
      <c r="AE46" s="452"/>
      <c r="AF46" s="453"/>
      <c r="AG46" s="453"/>
      <c r="AH46" s="453"/>
      <c r="AI46" s="452"/>
      <c r="AJ46" s="454"/>
      <c r="AK46" s="454"/>
      <c r="AL46" s="454"/>
      <c r="AM46" s="454"/>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row>
    <row r="47" spans="1:68" ht="55.5" customHeight="1" x14ac:dyDescent="0.3">
      <c r="A47" s="525"/>
      <c r="B47" s="528"/>
      <c r="C47" s="528"/>
      <c r="D47" s="528"/>
      <c r="E47" s="531"/>
      <c r="F47" s="528"/>
      <c r="G47" s="534"/>
      <c r="H47" s="537"/>
      <c r="I47" s="513"/>
      <c r="J47" s="516"/>
      <c r="K47" s="513">
        <f>IF(NOT(ISERROR(MATCH(J47,_xlfn.ANCHORARRAY(E58),0))),I60&amp;"Por favor no seleccionar los criterios de impacto",J47)</f>
        <v>0</v>
      </c>
      <c r="L47" s="519"/>
      <c r="M47" s="513"/>
      <c r="N47" s="522"/>
      <c r="O47" s="442">
        <v>2</v>
      </c>
      <c r="P47" s="455"/>
      <c r="Q47" s="444" t="str">
        <f t="shared" si="6"/>
        <v/>
      </c>
      <c r="R47" s="445"/>
      <c r="S47" s="445"/>
      <c r="T47" s="446" t="str">
        <f t="shared" si="7"/>
        <v/>
      </c>
      <c r="U47" s="445"/>
      <c r="V47" s="445"/>
      <c r="W47" s="445"/>
      <c r="X47" s="461" t="str">
        <f>IFERROR(IF(AND(Q46="Probabilidad",Q47="Probabilidad"),(Z46-(+Z46*T47)),IF(Q47="Probabilidad",(I46-(+I46*T47)),IF(Q47="Impacto",Z46,""))),"")</f>
        <v/>
      </c>
      <c r="Y47" s="448" t="str">
        <f t="shared" si="4"/>
        <v/>
      </c>
      <c r="Z47" s="449" t="str">
        <f t="shared" si="8"/>
        <v/>
      </c>
      <c r="AA47" s="448" t="str">
        <f t="shared" si="5"/>
        <v/>
      </c>
      <c r="AB47" s="449" t="str">
        <f>IFERROR(IF(AND(Q46="Impacto",Q47="Impacto"),(AB46-(+AB46*T47)),IF(Q47="Impacto",(M46-(+M46*T47)),IF(Q47="Probabilidad",AB46,""))),"")</f>
        <v/>
      </c>
      <c r="AC47" s="450" t="str">
        <f t="shared" si="9"/>
        <v/>
      </c>
      <c r="AD47" s="451"/>
      <c r="AE47" s="452"/>
      <c r="AF47" s="453"/>
      <c r="AG47" s="453"/>
      <c r="AH47" s="453"/>
      <c r="AI47" s="452"/>
      <c r="AJ47" s="454"/>
      <c r="AK47" s="454"/>
      <c r="AL47" s="454"/>
      <c r="AM47" s="454"/>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row>
    <row r="48" spans="1:68" ht="55.5" customHeight="1" x14ac:dyDescent="0.3">
      <c r="A48" s="525"/>
      <c r="B48" s="528"/>
      <c r="C48" s="528"/>
      <c r="D48" s="528"/>
      <c r="E48" s="531"/>
      <c r="F48" s="528"/>
      <c r="G48" s="534"/>
      <c r="H48" s="537"/>
      <c r="I48" s="513"/>
      <c r="J48" s="516"/>
      <c r="K48" s="513">
        <f>IF(NOT(ISERROR(MATCH(J48,_xlfn.ANCHORARRAY(E59),0))),I61&amp;"Por favor no seleccionar los criterios de impacto",J48)</f>
        <v>0</v>
      </c>
      <c r="L48" s="519"/>
      <c r="M48" s="513"/>
      <c r="N48" s="522"/>
      <c r="O48" s="442">
        <v>3</v>
      </c>
      <c r="P48" s="456"/>
      <c r="Q48" s="444" t="str">
        <f t="shared" si="6"/>
        <v/>
      </c>
      <c r="R48" s="445"/>
      <c r="S48" s="445"/>
      <c r="T48" s="446" t="str">
        <f t="shared" si="7"/>
        <v/>
      </c>
      <c r="U48" s="445"/>
      <c r="V48" s="445"/>
      <c r="W48" s="445"/>
      <c r="X48" s="461" t="str">
        <f>IFERROR(IF(AND(Q47="Probabilidad",Q48="Probabilidad"),(Z47-(+Z47*T48)),IF(AND(Q47="Impacto",Q48="Probabilidad"),(Z46-(+Z46*T48)),IF(Q48="Impacto",Z47,""))),"")</f>
        <v/>
      </c>
      <c r="Y48" s="448" t="str">
        <f t="shared" si="4"/>
        <v/>
      </c>
      <c r="Z48" s="449" t="str">
        <f t="shared" si="8"/>
        <v/>
      </c>
      <c r="AA48" s="448" t="str">
        <f t="shared" si="5"/>
        <v/>
      </c>
      <c r="AB48" s="449" t="str">
        <f>IFERROR(IF(AND(Q47="Impacto",Q48="Impacto"),(AB47-(+AB47*T48)),IF(AND(Q47="Probabilidad",Q48="Impacto"),(AB46-(+AB46*T48)),IF(Q48="Probabilidad",AB47,""))),"")</f>
        <v/>
      </c>
      <c r="AC48" s="450" t="str">
        <f t="shared" si="9"/>
        <v/>
      </c>
      <c r="AD48" s="451"/>
      <c r="AE48" s="452"/>
      <c r="AF48" s="453"/>
      <c r="AG48" s="453"/>
      <c r="AH48" s="453"/>
      <c r="AI48" s="452"/>
      <c r="AJ48" s="454"/>
      <c r="AK48" s="454"/>
      <c r="AL48" s="454"/>
      <c r="AM48" s="454"/>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row>
    <row r="49" spans="1:68" ht="55.5" customHeight="1" x14ac:dyDescent="0.3">
      <c r="A49" s="525"/>
      <c r="B49" s="528"/>
      <c r="C49" s="528"/>
      <c r="D49" s="528"/>
      <c r="E49" s="531"/>
      <c r="F49" s="528"/>
      <c r="G49" s="534"/>
      <c r="H49" s="537"/>
      <c r="I49" s="513"/>
      <c r="J49" s="516"/>
      <c r="K49" s="513">
        <f>IF(NOT(ISERROR(MATCH(J49,_xlfn.ANCHORARRAY(E60),0))),I62&amp;"Por favor no seleccionar los criterios de impacto",J49)</f>
        <v>0</v>
      </c>
      <c r="L49" s="519"/>
      <c r="M49" s="513"/>
      <c r="N49" s="522"/>
      <c r="O49" s="442">
        <v>4</v>
      </c>
      <c r="P49" s="455"/>
      <c r="Q49" s="444" t="str">
        <f t="shared" si="6"/>
        <v/>
      </c>
      <c r="R49" s="445"/>
      <c r="S49" s="445"/>
      <c r="T49" s="446" t="str">
        <f t="shared" si="7"/>
        <v/>
      </c>
      <c r="U49" s="445"/>
      <c r="V49" s="445"/>
      <c r="W49" s="445"/>
      <c r="X49" s="461" t="str">
        <f>IFERROR(IF(AND(Q48="Probabilidad",Q49="Probabilidad"),(Z48-(+Z48*T49)),IF(AND(Q48="Impacto",Q49="Probabilidad"),(Z47-(+Z47*T49)),IF(Q49="Impacto",Z48,""))),"")</f>
        <v/>
      </c>
      <c r="Y49" s="448" t="str">
        <f t="shared" si="4"/>
        <v/>
      </c>
      <c r="Z49" s="449" t="str">
        <f t="shared" si="8"/>
        <v/>
      </c>
      <c r="AA49" s="448" t="str">
        <f t="shared" si="5"/>
        <v/>
      </c>
      <c r="AB49" s="449" t="str">
        <f>IFERROR(IF(AND(Q48="Impacto",Q49="Impacto"),(AB48-(+AB48*T49)),IF(AND(Q48="Probabilidad",Q49="Impacto"),(AB47-(+AB47*T49)),IF(Q49="Probabilidad",AB48,""))),"")</f>
        <v/>
      </c>
      <c r="AC49" s="450" t="str">
        <f t="shared" si="9"/>
        <v/>
      </c>
      <c r="AD49" s="451"/>
      <c r="AE49" s="452"/>
      <c r="AF49" s="453"/>
      <c r="AG49" s="453"/>
      <c r="AH49" s="453"/>
      <c r="AI49" s="452"/>
      <c r="AJ49" s="454"/>
      <c r="AK49" s="454"/>
      <c r="AL49" s="454"/>
      <c r="AM49" s="454"/>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row>
    <row r="50" spans="1:68" ht="55.5" customHeight="1" x14ac:dyDescent="0.3">
      <c r="A50" s="525"/>
      <c r="B50" s="528"/>
      <c r="C50" s="528"/>
      <c r="D50" s="528"/>
      <c r="E50" s="531"/>
      <c r="F50" s="528"/>
      <c r="G50" s="534"/>
      <c r="H50" s="537"/>
      <c r="I50" s="513"/>
      <c r="J50" s="516"/>
      <c r="K50" s="513">
        <f>IF(NOT(ISERROR(MATCH(J50,_xlfn.ANCHORARRAY(E61),0))),I63&amp;"Por favor no seleccionar los criterios de impacto",J50)</f>
        <v>0</v>
      </c>
      <c r="L50" s="519"/>
      <c r="M50" s="513"/>
      <c r="N50" s="522"/>
      <c r="O50" s="442">
        <v>5</v>
      </c>
      <c r="P50" s="455"/>
      <c r="Q50" s="444" t="str">
        <f t="shared" si="6"/>
        <v/>
      </c>
      <c r="R50" s="445"/>
      <c r="S50" s="445"/>
      <c r="T50" s="446" t="str">
        <f t="shared" si="7"/>
        <v/>
      </c>
      <c r="U50" s="445"/>
      <c r="V50" s="445"/>
      <c r="W50" s="445"/>
      <c r="X50" s="461" t="str">
        <f>IFERROR(IF(AND(Q49="Probabilidad",Q50="Probabilidad"),(Z49-(+Z49*T50)),IF(AND(Q49="Impacto",Q50="Probabilidad"),(Z48-(+Z48*T50)),IF(Q50="Impacto",Z49,""))),"")</f>
        <v/>
      </c>
      <c r="Y50" s="448" t="str">
        <f t="shared" si="4"/>
        <v/>
      </c>
      <c r="Z50" s="449" t="str">
        <f t="shared" si="8"/>
        <v/>
      </c>
      <c r="AA50" s="448" t="str">
        <f t="shared" si="5"/>
        <v/>
      </c>
      <c r="AB50" s="449" t="str">
        <f>IFERROR(IF(AND(Q49="Impacto",Q50="Impacto"),(AB49-(+AB49*T50)),IF(AND(Q49="Probabilidad",Q50="Impacto"),(AB48-(+AB48*T50)),IF(Q50="Probabilidad",AB49,""))),"")</f>
        <v/>
      </c>
      <c r="AC50" s="450" t="str">
        <f t="shared" si="9"/>
        <v/>
      </c>
      <c r="AD50" s="451"/>
      <c r="AE50" s="452"/>
      <c r="AF50" s="453"/>
      <c r="AG50" s="453"/>
      <c r="AH50" s="453"/>
      <c r="AI50" s="452"/>
      <c r="AJ50" s="454"/>
      <c r="AK50" s="454"/>
      <c r="AL50" s="454"/>
      <c r="AM50" s="454"/>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row>
    <row r="51" spans="1:68" ht="55.5" customHeight="1" x14ac:dyDescent="0.3">
      <c r="A51" s="526"/>
      <c r="B51" s="529"/>
      <c r="C51" s="529"/>
      <c r="D51" s="529"/>
      <c r="E51" s="532"/>
      <c r="F51" s="529"/>
      <c r="G51" s="535"/>
      <c r="H51" s="538"/>
      <c r="I51" s="514"/>
      <c r="J51" s="517"/>
      <c r="K51" s="514">
        <f>IF(NOT(ISERROR(MATCH(J51,_xlfn.ANCHORARRAY(E62),0))),I64&amp;"Por favor no seleccionar los criterios de impacto",J51)</f>
        <v>0</v>
      </c>
      <c r="L51" s="520"/>
      <c r="M51" s="514"/>
      <c r="N51" s="523"/>
      <c r="O51" s="442">
        <v>6</v>
      </c>
      <c r="P51" s="455"/>
      <c r="Q51" s="444" t="str">
        <f t="shared" si="6"/>
        <v/>
      </c>
      <c r="R51" s="445"/>
      <c r="S51" s="445"/>
      <c r="T51" s="446" t="str">
        <f t="shared" si="7"/>
        <v/>
      </c>
      <c r="U51" s="445"/>
      <c r="V51" s="445"/>
      <c r="W51" s="445"/>
      <c r="X51" s="461" t="str">
        <f>IFERROR(IF(AND(Q50="Probabilidad",Q51="Probabilidad"),(Z50-(+Z50*T51)),IF(AND(Q50="Impacto",Q51="Probabilidad"),(Z49-(+Z49*T51)),IF(Q51="Impacto",Z50,""))),"")</f>
        <v/>
      </c>
      <c r="Y51" s="448" t="str">
        <f t="shared" si="4"/>
        <v/>
      </c>
      <c r="Z51" s="449" t="str">
        <f t="shared" si="8"/>
        <v/>
      </c>
      <c r="AA51" s="448" t="str">
        <f t="shared" si="5"/>
        <v/>
      </c>
      <c r="AB51" s="449" t="str">
        <f>IFERROR(IF(AND(Q50="Impacto",Q51="Impacto"),(AB50-(+AB50*T51)),IF(AND(Q50="Probabilidad",Q51="Impacto"),(AB49-(+AB49*T51)),IF(Q51="Probabilidad",AB50,""))),"")</f>
        <v/>
      </c>
      <c r="AC51" s="450" t="str">
        <f t="shared" si="9"/>
        <v/>
      </c>
      <c r="AD51" s="451"/>
      <c r="AE51" s="452"/>
      <c r="AF51" s="453"/>
      <c r="AG51" s="453"/>
      <c r="AH51" s="453"/>
      <c r="AI51" s="452"/>
      <c r="AJ51" s="454"/>
      <c r="AK51" s="454"/>
      <c r="AL51" s="454"/>
      <c r="AM51" s="454"/>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row>
    <row r="52" spans="1:68" ht="55.5" customHeight="1" x14ac:dyDescent="0.3">
      <c r="A52" s="524">
        <v>8</v>
      </c>
      <c r="B52" s="527"/>
      <c r="C52" s="527"/>
      <c r="D52" s="527"/>
      <c r="E52" s="530"/>
      <c r="F52" s="527"/>
      <c r="G52" s="533"/>
      <c r="H52" s="536" t="str">
        <f>IF(G52&lt;=0,"",IF(G52&lt;=2,"Muy Baja",IF(G52&lt;=24,"Baja",IF(G52&lt;=500,"Media",IF(G52&lt;=5000,"Alta","Muy Alta")))))</f>
        <v/>
      </c>
      <c r="I52" s="512" t="str">
        <f>IF(H52="","",IF(H52="Muy Baja",0.2,IF(H52="Baja",0.4,IF(H52="Media",0.6,IF(H52="Alta",0.8,IF(H52="Muy Alta",1,))))))</f>
        <v/>
      </c>
      <c r="J52" s="515"/>
      <c r="K52" s="512">
        <f>IF(NOT(ISERROR(MATCH(J52,'Tabla Impacto'!$B$221:$B$223,0))),'Tabla Impacto'!$F$223&amp;"Por favor no seleccionar los criterios de impacto(Afectación Económica o presupuestal y Pérdida Reputacional)",J52)</f>
        <v>0</v>
      </c>
      <c r="L52" s="518" t="s">
        <v>1266</v>
      </c>
      <c r="M52" s="512" t="str">
        <f>IF(L52="","",IF(L52="Leve",0.2,IF(L52="Menor",0.4,IF(L52="Moderado",0.6,IF(L52="Mayor",0.8,IF(L52="Catastrófico",1,))))))</f>
        <v/>
      </c>
      <c r="N52" s="52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2">
        <v>1</v>
      </c>
      <c r="P52" s="455"/>
      <c r="Q52" s="444" t="str">
        <f t="shared" si="6"/>
        <v/>
      </c>
      <c r="R52" s="445"/>
      <c r="S52" s="445"/>
      <c r="T52" s="446" t="str">
        <f t="shared" si="7"/>
        <v/>
      </c>
      <c r="U52" s="445"/>
      <c r="V52" s="445"/>
      <c r="W52" s="445"/>
      <c r="X52" s="461" t="str">
        <f>IFERROR(IF(Q52="Probabilidad",(I52-(+I52*T52)),IF(Q52="Impacto",I52,"")),"")</f>
        <v/>
      </c>
      <c r="Y52" s="448" t="str">
        <f>IFERROR(IF(X52="","",IF(X52&lt;=0.2,"Muy Baja",IF(X52&lt;=0.4,"Baja",IF(X52&lt;=0.6,"Media",IF(X52&lt;=0.8,"Alta","Muy Alta"))))),"")</f>
        <v/>
      </c>
      <c r="Z52" s="449" t="str">
        <f t="shared" si="8"/>
        <v/>
      </c>
      <c r="AA52" s="448" t="str">
        <f>IFERROR(IF(AB52="","",IF(AB52&lt;=0.2,"Leve",IF(AB52&lt;=0.4,"Menor",IF(AB52&lt;=0.6,"Moderado",IF(AB52&lt;=0.8,"Mayor","Catastrófico"))))),"")</f>
        <v/>
      </c>
      <c r="AB52" s="449" t="str">
        <f>IFERROR(IF(Q52="Impacto",(M52-(+M52*T52)),IF(Q52="Probabilidad",M52,"")),"")</f>
        <v/>
      </c>
      <c r="AC52" s="450" t="str">
        <f t="shared" si="9"/>
        <v/>
      </c>
      <c r="AD52" s="451"/>
      <c r="AE52" s="452"/>
      <c r="AF52" s="453"/>
      <c r="AG52" s="453"/>
      <c r="AH52" s="453"/>
      <c r="AI52" s="452"/>
      <c r="AJ52" s="454"/>
      <c r="AK52" s="454"/>
      <c r="AL52" s="454"/>
      <c r="AM52" s="454"/>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row>
    <row r="53" spans="1:68" ht="151.5" customHeight="1" x14ac:dyDescent="0.3">
      <c r="A53" s="525"/>
      <c r="B53" s="528"/>
      <c r="C53" s="528"/>
      <c r="D53" s="528"/>
      <c r="E53" s="531"/>
      <c r="F53" s="528"/>
      <c r="G53" s="534"/>
      <c r="H53" s="537"/>
      <c r="I53" s="513"/>
      <c r="J53" s="516"/>
      <c r="K53" s="513">
        <f>IF(NOT(ISERROR(MATCH(J53,_xlfn.ANCHORARRAY(E64),0))),I66&amp;"Por favor no seleccionar los criterios de impacto",J53)</f>
        <v>0</v>
      </c>
      <c r="L53" s="519"/>
      <c r="M53" s="513"/>
      <c r="N53" s="522"/>
      <c r="O53" s="442">
        <v>2</v>
      </c>
      <c r="P53" s="455"/>
      <c r="Q53" s="444" t="str">
        <f t="shared" si="6"/>
        <v/>
      </c>
      <c r="R53" s="445"/>
      <c r="S53" s="445"/>
      <c r="T53" s="446" t="str">
        <f t="shared" si="7"/>
        <v/>
      </c>
      <c r="U53" s="445"/>
      <c r="V53" s="445"/>
      <c r="W53" s="445"/>
      <c r="X53" s="461" t="str">
        <f>IFERROR(IF(AND(Q52="Probabilidad",Q53="Probabilidad"),(Z52-(+Z52*T53)),IF(Q53="Probabilidad",(I52-(+I52*T53)),IF(Q53="Impacto",Z52,""))),"")</f>
        <v/>
      </c>
      <c r="Y53" s="448" t="str">
        <f t="shared" si="4"/>
        <v/>
      </c>
      <c r="Z53" s="449" t="str">
        <f t="shared" si="8"/>
        <v/>
      </c>
      <c r="AA53" s="448" t="str">
        <f t="shared" si="5"/>
        <v/>
      </c>
      <c r="AB53" s="449" t="str">
        <f>IFERROR(IF(AND(Q52="Impacto",Q53="Impacto"),(AB52-(+AB52*T53)),IF(Q53="Impacto",(M52-(+M52*T53)),IF(Q53="Probabilidad",AB52,""))),"")</f>
        <v/>
      </c>
      <c r="AC53" s="450" t="str">
        <f t="shared" si="9"/>
        <v/>
      </c>
      <c r="AD53" s="451"/>
      <c r="AE53" s="452"/>
      <c r="AF53" s="453"/>
      <c r="AG53" s="453"/>
      <c r="AH53" s="453"/>
      <c r="AI53" s="452"/>
      <c r="AJ53" s="454"/>
      <c r="AK53" s="454"/>
      <c r="AL53" s="454"/>
      <c r="AM53" s="454"/>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row>
    <row r="54" spans="1:68" ht="151.5" customHeight="1" x14ac:dyDescent="0.3">
      <c r="A54" s="525"/>
      <c r="B54" s="528"/>
      <c r="C54" s="528"/>
      <c r="D54" s="528"/>
      <c r="E54" s="531"/>
      <c r="F54" s="528"/>
      <c r="G54" s="534"/>
      <c r="H54" s="537"/>
      <c r="I54" s="513"/>
      <c r="J54" s="516"/>
      <c r="K54" s="513">
        <f>IF(NOT(ISERROR(MATCH(J54,_xlfn.ANCHORARRAY(E65),0))),I67&amp;"Por favor no seleccionar los criterios de impacto",J54)</f>
        <v>0</v>
      </c>
      <c r="L54" s="519"/>
      <c r="M54" s="513"/>
      <c r="N54" s="522"/>
      <c r="O54" s="442">
        <v>3</v>
      </c>
      <c r="P54" s="456"/>
      <c r="Q54" s="444" t="str">
        <f t="shared" si="6"/>
        <v/>
      </c>
      <c r="R54" s="445"/>
      <c r="S54" s="445"/>
      <c r="T54" s="446" t="str">
        <f t="shared" si="7"/>
        <v/>
      </c>
      <c r="U54" s="445"/>
      <c r="V54" s="445"/>
      <c r="W54" s="445"/>
      <c r="X54" s="461" t="str">
        <f>IFERROR(IF(AND(Q53="Probabilidad",Q54="Probabilidad"),(Z53-(+Z53*T54)),IF(AND(Q53="Impacto",Q54="Probabilidad"),(Z52-(+Z52*T54)),IF(Q54="Impacto",Z53,""))),"")</f>
        <v/>
      </c>
      <c r="Y54" s="448" t="str">
        <f t="shared" si="4"/>
        <v/>
      </c>
      <c r="Z54" s="449" t="str">
        <f t="shared" si="8"/>
        <v/>
      </c>
      <c r="AA54" s="448" t="str">
        <f t="shared" si="5"/>
        <v/>
      </c>
      <c r="AB54" s="449" t="str">
        <f>IFERROR(IF(AND(Q53="Impacto",Q54="Impacto"),(AB53-(+AB53*T54)),IF(AND(Q53="Probabilidad",Q54="Impacto"),(AB52-(+AB52*T54)),IF(Q54="Probabilidad",AB53,""))),"")</f>
        <v/>
      </c>
      <c r="AC54" s="450" t="str">
        <f t="shared" si="9"/>
        <v/>
      </c>
      <c r="AD54" s="451"/>
      <c r="AE54" s="452"/>
      <c r="AF54" s="453"/>
      <c r="AG54" s="453"/>
      <c r="AH54" s="453"/>
      <c r="AI54" s="452"/>
      <c r="AJ54" s="454"/>
      <c r="AK54" s="454"/>
      <c r="AL54" s="454"/>
      <c r="AM54" s="454"/>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row>
    <row r="55" spans="1:68" ht="151.5" customHeight="1" x14ac:dyDescent="0.3">
      <c r="A55" s="525"/>
      <c r="B55" s="528"/>
      <c r="C55" s="528"/>
      <c r="D55" s="528"/>
      <c r="E55" s="531"/>
      <c r="F55" s="528"/>
      <c r="G55" s="534"/>
      <c r="H55" s="537"/>
      <c r="I55" s="513"/>
      <c r="J55" s="516"/>
      <c r="K55" s="513">
        <f>IF(NOT(ISERROR(MATCH(J55,_xlfn.ANCHORARRAY(E66),0))),I68&amp;"Por favor no seleccionar los criterios de impacto",J55)</f>
        <v>0</v>
      </c>
      <c r="L55" s="519"/>
      <c r="M55" s="513"/>
      <c r="N55" s="522"/>
      <c r="O55" s="442">
        <v>4</v>
      </c>
      <c r="P55" s="455"/>
      <c r="Q55" s="444" t="str">
        <f t="shared" si="6"/>
        <v/>
      </c>
      <c r="R55" s="445"/>
      <c r="S55" s="445"/>
      <c r="T55" s="446" t="str">
        <f t="shared" si="7"/>
        <v/>
      </c>
      <c r="U55" s="445"/>
      <c r="V55" s="445"/>
      <c r="W55" s="445"/>
      <c r="X55" s="461" t="str">
        <f>IFERROR(IF(AND(Q54="Probabilidad",Q55="Probabilidad"),(Z54-(+Z54*T55)),IF(AND(Q54="Impacto",Q55="Probabilidad"),(Z53-(+Z53*T55)),IF(Q55="Impacto",Z54,""))),"")</f>
        <v/>
      </c>
      <c r="Y55" s="448" t="str">
        <f t="shared" si="4"/>
        <v/>
      </c>
      <c r="Z55" s="449" t="str">
        <f t="shared" si="8"/>
        <v/>
      </c>
      <c r="AA55" s="448" t="str">
        <f t="shared" si="5"/>
        <v/>
      </c>
      <c r="AB55" s="449" t="str">
        <f>IFERROR(IF(AND(Q54="Impacto",Q55="Impacto"),(AB54-(+AB54*T55)),IF(AND(Q54="Probabilidad",Q55="Impacto"),(AB53-(+AB53*T55)),IF(Q55="Probabilidad",AB54,""))),"")</f>
        <v/>
      </c>
      <c r="AC55" s="450" t="str">
        <f t="shared" si="9"/>
        <v/>
      </c>
      <c r="AD55" s="451"/>
      <c r="AE55" s="452"/>
      <c r="AF55" s="453"/>
      <c r="AG55" s="453"/>
      <c r="AH55" s="453"/>
      <c r="AI55" s="452"/>
      <c r="AJ55" s="454"/>
      <c r="AK55" s="454"/>
      <c r="AL55" s="454"/>
      <c r="AM55" s="454"/>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row>
    <row r="56" spans="1:68" ht="151.5" customHeight="1" x14ac:dyDescent="0.3">
      <c r="A56" s="525"/>
      <c r="B56" s="528"/>
      <c r="C56" s="528"/>
      <c r="D56" s="528"/>
      <c r="E56" s="531"/>
      <c r="F56" s="528"/>
      <c r="G56" s="534"/>
      <c r="H56" s="537"/>
      <c r="I56" s="513"/>
      <c r="J56" s="516"/>
      <c r="K56" s="513">
        <f>IF(NOT(ISERROR(MATCH(J56,_xlfn.ANCHORARRAY(E67),0))),I69&amp;"Por favor no seleccionar los criterios de impacto",J56)</f>
        <v>0</v>
      </c>
      <c r="L56" s="519"/>
      <c r="M56" s="513"/>
      <c r="N56" s="522"/>
      <c r="O56" s="442">
        <v>5</v>
      </c>
      <c r="P56" s="455"/>
      <c r="Q56" s="444" t="str">
        <f t="shared" si="6"/>
        <v/>
      </c>
      <c r="R56" s="445"/>
      <c r="S56" s="445"/>
      <c r="T56" s="446" t="str">
        <f t="shared" si="7"/>
        <v/>
      </c>
      <c r="U56" s="445"/>
      <c r="V56" s="445"/>
      <c r="W56" s="445"/>
      <c r="X56" s="461" t="str">
        <f>IFERROR(IF(AND(Q55="Probabilidad",Q56="Probabilidad"),(Z55-(+Z55*T56)),IF(AND(Q55="Impacto",Q56="Probabilidad"),(Z54-(+Z54*T56)),IF(Q56="Impacto",Z55,""))),"")</f>
        <v/>
      </c>
      <c r="Y56" s="448" t="str">
        <f t="shared" si="4"/>
        <v/>
      </c>
      <c r="Z56" s="449" t="str">
        <f t="shared" si="8"/>
        <v/>
      </c>
      <c r="AA56" s="448" t="str">
        <f t="shared" si="5"/>
        <v/>
      </c>
      <c r="AB56" s="449" t="str">
        <f>IFERROR(IF(AND(Q55="Impacto",Q56="Impacto"),(AB55-(+AB55*T56)),IF(AND(Q55="Probabilidad",Q56="Impacto"),(AB54-(+AB54*T56)),IF(Q56="Probabilidad",AB55,""))),"")</f>
        <v/>
      </c>
      <c r="AC56" s="450" t="str">
        <f t="shared" si="9"/>
        <v/>
      </c>
      <c r="AD56" s="451"/>
      <c r="AE56" s="452"/>
      <c r="AF56" s="453"/>
      <c r="AG56" s="453"/>
      <c r="AH56" s="453"/>
      <c r="AI56" s="452"/>
      <c r="AJ56" s="454"/>
      <c r="AK56" s="454"/>
      <c r="AL56" s="454"/>
      <c r="AM56" s="454"/>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row>
    <row r="57" spans="1:68" ht="151.5" customHeight="1" x14ac:dyDescent="0.3">
      <c r="A57" s="526"/>
      <c r="B57" s="529"/>
      <c r="C57" s="529"/>
      <c r="D57" s="529"/>
      <c r="E57" s="532"/>
      <c r="F57" s="529"/>
      <c r="G57" s="535"/>
      <c r="H57" s="538"/>
      <c r="I57" s="514"/>
      <c r="J57" s="517"/>
      <c r="K57" s="514">
        <f>IF(NOT(ISERROR(MATCH(J57,_xlfn.ANCHORARRAY(E68),0))),I70&amp;"Por favor no seleccionar los criterios de impacto",J57)</f>
        <v>0</v>
      </c>
      <c r="L57" s="520"/>
      <c r="M57" s="514"/>
      <c r="N57" s="523"/>
      <c r="O57" s="442">
        <v>6</v>
      </c>
      <c r="P57" s="455"/>
      <c r="Q57" s="444" t="str">
        <f t="shared" si="6"/>
        <v/>
      </c>
      <c r="R57" s="445"/>
      <c r="S57" s="445"/>
      <c r="T57" s="446" t="str">
        <f t="shared" si="7"/>
        <v/>
      </c>
      <c r="U57" s="445"/>
      <c r="V57" s="445"/>
      <c r="W57" s="445"/>
      <c r="X57" s="461" t="str">
        <f>IFERROR(IF(AND(Q56="Probabilidad",Q57="Probabilidad"),(Z56-(+Z56*T57)),IF(AND(Q56="Impacto",Q57="Probabilidad"),(Z55-(+Z55*T57)),IF(Q57="Impacto",Z56,""))),"")</f>
        <v/>
      </c>
      <c r="Y57" s="448" t="str">
        <f t="shared" si="4"/>
        <v/>
      </c>
      <c r="Z57" s="449" t="str">
        <f t="shared" si="8"/>
        <v/>
      </c>
      <c r="AA57" s="448" t="str">
        <f t="shared" si="5"/>
        <v/>
      </c>
      <c r="AB57" s="449" t="str">
        <f>IFERROR(IF(AND(Q56="Impacto",Q57="Impacto"),(AB56-(+AB56*T57)),IF(AND(Q56="Probabilidad",Q57="Impacto"),(AB55-(+AB55*T57)),IF(Q57="Probabilidad",AB56,""))),"")</f>
        <v/>
      </c>
      <c r="AC57" s="450" t="str">
        <f t="shared" si="9"/>
        <v/>
      </c>
      <c r="AD57" s="451"/>
      <c r="AE57" s="452"/>
      <c r="AF57" s="453"/>
      <c r="AG57" s="453"/>
      <c r="AH57" s="453"/>
      <c r="AI57" s="452"/>
      <c r="AJ57" s="454"/>
      <c r="AK57" s="454"/>
      <c r="AL57" s="454"/>
      <c r="AM57" s="454"/>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row>
    <row r="58" spans="1:68" ht="151.5" customHeight="1" x14ac:dyDescent="0.3">
      <c r="A58" s="524">
        <v>9</v>
      </c>
      <c r="B58" s="527"/>
      <c r="C58" s="527"/>
      <c r="D58" s="527"/>
      <c r="E58" s="530"/>
      <c r="F58" s="527"/>
      <c r="G58" s="533"/>
      <c r="H58" s="536" t="str">
        <f>IF(G58&lt;=0,"",IF(G58&lt;=2,"Muy Baja",IF(G58&lt;=24,"Baja",IF(G58&lt;=500,"Media",IF(G58&lt;=5000,"Alta","Muy Alta")))))</f>
        <v/>
      </c>
      <c r="I58" s="512" t="str">
        <f>IF(H58="","",IF(H58="Muy Baja",0.2,IF(H58="Baja",0.4,IF(H58="Media",0.6,IF(H58="Alta",0.8,IF(H58="Muy Alta",1,))))))</f>
        <v/>
      </c>
      <c r="J58" s="515"/>
      <c r="K58" s="512">
        <f>IF(NOT(ISERROR(MATCH(J58,'Tabla Impacto'!$B$221:$B$223,0))),'Tabla Impacto'!$F$223&amp;"Por favor no seleccionar los criterios de impacto(Afectación Económica o presupuestal y Pérdida Reputacional)",J58)</f>
        <v>0</v>
      </c>
      <c r="L58" s="518" t="s">
        <v>1266</v>
      </c>
      <c r="M58" s="512" t="str">
        <f>IF(L58="","",IF(L58="Leve",0.2,IF(L58="Menor",0.4,IF(L58="Moderado",0.6,IF(L58="Mayor",0.8,IF(L58="Catastrófico",1,))))))</f>
        <v/>
      </c>
      <c r="N58" s="52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2">
        <v>1</v>
      </c>
      <c r="P58" s="455"/>
      <c r="Q58" s="444" t="str">
        <f t="shared" si="6"/>
        <v/>
      </c>
      <c r="R58" s="445"/>
      <c r="S58" s="445"/>
      <c r="T58" s="446" t="str">
        <f t="shared" si="7"/>
        <v/>
      </c>
      <c r="U58" s="445"/>
      <c r="V58" s="445"/>
      <c r="W58" s="445"/>
      <c r="X58" s="447" t="str">
        <f>IFERROR(IF(Q58="Probabilidad",(I58-(+I58*T58)),IF(Q58="Impacto",I58,"")),"")</f>
        <v/>
      </c>
      <c r="Y58" s="448" t="str">
        <f>IFERROR(IF(X58="","",IF(X58&lt;=0.2,"Muy Baja",IF(X58&lt;=0.4,"Baja",IF(X58&lt;=0.6,"Media",IF(X58&lt;=0.8,"Alta","Muy Alta"))))),"")</f>
        <v/>
      </c>
      <c r="Z58" s="449" t="str">
        <f t="shared" si="8"/>
        <v/>
      </c>
      <c r="AA58" s="448" t="str">
        <f>IFERROR(IF(AB58="","",IF(AB58&lt;=0.2,"Leve",IF(AB58&lt;=0.4,"Menor",IF(AB58&lt;=0.6,"Moderado",IF(AB58&lt;=0.8,"Mayor","Catastrófico"))))),"")</f>
        <v/>
      </c>
      <c r="AB58" s="449" t="str">
        <f>IFERROR(IF(Q58="Impacto",(M58-(+M58*T58)),IF(Q58="Probabilidad",M58,"")),"")</f>
        <v/>
      </c>
      <c r="AC58" s="450" t="str">
        <f t="shared" si="9"/>
        <v/>
      </c>
      <c r="AD58" s="451"/>
      <c r="AE58" s="452"/>
      <c r="AF58" s="453"/>
      <c r="AG58" s="453"/>
      <c r="AH58" s="453"/>
      <c r="AI58" s="452"/>
      <c r="AJ58" s="454"/>
      <c r="AK58" s="454"/>
      <c r="AL58" s="454"/>
      <c r="AM58" s="454"/>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row>
    <row r="59" spans="1:68" ht="151.5" customHeight="1" x14ac:dyDescent="0.3">
      <c r="A59" s="525"/>
      <c r="B59" s="528"/>
      <c r="C59" s="528"/>
      <c r="D59" s="528"/>
      <c r="E59" s="531"/>
      <c r="F59" s="528"/>
      <c r="G59" s="534"/>
      <c r="H59" s="537"/>
      <c r="I59" s="513"/>
      <c r="J59" s="516"/>
      <c r="K59" s="513">
        <f>IF(NOT(ISERROR(MATCH(J59,_xlfn.ANCHORARRAY(E70),0))),I72&amp;"Por favor no seleccionar los criterios de impacto",J59)</f>
        <v>0</v>
      </c>
      <c r="L59" s="519"/>
      <c r="M59" s="513"/>
      <c r="N59" s="522"/>
      <c r="O59" s="442">
        <v>2</v>
      </c>
      <c r="P59" s="455"/>
      <c r="Q59" s="444" t="str">
        <f t="shared" si="6"/>
        <v/>
      </c>
      <c r="R59" s="445"/>
      <c r="S59" s="445"/>
      <c r="T59" s="446" t="str">
        <f t="shared" si="7"/>
        <v/>
      </c>
      <c r="U59" s="445"/>
      <c r="V59" s="445"/>
      <c r="W59" s="445"/>
      <c r="X59" s="447" t="str">
        <f>IFERROR(IF(AND(Q58="Probabilidad",Q59="Probabilidad"),(Z58-(+Z58*T59)),IF(Q59="Probabilidad",(I58-(+I58*T59)),IF(Q59="Impacto",Z58,""))),"")</f>
        <v/>
      </c>
      <c r="Y59" s="448" t="str">
        <f t="shared" si="4"/>
        <v/>
      </c>
      <c r="Z59" s="449" t="str">
        <f t="shared" si="8"/>
        <v/>
      </c>
      <c r="AA59" s="448" t="str">
        <f t="shared" si="5"/>
        <v/>
      </c>
      <c r="AB59" s="449" t="str">
        <f>IFERROR(IF(AND(Q58="Impacto",Q59="Impacto"),(AB58-(+AB58*T59)),IF(Q59="Impacto",(M58-(+M58*T59)),IF(Q59="Probabilidad",AB58,""))),"")</f>
        <v/>
      </c>
      <c r="AC59" s="450" t="str">
        <f t="shared" si="9"/>
        <v/>
      </c>
      <c r="AD59" s="451"/>
      <c r="AE59" s="452"/>
      <c r="AF59" s="453"/>
      <c r="AG59" s="453"/>
      <c r="AH59" s="453"/>
      <c r="AI59" s="452"/>
      <c r="AJ59" s="454"/>
      <c r="AK59" s="454"/>
      <c r="AL59" s="454"/>
      <c r="AM59" s="454"/>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row>
    <row r="60" spans="1:68" ht="151.5" customHeight="1" x14ac:dyDescent="0.3">
      <c r="A60" s="525"/>
      <c r="B60" s="528"/>
      <c r="C60" s="528"/>
      <c r="D60" s="528"/>
      <c r="E60" s="531"/>
      <c r="F60" s="528"/>
      <c r="G60" s="534"/>
      <c r="H60" s="537"/>
      <c r="I60" s="513"/>
      <c r="J60" s="516"/>
      <c r="K60" s="513">
        <f>IF(NOT(ISERROR(MATCH(J60,_xlfn.ANCHORARRAY(E71),0))),I73&amp;"Por favor no seleccionar los criterios de impacto",J60)</f>
        <v>0</v>
      </c>
      <c r="L60" s="519"/>
      <c r="M60" s="513"/>
      <c r="N60" s="522"/>
      <c r="O60" s="442">
        <v>3</v>
      </c>
      <c r="P60" s="456"/>
      <c r="Q60" s="444" t="str">
        <f t="shared" si="6"/>
        <v/>
      </c>
      <c r="R60" s="445"/>
      <c r="S60" s="445"/>
      <c r="T60" s="446" t="str">
        <f t="shared" si="7"/>
        <v/>
      </c>
      <c r="U60" s="445"/>
      <c r="V60" s="445"/>
      <c r="W60" s="445"/>
      <c r="X60" s="447" t="str">
        <f>IFERROR(IF(AND(Q59="Probabilidad",Q60="Probabilidad"),(Z59-(+Z59*T60)),IF(AND(Q59="Impacto",Q60="Probabilidad"),(Z58-(+Z58*T60)),IF(Q60="Impacto",Z59,""))),"")</f>
        <v/>
      </c>
      <c r="Y60" s="448" t="str">
        <f t="shared" si="4"/>
        <v/>
      </c>
      <c r="Z60" s="449" t="str">
        <f t="shared" si="8"/>
        <v/>
      </c>
      <c r="AA60" s="448" t="str">
        <f t="shared" si="5"/>
        <v/>
      </c>
      <c r="AB60" s="449" t="str">
        <f>IFERROR(IF(AND(Q59="Impacto",Q60="Impacto"),(AB59-(+AB59*T60)),IF(AND(Q59="Probabilidad",Q60="Impacto"),(AB58-(+AB58*T60)),IF(Q60="Probabilidad",AB59,""))),"")</f>
        <v/>
      </c>
      <c r="AC60" s="450" t="str">
        <f t="shared" si="9"/>
        <v/>
      </c>
      <c r="AD60" s="451"/>
      <c r="AE60" s="452"/>
      <c r="AF60" s="453"/>
      <c r="AG60" s="453"/>
      <c r="AH60" s="453"/>
      <c r="AI60" s="452"/>
      <c r="AJ60" s="454"/>
      <c r="AK60" s="454"/>
      <c r="AL60" s="454"/>
      <c r="AM60" s="454"/>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row>
    <row r="61" spans="1:68" ht="151.5" customHeight="1" x14ac:dyDescent="0.3">
      <c r="A61" s="525"/>
      <c r="B61" s="528"/>
      <c r="C61" s="528"/>
      <c r="D61" s="528"/>
      <c r="E61" s="531"/>
      <c r="F61" s="528"/>
      <c r="G61" s="534"/>
      <c r="H61" s="537"/>
      <c r="I61" s="513"/>
      <c r="J61" s="516"/>
      <c r="K61" s="513">
        <f>IF(NOT(ISERROR(MATCH(J61,_xlfn.ANCHORARRAY(E72),0))),I74&amp;"Por favor no seleccionar los criterios de impacto",J61)</f>
        <v>0</v>
      </c>
      <c r="L61" s="519"/>
      <c r="M61" s="513"/>
      <c r="N61" s="522"/>
      <c r="O61" s="442">
        <v>4</v>
      </c>
      <c r="P61" s="455"/>
      <c r="Q61" s="444" t="str">
        <f t="shared" si="6"/>
        <v/>
      </c>
      <c r="R61" s="445"/>
      <c r="S61" s="445"/>
      <c r="T61" s="446" t="str">
        <f t="shared" si="7"/>
        <v/>
      </c>
      <c r="U61" s="445"/>
      <c r="V61" s="445"/>
      <c r="W61" s="445"/>
      <c r="X61" s="447" t="str">
        <f>IFERROR(IF(AND(Q60="Probabilidad",Q61="Probabilidad"),(Z60-(+Z60*T61)),IF(AND(Q60="Impacto",Q61="Probabilidad"),(Z59-(+Z59*T61)),IF(Q61="Impacto",Z60,""))),"")</f>
        <v/>
      </c>
      <c r="Y61" s="448" t="str">
        <f t="shared" si="4"/>
        <v/>
      </c>
      <c r="Z61" s="449" t="str">
        <f t="shared" si="8"/>
        <v/>
      </c>
      <c r="AA61" s="448" t="str">
        <f t="shared" si="5"/>
        <v/>
      </c>
      <c r="AB61" s="449" t="str">
        <f>IFERROR(IF(AND(Q60="Impacto",Q61="Impacto"),(AB60-(+AB60*T61)),IF(AND(Q60="Probabilidad",Q61="Impacto"),(AB59-(+AB59*T61)),IF(Q61="Probabilidad",AB60,""))),"")</f>
        <v/>
      </c>
      <c r="AC61" s="450" t="str">
        <f t="shared" si="9"/>
        <v/>
      </c>
      <c r="AD61" s="451"/>
      <c r="AE61" s="452"/>
      <c r="AF61" s="453"/>
      <c r="AG61" s="453"/>
      <c r="AH61" s="453"/>
      <c r="AI61" s="452"/>
      <c r="AJ61" s="454"/>
      <c r="AK61" s="454"/>
      <c r="AL61" s="454"/>
      <c r="AM61" s="454"/>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row>
    <row r="62" spans="1:68" ht="151.5" customHeight="1" x14ac:dyDescent="0.3">
      <c r="A62" s="525"/>
      <c r="B62" s="528"/>
      <c r="C62" s="528"/>
      <c r="D62" s="528"/>
      <c r="E62" s="531"/>
      <c r="F62" s="528"/>
      <c r="G62" s="534"/>
      <c r="H62" s="537"/>
      <c r="I62" s="513"/>
      <c r="J62" s="516"/>
      <c r="K62" s="513">
        <f>IF(NOT(ISERROR(MATCH(J62,_xlfn.ANCHORARRAY(E73),0))),I75&amp;"Por favor no seleccionar los criterios de impacto",J62)</f>
        <v>0</v>
      </c>
      <c r="L62" s="519"/>
      <c r="M62" s="513"/>
      <c r="N62" s="522"/>
      <c r="O62" s="442">
        <v>5</v>
      </c>
      <c r="P62" s="455"/>
      <c r="Q62" s="444" t="str">
        <f t="shared" si="6"/>
        <v/>
      </c>
      <c r="R62" s="445"/>
      <c r="S62" s="445"/>
      <c r="T62" s="446" t="str">
        <f t="shared" si="7"/>
        <v/>
      </c>
      <c r="U62" s="445"/>
      <c r="V62" s="445"/>
      <c r="W62" s="445"/>
      <c r="X62" s="447" t="str">
        <f>IFERROR(IF(AND(Q61="Probabilidad",Q62="Probabilidad"),(Z61-(+Z61*T62)),IF(AND(Q61="Impacto",Q62="Probabilidad"),(Z60-(+Z60*T62)),IF(Q62="Impacto",Z61,""))),"")</f>
        <v/>
      </c>
      <c r="Y62" s="448" t="str">
        <f t="shared" si="4"/>
        <v/>
      </c>
      <c r="Z62" s="449" t="str">
        <f t="shared" si="8"/>
        <v/>
      </c>
      <c r="AA62" s="448" t="str">
        <f t="shared" si="5"/>
        <v/>
      </c>
      <c r="AB62" s="449" t="str">
        <f>IFERROR(IF(AND(Q61="Impacto",Q62="Impacto"),(AB61-(+AB61*T62)),IF(AND(Q61="Probabilidad",Q62="Impacto"),(AB60-(+AB60*T62)),IF(Q62="Probabilidad",AB61,""))),"")</f>
        <v/>
      </c>
      <c r="AC62" s="450" t="str">
        <f t="shared" si="9"/>
        <v/>
      </c>
      <c r="AD62" s="451"/>
      <c r="AE62" s="452"/>
      <c r="AF62" s="453"/>
      <c r="AG62" s="453"/>
      <c r="AH62" s="453"/>
      <c r="AI62" s="452"/>
      <c r="AJ62" s="454"/>
      <c r="AK62" s="454"/>
      <c r="AL62" s="454"/>
      <c r="AM62" s="454"/>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row>
    <row r="63" spans="1:68" ht="151.5" customHeight="1" x14ac:dyDescent="0.3">
      <c r="A63" s="526"/>
      <c r="B63" s="529"/>
      <c r="C63" s="529"/>
      <c r="D63" s="529"/>
      <c r="E63" s="532"/>
      <c r="F63" s="529"/>
      <c r="G63" s="535"/>
      <c r="H63" s="538"/>
      <c r="I63" s="514"/>
      <c r="J63" s="517"/>
      <c r="K63" s="514">
        <f>IF(NOT(ISERROR(MATCH(J63,_xlfn.ANCHORARRAY(E74),0))),I76&amp;"Por favor no seleccionar los criterios de impacto",J63)</f>
        <v>0</v>
      </c>
      <c r="L63" s="520"/>
      <c r="M63" s="514"/>
      <c r="N63" s="523"/>
      <c r="O63" s="442">
        <v>6</v>
      </c>
      <c r="P63" s="455"/>
      <c r="Q63" s="444" t="str">
        <f t="shared" si="6"/>
        <v/>
      </c>
      <c r="R63" s="445"/>
      <c r="S63" s="445"/>
      <c r="T63" s="446" t="str">
        <f t="shared" si="7"/>
        <v/>
      </c>
      <c r="U63" s="445"/>
      <c r="V63" s="445"/>
      <c r="W63" s="445"/>
      <c r="X63" s="447" t="str">
        <f>IFERROR(IF(AND(Q62="Probabilidad",Q63="Probabilidad"),(Z62-(+Z62*T63)),IF(AND(Q62="Impacto",Q63="Probabilidad"),(Z61-(+Z61*T63)),IF(Q63="Impacto",Z62,""))),"")</f>
        <v/>
      </c>
      <c r="Y63" s="448" t="str">
        <f t="shared" si="4"/>
        <v/>
      </c>
      <c r="Z63" s="449" t="str">
        <f t="shared" si="8"/>
        <v/>
      </c>
      <c r="AA63" s="448" t="str">
        <f t="shared" si="5"/>
        <v/>
      </c>
      <c r="AB63" s="449" t="str">
        <f>IFERROR(IF(AND(Q62="Impacto",Q63="Impacto"),(AB62-(+AB62*T63)),IF(AND(Q62="Probabilidad",Q63="Impacto"),(AB61-(+AB61*T63)),IF(Q63="Probabilidad",AB62,""))),"")</f>
        <v/>
      </c>
      <c r="AC63" s="450" t="str">
        <f t="shared" si="9"/>
        <v/>
      </c>
      <c r="AD63" s="451"/>
      <c r="AE63" s="452"/>
      <c r="AF63" s="454"/>
      <c r="AG63" s="453"/>
      <c r="AH63" s="453"/>
      <c r="AI63" s="452"/>
      <c r="AJ63" s="454"/>
      <c r="AK63" s="454"/>
      <c r="AL63" s="454"/>
      <c r="AM63" s="454"/>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row>
    <row r="64" spans="1:68" ht="151.5" customHeight="1" x14ac:dyDescent="0.3">
      <c r="A64" s="524">
        <v>10</v>
      </c>
      <c r="B64" s="527"/>
      <c r="C64" s="527"/>
      <c r="D64" s="527"/>
      <c r="E64" s="530"/>
      <c r="F64" s="527"/>
      <c r="G64" s="533"/>
      <c r="H64" s="536" t="str">
        <f>IF(G64&lt;=0,"",IF(G64&lt;=2,"Muy Baja",IF(G64&lt;=24,"Baja",IF(G64&lt;=500,"Media",IF(G64&lt;=5000,"Alta","Muy Alta")))))</f>
        <v/>
      </c>
      <c r="I64" s="512" t="str">
        <f>IF(H64="","",IF(H64="Muy Baja",0.2,IF(H64="Baja",0.4,IF(H64="Media",0.6,IF(H64="Alta",0.8,IF(H64="Muy Alta",1,))))))</f>
        <v/>
      </c>
      <c r="J64" s="515"/>
      <c r="K64" s="512">
        <f>IF(NOT(ISERROR(MATCH(J64,'Tabla Impacto'!$B$221:$B$223,0))),'Tabla Impacto'!$F$223&amp;"Por favor no seleccionar los criterios de impacto(Afectación Económica o presupuestal y Pérdida Reputacional)",J64)</f>
        <v>0</v>
      </c>
      <c r="L64" s="518" t="s">
        <v>1266</v>
      </c>
      <c r="M64" s="512" t="str">
        <f>IF(L64="","",IF(L64="Leve",0.2,IF(L64="Menor",0.4,IF(L64="Moderado",0.6,IF(L64="Mayor",0.8,IF(L64="Catastrófico",1,))))))</f>
        <v/>
      </c>
      <c r="N64" s="52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2">
        <v>1</v>
      </c>
      <c r="P64" s="455"/>
      <c r="Q64" s="444" t="str">
        <f t="shared" si="6"/>
        <v/>
      </c>
      <c r="R64" s="445"/>
      <c r="S64" s="445"/>
      <c r="T64" s="446" t="str">
        <f t="shared" si="7"/>
        <v/>
      </c>
      <c r="U64" s="445"/>
      <c r="V64" s="445"/>
      <c r="W64" s="445"/>
      <c r="X64" s="447" t="str">
        <f>IFERROR(IF(Q64="Probabilidad",(I64-(+I64*T64)),IF(Q64="Impacto",I64,"")),"")</f>
        <v/>
      </c>
      <c r="Y64" s="448" t="str">
        <f>IFERROR(IF(X64="","",IF(X64&lt;=0.2,"Muy Baja",IF(X64&lt;=0.4,"Baja",IF(X64&lt;=0.6,"Media",IF(X64&lt;=0.8,"Alta","Muy Alta"))))),"")</f>
        <v/>
      </c>
      <c r="Z64" s="449" t="str">
        <f t="shared" si="8"/>
        <v/>
      </c>
      <c r="AA64" s="448" t="str">
        <f>IFERROR(IF(AB64="","",IF(AB64&lt;=0.2,"Leve",IF(AB64&lt;=0.4,"Menor",IF(AB64&lt;=0.6,"Moderado",IF(AB64&lt;=0.8,"Mayor","Catastrófico"))))),"")</f>
        <v/>
      </c>
      <c r="AB64" s="449" t="str">
        <f>IFERROR(IF(Q64="Impacto",(M64-(+M64*T64)),IF(Q64="Probabilidad",M64,"")),"")</f>
        <v/>
      </c>
      <c r="AC64" s="450" t="str">
        <f t="shared" si="9"/>
        <v/>
      </c>
      <c r="AD64" s="451"/>
      <c r="AE64" s="452"/>
      <c r="AF64" s="454"/>
      <c r="AG64" s="453"/>
      <c r="AH64" s="453"/>
      <c r="AI64" s="452"/>
      <c r="AJ64" s="454"/>
      <c r="AK64" s="454"/>
      <c r="AL64" s="454"/>
      <c r="AM64" s="454"/>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row>
    <row r="65" spans="1:39" ht="151.5" customHeight="1" x14ac:dyDescent="0.3">
      <c r="A65" s="525"/>
      <c r="B65" s="528"/>
      <c r="C65" s="528"/>
      <c r="D65" s="528"/>
      <c r="E65" s="531"/>
      <c r="F65" s="528"/>
      <c r="G65" s="534"/>
      <c r="H65" s="537"/>
      <c r="I65" s="513"/>
      <c r="J65" s="516"/>
      <c r="K65" s="513">
        <f>IF(NOT(ISERROR(MATCH(J65,_xlfn.ANCHORARRAY(E76),0))),I78&amp;"Por favor no seleccionar los criterios de impacto",J65)</f>
        <v>0</v>
      </c>
      <c r="L65" s="519"/>
      <c r="M65" s="513"/>
      <c r="N65" s="522"/>
      <c r="O65" s="442">
        <v>2</v>
      </c>
      <c r="P65" s="455"/>
      <c r="Q65" s="444" t="str">
        <f t="shared" si="6"/>
        <v/>
      </c>
      <c r="R65" s="445"/>
      <c r="S65" s="445"/>
      <c r="T65" s="446" t="str">
        <f t="shared" si="7"/>
        <v/>
      </c>
      <c r="U65" s="445"/>
      <c r="V65" s="445"/>
      <c r="W65" s="445"/>
      <c r="X65" s="447" t="str">
        <f>IFERROR(IF(AND(Q64="Probabilidad",Q65="Probabilidad"),(Z64-(+Z64*T65)),IF(Q65="Probabilidad",(I64-(+I64*T65)),IF(Q65="Impacto",Z64,""))),"")</f>
        <v/>
      </c>
      <c r="Y65" s="448" t="str">
        <f t="shared" si="4"/>
        <v/>
      </c>
      <c r="Z65" s="449" t="str">
        <f t="shared" si="8"/>
        <v/>
      </c>
      <c r="AA65" s="448" t="str">
        <f t="shared" si="5"/>
        <v/>
      </c>
      <c r="AB65" s="449" t="str">
        <f>IFERROR(IF(AND(Q64="Impacto",Q65="Impacto"),(AB64-(+AB64*T65)),IF(Q65="Impacto",(M64-(+M64*T65)),IF(Q65="Probabilidad",AB64,""))),"")</f>
        <v/>
      </c>
      <c r="AC65" s="450" t="str">
        <f t="shared" si="9"/>
        <v/>
      </c>
      <c r="AD65" s="451"/>
      <c r="AE65" s="452"/>
      <c r="AF65" s="454"/>
      <c r="AG65" s="453"/>
      <c r="AH65" s="453"/>
      <c r="AI65" s="452"/>
      <c r="AJ65" s="454"/>
      <c r="AK65" s="454"/>
      <c r="AL65" s="454"/>
      <c r="AM65" s="454"/>
    </row>
    <row r="66" spans="1:39" ht="151.5" customHeight="1" x14ac:dyDescent="0.3">
      <c r="A66" s="525"/>
      <c r="B66" s="528"/>
      <c r="C66" s="528"/>
      <c r="D66" s="528"/>
      <c r="E66" s="531"/>
      <c r="F66" s="528"/>
      <c r="G66" s="534"/>
      <c r="H66" s="537"/>
      <c r="I66" s="513"/>
      <c r="J66" s="516"/>
      <c r="K66" s="513">
        <f>IF(NOT(ISERROR(MATCH(J66,_xlfn.ANCHORARRAY(E77),0))),I79&amp;"Por favor no seleccionar los criterios de impacto",J66)</f>
        <v>0</v>
      </c>
      <c r="L66" s="519"/>
      <c r="M66" s="513"/>
      <c r="N66" s="522"/>
      <c r="O66" s="442">
        <v>3</v>
      </c>
      <c r="P66" s="456"/>
      <c r="Q66" s="444" t="str">
        <f t="shared" si="6"/>
        <v/>
      </c>
      <c r="R66" s="445"/>
      <c r="S66" s="445"/>
      <c r="T66" s="446" t="str">
        <f t="shared" si="7"/>
        <v/>
      </c>
      <c r="U66" s="445"/>
      <c r="V66" s="445"/>
      <c r="W66" s="445"/>
      <c r="X66" s="447" t="str">
        <f>IFERROR(IF(AND(Q65="Probabilidad",Q66="Probabilidad"),(Z65-(+Z65*T66)),IF(AND(Q65="Impacto",Q66="Probabilidad"),(Z64-(+Z64*T66)),IF(Q66="Impacto",Z65,""))),"")</f>
        <v/>
      </c>
      <c r="Y66" s="448" t="str">
        <f t="shared" si="4"/>
        <v/>
      </c>
      <c r="Z66" s="449" t="str">
        <f t="shared" si="8"/>
        <v/>
      </c>
      <c r="AA66" s="448" t="str">
        <f t="shared" si="5"/>
        <v/>
      </c>
      <c r="AB66" s="449" t="str">
        <f>IFERROR(IF(AND(Q65="Impacto",Q66="Impacto"),(AB65-(+AB65*T66)),IF(AND(Q65="Probabilidad",Q66="Impacto"),(AB64-(+AB64*T66)),IF(Q66="Probabilidad",AB65,""))),"")</f>
        <v/>
      </c>
      <c r="AC66" s="450" t="str">
        <f t="shared" si="9"/>
        <v/>
      </c>
      <c r="AD66" s="451"/>
      <c r="AE66" s="452"/>
      <c r="AF66" s="454"/>
      <c r="AG66" s="453"/>
      <c r="AH66" s="453"/>
      <c r="AI66" s="452"/>
      <c r="AJ66" s="454"/>
      <c r="AK66" s="454"/>
      <c r="AL66" s="454"/>
      <c r="AM66" s="454"/>
    </row>
    <row r="67" spans="1:39" ht="151.5" customHeight="1" x14ac:dyDescent="0.3">
      <c r="A67" s="525"/>
      <c r="B67" s="528"/>
      <c r="C67" s="528"/>
      <c r="D67" s="528"/>
      <c r="E67" s="531"/>
      <c r="F67" s="528"/>
      <c r="G67" s="534"/>
      <c r="H67" s="537"/>
      <c r="I67" s="513"/>
      <c r="J67" s="516"/>
      <c r="K67" s="513">
        <f>IF(NOT(ISERROR(MATCH(J67,_xlfn.ANCHORARRAY(E78),0))),I80&amp;"Por favor no seleccionar los criterios de impacto",J67)</f>
        <v>0</v>
      </c>
      <c r="L67" s="519"/>
      <c r="M67" s="513"/>
      <c r="N67" s="522"/>
      <c r="O67" s="442">
        <v>4</v>
      </c>
      <c r="P67" s="455"/>
      <c r="Q67" s="444" t="str">
        <f t="shared" si="6"/>
        <v/>
      </c>
      <c r="R67" s="445"/>
      <c r="S67" s="445"/>
      <c r="T67" s="446" t="str">
        <f t="shared" si="7"/>
        <v/>
      </c>
      <c r="U67" s="445"/>
      <c r="V67" s="445"/>
      <c r="W67" s="445"/>
      <c r="X67" s="447" t="str">
        <f>IFERROR(IF(AND(Q66="Probabilidad",Q67="Probabilidad"),(Z66-(+Z66*T67)),IF(AND(Q66="Impacto",Q67="Probabilidad"),(Z65-(+Z65*T67)),IF(Q67="Impacto",Z66,""))),"")</f>
        <v/>
      </c>
      <c r="Y67" s="448" t="str">
        <f t="shared" si="4"/>
        <v/>
      </c>
      <c r="Z67" s="449" t="str">
        <f t="shared" si="8"/>
        <v/>
      </c>
      <c r="AA67" s="448" t="str">
        <f t="shared" si="5"/>
        <v/>
      </c>
      <c r="AB67" s="449" t="str">
        <f>IFERROR(IF(AND(Q66="Impacto",Q67="Impacto"),(AB66-(+AB66*T67)),IF(AND(Q66="Probabilidad",Q67="Impacto"),(AB65-(+AB65*T67)),IF(Q67="Probabilidad",AB66,""))),"")</f>
        <v/>
      </c>
      <c r="AC67" s="450" t="str">
        <f t="shared" si="9"/>
        <v/>
      </c>
      <c r="AD67" s="451"/>
      <c r="AE67" s="452"/>
      <c r="AF67" s="454"/>
      <c r="AG67" s="453"/>
      <c r="AH67" s="453"/>
      <c r="AI67" s="452"/>
      <c r="AJ67" s="454"/>
      <c r="AK67" s="454"/>
      <c r="AL67" s="454"/>
      <c r="AM67" s="454"/>
    </row>
    <row r="68" spans="1:39" ht="151.5" customHeight="1" x14ac:dyDescent="0.3">
      <c r="A68" s="525"/>
      <c r="B68" s="528"/>
      <c r="C68" s="528"/>
      <c r="D68" s="528"/>
      <c r="E68" s="531"/>
      <c r="F68" s="528"/>
      <c r="G68" s="534"/>
      <c r="H68" s="537"/>
      <c r="I68" s="513"/>
      <c r="J68" s="516"/>
      <c r="K68" s="513">
        <f>IF(NOT(ISERROR(MATCH(J68,_xlfn.ANCHORARRAY(E79),0))),I81&amp;"Por favor no seleccionar los criterios de impacto",J68)</f>
        <v>0</v>
      </c>
      <c r="L68" s="519"/>
      <c r="M68" s="513"/>
      <c r="N68" s="522"/>
      <c r="O68" s="442">
        <v>5</v>
      </c>
      <c r="P68" s="455"/>
      <c r="Q68" s="444" t="str">
        <f t="shared" si="6"/>
        <v/>
      </c>
      <c r="R68" s="445"/>
      <c r="S68" s="445"/>
      <c r="T68" s="446" t="str">
        <f t="shared" si="7"/>
        <v/>
      </c>
      <c r="U68" s="445"/>
      <c r="V68" s="445"/>
      <c r="W68" s="445"/>
      <c r="X68" s="447" t="str">
        <f>IFERROR(IF(AND(Q67="Probabilidad",Q68="Probabilidad"),(Z67-(+Z67*T68)),IF(AND(Q67="Impacto",Q68="Probabilidad"),(Z66-(+Z66*T68)),IF(Q68="Impacto",Z67,""))),"")</f>
        <v/>
      </c>
      <c r="Y68" s="448" t="str">
        <f t="shared" si="4"/>
        <v/>
      </c>
      <c r="Z68" s="449" t="str">
        <f t="shared" si="8"/>
        <v/>
      </c>
      <c r="AA68" s="448" t="str">
        <f t="shared" si="5"/>
        <v/>
      </c>
      <c r="AB68" s="449" t="str">
        <f>IFERROR(IF(AND(Q67="Impacto",Q68="Impacto"),(AB67-(+AB67*T68)),IF(AND(Q67="Probabilidad",Q68="Impacto"),(AB66-(+AB66*T68)),IF(Q68="Probabilidad",AB67,""))),"")</f>
        <v/>
      </c>
      <c r="AC68" s="450" t="str">
        <f t="shared" si="9"/>
        <v/>
      </c>
      <c r="AD68" s="451"/>
      <c r="AE68" s="452"/>
      <c r="AF68" s="454"/>
      <c r="AG68" s="453"/>
      <c r="AH68" s="453"/>
      <c r="AI68" s="452"/>
      <c r="AJ68" s="454"/>
      <c r="AK68" s="454"/>
      <c r="AL68" s="454"/>
      <c r="AM68" s="454"/>
    </row>
    <row r="69" spans="1:39" ht="151.5" customHeight="1" x14ac:dyDescent="0.3">
      <c r="A69" s="526"/>
      <c r="B69" s="529"/>
      <c r="C69" s="529"/>
      <c r="D69" s="529"/>
      <c r="E69" s="532"/>
      <c r="F69" s="529"/>
      <c r="G69" s="535"/>
      <c r="H69" s="538"/>
      <c r="I69" s="514"/>
      <c r="J69" s="517"/>
      <c r="K69" s="514">
        <f>IF(NOT(ISERROR(MATCH(J69,_xlfn.ANCHORARRAY(E80),0))),I82&amp;"Por favor no seleccionar los criterios de impacto",J69)</f>
        <v>0</v>
      </c>
      <c r="L69" s="520"/>
      <c r="M69" s="514"/>
      <c r="N69" s="523"/>
      <c r="O69" s="442">
        <v>6</v>
      </c>
      <c r="P69" s="455"/>
      <c r="Q69" s="444" t="str">
        <f t="shared" si="6"/>
        <v/>
      </c>
      <c r="R69" s="445"/>
      <c r="S69" s="445"/>
      <c r="T69" s="446" t="str">
        <f t="shared" si="7"/>
        <v/>
      </c>
      <c r="U69" s="445"/>
      <c r="V69" s="445"/>
      <c r="W69" s="445"/>
      <c r="X69" s="447" t="str">
        <f>IFERROR(IF(AND(Q68="Probabilidad",Q69="Probabilidad"),(Z68-(+Z68*T69)),IF(AND(Q68="Impacto",Q69="Probabilidad"),(Z67-(+Z67*T69)),IF(Q69="Impacto",Z68,""))),"")</f>
        <v/>
      </c>
      <c r="Y69" s="448" t="str">
        <f t="shared" si="4"/>
        <v/>
      </c>
      <c r="Z69" s="449" t="str">
        <f t="shared" si="8"/>
        <v/>
      </c>
      <c r="AA69" s="448" t="str">
        <f t="shared" si="5"/>
        <v/>
      </c>
      <c r="AB69" s="449" t="str">
        <f>IFERROR(IF(AND(Q68="Impacto",Q69="Impacto"),(AB68-(+AB68*T69)),IF(AND(Q68="Probabilidad",Q69="Impacto"),(AB67-(+AB67*T69)),IF(Q69="Probabilidad",AB68,""))),"")</f>
        <v/>
      </c>
      <c r="AC69" s="450" t="str">
        <f t="shared" si="9"/>
        <v/>
      </c>
      <c r="AD69" s="451"/>
      <c r="AE69" s="452"/>
      <c r="AF69" s="454"/>
      <c r="AG69" s="453"/>
      <c r="AH69" s="453"/>
      <c r="AI69" s="452"/>
      <c r="AJ69" s="454"/>
      <c r="AK69" s="454"/>
      <c r="AL69" s="454"/>
      <c r="AM69" s="454"/>
    </row>
    <row r="70" spans="1:39" ht="49.5" customHeight="1" x14ac:dyDescent="0.3">
      <c r="A70" s="458"/>
      <c r="B70" s="509" t="s">
        <v>1051</v>
      </c>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1"/>
    </row>
    <row r="72" spans="1:39" x14ac:dyDescent="0.3">
      <c r="A72" s="459"/>
      <c r="B72" s="246" t="s">
        <v>1052</v>
      </c>
      <c r="C72" s="221"/>
      <c r="D72" s="221"/>
      <c r="F72" s="221"/>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6" priority="166" operator="equal">
      <formula>"Baja"</formula>
    </cfRule>
    <cfRule type="cellIs" dxfId="295" priority="165" operator="equal">
      <formula>"Media"</formula>
    </cfRule>
    <cfRule type="cellIs" dxfId="294" priority="164" operator="equal">
      <formula>"Alta"</formula>
    </cfRule>
    <cfRule type="cellIs" dxfId="293" priority="163" operator="equal">
      <formula>"Muy Alta"</formula>
    </cfRule>
    <cfRule type="cellIs" dxfId="292" priority="167" operator="equal">
      <formula>"Muy Baja"</formula>
    </cfRule>
  </conditionalFormatting>
  <conditionalFormatting sqref="H22">
    <cfRule type="cellIs" dxfId="291" priority="147" operator="equal">
      <formula>"Media"</formula>
    </cfRule>
    <cfRule type="cellIs" dxfId="290" priority="149" operator="equal">
      <formula>"Muy Baja"</formula>
    </cfRule>
    <cfRule type="cellIs" dxfId="289" priority="148" operator="equal">
      <formula>"Baja"</formula>
    </cfRule>
    <cfRule type="cellIs" dxfId="288" priority="146" operator="equal">
      <formula>"Alta"</formula>
    </cfRule>
    <cfRule type="cellIs" dxfId="287" priority="145" operator="equal">
      <formula>"Muy Alta"</formula>
    </cfRule>
  </conditionalFormatting>
  <conditionalFormatting sqref="H28">
    <cfRule type="cellIs" dxfId="286" priority="140" operator="equal">
      <formula>"Muy Baja"</formula>
    </cfRule>
    <cfRule type="cellIs" dxfId="285" priority="138" operator="equal">
      <formula>"Media"</formula>
    </cfRule>
    <cfRule type="cellIs" dxfId="284" priority="136" operator="equal">
      <formula>"Muy Alta"</formula>
    </cfRule>
    <cfRule type="cellIs" dxfId="283" priority="137" operator="equal">
      <formula>"Alta"</formula>
    </cfRule>
    <cfRule type="cellIs" dxfId="282" priority="139" operator="equal">
      <formula>"Baja"</formula>
    </cfRule>
  </conditionalFormatting>
  <conditionalFormatting sqref="H34">
    <cfRule type="cellIs" dxfId="281" priority="128" operator="equal">
      <formula>"Alta"</formula>
    </cfRule>
    <cfRule type="cellIs" dxfId="280" priority="127" operator="equal">
      <formula>"Muy Alta"</formula>
    </cfRule>
    <cfRule type="cellIs" dxfId="279" priority="129" operator="equal">
      <formula>"Media"</formula>
    </cfRule>
    <cfRule type="cellIs" dxfId="278" priority="130" operator="equal">
      <formula>"Baja"</formula>
    </cfRule>
    <cfRule type="cellIs" dxfId="277" priority="131" operator="equal">
      <formula>"Muy Baja"</formula>
    </cfRule>
  </conditionalFormatting>
  <conditionalFormatting sqref="H40">
    <cfRule type="cellIs" dxfId="276" priority="119" operator="equal">
      <formula>"Alta"</formula>
    </cfRule>
    <cfRule type="cellIs" dxfId="275" priority="118" operator="equal">
      <formula>"Muy Alta"</formula>
    </cfRule>
    <cfRule type="cellIs" dxfId="274" priority="121" operator="equal">
      <formula>"Baja"</formula>
    </cfRule>
    <cfRule type="cellIs" dxfId="273" priority="122" operator="equal">
      <formula>"Muy Baja"</formula>
    </cfRule>
    <cfRule type="cellIs" dxfId="272" priority="120" operator="equal">
      <formula>"Media"</formula>
    </cfRule>
  </conditionalFormatting>
  <conditionalFormatting sqref="H46">
    <cfRule type="cellIs" dxfId="271" priority="113" operator="equal">
      <formula>"Muy Baja"</formula>
    </cfRule>
    <cfRule type="cellIs" dxfId="270" priority="109" operator="equal">
      <formula>"Muy Alta"</formula>
    </cfRule>
    <cfRule type="cellIs" dxfId="269" priority="110" operator="equal">
      <formula>"Alta"</formula>
    </cfRule>
    <cfRule type="cellIs" dxfId="268" priority="111" operator="equal">
      <formula>"Media"</formula>
    </cfRule>
    <cfRule type="cellIs" dxfId="267" priority="112" operator="equal">
      <formula>"Baja"</formula>
    </cfRule>
  </conditionalFormatting>
  <conditionalFormatting sqref="H52">
    <cfRule type="cellIs" dxfId="266" priority="102" operator="equal">
      <formula>"Media"</formula>
    </cfRule>
    <cfRule type="cellIs" dxfId="265" priority="100" operator="equal">
      <formula>"Muy Alta"</formula>
    </cfRule>
    <cfRule type="cellIs" dxfId="264" priority="103" operator="equal">
      <formula>"Baja"</formula>
    </cfRule>
    <cfRule type="cellIs" dxfId="263" priority="104" operator="equal">
      <formula>"Muy Baja"</formula>
    </cfRule>
    <cfRule type="cellIs" dxfId="262" priority="101" operator="equal">
      <formula>"Alta"</formula>
    </cfRule>
  </conditionalFormatting>
  <conditionalFormatting sqref="H58">
    <cfRule type="cellIs" dxfId="261" priority="93" operator="equal">
      <formula>"Media"</formula>
    </cfRule>
    <cfRule type="cellIs" dxfId="260" priority="95" operator="equal">
      <formula>"Muy Baja"</formula>
    </cfRule>
    <cfRule type="cellIs" dxfId="259" priority="94" operator="equal">
      <formula>"Baja"</formula>
    </cfRule>
    <cfRule type="cellIs" dxfId="258" priority="91" operator="equal">
      <formula>"Muy Alta"</formula>
    </cfRule>
    <cfRule type="cellIs" dxfId="257" priority="92" operator="equal">
      <formula>"Alta"</formula>
    </cfRule>
  </conditionalFormatting>
  <conditionalFormatting sqref="H64">
    <cfRule type="cellIs" dxfId="256" priority="82" operator="equal">
      <formula>"Muy Alta"</formula>
    </cfRule>
    <cfRule type="cellIs" dxfId="255" priority="84" operator="equal">
      <formula>"Media"</formula>
    </cfRule>
    <cfRule type="cellIs" dxfId="254" priority="83" operator="equal">
      <formula>"Alta"</formula>
    </cfRule>
    <cfRule type="cellIs" dxfId="253" priority="86" operator="equal">
      <formula>"Muy Baja"</formula>
    </cfRule>
    <cfRule type="cellIs" dxfId="252" priority="85" operator="equal">
      <formula>"Baja"</formula>
    </cfRule>
  </conditionalFormatting>
  <conditionalFormatting sqref="K10:K69">
    <cfRule type="containsText" dxfId="251" priority="63" operator="containsText" text="❌">
      <formula>NOT(ISERROR(SEARCH("❌",K10)))</formula>
    </cfRule>
  </conditionalFormatting>
  <conditionalFormatting sqref="L10 L16 L22 L28 L34 L40 L46 L52 L58 L64">
    <cfRule type="cellIs" dxfId="250" priority="161" operator="equal">
      <formula>"Menor"</formula>
    </cfRule>
    <cfRule type="cellIs" dxfId="249" priority="158" operator="equal">
      <formula>"Catastrófico"</formula>
    </cfRule>
    <cfRule type="cellIs" dxfId="248" priority="159" operator="equal">
      <formula>"Mayor"</formula>
    </cfRule>
    <cfRule type="cellIs" dxfId="247" priority="160" operator="equal">
      <formula>"Moderado"</formula>
    </cfRule>
    <cfRule type="cellIs" dxfId="246" priority="162" operator="equal">
      <formula>"Leve"</formula>
    </cfRule>
  </conditionalFormatting>
  <conditionalFormatting sqref="N10">
    <cfRule type="cellIs" dxfId="245" priority="157" operator="equal">
      <formula>"Bajo"</formula>
    </cfRule>
    <cfRule type="cellIs" dxfId="244" priority="154" operator="equal">
      <formula>"Extremo"</formula>
    </cfRule>
    <cfRule type="cellIs" dxfId="243" priority="155" operator="equal">
      <formula>"Alto"</formula>
    </cfRule>
    <cfRule type="cellIs" dxfId="242" priority="156" operator="equal">
      <formula>"Moderado"</formula>
    </cfRule>
  </conditionalFormatting>
  <conditionalFormatting sqref="N16">
    <cfRule type="cellIs" dxfId="241" priority="150" operator="equal">
      <formula>"Extremo"</formula>
    </cfRule>
    <cfRule type="cellIs" dxfId="240" priority="153" operator="equal">
      <formula>"Bajo"</formula>
    </cfRule>
    <cfRule type="cellIs" dxfId="239" priority="152" operator="equal">
      <formula>"Moderado"</formula>
    </cfRule>
    <cfRule type="cellIs" dxfId="238" priority="151" operator="equal">
      <formula>"Alto"</formula>
    </cfRule>
  </conditionalFormatting>
  <conditionalFormatting sqref="N22">
    <cfRule type="cellIs" dxfId="237" priority="144" operator="equal">
      <formula>"Bajo"</formula>
    </cfRule>
    <cfRule type="cellIs" dxfId="236" priority="141" operator="equal">
      <formula>"Extremo"</formula>
    </cfRule>
    <cfRule type="cellIs" dxfId="235" priority="142" operator="equal">
      <formula>"Alto"</formula>
    </cfRule>
    <cfRule type="cellIs" dxfId="234" priority="143" operator="equal">
      <formula>"Moderado"</formula>
    </cfRule>
  </conditionalFormatting>
  <conditionalFormatting sqref="N28">
    <cfRule type="cellIs" dxfId="233" priority="132" operator="equal">
      <formula>"Extremo"</formula>
    </cfRule>
    <cfRule type="cellIs" dxfId="232" priority="133" operator="equal">
      <formula>"Alto"</formula>
    </cfRule>
    <cfRule type="cellIs" dxfId="231" priority="134" operator="equal">
      <formula>"Moderado"</formula>
    </cfRule>
    <cfRule type="cellIs" dxfId="230" priority="135" operator="equal">
      <formula>"Bajo"</formula>
    </cfRule>
  </conditionalFormatting>
  <conditionalFormatting sqref="N34">
    <cfRule type="cellIs" dxfId="229" priority="124" operator="equal">
      <formula>"Alto"</formula>
    </cfRule>
    <cfRule type="cellIs" dxfId="228" priority="123" operator="equal">
      <formula>"Extremo"</formula>
    </cfRule>
    <cfRule type="cellIs" dxfId="227" priority="125" operator="equal">
      <formula>"Moderado"</formula>
    </cfRule>
    <cfRule type="cellIs" dxfId="226" priority="126" operator="equal">
      <formula>"Bajo"</formula>
    </cfRule>
  </conditionalFormatting>
  <conditionalFormatting sqref="N40">
    <cfRule type="cellIs" dxfId="225" priority="116" operator="equal">
      <formula>"Moderado"</formula>
    </cfRule>
    <cfRule type="cellIs" dxfId="224" priority="115" operator="equal">
      <formula>"Alto"</formula>
    </cfRule>
    <cfRule type="cellIs" dxfId="223" priority="117" operator="equal">
      <formula>"Bajo"</formula>
    </cfRule>
    <cfRule type="cellIs" dxfId="222" priority="114" operator="equal">
      <formula>"Extremo"</formula>
    </cfRule>
  </conditionalFormatting>
  <conditionalFormatting sqref="N46">
    <cfRule type="cellIs" dxfId="221" priority="108" operator="equal">
      <formula>"Bajo"</formula>
    </cfRule>
    <cfRule type="cellIs" dxfId="220" priority="107" operator="equal">
      <formula>"Moderado"</formula>
    </cfRule>
    <cfRule type="cellIs" dxfId="219" priority="106" operator="equal">
      <formula>"Alto"</formula>
    </cfRule>
    <cfRule type="cellIs" dxfId="218" priority="105" operator="equal">
      <formula>"Extremo"</formula>
    </cfRule>
  </conditionalFormatting>
  <conditionalFormatting sqref="N52">
    <cfRule type="cellIs" dxfId="217" priority="96" operator="equal">
      <formula>"Extremo"</formula>
    </cfRule>
    <cfRule type="cellIs" dxfId="216" priority="97" operator="equal">
      <formula>"Alto"</formula>
    </cfRule>
    <cfRule type="cellIs" dxfId="215" priority="99" operator="equal">
      <formula>"Bajo"</formula>
    </cfRule>
    <cfRule type="cellIs" dxfId="214" priority="98" operator="equal">
      <formula>"Moderado"</formula>
    </cfRule>
  </conditionalFormatting>
  <conditionalFormatting sqref="N58">
    <cfRule type="cellIs" dxfId="213" priority="87" operator="equal">
      <formula>"Extremo"</formula>
    </cfRule>
    <cfRule type="cellIs" dxfId="212" priority="88" operator="equal">
      <formula>"Alto"</formula>
    </cfRule>
    <cfRule type="cellIs" dxfId="211" priority="90" operator="equal">
      <formula>"Bajo"</formula>
    </cfRule>
    <cfRule type="cellIs" dxfId="210" priority="89" operator="equal">
      <formula>"Moderado"</formula>
    </cfRule>
  </conditionalFormatting>
  <conditionalFormatting sqref="N64">
    <cfRule type="cellIs" dxfId="209" priority="78" operator="equal">
      <formula>"Extremo"</formula>
    </cfRule>
    <cfRule type="cellIs" dxfId="208" priority="81" operator="equal">
      <formula>"Bajo"</formula>
    </cfRule>
    <cfRule type="cellIs" dxfId="207" priority="80" operator="equal">
      <formula>"Moderado"</formula>
    </cfRule>
    <cfRule type="cellIs" dxfId="206" priority="79" operator="equal">
      <formula>"Alto"</formula>
    </cfRule>
  </conditionalFormatting>
  <conditionalFormatting sqref="Y10:Y69">
    <cfRule type="cellIs" dxfId="205" priority="1" operator="equal">
      <formula>"Muy Alta"</formula>
    </cfRule>
    <cfRule type="cellIs" dxfId="204" priority="5" operator="equal">
      <formula>"Muy Baja"</formula>
    </cfRule>
    <cfRule type="cellIs" dxfId="203" priority="4" operator="equal">
      <formula>"Baja"</formula>
    </cfRule>
    <cfRule type="cellIs" dxfId="202" priority="3" operator="equal">
      <formula>"Media"</formula>
    </cfRule>
    <cfRule type="cellIs" dxfId="201" priority="2" operator="equal">
      <formula>"Alta"</formula>
    </cfRule>
  </conditionalFormatting>
  <conditionalFormatting sqref="AA10:AA69">
    <cfRule type="cellIs" dxfId="200" priority="18" operator="equal">
      <formula>"Menor"</formula>
    </cfRule>
    <cfRule type="cellIs" dxfId="199" priority="17" operator="equal">
      <formula>"Moderado"</formula>
    </cfRule>
    <cfRule type="cellIs" dxfId="198" priority="16" operator="equal">
      <formula>"Mayor"</formula>
    </cfRule>
    <cfRule type="cellIs" dxfId="197" priority="15" operator="equal">
      <formula>"Catastrófico"</formula>
    </cfRule>
    <cfRule type="cellIs" dxfId="196" priority="19" operator="equal">
      <formula>"Leve"</formula>
    </cfRule>
  </conditionalFormatting>
  <conditionalFormatting sqref="AC10:AC69">
    <cfRule type="cellIs" dxfId="195" priority="14" operator="equal">
      <formula>"Bajo"</formula>
    </cfRule>
    <cfRule type="cellIs" dxfId="194" priority="13" operator="equal">
      <formula>"Moderado"</formula>
    </cfRule>
    <cfRule type="cellIs" dxfId="193" priority="11" operator="equal">
      <formula>"Extremo"</formula>
    </cfRule>
    <cfRule type="cellIs" dxfId="192" priority="1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'Hoja1 (2)'!$A$6:$A$7</xm:f>
          </x14:formula1>
          <xm:sqref>S10:S69</xm:sqref>
        </x14:dataValidation>
        <x14:dataValidation type="list" allowBlank="1" showInputMessage="1" showErrorMessage="1" xr:uid="{00000000-0002-0000-0400-000002000000}">
          <x14:formula1>
            <xm:f>'Hoja1 (2)'!$A$3:$A$5</xm:f>
          </x14:formula1>
          <xm:sqref>R10:R69</xm:sqref>
        </x14:dataValidation>
        <x14:dataValidation type="list" allowBlank="1" showInputMessage="1" showErrorMessage="1" xr:uid="{00000000-0002-0000-0400-000003000000}">
          <x14:formula1>
            <xm:f>'Tabla Valoración controles'!$D$13:$D$14</xm:f>
          </x14:formula1>
          <xm:sqref>W10:W69</xm:sqref>
        </x14:dataValidation>
        <x14:dataValidation type="list" allowBlank="1" showInputMessage="1" showErrorMessage="1" xr:uid="{00000000-0002-0000-0400-000004000000}">
          <x14:formula1>
            <xm:f>'Hoja1 (2)'!$A$10:$A$11</xm:f>
          </x14:formula1>
          <xm:sqref>V10:V69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'Opciones Tratamiento'!$B$2:$B$5</xm:f>
          </x14:formula1>
          <xm:sqref>AD10:AD69</xm:sqref>
        </x14:dataValidation>
        <x14:dataValidation type="list" allowBlank="1" showInputMessage="1" showErrorMessage="1" xr:uid="{00000000-0002-0000-0400-000007000000}">
          <x14:formula1>
            <xm:f>'Tabla Impacto'!$F$210:$F$215</xm:f>
          </x14:formula1>
          <xm:sqref>J10:J69</xm:sqref>
        </x14:dataValidation>
        <x14:dataValidation type="list" allowBlank="1" showInputMessage="1" showErrorMessage="1" xr:uid="{00000000-0002-0000-0400-000008000000}">
          <x14:formula1>
            <xm:f>'Opciones Tratamiento'!$E$2</xm:f>
          </x14:formula1>
          <xm:sqref>B10:B69</xm:sqref>
        </x14:dataValidation>
        <x14:dataValidation type="list" allowBlank="1" showInputMessage="1" showErrorMessage="1" xr:uid="{00000000-0002-0000-0400-000009000000}">
          <x14:formula1>
            <xm:f>'Hoja1 (2)'!$A$20:$A$21</xm:f>
          </x14:formula1>
          <xm:sqref>AJ10:AJ69</xm:sqref>
        </x14:dataValidation>
        <x14:dataValidation type="list" allowBlank="1" showInputMessage="1" showErrorMessage="1" xr:uid="{00000000-0002-0000-0400-00000A000000}">
          <x14:formula1>
            <xm:f>Hoja1!$A$1:$A$14</xm:f>
          </x14:formula1>
          <xm:sqref>C4:V4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J6" sqref="J6:AM4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6" t="s">
        <v>1053</v>
      </c>
      <c r="C2" s="576"/>
      <c r="D2" s="576"/>
      <c r="E2" s="576"/>
      <c r="F2" s="576"/>
      <c r="G2" s="576"/>
      <c r="H2" s="576"/>
      <c r="I2" s="576"/>
      <c r="J2" s="577" t="s">
        <v>5</v>
      </c>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6"/>
      <c r="C3" s="576"/>
      <c r="D3" s="576"/>
      <c r="E3" s="576"/>
      <c r="F3" s="576"/>
      <c r="G3" s="576"/>
      <c r="H3" s="576"/>
      <c r="I3" s="576"/>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6"/>
      <c r="C4" s="576"/>
      <c r="D4" s="576"/>
      <c r="E4" s="576"/>
      <c r="F4" s="576"/>
      <c r="G4" s="576"/>
      <c r="H4" s="576"/>
      <c r="I4" s="576"/>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78" t="s">
        <v>3</v>
      </c>
      <c r="C6" s="578"/>
      <c r="D6" s="579"/>
      <c r="E6" s="580" t="s">
        <v>1054</v>
      </c>
      <c r="F6" s="581"/>
      <c r="G6" s="581"/>
      <c r="H6" s="581"/>
      <c r="I6" s="582"/>
      <c r="J6" s="589" t="str">
        <f>IF(AND('Mapa final'!$H$10="Muy Alta",'Mapa final'!$L$10="Leve"),CONCATENATE("R",'Mapa final'!$A$10),"")</f>
        <v/>
      </c>
      <c r="K6" s="590"/>
      <c r="L6" s="590" t="str">
        <f>IF(AND('Mapa final'!$H$16="Muy Alta",'Mapa final'!$L$16="Leve"),CONCATENATE("R",'Mapa final'!$A$16),"")</f>
        <v/>
      </c>
      <c r="M6" s="590"/>
      <c r="N6" s="590" t="str">
        <f>IF(AND('Mapa final'!$H$22="Muy Alta",'Mapa final'!$L$22="Leve"),CONCATENATE("R",'Mapa final'!$A$22),"")</f>
        <v/>
      </c>
      <c r="O6" s="593"/>
      <c r="P6" s="589" t="str">
        <f>IF(AND('Mapa final'!$H$10="Muy Alta",'Mapa final'!$L$10="Menor"),CONCATENATE("R",'Mapa final'!$A$10),"")</f>
        <v/>
      </c>
      <c r="Q6" s="590"/>
      <c r="R6" s="590" t="str">
        <f>IF(AND('Mapa final'!$H$16="Muy Alta",'Mapa final'!$L$16="Menor"),CONCATENATE("R",'Mapa final'!$A$16),"")</f>
        <v/>
      </c>
      <c r="S6" s="590"/>
      <c r="T6" s="590" t="str">
        <f>IF(AND('Mapa final'!$H$22="Muy Alta",'Mapa final'!$L$22="Menor"),CONCATENATE("R",'Mapa final'!$A$22),"")</f>
        <v/>
      </c>
      <c r="U6" s="593"/>
      <c r="V6" s="589" t="str">
        <f>IF(AND('Mapa final'!$H$10="Muy Alta",'Mapa final'!$L$10="Moderado"),CONCATENATE("R",'Mapa final'!$A$10),"")</f>
        <v/>
      </c>
      <c r="W6" s="590"/>
      <c r="X6" s="590" t="str">
        <f>IF(AND('Mapa final'!$H$16="Muy Alta",'Mapa final'!$L$16="Moderado"),CONCATENATE("R",'Mapa final'!$A$16),"")</f>
        <v/>
      </c>
      <c r="Y6" s="590"/>
      <c r="Z6" s="590" t="str">
        <f>IF(AND('Mapa final'!$H$22="Muy Alta",'Mapa final'!$L$22="Moderado"),CONCATENATE("R",'Mapa final'!$A$22),"")</f>
        <v/>
      </c>
      <c r="AA6" s="593"/>
      <c r="AB6" s="589" t="str">
        <f>IF(AND('Mapa final'!$H$10="Muy Alta",'Mapa final'!$L$10="Mayor"),CONCATENATE("R",'Mapa final'!$A$10),"")</f>
        <v/>
      </c>
      <c r="AC6" s="590"/>
      <c r="AD6" s="590" t="str">
        <f>IF(AND('Mapa final'!$H$16="Muy Alta",'Mapa final'!$L$16="Mayor"),CONCATENATE("R",'Mapa final'!$A$16),"")</f>
        <v/>
      </c>
      <c r="AE6" s="590"/>
      <c r="AF6" s="590" t="str">
        <f>IF(AND('Mapa final'!$H$22="Muy Alta",'Mapa final'!$L$22="Mayor"),CONCATENATE("R",'Mapa final'!$A$22),"")</f>
        <v/>
      </c>
      <c r="AG6" s="593"/>
      <c r="AH6" s="595" t="str">
        <f>IF(AND('Mapa final'!$H$10="Muy Alta",'Mapa final'!$L$10="Catastrófico"),CONCATENATE("R",'Mapa final'!$A$10),"")</f>
        <v/>
      </c>
      <c r="AI6" s="596"/>
      <c r="AJ6" s="596" t="str">
        <f>IF(AND('Mapa final'!$H$16="Muy Alta",'Mapa final'!$L$16="Catastrófico"),CONCATENATE("R",'Mapa final'!$A$16),"")</f>
        <v/>
      </c>
      <c r="AK6" s="596"/>
      <c r="AL6" s="596" t="str">
        <f>IF(AND('Mapa final'!$H$22="Muy Alta",'Mapa final'!$L$22="Catastrófico"),CONCATENATE("R",'Mapa final'!$A$22),"")</f>
        <v/>
      </c>
      <c r="AM6" s="599"/>
      <c r="AO6" s="601" t="s">
        <v>1055</v>
      </c>
      <c r="AP6" s="602"/>
      <c r="AQ6" s="602"/>
      <c r="AR6" s="602"/>
      <c r="AS6" s="602"/>
      <c r="AT6" s="60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78"/>
      <c r="C7" s="578"/>
      <c r="D7" s="579"/>
      <c r="E7" s="583"/>
      <c r="F7" s="584"/>
      <c r="G7" s="584"/>
      <c r="H7" s="584"/>
      <c r="I7" s="585"/>
      <c r="J7" s="591"/>
      <c r="K7" s="592"/>
      <c r="L7" s="592"/>
      <c r="M7" s="592"/>
      <c r="N7" s="592"/>
      <c r="O7" s="594"/>
      <c r="P7" s="591"/>
      <c r="Q7" s="592"/>
      <c r="R7" s="592"/>
      <c r="S7" s="592"/>
      <c r="T7" s="592"/>
      <c r="U7" s="594"/>
      <c r="V7" s="591"/>
      <c r="W7" s="592"/>
      <c r="X7" s="592"/>
      <c r="Y7" s="592"/>
      <c r="Z7" s="592"/>
      <c r="AA7" s="594"/>
      <c r="AB7" s="591"/>
      <c r="AC7" s="592"/>
      <c r="AD7" s="592"/>
      <c r="AE7" s="592"/>
      <c r="AF7" s="592"/>
      <c r="AG7" s="594"/>
      <c r="AH7" s="597"/>
      <c r="AI7" s="598"/>
      <c r="AJ7" s="598"/>
      <c r="AK7" s="598"/>
      <c r="AL7" s="598"/>
      <c r="AM7" s="600"/>
      <c r="AN7" s="15"/>
      <c r="AO7" s="604"/>
      <c r="AP7" s="605"/>
      <c r="AQ7" s="605"/>
      <c r="AR7" s="605"/>
      <c r="AS7" s="605"/>
      <c r="AT7" s="60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78"/>
      <c r="C8" s="578"/>
      <c r="D8" s="579"/>
      <c r="E8" s="583"/>
      <c r="F8" s="584"/>
      <c r="G8" s="584"/>
      <c r="H8" s="584"/>
      <c r="I8" s="585"/>
      <c r="J8" s="591" t="str">
        <f>IF(AND('Mapa final'!$H$28="Muy Alta",'Mapa final'!$L$28="Leve"),CONCATENATE("R",'Mapa final'!$A$28),"")</f>
        <v/>
      </c>
      <c r="K8" s="592"/>
      <c r="L8" s="592" t="str">
        <f>IF(AND('Mapa final'!$H$34="Muy Alta",'Mapa final'!$L$34="Leve"),CONCATENATE("R",'Mapa final'!$A$34),"")</f>
        <v/>
      </c>
      <c r="M8" s="592"/>
      <c r="N8" s="592" t="str">
        <f>IF(AND('Mapa final'!$H$40="Muy Alta",'Mapa final'!$L$40="Leve"),CONCATENATE("R",'Mapa final'!$A$40),"")</f>
        <v/>
      </c>
      <c r="O8" s="594"/>
      <c r="P8" s="591" t="str">
        <f>IF(AND('Mapa final'!$H$28="Muy Alta",'Mapa final'!$L$28="Menor"),CONCATENATE("R",'Mapa final'!$A$28),"")</f>
        <v/>
      </c>
      <c r="Q8" s="592"/>
      <c r="R8" s="592" t="str">
        <f>IF(AND('Mapa final'!$H$34="Muy Alta",'Mapa final'!$L$34="Menor"),CONCATENATE("R",'Mapa final'!$A$34),"")</f>
        <v/>
      </c>
      <c r="S8" s="592"/>
      <c r="T8" s="592" t="str">
        <f>IF(AND('Mapa final'!$H$40="Muy Alta",'Mapa final'!$L$40="Menor"),CONCATENATE("R",'Mapa final'!$A$40),"")</f>
        <v/>
      </c>
      <c r="U8" s="594"/>
      <c r="V8" s="591" t="str">
        <f>IF(AND('Mapa final'!$H$28="Muy Alta",'Mapa final'!$L$28="Moderado"),CONCATENATE("R",'Mapa final'!$A$28),"")</f>
        <v/>
      </c>
      <c r="W8" s="592"/>
      <c r="X8" s="592" t="str">
        <f>IF(AND('Mapa final'!$H$34="Muy Alta",'Mapa final'!$L$34="Moderado"),CONCATENATE("R",'Mapa final'!$A$34),"")</f>
        <v/>
      </c>
      <c r="Y8" s="592"/>
      <c r="Z8" s="592" t="str">
        <f>IF(AND('Mapa final'!$H$40="Muy Alta",'Mapa final'!$L$40="Moderado"),CONCATENATE("R",'Mapa final'!$A$40),"")</f>
        <v/>
      </c>
      <c r="AA8" s="594"/>
      <c r="AB8" s="591" t="str">
        <f>IF(AND('Mapa final'!$H$28="Muy Alta",'Mapa final'!$L$28="Mayor"),CONCATENATE("R",'Mapa final'!$A$28),"")</f>
        <v/>
      </c>
      <c r="AC8" s="592"/>
      <c r="AD8" s="592" t="str">
        <f>IF(AND('Mapa final'!$H$34="Muy Alta",'Mapa final'!$L$34="Mayor"),CONCATENATE("R",'Mapa final'!$A$34),"")</f>
        <v/>
      </c>
      <c r="AE8" s="592"/>
      <c r="AF8" s="592" t="str">
        <f>IF(AND('Mapa final'!$H$40="Muy Alta",'Mapa final'!$L$40="Mayor"),CONCATENATE("R",'Mapa final'!$A$40),"")</f>
        <v/>
      </c>
      <c r="AG8" s="594"/>
      <c r="AH8" s="597" t="str">
        <f>IF(AND('Mapa final'!$H$28="Muy Alta",'Mapa final'!$L$28="Catastrófico"),CONCATENATE("R",'Mapa final'!$A$28),"")</f>
        <v/>
      </c>
      <c r="AI8" s="598"/>
      <c r="AJ8" s="598" t="str">
        <f>IF(AND('Mapa final'!$H$34="Muy Alta",'Mapa final'!$L$34="Catastrófico"),CONCATENATE("R",'Mapa final'!$A$34),"")</f>
        <v/>
      </c>
      <c r="AK8" s="598"/>
      <c r="AL8" s="598" t="str">
        <f>IF(AND('Mapa final'!$H$40="Muy Alta",'Mapa final'!$L$40="Catastrófico"),CONCATENATE("R",'Mapa final'!$A$40),"")</f>
        <v/>
      </c>
      <c r="AM8" s="600"/>
      <c r="AN8" s="15"/>
      <c r="AO8" s="604"/>
      <c r="AP8" s="605"/>
      <c r="AQ8" s="605"/>
      <c r="AR8" s="605"/>
      <c r="AS8" s="605"/>
      <c r="AT8" s="60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78"/>
      <c r="C9" s="578"/>
      <c r="D9" s="579"/>
      <c r="E9" s="583"/>
      <c r="F9" s="584"/>
      <c r="G9" s="584"/>
      <c r="H9" s="584"/>
      <c r="I9" s="585"/>
      <c r="J9" s="591"/>
      <c r="K9" s="592"/>
      <c r="L9" s="592"/>
      <c r="M9" s="592"/>
      <c r="N9" s="592"/>
      <c r="O9" s="594"/>
      <c r="P9" s="591"/>
      <c r="Q9" s="592"/>
      <c r="R9" s="592"/>
      <c r="S9" s="592"/>
      <c r="T9" s="592"/>
      <c r="U9" s="594"/>
      <c r="V9" s="591"/>
      <c r="W9" s="592"/>
      <c r="X9" s="592"/>
      <c r="Y9" s="592"/>
      <c r="Z9" s="592"/>
      <c r="AA9" s="594"/>
      <c r="AB9" s="591"/>
      <c r="AC9" s="592"/>
      <c r="AD9" s="592"/>
      <c r="AE9" s="592"/>
      <c r="AF9" s="592"/>
      <c r="AG9" s="594"/>
      <c r="AH9" s="597"/>
      <c r="AI9" s="598"/>
      <c r="AJ9" s="598"/>
      <c r="AK9" s="598"/>
      <c r="AL9" s="598"/>
      <c r="AM9" s="600"/>
      <c r="AN9" s="15"/>
      <c r="AO9" s="604"/>
      <c r="AP9" s="605"/>
      <c r="AQ9" s="605"/>
      <c r="AR9" s="605"/>
      <c r="AS9" s="605"/>
      <c r="AT9" s="60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78"/>
      <c r="C10" s="578"/>
      <c r="D10" s="579"/>
      <c r="E10" s="583"/>
      <c r="F10" s="584"/>
      <c r="G10" s="584"/>
      <c r="H10" s="584"/>
      <c r="I10" s="585"/>
      <c r="J10" s="591" t="str">
        <f>IF(AND('Mapa final'!$H$46="Muy Alta",'Mapa final'!$L$46="Leve"),CONCATENATE("R",'Mapa final'!$A$46),"")</f>
        <v/>
      </c>
      <c r="K10" s="592"/>
      <c r="L10" s="592" t="str">
        <f>IF(AND('Mapa final'!$H$52="Muy Alta",'Mapa final'!$L$52="Leve"),CONCATENATE("R",'Mapa final'!$A$52),"")</f>
        <v/>
      </c>
      <c r="M10" s="592"/>
      <c r="N10" s="592" t="str">
        <f>IF(AND('Mapa final'!$H$58="Muy Alta",'Mapa final'!$L$58="Leve"),CONCATENATE("R",'Mapa final'!$A$58),"")</f>
        <v/>
      </c>
      <c r="O10" s="594"/>
      <c r="P10" s="591" t="str">
        <f>IF(AND('Mapa final'!$H$46="Muy Alta",'Mapa final'!$L$46="Menor"),CONCATENATE("R",'Mapa final'!$A$46),"")</f>
        <v/>
      </c>
      <c r="Q10" s="592"/>
      <c r="R10" s="592" t="str">
        <f>IF(AND('Mapa final'!$H$52="Muy Alta",'Mapa final'!$L$52="Menor"),CONCATENATE("R",'Mapa final'!$A$52),"")</f>
        <v/>
      </c>
      <c r="S10" s="592"/>
      <c r="T10" s="592" t="str">
        <f>IF(AND('Mapa final'!$H$58="Muy Alta",'Mapa final'!$L$58="Menor"),CONCATENATE("R",'Mapa final'!$A$58),"")</f>
        <v/>
      </c>
      <c r="U10" s="594"/>
      <c r="V10" s="591" t="str">
        <f>IF(AND('Mapa final'!$H$46="Muy Alta",'Mapa final'!$L$46="Moderado"),CONCATENATE("R",'Mapa final'!$A$46),"")</f>
        <v/>
      </c>
      <c r="W10" s="592"/>
      <c r="X10" s="592" t="str">
        <f>IF(AND('Mapa final'!$H$52="Muy Alta",'Mapa final'!$L$52="Moderado"),CONCATENATE("R",'Mapa final'!$A$52),"")</f>
        <v/>
      </c>
      <c r="Y10" s="592"/>
      <c r="Z10" s="592" t="str">
        <f>IF(AND('Mapa final'!$H$58="Muy Alta",'Mapa final'!$L$58="Moderado"),CONCATENATE("R",'Mapa final'!$A$58),"")</f>
        <v/>
      </c>
      <c r="AA10" s="594"/>
      <c r="AB10" s="591" t="str">
        <f>IF(AND('Mapa final'!$H$46="Muy Alta",'Mapa final'!$L$46="Mayor"),CONCATENATE("R",'Mapa final'!$A$46),"")</f>
        <v/>
      </c>
      <c r="AC10" s="592"/>
      <c r="AD10" s="592" t="str">
        <f>IF(AND('Mapa final'!$H$52="Muy Alta",'Mapa final'!$L$52="Mayor"),CONCATENATE("R",'Mapa final'!$A$52),"")</f>
        <v/>
      </c>
      <c r="AE10" s="592"/>
      <c r="AF10" s="592" t="str">
        <f>IF(AND('Mapa final'!$H$58="Muy Alta",'Mapa final'!$L$58="Mayor"),CONCATENATE("R",'Mapa final'!$A$58),"")</f>
        <v/>
      </c>
      <c r="AG10" s="594"/>
      <c r="AH10" s="597" t="str">
        <f>IF(AND('Mapa final'!$H$46="Muy Alta",'Mapa final'!$L$46="Catastrófico"),CONCATENATE("R",'Mapa final'!$A$46),"")</f>
        <v/>
      </c>
      <c r="AI10" s="598"/>
      <c r="AJ10" s="598" t="str">
        <f>IF(AND('Mapa final'!$H$52="Muy Alta",'Mapa final'!$L$52="Catastrófico"),CONCATENATE("R",'Mapa final'!$A$52),"")</f>
        <v/>
      </c>
      <c r="AK10" s="598"/>
      <c r="AL10" s="598" t="str">
        <f>IF(AND('Mapa final'!$H$58="Muy Alta",'Mapa final'!$L$58="Catastrófico"),CONCATENATE("R",'Mapa final'!$A$58),"")</f>
        <v/>
      </c>
      <c r="AM10" s="600"/>
      <c r="AN10" s="15"/>
      <c r="AO10" s="604"/>
      <c r="AP10" s="605"/>
      <c r="AQ10" s="605"/>
      <c r="AR10" s="605"/>
      <c r="AS10" s="605"/>
      <c r="AT10" s="60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78"/>
      <c r="C11" s="578"/>
      <c r="D11" s="579"/>
      <c r="E11" s="583"/>
      <c r="F11" s="584"/>
      <c r="G11" s="584"/>
      <c r="H11" s="584"/>
      <c r="I11" s="585"/>
      <c r="J11" s="591"/>
      <c r="K11" s="592"/>
      <c r="L11" s="592"/>
      <c r="M11" s="592"/>
      <c r="N11" s="592"/>
      <c r="O11" s="594"/>
      <c r="P11" s="591"/>
      <c r="Q11" s="592"/>
      <c r="R11" s="592"/>
      <c r="S11" s="592"/>
      <c r="T11" s="592"/>
      <c r="U11" s="594"/>
      <c r="V11" s="591"/>
      <c r="W11" s="592"/>
      <c r="X11" s="592"/>
      <c r="Y11" s="592"/>
      <c r="Z11" s="592"/>
      <c r="AA11" s="594"/>
      <c r="AB11" s="591"/>
      <c r="AC11" s="592"/>
      <c r="AD11" s="592"/>
      <c r="AE11" s="592"/>
      <c r="AF11" s="592"/>
      <c r="AG11" s="594"/>
      <c r="AH11" s="597"/>
      <c r="AI11" s="598"/>
      <c r="AJ11" s="598"/>
      <c r="AK11" s="598"/>
      <c r="AL11" s="598"/>
      <c r="AM11" s="600"/>
      <c r="AN11" s="15"/>
      <c r="AO11" s="604"/>
      <c r="AP11" s="605"/>
      <c r="AQ11" s="605"/>
      <c r="AR11" s="605"/>
      <c r="AS11" s="605"/>
      <c r="AT11" s="60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78"/>
      <c r="C12" s="578"/>
      <c r="D12" s="579"/>
      <c r="E12" s="583"/>
      <c r="F12" s="584"/>
      <c r="G12" s="584"/>
      <c r="H12" s="584"/>
      <c r="I12" s="585"/>
      <c r="J12" s="591" t="str">
        <f>IF(AND('Mapa final'!$H$64="Muy Alta",'Mapa final'!$L$64="Leve"),CONCATENATE("R",'Mapa final'!$A$64),"")</f>
        <v/>
      </c>
      <c r="K12" s="592"/>
      <c r="L12" s="592" t="str">
        <f>IF(AND('Mapa final'!$H$70="Muy Alta",'Mapa final'!$L$70="Leve"),CONCATENATE("R",'Mapa final'!$A$70),"")</f>
        <v/>
      </c>
      <c r="M12" s="592"/>
      <c r="N12" s="592" t="str">
        <f>IF(AND('Mapa final'!$H$76="Muy Alta",'Mapa final'!$L$76="Leve"),CONCATENATE("R",'Mapa final'!$A$76),"")</f>
        <v/>
      </c>
      <c r="O12" s="594"/>
      <c r="P12" s="591" t="str">
        <f>IF(AND('Mapa final'!$H$64="Muy Alta",'Mapa final'!$L$64="Menor"),CONCATENATE("R",'Mapa final'!$A$64),"")</f>
        <v/>
      </c>
      <c r="Q12" s="592"/>
      <c r="R12" s="592" t="str">
        <f>IF(AND('Mapa final'!$H$70="Muy Alta",'Mapa final'!$L$70="Menor"),CONCATENATE("R",'Mapa final'!$A$70),"")</f>
        <v/>
      </c>
      <c r="S12" s="592"/>
      <c r="T12" s="592" t="str">
        <f>IF(AND('Mapa final'!$H$76="Muy Alta",'Mapa final'!$L$76="Menor"),CONCATENATE("R",'Mapa final'!$A$76),"")</f>
        <v/>
      </c>
      <c r="U12" s="594"/>
      <c r="V12" s="591" t="str">
        <f>IF(AND('Mapa final'!$H$64="Muy Alta",'Mapa final'!$L$64="Moderado"),CONCATENATE("R",'Mapa final'!$A$64),"")</f>
        <v/>
      </c>
      <c r="W12" s="592"/>
      <c r="X12" s="592" t="str">
        <f>IF(AND('Mapa final'!$H$70="Muy Alta",'Mapa final'!$L$70="Moderado"),CONCATENATE("R",'Mapa final'!$A$70),"")</f>
        <v/>
      </c>
      <c r="Y12" s="592"/>
      <c r="Z12" s="592" t="str">
        <f>IF(AND('Mapa final'!$H$76="Muy Alta",'Mapa final'!$L$76="Moderado"),CONCATENATE("R",'Mapa final'!$A$76),"")</f>
        <v/>
      </c>
      <c r="AA12" s="594"/>
      <c r="AB12" s="591" t="str">
        <f>IF(AND('Mapa final'!$H$64="Muy Alta",'Mapa final'!$L$64="Mayor"),CONCATENATE("R",'Mapa final'!$A$64),"")</f>
        <v/>
      </c>
      <c r="AC12" s="592"/>
      <c r="AD12" s="592" t="str">
        <f>IF(AND('Mapa final'!$H$70="Muy Alta",'Mapa final'!$L$70="Mayor"),CONCATENATE("R",'Mapa final'!$A$70),"")</f>
        <v/>
      </c>
      <c r="AE12" s="592"/>
      <c r="AF12" s="592" t="str">
        <f>IF(AND('Mapa final'!$H$76="Muy Alta",'Mapa final'!$L$76="Mayor"),CONCATENATE("R",'Mapa final'!$A$76),"")</f>
        <v/>
      </c>
      <c r="AG12" s="594"/>
      <c r="AH12" s="597" t="str">
        <f>IF(AND('Mapa final'!$H$64="Muy Alta",'Mapa final'!$L$64="Catastrófico"),CONCATENATE("R",'Mapa final'!$A$64),"")</f>
        <v/>
      </c>
      <c r="AI12" s="598"/>
      <c r="AJ12" s="598" t="str">
        <f>IF(AND('Mapa final'!$H$70="Muy Alta",'Mapa final'!$L$70="Catastrófico"),CONCATENATE("R",'Mapa final'!$A$70),"")</f>
        <v/>
      </c>
      <c r="AK12" s="598"/>
      <c r="AL12" s="598" t="str">
        <f>IF(AND('Mapa final'!$H$76="Muy Alta",'Mapa final'!$L$76="Catastrófico"),CONCATENATE("R",'Mapa final'!$A$76),"")</f>
        <v/>
      </c>
      <c r="AM12" s="600"/>
      <c r="AN12" s="15"/>
      <c r="AO12" s="604"/>
      <c r="AP12" s="605"/>
      <c r="AQ12" s="605"/>
      <c r="AR12" s="605"/>
      <c r="AS12" s="605"/>
      <c r="AT12" s="60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78"/>
      <c r="C13" s="578"/>
      <c r="D13" s="579"/>
      <c r="E13" s="586"/>
      <c r="F13" s="587"/>
      <c r="G13" s="587"/>
      <c r="H13" s="587"/>
      <c r="I13" s="588"/>
      <c r="J13" s="591"/>
      <c r="K13" s="592"/>
      <c r="L13" s="592"/>
      <c r="M13" s="592"/>
      <c r="N13" s="592"/>
      <c r="O13" s="594"/>
      <c r="P13" s="591"/>
      <c r="Q13" s="592"/>
      <c r="R13" s="592"/>
      <c r="S13" s="592"/>
      <c r="T13" s="592"/>
      <c r="U13" s="594"/>
      <c r="V13" s="591"/>
      <c r="W13" s="592"/>
      <c r="X13" s="592"/>
      <c r="Y13" s="592"/>
      <c r="Z13" s="592"/>
      <c r="AA13" s="594"/>
      <c r="AB13" s="591"/>
      <c r="AC13" s="592"/>
      <c r="AD13" s="592"/>
      <c r="AE13" s="592"/>
      <c r="AF13" s="592"/>
      <c r="AG13" s="594"/>
      <c r="AH13" s="618"/>
      <c r="AI13" s="610"/>
      <c r="AJ13" s="610"/>
      <c r="AK13" s="610"/>
      <c r="AL13" s="610"/>
      <c r="AM13" s="611"/>
      <c r="AN13" s="15"/>
      <c r="AO13" s="607"/>
      <c r="AP13" s="608"/>
      <c r="AQ13" s="608"/>
      <c r="AR13" s="608"/>
      <c r="AS13" s="608"/>
      <c r="AT13" s="60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78"/>
      <c r="C14" s="578"/>
      <c r="D14" s="579"/>
      <c r="E14" s="580" t="s">
        <v>1056</v>
      </c>
      <c r="F14" s="581"/>
      <c r="G14" s="581"/>
      <c r="H14" s="581"/>
      <c r="I14" s="581"/>
      <c r="J14" s="612" t="str">
        <f>IF(AND('Mapa final'!$H$10="Alta",'Mapa final'!$L$10="Leve"),CONCATENATE("R",'Mapa final'!$A$10),"")</f>
        <v/>
      </c>
      <c r="K14" s="613"/>
      <c r="L14" s="613" t="str">
        <f>IF(AND('Mapa final'!$H$16="Alta",'Mapa final'!$L$16="Leve"),CONCATENATE("R",'Mapa final'!$A$16),"")</f>
        <v/>
      </c>
      <c r="M14" s="613"/>
      <c r="N14" s="613" t="str">
        <f>IF(AND('Mapa final'!$H$22="Alta",'Mapa final'!$L$22="Leve"),CONCATENATE("R",'Mapa final'!$A$22),"")</f>
        <v/>
      </c>
      <c r="O14" s="616"/>
      <c r="P14" s="612" t="str">
        <f>IF(AND('Mapa final'!$H$10="Alta",'Mapa final'!$L$10="Menor"),CONCATENATE("R",'Mapa final'!$A$10),"")</f>
        <v/>
      </c>
      <c r="Q14" s="613"/>
      <c r="R14" s="613" t="str">
        <f>IF(AND('Mapa final'!$H$16="Alta",'Mapa final'!$L$16="Menor"),CONCATENATE("R",'Mapa final'!$A$16),"")</f>
        <v/>
      </c>
      <c r="S14" s="613"/>
      <c r="T14" s="613" t="str">
        <f>IF(AND('Mapa final'!$H$22="Alta",'Mapa final'!$L$22="Menor"),CONCATENATE("R",'Mapa final'!$A$22),"")</f>
        <v/>
      </c>
      <c r="U14" s="616"/>
      <c r="V14" s="589" t="str">
        <f>IF(AND('Mapa final'!$H$10="Alta",'Mapa final'!$L$10="Moderado"),CONCATENATE("R",'Mapa final'!$A$10),"")</f>
        <v/>
      </c>
      <c r="W14" s="590"/>
      <c r="X14" s="590" t="str">
        <f>IF(AND('Mapa final'!$H$16="Alta",'Mapa final'!$L$16="Moderado"),CONCATENATE("R",'Mapa final'!$A$16),"")</f>
        <v/>
      </c>
      <c r="Y14" s="590"/>
      <c r="Z14" s="590" t="str">
        <f>IF(AND('Mapa final'!$H$22="Alta",'Mapa final'!$L$22="Moderado"),CONCATENATE("R",'Mapa final'!$A$22),"")</f>
        <v/>
      </c>
      <c r="AA14" s="593"/>
      <c r="AB14" s="589" t="str">
        <f>IF(AND('Mapa final'!$H$10="Alta",'Mapa final'!$L$10="Mayor"),CONCATENATE("R",'Mapa final'!$A$10),"")</f>
        <v/>
      </c>
      <c r="AC14" s="590"/>
      <c r="AD14" s="590" t="str">
        <f>IF(AND('Mapa final'!$H$16="Alta",'Mapa final'!$L$16="Mayor"),CONCATENATE("R",'Mapa final'!$A$16),"")</f>
        <v/>
      </c>
      <c r="AE14" s="590"/>
      <c r="AF14" s="590" t="str">
        <f>IF(AND('Mapa final'!$H$22="Alta",'Mapa final'!$L$22="Mayor"),CONCATENATE("R",'Mapa final'!$A$22),"")</f>
        <v/>
      </c>
      <c r="AG14" s="593"/>
      <c r="AH14" s="595" t="str">
        <f>IF(AND('Mapa final'!$H$10="Alta",'Mapa final'!$L$10="Catastrófico"),CONCATENATE("R",'Mapa final'!$A$10),"")</f>
        <v/>
      </c>
      <c r="AI14" s="596"/>
      <c r="AJ14" s="596" t="str">
        <f>IF(AND('Mapa final'!$H$16="Alta",'Mapa final'!$L$16="Catastrófico"),CONCATENATE("R",'Mapa final'!$A$16),"")</f>
        <v/>
      </c>
      <c r="AK14" s="596"/>
      <c r="AL14" s="596" t="str">
        <f>IF(AND('Mapa final'!$H$22="Alta",'Mapa final'!$L$22="Catastrófico"),CONCATENATE("R",'Mapa final'!$A$22),"")</f>
        <v/>
      </c>
      <c r="AM14" s="599"/>
      <c r="AN14" s="15"/>
      <c r="AO14" s="619" t="s">
        <v>1057</v>
      </c>
      <c r="AP14" s="620"/>
      <c r="AQ14" s="620"/>
      <c r="AR14" s="620"/>
      <c r="AS14" s="620"/>
      <c r="AT14" s="62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78"/>
      <c r="C15" s="578"/>
      <c r="D15" s="579"/>
      <c r="E15" s="583"/>
      <c r="F15" s="584"/>
      <c r="G15" s="584"/>
      <c r="H15" s="584"/>
      <c r="I15" s="584"/>
      <c r="J15" s="614"/>
      <c r="K15" s="615"/>
      <c r="L15" s="615"/>
      <c r="M15" s="615"/>
      <c r="N15" s="615"/>
      <c r="O15" s="617"/>
      <c r="P15" s="614"/>
      <c r="Q15" s="615"/>
      <c r="R15" s="615"/>
      <c r="S15" s="615"/>
      <c r="T15" s="615"/>
      <c r="U15" s="617"/>
      <c r="V15" s="591"/>
      <c r="W15" s="592"/>
      <c r="X15" s="592"/>
      <c r="Y15" s="592"/>
      <c r="Z15" s="592"/>
      <c r="AA15" s="594"/>
      <c r="AB15" s="591"/>
      <c r="AC15" s="592"/>
      <c r="AD15" s="592"/>
      <c r="AE15" s="592"/>
      <c r="AF15" s="592"/>
      <c r="AG15" s="594"/>
      <c r="AH15" s="597"/>
      <c r="AI15" s="598"/>
      <c r="AJ15" s="598"/>
      <c r="AK15" s="598"/>
      <c r="AL15" s="598"/>
      <c r="AM15" s="600"/>
      <c r="AN15" s="15"/>
      <c r="AO15" s="622"/>
      <c r="AP15" s="623"/>
      <c r="AQ15" s="623"/>
      <c r="AR15" s="623"/>
      <c r="AS15" s="623"/>
      <c r="AT15" s="62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78"/>
      <c r="C16" s="578"/>
      <c r="D16" s="579"/>
      <c r="E16" s="583"/>
      <c r="F16" s="584"/>
      <c r="G16" s="584"/>
      <c r="H16" s="584"/>
      <c r="I16" s="584"/>
      <c r="J16" s="614" t="str">
        <f>IF(AND('Mapa final'!$H$28="Alta",'Mapa final'!$L$28="Leve"),CONCATENATE("R",'Mapa final'!$A$28),"")</f>
        <v/>
      </c>
      <c r="K16" s="615"/>
      <c r="L16" s="615" t="str">
        <f>IF(AND('Mapa final'!$H$34="Alta",'Mapa final'!$L$34="Leve"),CONCATENATE("R",'Mapa final'!$A$34),"")</f>
        <v/>
      </c>
      <c r="M16" s="615"/>
      <c r="N16" s="615" t="str">
        <f>IF(AND('Mapa final'!$H$40="Alta",'Mapa final'!$L$40="Leve"),CONCATENATE("R",'Mapa final'!$A$40),"")</f>
        <v/>
      </c>
      <c r="O16" s="617"/>
      <c r="P16" s="614" t="str">
        <f>IF(AND('Mapa final'!$H$28="Alta",'Mapa final'!$L$28="Menor"),CONCATENATE("R",'Mapa final'!$A$28),"")</f>
        <v/>
      </c>
      <c r="Q16" s="615"/>
      <c r="R16" s="615" t="str">
        <f>IF(AND('Mapa final'!$H$34="Alta",'Mapa final'!$L$34="Menor"),CONCATENATE("R",'Mapa final'!$A$34),"")</f>
        <v/>
      </c>
      <c r="S16" s="615"/>
      <c r="T16" s="615" t="str">
        <f>IF(AND('Mapa final'!$H$40="Alta",'Mapa final'!$L$40="Menor"),CONCATENATE("R",'Mapa final'!$A$40),"")</f>
        <v/>
      </c>
      <c r="U16" s="617"/>
      <c r="V16" s="591" t="str">
        <f>IF(AND('Mapa final'!$H$28="Alta",'Mapa final'!$L$28="Moderado"),CONCATENATE("R",'Mapa final'!$A$28),"")</f>
        <v/>
      </c>
      <c r="W16" s="592"/>
      <c r="X16" s="592" t="str">
        <f>IF(AND('Mapa final'!$H$34="Alta",'Mapa final'!$L$34="Moderado"),CONCATENATE("R",'Mapa final'!$A$34),"")</f>
        <v/>
      </c>
      <c r="Y16" s="592"/>
      <c r="Z16" s="592" t="str">
        <f>IF(AND('Mapa final'!$H$40="Alta",'Mapa final'!$L$40="Moderado"),CONCATENATE("R",'Mapa final'!$A$40),"")</f>
        <v/>
      </c>
      <c r="AA16" s="594"/>
      <c r="AB16" s="591" t="str">
        <f>IF(AND('Mapa final'!$H$28="Alta",'Mapa final'!$L$28="Mayor"),CONCATENATE("R",'Mapa final'!$A$28),"")</f>
        <v/>
      </c>
      <c r="AC16" s="592"/>
      <c r="AD16" s="592" t="str">
        <f>IF(AND('Mapa final'!$H$34="Alta",'Mapa final'!$L$34="Mayor"),CONCATENATE("R",'Mapa final'!$A$34),"")</f>
        <v/>
      </c>
      <c r="AE16" s="592"/>
      <c r="AF16" s="592" t="str">
        <f>IF(AND('Mapa final'!$H$40="Alta",'Mapa final'!$L$40="Mayor"),CONCATENATE("R",'Mapa final'!$A$40),"")</f>
        <v/>
      </c>
      <c r="AG16" s="594"/>
      <c r="AH16" s="597" t="str">
        <f>IF(AND('Mapa final'!$H$28="Alta",'Mapa final'!$L$28="Catastrófico"),CONCATENATE("R",'Mapa final'!$A$28),"")</f>
        <v/>
      </c>
      <c r="AI16" s="598"/>
      <c r="AJ16" s="598" t="str">
        <f>IF(AND('Mapa final'!$H$34="Alta",'Mapa final'!$L$34="Catastrófico"),CONCATENATE("R",'Mapa final'!$A$34),"")</f>
        <v/>
      </c>
      <c r="AK16" s="598"/>
      <c r="AL16" s="598" t="str">
        <f>IF(AND('Mapa final'!$H$40="Alta",'Mapa final'!$L$40="Catastrófico"),CONCATENATE("R",'Mapa final'!$A$40),"")</f>
        <v/>
      </c>
      <c r="AM16" s="600"/>
      <c r="AN16" s="15"/>
      <c r="AO16" s="622"/>
      <c r="AP16" s="623"/>
      <c r="AQ16" s="623"/>
      <c r="AR16" s="623"/>
      <c r="AS16" s="623"/>
      <c r="AT16" s="62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78"/>
      <c r="C17" s="578"/>
      <c r="D17" s="579"/>
      <c r="E17" s="583"/>
      <c r="F17" s="584"/>
      <c r="G17" s="584"/>
      <c r="H17" s="584"/>
      <c r="I17" s="584"/>
      <c r="J17" s="614"/>
      <c r="K17" s="615"/>
      <c r="L17" s="615"/>
      <c r="M17" s="615"/>
      <c r="N17" s="615"/>
      <c r="O17" s="617"/>
      <c r="P17" s="614"/>
      <c r="Q17" s="615"/>
      <c r="R17" s="615"/>
      <c r="S17" s="615"/>
      <c r="T17" s="615"/>
      <c r="U17" s="617"/>
      <c r="V17" s="591"/>
      <c r="W17" s="592"/>
      <c r="X17" s="592"/>
      <c r="Y17" s="592"/>
      <c r="Z17" s="592"/>
      <c r="AA17" s="594"/>
      <c r="AB17" s="591"/>
      <c r="AC17" s="592"/>
      <c r="AD17" s="592"/>
      <c r="AE17" s="592"/>
      <c r="AF17" s="592"/>
      <c r="AG17" s="594"/>
      <c r="AH17" s="597"/>
      <c r="AI17" s="598"/>
      <c r="AJ17" s="598"/>
      <c r="AK17" s="598"/>
      <c r="AL17" s="598"/>
      <c r="AM17" s="600"/>
      <c r="AN17" s="15"/>
      <c r="AO17" s="622"/>
      <c r="AP17" s="623"/>
      <c r="AQ17" s="623"/>
      <c r="AR17" s="623"/>
      <c r="AS17" s="623"/>
      <c r="AT17" s="62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78"/>
      <c r="C18" s="578"/>
      <c r="D18" s="579"/>
      <c r="E18" s="583"/>
      <c r="F18" s="584"/>
      <c r="G18" s="584"/>
      <c r="H18" s="584"/>
      <c r="I18" s="584"/>
      <c r="J18" s="614" t="str">
        <f>IF(AND('Mapa final'!$H$46="Alta",'Mapa final'!$L$46="Leve"),CONCATENATE("R",'Mapa final'!$A$46),"")</f>
        <v/>
      </c>
      <c r="K18" s="615"/>
      <c r="L18" s="615" t="str">
        <f>IF(AND('Mapa final'!$H$52="Alta",'Mapa final'!$L$52="Leve"),CONCATENATE("R",'Mapa final'!$A$52),"")</f>
        <v/>
      </c>
      <c r="M18" s="615"/>
      <c r="N18" s="615" t="str">
        <f>IF(AND('Mapa final'!$H$58="Alta",'Mapa final'!$L$58="Leve"),CONCATENATE("R",'Mapa final'!$A$58),"")</f>
        <v/>
      </c>
      <c r="O18" s="617"/>
      <c r="P18" s="614" t="str">
        <f>IF(AND('Mapa final'!$H$46="Alta",'Mapa final'!$L$46="Menor"),CONCATENATE("R",'Mapa final'!$A$46),"")</f>
        <v/>
      </c>
      <c r="Q18" s="615"/>
      <c r="R18" s="615" t="str">
        <f>IF(AND('Mapa final'!$H$52="Alta",'Mapa final'!$L$52="Menor"),CONCATENATE("R",'Mapa final'!$A$52),"")</f>
        <v/>
      </c>
      <c r="S18" s="615"/>
      <c r="T18" s="615" t="str">
        <f>IF(AND('Mapa final'!$H$58="Alta",'Mapa final'!$L$58="Menor"),CONCATENATE("R",'Mapa final'!$A$58),"")</f>
        <v/>
      </c>
      <c r="U18" s="617"/>
      <c r="V18" s="591" t="str">
        <f>IF(AND('Mapa final'!$H$46="Alta",'Mapa final'!$L$46="Moderado"),CONCATENATE("R",'Mapa final'!$A$46),"")</f>
        <v/>
      </c>
      <c r="W18" s="592"/>
      <c r="X18" s="592" t="str">
        <f>IF(AND('Mapa final'!$H$52="Alta",'Mapa final'!$L$52="Moderado"),CONCATENATE("R",'Mapa final'!$A$52),"")</f>
        <v/>
      </c>
      <c r="Y18" s="592"/>
      <c r="Z18" s="592" t="str">
        <f>IF(AND('Mapa final'!$H$58="Alta",'Mapa final'!$L$58="Moderado"),CONCATENATE("R",'Mapa final'!$A$58),"")</f>
        <v/>
      </c>
      <c r="AA18" s="594"/>
      <c r="AB18" s="591" t="str">
        <f>IF(AND('Mapa final'!$H$46="Alta",'Mapa final'!$L$46="Mayor"),CONCATENATE("R",'Mapa final'!$A$46),"")</f>
        <v/>
      </c>
      <c r="AC18" s="592"/>
      <c r="AD18" s="592" t="str">
        <f>IF(AND('Mapa final'!$H$52="Alta",'Mapa final'!$L$52="Mayor"),CONCATENATE("R",'Mapa final'!$A$52),"")</f>
        <v/>
      </c>
      <c r="AE18" s="592"/>
      <c r="AF18" s="592" t="str">
        <f>IF(AND('Mapa final'!$H$58="Alta",'Mapa final'!$L$58="Mayor"),CONCATENATE("R",'Mapa final'!$A$58),"")</f>
        <v/>
      </c>
      <c r="AG18" s="594"/>
      <c r="AH18" s="597" t="str">
        <f>IF(AND('Mapa final'!$H$46="Alta",'Mapa final'!$L$46="Catastrófico"),CONCATENATE("R",'Mapa final'!$A$46),"")</f>
        <v/>
      </c>
      <c r="AI18" s="598"/>
      <c r="AJ18" s="598" t="str">
        <f>IF(AND('Mapa final'!$H$52="Alta",'Mapa final'!$L$52="Catastrófico"),CONCATENATE("R",'Mapa final'!$A$52),"")</f>
        <v/>
      </c>
      <c r="AK18" s="598"/>
      <c r="AL18" s="598" t="str">
        <f>IF(AND('Mapa final'!$H$58="Alta",'Mapa final'!$L$58="Catastrófico"),CONCATENATE("R",'Mapa final'!$A$58),"")</f>
        <v/>
      </c>
      <c r="AM18" s="600"/>
      <c r="AN18" s="15"/>
      <c r="AO18" s="622"/>
      <c r="AP18" s="623"/>
      <c r="AQ18" s="623"/>
      <c r="AR18" s="623"/>
      <c r="AS18" s="623"/>
      <c r="AT18" s="62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78"/>
      <c r="C19" s="578"/>
      <c r="D19" s="579"/>
      <c r="E19" s="583"/>
      <c r="F19" s="584"/>
      <c r="G19" s="584"/>
      <c r="H19" s="584"/>
      <c r="I19" s="584"/>
      <c r="J19" s="614"/>
      <c r="K19" s="615"/>
      <c r="L19" s="615"/>
      <c r="M19" s="615"/>
      <c r="N19" s="615"/>
      <c r="O19" s="617"/>
      <c r="P19" s="614"/>
      <c r="Q19" s="615"/>
      <c r="R19" s="615"/>
      <c r="S19" s="615"/>
      <c r="T19" s="615"/>
      <c r="U19" s="617"/>
      <c r="V19" s="591"/>
      <c r="W19" s="592"/>
      <c r="X19" s="592"/>
      <c r="Y19" s="592"/>
      <c r="Z19" s="592"/>
      <c r="AA19" s="594"/>
      <c r="AB19" s="591"/>
      <c r="AC19" s="592"/>
      <c r="AD19" s="592"/>
      <c r="AE19" s="592"/>
      <c r="AF19" s="592"/>
      <c r="AG19" s="594"/>
      <c r="AH19" s="597"/>
      <c r="AI19" s="598"/>
      <c r="AJ19" s="598"/>
      <c r="AK19" s="598"/>
      <c r="AL19" s="598"/>
      <c r="AM19" s="600"/>
      <c r="AN19" s="15"/>
      <c r="AO19" s="622"/>
      <c r="AP19" s="623"/>
      <c r="AQ19" s="623"/>
      <c r="AR19" s="623"/>
      <c r="AS19" s="623"/>
      <c r="AT19" s="62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78"/>
      <c r="C20" s="578"/>
      <c r="D20" s="579"/>
      <c r="E20" s="583"/>
      <c r="F20" s="584"/>
      <c r="G20" s="584"/>
      <c r="H20" s="584"/>
      <c r="I20" s="584"/>
      <c r="J20" s="614" t="str">
        <f>IF(AND('Mapa final'!$H$64="Alta",'Mapa final'!$L$64="Leve"),CONCATENATE("R",'Mapa final'!$A$64),"")</f>
        <v/>
      </c>
      <c r="K20" s="615"/>
      <c r="L20" s="615" t="str">
        <f>IF(AND('Mapa final'!$H$70="Alta",'Mapa final'!$L$70="Leve"),CONCATENATE("R",'Mapa final'!$A$70),"")</f>
        <v/>
      </c>
      <c r="M20" s="615"/>
      <c r="N20" s="615" t="str">
        <f>IF(AND('Mapa final'!$H$76="Alta",'Mapa final'!$L$76="Leve"),CONCATENATE("R",'Mapa final'!$A$76),"")</f>
        <v/>
      </c>
      <c r="O20" s="617"/>
      <c r="P20" s="614" t="str">
        <f>IF(AND('Mapa final'!$H$64="Alta",'Mapa final'!$L$64="Menor"),CONCATENATE("R",'Mapa final'!$A$64),"")</f>
        <v/>
      </c>
      <c r="Q20" s="615"/>
      <c r="R20" s="615" t="str">
        <f>IF(AND('Mapa final'!$H$70="Alta",'Mapa final'!$L$70="Menor"),CONCATENATE("R",'Mapa final'!$A$70),"")</f>
        <v/>
      </c>
      <c r="S20" s="615"/>
      <c r="T20" s="615" t="str">
        <f>IF(AND('Mapa final'!$H$76="Alta",'Mapa final'!$L$76="Menor"),CONCATENATE("R",'Mapa final'!$A$76),"")</f>
        <v/>
      </c>
      <c r="U20" s="617"/>
      <c r="V20" s="591" t="str">
        <f>IF(AND('Mapa final'!$H$64="Alta",'Mapa final'!$L$64="Moderado"),CONCATENATE("R",'Mapa final'!$A$64),"")</f>
        <v/>
      </c>
      <c r="W20" s="592"/>
      <c r="X20" s="592" t="str">
        <f>IF(AND('Mapa final'!$H$70="Alta",'Mapa final'!$L$70="Moderado"),CONCATENATE("R",'Mapa final'!$A$70),"")</f>
        <v/>
      </c>
      <c r="Y20" s="592"/>
      <c r="Z20" s="592" t="str">
        <f>IF(AND('Mapa final'!$H$76="Alta",'Mapa final'!$L$76="Moderado"),CONCATENATE("R",'Mapa final'!$A$76),"")</f>
        <v/>
      </c>
      <c r="AA20" s="594"/>
      <c r="AB20" s="591" t="str">
        <f>IF(AND('Mapa final'!$H$64="Alta",'Mapa final'!$L$64="Mayor"),CONCATENATE("R",'Mapa final'!$A$64),"")</f>
        <v/>
      </c>
      <c r="AC20" s="592"/>
      <c r="AD20" s="592" t="str">
        <f>IF(AND('Mapa final'!$H$70="Alta",'Mapa final'!$L$70="Mayor"),CONCATENATE("R",'Mapa final'!$A$70),"")</f>
        <v/>
      </c>
      <c r="AE20" s="592"/>
      <c r="AF20" s="592" t="str">
        <f>IF(AND('Mapa final'!$H$76="Alta",'Mapa final'!$L$76="Mayor"),CONCATENATE("R",'Mapa final'!$A$76),"")</f>
        <v/>
      </c>
      <c r="AG20" s="594"/>
      <c r="AH20" s="597" t="str">
        <f>IF(AND('Mapa final'!$H$64="Alta",'Mapa final'!$L$64="Catastrófico"),CONCATENATE("R",'Mapa final'!$A$64),"")</f>
        <v/>
      </c>
      <c r="AI20" s="598"/>
      <c r="AJ20" s="598" t="str">
        <f>IF(AND('Mapa final'!$H$70="Alta",'Mapa final'!$L$70="Catastrófico"),CONCATENATE("R",'Mapa final'!$A$70),"")</f>
        <v/>
      </c>
      <c r="AK20" s="598"/>
      <c r="AL20" s="598" t="str">
        <f>IF(AND('Mapa final'!$H$76="Alta",'Mapa final'!$L$76="Catastrófico"),CONCATENATE("R",'Mapa final'!$A$76),"")</f>
        <v/>
      </c>
      <c r="AM20" s="600"/>
      <c r="AN20" s="15"/>
      <c r="AO20" s="622"/>
      <c r="AP20" s="623"/>
      <c r="AQ20" s="623"/>
      <c r="AR20" s="623"/>
      <c r="AS20" s="623"/>
      <c r="AT20" s="62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78"/>
      <c r="C21" s="578"/>
      <c r="D21" s="579"/>
      <c r="E21" s="586"/>
      <c r="F21" s="587"/>
      <c r="G21" s="587"/>
      <c r="H21" s="587"/>
      <c r="I21" s="587"/>
      <c r="J21" s="631"/>
      <c r="K21" s="632"/>
      <c r="L21" s="632"/>
      <c r="M21" s="632"/>
      <c r="N21" s="632"/>
      <c r="O21" s="633"/>
      <c r="P21" s="631"/>
      <c r="Q21" s="632"/>
      <c r="R21" s="632"/>
      <c r="S21" s="632"/>
      <c r="T21" s="632"/>
      <c r="U21" s="633"/>
      <c r="V21" s="628"/>
      <c r="W21" s="629"/>
      <c r="X21" s="629"/>
      <c r="Y21" s="629"/>
      <c r="Z21" s="629"/>
      <c r="AA21" s="630"/>
      <c r="AB21" s="628"/>
      <c r="AC21" s="629"/>
      <c r="AD21" s="629"/>
      <c r="AE21" s="629"/>
      <c r="AF21" s="629"/>
      <c r="AG21" s="630"/>
      <c r="AH21" s="618"/>
      <c r="AI21" s="610"/>
      <c r="AJ21" s="610"/>
      <c r="AK21" s="610"/>
      <c r="AL21" s="610"/>
      <c r="AM21" s="611"/>
      <c r="AN21" s="15"/>
      <c r="AO21" s="625"/>
      <c r="AP21" s="626"/>
      <c r="AQ21" s="626"/>
      <c r="AR21" s="626"/>
      <c r="AS21" s="626"/>
      <c r="AT21" s="62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578"/>
      <c r="C22" s="578"/>
      <c r="D22" s="579"/>
      <c r="E22" s="580" t="s">
        <v>1058</v>
      </c>
      <c r="F22" s="581"/>
      <c r="G22" s="581"/>
      <c r="H22" s="581"/>
      <c r="I22" s="582"/>
      <c r="J22" s="612" t="str">
        <f>IF(AND('Mapa final'!$H$10="Media",'Mapa final'!$L$10="Leve"),CONCATENATE("R",'Mapa final'!$A$10),"")</f>
        <v/>
      </c>
      <c r="K22" s="613"/>
      <c r="L22" s="613" t="str">
        <f>IF(AND('Mapa final'!$H$16="Media",'Mapa final'!$L$16="Leve"),CONCATENATE("R",'Mapa final'!$A$16),"")</f>
        <v/>
      </c>
      <c r="M22" s="613"/>
      <c r="N22" s="613" t="str">
        <f>IF(AND('Mapa final'!$H$22="Media",'Mapa final'!$L$22="Leve"),CONCATENATE("R",'Mapa final'!$A$22),"")</f>
        <v/>
      </c>
      <c r="O22" s="616"/>
      <c r="P22" s="612" t="str">
        <f>IF(AND('Mapa final'!$H$10="Media",'Mapa final'!$L$10="Menor"),CONCATENATE("R",'Mapa final'!$A$10),"")</f>
        <v>R</v>
      </c>
      <c r="Q22" s="613"/>
      <c r="R22" s="613" t="str">
        <f>IF(AND('Mapa final'!$H$16="Media",'Mapa final'!$L$16="Menor"),CONCATENATE("R",'Mapa final'!$A$16),"")</f>
        <v>R2</v>
      </c>
      <c r="S22" s="613"/>
      <c r="T22" s="613" t="str">
        <f>IF(AND('Mapa final'!$H$22="Media",'Mapa final'!$L$22="Menor"),CONCATENATE("R",'Mapa final'!$A$22),"")</f>
        <v/>
      </c>
      <c r="U22" s="616"/>
      <c r="V22" s="612" t="str">
        <f>IF(AND('Mapa final'!$H$10="Media",'Mapa final'!$L$10="Moderado"),CONCATENATE("R",'Mapa final'!$A$10),"")</f>
        <v/>
      </c>
      <c r="W22" s="613"/>
      <c r="X22" s="613" t="str">
        <f>IF(AND('Mapa final'!$H$16="Media",'Mapa final'!$L$16="Moderado"),CONCATENATE("R",'Mapa final'!$A$16),"")</f>
        <v/>
      </c>
      <c r="Y22" s="613"/>
      <c r="Z22" s="613" t="str">
        <f>IF(AND('Mapa final'!$H$22="Media",'Mapa final'!$L$22="Moderado"),CONCATENATE("R",'Mapa final'!$A$22),"")</f>
        <v/>
      </c>
      <c r="AA22" s="616"/>
      <c r="AB22" s="589" t="str">
        <f>IF(AND('Mapa final'!$H$10="Media",'Mapa final'!$L$10="Mayor"),CONCATENATE("R",'Mapa final'!$A$10),"")</f>
        <v/>
      </c>
      <c r="AC22" s="590"/>
      <c r="AD22" s="590" t="str">
        <f>IF(AND('Mapa final'!$H$16="Media",'Mapa final'!$L$16="Mayor"),CONCATENATE("R",'Mapa final'!$A$16),"")</f>
        <v/>
      </c>
      <c r="AE22" s="590"/>
      <c r="AF22" s="590" t="str">
        <f>IF(AND('Mapa final'!$H$22="Media",'Mapa final'!$L$22="Mayor"),CONCATENATE("R",'Mapa final'!$A$22),"")</f>
        <v/>
      </c>
      <c r="AG22" s="593"/>
      <c r="AH22" s="595" t="str">
        <f>IF(AND('Mapa final'!$H$10="Media",'Mapa final'!$L$10="Catastrófico"),CONCATENATE("R",'Mapa final'!$A$10),"")</f>
        <v/>
      </c>
      <c r="AI22" s="596"/>
      <c r="AJ22" s="596" t="str">
        <f>IF(AND('Mapa final'!$H$16="Media",'Mapa final'!$L$16="Catastrófico"),CONCATENATE("R",'Mapa final'!$A$16),"")</f>
        <v/>
      </c>
      <c r="AK22" s="596"/>
      <c r="AL22" s="596" t="str">
        <f>IF(AND('Mapa final'!$H$22="Media",'Mapa final'!$L$22="Catastrófico"),CONCATENATE("R",'Mapa final'!$A$22),"")</f>
        <v/>
      </c>
      <c r="AM22" s="599"/>
      <c r="AN22" s="15"/>
      <c r="AO22" s="634" t="s">
        <v>9</v>
      </c>
      <c r="AP22" s="635"/>
      <c r="AQ22" s="635"/>
      <c r="AR22" s="635"/>
      <c r="AS22" s="635"/>
      <c r="AT22" s="63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578"/>
      <c r="C23" s="578"/>
      <c r="D23" s="579"/>
      <c r="E23" s="583"/>
      <c r="F23" s="584"/>
      <c r="G23" s="584"/>
      <c r="H23" s="584"/>
      <c r="I23" s="585"/>
      <c r="J23" s="614"/>
      <c r="K23" s="615"/>
      <c r="L23" s="615"/>
      <c r="M23" s="615"/>
      <c r="N23" s="615"/>
      <c r="O23" s="617"/>
      <c r="P23" s="614"/>
      <c r="Q23" s="615"/>
      <c r="R23" s="615"/>
      <c r="S23" s="615"/>
      <c r="T23" s="615"/>
      <c r="U23" s="617"/>
      <c r="V23" s="614"/>
      <c r="W23" s="615"/>
      <c r="X23" s="615"/>
      <c r="Y23" s="615"/>
      <c r="Z23" s="615"/>
      <c r="AA23" s="617"/>
      <c r="AB23" s="591"/>
      <c r="AC23" s="592"/>
      <c r="AD23" s="592"/>
      <c r="AE23" s="592"/>
      <c r="AF23" s="592"/>
      <c r="AG23" s="594"/>
      <c r="AH23" s="597"/>
      <c r="AI23" s="598"/>
      <c r="AJ23" s="598"/>
      <c r="AK23" s="598"/>
      <c r="AL23" s="598"/>
      <c r="AM23" s="600"/>
      <c r="AN23" s="15"/>
      <c r="AO23" s="637"/>
      <c r="AP23" s="638"/>
      <c r="AQ23" s="638"/>
      <c r="AR23" s="638"/>
      <c r="AS23" s="638"/>
      <c r="AT23" s="63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578"/>
      <c r="C24" s="578"/>
      <c r="D24" s="579"/>
      <c r="E24" s="583"/>
      <c r="F24" s="584"/>
      <c r="G24" s="584"/>
      <c r="H24" s="584"/>
      <c r="I24" s="585"/>
      <c r="J24" s="614" t="str">
        <f>IF(AND('Mapa final'!$H$28="Media",'Mapa final'!$L$28="Leve"),CONCATENATE("R",'Mapa final'!$A$28),"")</f>
        <v/>
      </c>
      <c r="K24" s="615"/>
      <c r="L24" s="615" t="str">
        <f>IF(AND('Mapa final'!$H$34="Media",'Mapa final'!$L$34="Leve"),CONCATENATE("R",'Mapa final'!$A$34),"")</f>
        <v/>
      </c>
      <c r="M24" s="615"/>
      <c r="N24" s="615" t="str">
        <f>IF(AND('Mapa final'!$H$40="Media",'Mapa final'!$L$40="Leve"),CONCATENATE("R",'Mapa final'!$A$40),"")</f>
        <v/>
      </c>
      <c r="O24" s="617"/>
      <c r="P24" s="614" t="str">
        <f>IF(AND('Mapa final'!$H$28="Media",'Mapa final'!$L$28="Menor"),CONCATENATE("R",'Mapa final'!$A$28),"")</f>
        <v>R4</v>
      </c>
      <c r="Q24" s="615"/>
      <c r="R24" s="615" t="str">
        <f>IF(AND('Mapa final'!$H$34="Media",'Mapa final'!$L$34="Menor"),CONCATENATE("R",'Mapa final'!$A$34),"")</f>
        <v/>
      </c>
      <c r="S24" s="615"/>
      <c r="T24" s="615" t="str">
        <f>IF(AND('Mapa final'!$H$40="Media",'Mapa final'!$L$40="Menor"),CONCATENATE("R",'Mapa final'!$A$40),"")</f>
        <v/>
      </c>
      <c r="U24" s="617"/>
      <c r="V24" s="614" t="str">
        <f>IF(AND('Mapa final'!$H$28="Media",'Mapa final'!$L$28="Moderado"),CONCATENATE("R",'Mapa final'!$A$28),"")</f>
        <v/>
      </c>
      <c r="W24" s="615"/>
      <c r="X24" s="615" t="str">
        <f>IF(AND('Mapa final'!$H$34="Media",'Mapa final'!$L$34="Moderado"),CONCATENATE("R",'Mapa final'!$A$34),"")</f>
        <v/>
      </c>
      <c r="Y24" s="615"/>
      <c r="Z24" s="615" t="str">
        <f>IF(AND('Mapa final'!$H$40="Media",'Mapa final'!$L$40="Moderado"),CONCATENATE("R",'Mapa final'!$A$40),"")</f>
        <v/>
      </c>
      <c r="AA24" s="617"/>
      <c r="AB24" s="591" t="str">
        <f>IF(AND('Mapa final'!$H$28="Media",'Mapa final'!$L$28="Mayor"),CONCATENATE("R",'Mapa final'!$A$28),"")</f>
        <v/>
      </c>
      <c r="AC24" s="592"/>
      <c r="AD24" s="592" t="str">
        <f>IF(AND('Mapa final'!$H$34="Media",'Mapa final'!$L$34="Mayor"),CONCATENATE("R",'Mapa final'!$A$34),"")</f>
        <v/>
      </c>
      <c r="AE24" s="592"/>
      <c r="AF24" s="592" t="str">
        <f>IF(AND('Mapa final'!$H$40="Media",'Mapa final'!$L$40="Mayor"),CONCATENATE("R",'Mapa final'!$A$40),"")</f>
        <v/>
      </c>
      <c r="AG24" s="594"/>
      <c r="AH24" s="597" t="str">
        <f>IF(AND('Mapa final'!$H$28="Media",'Mapa final'!$L$28="Catastrófico"),CONCATENATE("R",'Mapa final'!$A$28),"")</f>
        <v/>
      </c>
      <c r="AI24" s="598"/>
      <c r="AJ24" s="598" t="str">
        <f>IF(AND('Mapa final'!$H$34="Media",'Mapa final'!$L$34="Catastrófico"),CONCATENATE("R",'Mapa final'!$A$34),"")</f>
        <v/>
      </c>
      <c r="AK24" s="598"/>
      <c r="AL24" s="598" t="str">
        <f>IF(AND('Mapa final'!$H$40="Media",'Mapa final'!$L$40="Catastrófico"),CONCATENATE("R",'Mapa final'!$A$40),"")</f>
        <v/>
      </c>
      <c r="AM24" s="600"/>
      <c r="AN24" s="15"/>
      <c r="AO24" s="637"/>
      <c r="AP24" s="638"/>
      <c r="AQ24" s="638"/>
      <c r="AR24" s="638"/>
      <c r="AS24" s="638"/>
      <c r="AT24" s="63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578"/>
      <c r="C25" s="578"/>
      <c r="D25" s="579"/>
      <c r="E25" s="583"/>
      <c r="F25" s="584"/>
      <c r="G25" s="584"/>
      <c r="H25" s="584"/>
      <c r="I25" s="585"/>
      <c r="J25" s="614"/>
      <c r="K25" s="615"/>
      <c r="L25" s="615"/>
      <c r="M25" s="615"/>
      <c r="N25" s="615"/>
      <c r="O25" s="617"/>
      <c r="P25" s="614"/>
      <c r="Q25" s="615"/>
      <c r="R25" s="615"/>
      <c r="S25" s="615"/>
      <c r="T25" s="615"/>
      <c r="U25" s="617"/>
      <c r="V25" s="614"/>
      <c r="W25" s="615"/>
      <c r="X25" s="615"/>
      <c r="Y25" s="615"/>
      <c r="Z25" s="615"/>
      <c r="AA25" s="617"/>
      <c r="AB25" s="591"/>
      <c r="AC25" s="592"/>
      <c r="AD25" s="592"/>
      <c r="AE25" s="592"/>
      <c r="AF25" s="592"/>
      <c r="AG25" s="594"/>
      <c r="AH25" s="597"/>
      <c r="AI25" s="598"/>
      <c r="AJ25" s="598"/>
      <c r="AK25" s="598"/>
      <c r="AL25" s="598"/>
      <c r="AM25" s="600"/>
      <c r="AN25" s="15"/>
      <c r="AO25" s="637"/>
      <c r="AP25" s="638"/>
      <c r="AQ25" s="638"/>
      <c r="AR25" s="638"/>
      <c r="AS25" s="638"/>
      <c r="AT25" s="63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578"/>
      <c r="C26" s="578"/>
      <c r="D26" s="579"/>
      <c r="E26" s="583"/>
      <c r="F26" s="584"/>
      <c r="G26" s="584"/>
      <c r="H26" s="584"/>
      <c r="I26" s="585"/>
      <c r="J26" s="614" t="str">
        <f>IF(AND('Mapa final'!$H$46="Media",'Mapa final'!$L$46="Leve"),CONCATENATE("R",'Mapa final'!$A$46),"")</f>
        <v/>
      </c>
      <c r="K26" s="615"/>
      <c r="L26" s="615" t="str">
        <f>IF(AND('Mapa final'!$H$52="Media",'Mapa final'!$L$52="Leve"),CONCATENATE("R",'Mapa final'!$A$52),"")</f>
        <v/>
      </c>
      <c r="M26" s="615"/>
      <c r="N26" s="615" t="str">
        <f>IF(AND('Mapa final'!$H$58="Media",'Mapa final'!$L$58="Leve"),CONCATENATE("R",'Mapa final'!$A$58),"")</f>
        <v/>
      </c>
      <c r="O26" s="617"/>
      <c r="P26" s="614" t="str">
        <f>IF(AND('Mapa final'!$H$46="Media",'Mapa final'!$L$46="Menor"),CONCATENATE("R",'Mapa final'!$A$46),"")</f>
        <v/>
      </c>
      <c r="Q26" s="615"/>
      <c r="R26" s="615" t="str">
        <f>IF(AND('Mapa final'!$H$52="Media",'Mapa final'!$L$52="Menor"),CONCATENATE("R",'Mapa final'!$A$52),"")</f>
        <v/>
      </c>
      <c r="S26" s="615"/>
      <c r="T26" s="615" t="str">
        <f>IF(AND('Mapa final'!$H$58="Media",'Mapa final'!$L$58="Menor"),CONCATENATE("R",'Mapa final'!$A$58),"")</f>
        <v/>
      </c>
      <c r="U26" s="617"/>
      <c r="V26" s="614" t="str">
        <f>IF(AND('Mapa final'!$H$46="Media",'Mapa final'!$L$46="Moderado"),CONCATENATE("R",'Mapa final'!$A$46),"")</f>
        <v/>
      </c>
      <c r="W26" s="615"/>
      <c r="X26" s="615" t="str">
        <f>IF(AND('Mapa final'!$H$52="Media",'Mapa final'!$L$52="Moderado"),CONCATENATE("R",'Mapa final'!$A$52),"")</f>
        <v/>
      </c>
      <c r="Y26" s="615"/>
      <c r="Z26" s="615" t="str">
        <f>IF(AND('Mapa final'!$H$58="Media",'Mapa final'!$L$58="Moderado"),CONCATENATE("R",'Mapa final'!$A$58),"")</f>
        <v/>
      </c>
      <c r="AA26" s="617"/>
      <c r="AB26" s="591" t="str">
        <f>IF(AND('Mapa final'!$H$46="Media",'Mapa final'!$L$46="Mayor"),CONCATENATE("R",'Mapa final'!$A$46),"")</f>
        <v/>
      </c>
      <c r="AC26" s="592"/>
      <c r="AD26" s="592" t="str">
        <f>IF(AND('Mapa final'!$H$52="Media",'Mapa final'!$L$52="Mayor"),CONCATENATE("R",'Mapa final'!$A$52),"")</f>
        <v/>
      </c>
      <c r="AE26" s="592"/>
      <c r="AF26" s="592" t="str">
        <f>IF(AND('Mapa final'!$H$58="Media",'Mapa final'!$L$58="Mayor"),CONCATENATE("R",'Mapa final'!$A$58),"")</f>
        <v/>
      </c>
      <c r="AG26" s="594"/>
      <c r="AH26" s="597" t="str">
        <f>IF(AND('Mapa final'!$H$46="Media",'Mapa final'!$L$46="Catastrófico"),CONCATENATE("R",'Mapa final'!$A$46),"")</f>
        <v/>
      </c>
      <c r="AI26" s="598"/>
      <c r="AJ26" s="598" t="str">
        <f>IF(AND('Mapa final'!$H$52="Media",'Mapa final'!$L$52="Catastrófico"),CONCATENATE("R",'Mapa final'!$A$52),"")</f>
        <v/>
      </c>
      <c r="AK26" s="598"/>
      <c r="AL26" s="598" t="str">
        <f>IF(AND('Mapa final'!$H$58="Media",'Mapa final'!$L$58="Catastrófico"),CONCATENATE("R",'Mapa final'!$A$58),"")</f>
        <v/>
      </c>
      <c r="AM26" s="600"/>
      <c r="AN26" s="15"/>
      <c r="AO26" s="637"/>
      <c r="AP26" s="638"/>
      <c r="AQ26" s="638"/>
      <c r="AR26" s="638"/>
      <c r="AS26" s="638"/>
      <c r="AT26" s="63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578"/>
      <c r="C27" s="578"/>
      <c r="D27" s="579"/>
      <c r="E27" s="583"/>
      <c r="F27" s="584"/>
      <c r="G27" s="584"/>
      <c r="H27" s="584"/>
      <c r="I27" s="585"/>
      <c r="J27" s="614"/>
      <c r="K27" s="615"/>
      <c r="L27" s="615"/>
      <c r="M27" s="615"/>
      <c r="N27" s="615"/>
      <c r="O27" s="617"/>
      <c r="P27" s="614"/>
      <c r="Q27" s="615"/>
      <c r="R27" s="615"/>
      <c r="S27" s="615"/>
      <c r="T27" s="615"/>
      <c r="U27" s="617"/>
      <c r="V27" s="614"/>
      <c r="W27" s="615"/>
      <c r="X27" s="615"/>
      <c r="Y27" s="615"/>
      <c r="Z27" s="615"/>
      <c r="AA27" s="617"/>
      <c r="AB27" s="591"/>
      <c r="AC27" s="592"/>
      <c r="AD27" s="592"/>
      <c r="AE27" s="592"/>
      <c r="AF27" s="592"/>
      <c r="AG27" s="594"/>
      <c r="AH27" s="597"/>
      <c r="AI27" s="598"/>
      <c r="AJ27" s="598"/>
      <c r="AK27" s="598"/>
      <c r="AL27" s="598"/>
      <c r="AM27" s="600"/>
      <c r="AN27" s="15"/>
      <c r="AO27" s="637"/>
      <c r="AP27" s="638"/>
      <c r="AQ27" s="638"/>
      <c r="AR27" s="638"/>
      <c r="AS27" s="638"/>
      <c r="AT27" s="63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578"/>
      <c r="C28" s="578"/>
      <c r="D28" s="579"/>
      <c r="E28" s="583"/>
      <c r="F28" s="584"/>
      <c r="G28" s="584"/>
      <c r="H28" s="584"/>
      <c r="I28" s="585"/>
      <c r="J28" s="614" t="str">
        <f>IF(AND('Mapa final'!$H$64="Media",'Mapa final'!$L$64="Leve"),CONCATENATE("R",'Mapa final'!$A$64),"")</f>
        <v/>
      </c>
      <c r="K28" s="615"/>
      <c r="L28" s="615" t="str">
        <f>IF(AND('Mapa final'!$H$70="Media",'Mapa final'!$L$70="Leve"),CONCATENATE("R",'Mapa final'!$A$70),"")</f>
        <v/>
      </c>
      <c r="M28" s="615"/>
      <c r="N28" s="615" t="str">
        <f>IF(AND('Mapa final'!$H$76="Media",'Mapa final'!$L$76="Leve"),CONCATENATE("R",'Mapa final'!$A$76),"")</f>
        <v/>
      </c>
      <c r="O28" s="617"/>
      <c r="P28" s="614" t="str">
        <f>IF(AND('Mapa final'!$H$64="Media",'Mapa final'!$L$64="Menor"),CONCATENATE("R",'Mapa final'!$A$64),"")</f>
        <v/>
      </c>
      <c r="Q28" s="615"/>
      <c r="R28" s="615" t="str">
        <f>IF(AND('Mapa final'!$H$70="Media",'Mapa final'!$L$70="Menor"),CONCATENATE("R",'Mapa final'!$A$70),"")</f>
        <v/>
      </c>
      <c r="S28" s="615"/>
      <c r="T28" s="615" t="str">
        <f>IF(AND('Mapa final'!$H$76="Media",'Mapa final'!$L$76="Menor"),CONCATENATE("R",'Mapa final'!$A$76),"")</f>
        <v/>
      </c>
      <c r="U28" s="617"/>
      <c r="V28" s="614" t="str">
        <f>IF(AND('Mapa final'!$H$64="Media",'Mapa final'!$L$64="Moderado"),CONCATENATE("R",'Mapa final'!$A$64),"")</f>
        <v/>
      </c>
      <c r="W28" s="615"/>
      <c r="X28" s="615" t="str">
        <f>IF(AND('Mapa final'!$H$70="Media",'Mapa final'!$L$70="Moderado"),CONCATENATE("R",'Mapa final'!$A$70),"")</f>
        <v/>
      </c>
      <c r="Y28" s="615"/>
      <c r="Z28" s="615" t="str">
        <f>IF(AND('Mapa final'!$H$76="Media",'Mapa final'!$L$76="Moderado"),CONCATENATE("R",'Mapa final'!$A$76),"")</f>
        <v/>
      </c>
      <c r="AA28" s="617"/>
      <c r="AB28" s="591" t="str">
        <f>IF(AND('Mapa final'!$H$64="Media",'Mapa final'!$L$64="Mayor"),CONCATENATE("R",'Mapa final'!$A$64),"")</f>
        <v/>
      </c>
      <c r="AC28" s="592"/>
      <c r="AD28" s="592" t="str">
        <f>IF(AND('Mapa final'!$H$70="Media",'Mapa final'!$L$70="Mayor"),CONCATENATE("R",'Mapa final'!$A$70),"")</f>
        <v/>
      </c>
      <c r="AE28" s="592"/>
      <c r="AF28" s="592" t="str">
        <f>IF(AND('Mapa final'!$H$76="Media",'Mapa final'!$L$76="Mayor"),CONCATENATE("R",'Mapa final'!$A$76),"")</f>
        <v/>
      </c>
      <c r="AG28" s="594"/>
      <c r="AH28" s="597" t="str">
        <f>IF(AND('Mapa final'!$H$64="Media",'Mapa final'!$L$64="Catastrófico"),CONCATENATE("R",'Mapa final'!$A$64),"")</f>
        <v/>
      </c>
      <c r="AI28" s="598"/>
      <c r="AJ28" s="598" t="str">
        <f>IF(AND('Mapa final'!$H$70="Media",'Mapa final'!$L$70="Catastrófico"),CONCATENATE("R",'Mapa final'!$A$70),"")</f>
        <v/>
      </c>
      <c r="AK28" s="598"/>
      <c r="AL28" s="598" t="str">
        <f>IF(AND('Mapa final'!$H$76="Media",'Mapa final'!$L$76="Catastrófico"),CONCATENATE("R",'Mapa final'!$A$76),"")</f>
        <v/>
      </c>
      <c r="AM28" s="600"/>
      <c r="AN28" s="15"/>
      <c r="AO28" s="637"/>
      <c r="AP28" s="638"/>
      <c r="AQ28" s="638"/>
      <c r="AR28" s="638"/>
      <c r="AS28" s="638"/>
      <c r="AT28" s="63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578"/>
      <c r="C29" s="578"/>
      <c r="D29" s="579"/>
      <c r="E29" s="586"/>
      <c r="F29" s="587"/>
      <c r="G29" s="587"/>
      <c r="H29" s="587"/>
      <c r="I29" s="588"/>
      <c r="J29" s="614"/>
      <c r="K29" s="615"/>
      <c r="L29" s="615"/>
      <c r="M29" s="615"/>
      <c r="N29" s="615"/>
      <c r="O29" s="617"/>
      <c r="P29" s="631"/>
      <c r="Q29" s="632"/>
      <c r="R29" s="632"/>
      <c r="S29" s="632"/>
      <c r="T29" s="632"/>
      <c r="U29" s="633"/>
      <c r="V29" s="631"/>
      <c r="W29" s="632"/>
      <c r="X29" s="632"/>
      <c r="Y29" s="632"/>
      <c r="Z29" s="632"/>
      <c r="AA29" s="633"/>
      <c r="AB29" s="628"/>
      <c r="AC29" s="629"/>
      <c r="AD29" s="629"/>
      <c r="AE29" s="629"/>
      <c r="AF29" s="629"/>
      <c r="AG29" s="630"/>
      <c r="AH29" s="618"/>
      <c r="AI29" s="610"/>
      <c r="AJ29" s="610"/>
      <c r="AK29" s="610"/>
      <c r="AL29" s="610"/>
      <c r="AM29" s="611"/>
      <c r="AN29" s="15"/>
      <c r="AO29" s="640"/>
      <c r="AP29" s="641"/>
      <c r="AQ29" s="641"/>
      <c r="AR29" s="641"/>
      <c r="AS29" s="641"/>
      <c r="AT29" s="64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578"/>
      <c r="C30" s="578"/>
      <c r="D30" s="579"/>
      <c r="E30" s="580" t="s">
        <v>1059</v>
      </c>
      <c r="F30" s="581"/>
      <c r="G30" s="581"/>
      <c r="H30" s="581"/>
      <c r="I30" s="581"/>
      <c r="J30" s="643" t="str">
        <f>IF(AND('Mapa final'!$H$10="Baja",'Mapa final'!$L$10="Leve"),CONCATENATE("R",'Mapa final'!$A$10),"")</f>
        <v/>
      </c>
      <c r="K30" s="644"/>
      <c r="L30" s="644" t="str">
        <f>IF(AND('Mapa final'!$H$16="Baja",'Mapa final'!$L$16="Leve"),CONCATENATE("R",'Mapa final'!$A$16),"")</f>
        <v/>
      </c>
      <c r="M30" s="644"/>
      <c r="N30" s="644" t="str">
        <f>IF(AND('Mapa final'!$H$22="Baja",'Mapa final'!$L$22="Leve"),CONCATENATE("R",'Mapa final'!$A$22),"")</f>
        <v/>
      </c>
      <c r="O30" s="647"/>
      <c r="P30" s="613" t="str">
        <f>IF(AND('Mapa final'!$H$10="Baja",'Mapa final'!$L$10="Menor"),CONCATENATE("R",'Mapa final'!$A$10),"")</f>
        <v/>
      </c>
      <c r="Q30" s="613"/>
      <c r="R30" s="613" t="str">
        <f>IF(AND('Mapa final'!$H$16="Baja",'Mapa final'!$L$16="Menor"),CONCATENATE("R",'Mapa final'!$A$16),"")</f>
        <v/>
      </c>
      <c r="S30" s="613"/>
      <c r="T30" s="613" t="str">
        <f>IF(AND('Mapa final'!$H$22="Baja",'Mapa final'!$L$22="Menor"),CONCATENATE("R",'Mapa final'!$A$22),"")</f>
        <v/>
      </c>
      <c r="U30" s="616"/>
      <c r="V30" s="612" t="str">
        <f>IF(AND('Mapa final'!$H$10="Baja",'Mapa final'!$L$10="Moderado"),CONCATENATE("R",'Mapa final'!$A$10),"")</f>
        <v/>
      </c>
      <c r="W30" s="613"/>
      <c r="X30" s="613" t="str">
        <f>IF(AND('Mapa final'!$H$16="Baja",'Mapa final'!$L$16="Moderado"),CONCATENATE("R",'Mapa final'!$A$16),"")</f>
        <v/>
      </c>
      <c r="Y30" s="613"/>
      <c r="Z30" s="613" t="str">
        <f>IF(AND('Mapa final'!$H$22="Baja",'Mapa final'!$L$22="Moderado"),CONCATENATE("R",'Mapa final'!$A$22),"")</f>
        <v/>
      </c>
      <c r="AA30" s="616"/>
      <c r="AB30" s="589" t="str">
        <f>IF(AND('Mapa final'!$H$10="Baja",'Mapa final'!$L$10="Mayor"),CONCATENATE("R",'Mapa final'!$A$10),"")</f>
        <v/>
      </c>
      <c r="AC30" s="590"/>
      <c r="AD30" s="590" t="str">
        <f>IF(AND('Mapa final'!$H$16="Baja",'Mapa final'!$L$16="Mayor"),CONCATENATE("R",'Mapa final'!$A$16),"")</f>
        <v/>
      </c>
      <c r="AE30" s="590"/>
      <c r="AF30" s="590" t="str">
        <f>IF(AND('Mapa final'!$H$22="Baja",'Mapa final'!$L$22="Mayor"),CONCATENATE("R",'Mapa final'!$A$22),"")</f>
        <v/>
      </c>
      <c r="AG30" s="593"/>
      <c r="AH30" s="595" t="str">
        <f>IF(AND('Mapa final'!$H$10="Baja",'Mapa final'!$L$10="Catastrófico"),CONCATENATE("R",'Mapa final'!$A$10),"")</f>
        <v/>
      </c>
      <c r="AI30" s="596"/>
      <c r="AJ30" s="596" t="str">
        <f>IF(AND('Mapa final'!$H$16="Baja",'Mapa final'!$L$16="Catastrófico"),CONCATENATE("R",'Mapa final'!$A$16),"")</f>
        <v/>
      </c>
      <c r="AK30" s="596"/>
      <c r="AL30" s="596" t="str">
        <f>IF(AND('Mapa final'!$H$22="Baja",'Mapa final'!$L$22="Catastrófico"),CONCATENATE("R",'Mapa final'!$A$22),"")</f>
        <v/>
      </c>
      <c r="AM30" s="599"/>
      <c r="AN30" s="15"/>
      <c r="AO30" s="649" t="s">
        <v>1060</v>
      </c>
      <c r="AP30" s="650"/>
      <c r="AQ30" s="650"/>
      <c r="AR30" s="650"/>
      <c r="AS30" s="650"/>
      <c r="AT30" s="65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578"/>
      <c r="C31" s="578"/>
      <c r="D31" s="579"/>
      <c r="E31" s="583"/>
      <c r="F31" s="584"/>
      <c r="G31" s="584"/>
      <c r="H31" s="584"/>
      <c r="I31" s="584"/>
      <c r="J31" s="645"/>
      <c r="K31" s="646"/>
      <c r="L31" s="646"/>
      <c r="M31" s="646"/>
      <c r="N31" s="646"/>
      <c r="O31" s="648"/>
      <c r="P31" s="615"/>
      <c r="Q31" s="615"/>
      <c r="R31" s="615"/>
      <c r="S31" s="615"/>
      <c r="T31" s="615"/>
      <c r="U31" s="617"/>
      <c r="V31" s="614"/>
      <c r="W31" s="615"/>
      <c r="X31" s="615"/>
      <c r="Y31" s="615"/>
      <c r="Z31" s="615"/>
      <c r="AA31" s="617"/>
      <c r="AB31" s="591"/>
      <c r="AC31" s="592"/>
      <c r="AD31" s="592"/>
      <c r="AE31" s="592"/>
      <c r="AF31" s="592"/>
      <c r="AG31" s="594"/>
      <c r="AH31" s="597"/>
      <c r="AI31" s="598"/>
      <c r="AJ31" s="598"/>
      <c r="AK31" s="598"/>
      <c r="AL31" s="598"/>
      <c r="AM31" s="600"/>
      <c r="AN31" s="15"/>
      <c r="AO31" s="652"/>
      <c r="AP31" s="653"/>
      <c r="AQ31" s="653"/>
      <c r="AR31" s="653"/>
      <c r="AS31" s="653"/>
      <c r="AT31" s="65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578"/>
      <c r="C32" s="578"/>
      <c r="D32" s="579"/>
      <c r="E32" s="583"/>
      <c r="F32" s="584"/>
      <c r="G32" s="584"/>
      <c r="H32" s="584"/>
      <c r="I32" s="584"/>
      <c r="J32" s="645" t="str">
        <f>IF(AND('Mapa final'!$H$28="Baja",'Mapa final'!$L$28="Leve"),CONCATENATE("R",'Mapa final'!$A$28),"")</f>
        <v/>
      </c>
      <c r="K32" s="646"/>
      <c r="L32" s="646" t="str">
        <f>IF(AND('Mapa final'!$H$34="Baja",'Mapa final'!$L$34="Leve"),CONCATENATE("R",'Mapa final'!$A$34),"")</f>
        <v/>
      </c>
      <c r="M32" s="646"/>
      <c r="N32" s="646" t="str">
        <f>IF(AND('Mapa final'!$H$40="Baja",'Mapa final'!$L$40="Leve"),CONCATENATE("R",'Mapa final'!$A$40),"")</f>
        <v/>
      </c>
      <c r="O32" s="648"/>
      <c r="P32" s="615" t="str">
        <f>IF(AND('Mapa final'!$H$28="Baja",'Mapa final'!$L$28="Menor"),CONCATENATE("R",'Mapa final'!$A$28),"")</f>
        <v/>
      </c>
      <c r="Q32" s="615"/>
      <c r="R32" s="615" t="str">
        <f>IF(AND('Mapa final'!$H$34="Baja",'Mapa final'!$L$34="Menor"),CONCATENATE("R",'Mapa final'!$A$34),"")</f>
        <v/>
      </c>
      <c r="S32" s="615"/>
      <c r="T32" s="615" t="str">
        <f>IF(AND('Mapa final'!$H$40="Baja",'Mapa final'!$L$40="Menor"),CONCATENATE("R",'Mapa final'!$A$40),"")</f>
        <v/>
      </c>
      <c r="U32" s="617"/>
      <c r="V32" s="614" t="str">
        <f>IF(AND('Mapa final'!$H$28="Baja",'Mapa final'!$L$28="Moderado"),CONCATENATE("R",'Mapa final'!$A$28),"")</f>
        <v/>
      </c>
      <c r="W32" s="615"/>
      <c r="X32" s="615" t="str">
        <f>IF(AND('Mapa final'!$H$34="Baja",'Mapa final'!$L$34="Moderado"),CONCATENATE("R",'Mapa final'!$A$34),"")</f>
        <v/>
      </c>
      <c r="Y32" s="615"/>
      <c r="Z32" s="615" t="str">
        <f>IF(AND('Mapa final'!$H$40="Baja",'Mapa final'!$L$40="Moderado"),CONCATENATE("R",'Mapa final'!$A$40),"")</f>
        <v/>
      </c>
      <c r="AA32" s="617"/>
      <c r="AB32" s="591" t="str">
        <f>IF(AND('Mapa final'!$H$28="Baja",'Mapa final'!$L$28="Mayor"),CONCATENATE("R",'Mapa final'!$A$28),"")</f>
        <v/>
      </c>
      <c r="AC32" s="592"/>
      <c r="AD32" s="592" t="str">
        <f>IF(AND('Mapa final'!$H$34="Baja",'Mapa final'!$L$34="Mayor"),CONCATENATE("R",'Mapa final'!$A$34),"")</f>
        <v/>
      </c>
      <c r="AE32" s="592"/>
      <c r="AF32" s="592" t="str">
        <f>IF(AND('Mapa final'!$H$40="Baja",'Mapa final'!$L$40="Mayor"),CONCATENATE("R",'Mapa final'!$A$40),"")</f>
        <v/>
      </c>
      <c r="AG32" s="594"/>
      <c r="AH32" s="597" t="str">
        <f>IF(AND('Mapa final'!$H$28="Baja",'Mapa final'!$L$28="Catastrófico"),CONCATENATE("R",'Mapa final'!$A$28),"")</f>
        <v/>
      </c>
      <c r="AI32" s="598"/>
      <c r="AJ32" s="598" t="str">
        <f>IF(AND('Mapa final'!$H$34="Baja",'Mapa final'!$L$34="Catastrófico"),CONCATENATE("R",'Mapa final'!$A$34),"")</f>
        <v/>
      </c>
      <c r="AK32" s="598"/>
      <c r="AL32" s="598" t="str">
        <f>IF(AND('Mapa final'!$H$40="Baja",'Mapa final'!$L$40="Catastrófico"),CONCATENATE("R",'Mapa final'!$A$40),"")</f>
        <v/>
      </c>
      <c r="AM32" s="600"/>
      <c r="AN32" s="15"/>
      <c r="AO32" s="652"/>
      <c r="AP32" s="653"/>
      <c r="AQ32" s="653"/>
      <c r="AR32" s="653"/>
      <c r="AS32" s="653"/>
      <c r="AT32" s="65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578"/>
      <c r="C33" s="578"/>
      <c r="D33" s="579"/>
      <c r="E33" s="583"/>
      <c r="F33" s="584"/>
      <c r="G33" s="584"/>
      <c r="H33" s="584"/>
      <c r="I33" s="584"/>
      <c r="J33" s="645"/>
      <c r="K33" s="646"/>
      <c r="L33" s="646"/>
      <c r="M33" s="646"/>
      <c r="N33" s="646"/>
      <c r="O33" s="648"/>
      <c r="P33" s="615"/>
      <c r="Q33" s="615"/>
      <c r="R33" s="615"/>
      <c r="S33" s="615"/>
      <c r="T33" s="615"/>
      <c r="U33" s="617"/>
      <c r="V33" s="614"/>
      <c r="W33" s="615"/>
      <c r="X33" s="615"/>
      <c r="Y33" s="615"/>
      <c r="Z33" s="615"/>
      <c r="AA33" s="617"/>
      <c r="AB33" s="591"/>
      <c r="AC33" s="592"/>
      <c r="AD33" s="592"/>
      <c r="AE33" s="592"/>
      <c r="AF33" s="592"/>
      <c r="AG33" s="594"/>
      <c r="AH33" s="597"/>
      <c r="AI33" s="598"/>
      <c r="AJ33" s="598"/>
      <c r="AK33" s="598"/>
      <c r="AL33" s="598"/>
      <c r="AM33" s="600"/>
      <c r="AN33" s="15"/>
      <c r="AO33" s="652"/>
      <c r="AP33" s="653"/>
      <c r="AQ33" s="653"/>
      <c r="AR33" s="653"/>
      <c r="AS33" s="653"/>
      <c r="AT33" s="65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578"/>
      <c r="C34" s="578"/>
      <c r="D34" s="579"/>
      <c r="E34" s="583"/>
      <c r="F34" s="584"/>
      <c r="G34" s="584"/>
      <c r="H34" s="584"/>
      <c r="I34" s="584"/>
      <c r="J34" s="645" t="str">
        <f>IF(AND('Mapa final'!$H$46="Baja",'Mapa final'!$L$46="Leve"),CONCATENATE("R",'Mapa final'!$A$46),"")</f>
        <v/>
      </c>
      <c r="K34" s="646"/>
      <c r="L34" s="646" t="str">
        <f>IF(AND('Mapa final'!$H$52="Baja",'Mapa final'!$L$52="Leve"),CONCATENATE("R",'Mapa final'!$A$52),"")</f>
        <v/>
      </c>
      <c r="M34" s="646"/>
      <c r="N34" s="646" t="str">
        <f>IF(AND('Mapa final'!$H$58="Baja",'Mapa final'!$L$58="Leve"),CONCATENATE("R",'Mapa final'!$A$58),"")</f>
        <v/>
      </c>
      <c r="O34" s="648"/>
      <c r="P34" s="615" t="str">
        <f>IF(AND('Mapa final'!$H$46="Baja",'Mapa final'!$L$46="Menor"),CONCATENATE("R",'Mapa final'!$A$46),"")</f>
        <v/>
      </c>
      <c r="Q34" s="615"/>
      <c r="R34" s="615" t="str">
        <f>IF(AND('Mapa final'!$H$52="Baja",'Mapa final'!$L$52="Menor"),CONCATENATE("R",'Mapa final'!$A$52),"")</f>
        <v/>
      </c>
      <c r="S34" s="615"/>
      <c r="T34" s="615" t="str">
        <f>IF(AND('Mapa final'!$H$58="Baja",'Mapa final'!$L$58="Menor"),CONCATENATE("R",'Mapa final'!$A$58),"")</f>
        <v/>
      </c>
      <c r="U34" s="617"/>
      <c r="V34" s="614" t="str">
        <f>IF(AND('Mapa final'!$H$46="Baja",'Mapa final'!$L$46="Moderado"),CONCATENATE("R",'Mapa final'!$A$46),"")</f>
        <v/>
      </c>
      <c r="W34" s="615"/>
      <c r="X34" s="615" t="str">
        <f>IF(AND('Mapa final'!$H$52="Baja",'Mapa final'!$L$52="Moderado"),CONCATENATE("R",'Mapa final'!$A$52),"")</f>
        <v/>
      </c>
      <c r="Y34" s="615"/>
      <c r="Z34" s="615" t="str">
        <f>IF(AND('Mapa final'!$H$58="Baja",'Mapa final'!$L$58="Moderado"),CONCATENATE("R",'Mapa final'!$A$58),"")</f>
        <v/>
      </c>
      <c r="AA34" s="617"/>
      <c r="AB34" s="591" t="str">
        <f>IF(AND('Mapa final'!$H$46="Baja",'Mapa final'!$L$46="Mayor"),CONCATENATE("R",'Mapa final'!$A$46),"")</f>
        <v/>
      </c>
      <c r="AC34" s="592"/>
      <c r="AD34" s="592" t="str">
        <f>IF(AND('Mapa final'!$H$52="Baja",'Mapa final'!$L$52="Mayor"),CONCATENATE("R",'Mapa final'!$A$52),"")</f>
        <v/>
      </c>
      <c r="AE34" s="592"/>
      <c r="AF34" s="592" t="str">
        <f>IF(AND('Mapa final'!$H$58="Baja",'Mapa final'!$L$58="Mayor"),CONCATENATE("R",'Mapa final'!$A$58),"")</f>
        <v/>
      </c>
      <c r="AG34" s="594"/>
      <c r="AH34" s="597" t="str">
        <f>IF(AND('Mapa final'!$H$46="Baja",'Mapa final'!$L$46="Catastrófico"),CONCATENATE("R",'Mapa final'!$A$46),"")</f>
        <v/>
      </c>
      <c r="AI34" s="598"/>
      <c r="AJ34" s="598" t="str">
        <f>IF(AND('Mapa final'!$H$52="Baja",'Mapa final'!$L$52="Catastrófico"),CONCATENATE("R",'Mapa final'!$A$52),"")</f>
        <v/>
      </c>
      <c r="AK34" s="598"/>
      <c r="AL34" s="598" t="str">
        <f>IF(AND('Mapa final'!$H$58="Baja",'Mapa final'!$L$58="Catastrófico"),CONCATENATE("R",'Mapa final'!$A$58),"")</f>
        <v/>
      </c>
      <c r="AM34" s="600"/>
      <c r="AN34" s="15"/>
      <c r="AO34" s="652"/>
      <c r="AP34" s="653"/>
      <c r="AQ34" s="653"/>
      <c r="AR34" s="653"/>
      <c r="AS34" s="653"/>
      <c r="AT34" s="65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578"/>
      <c r="C35" s="578"/>
      <c r="D35" s="579"/>
      <c r="E35" s="583"/>
      <c r="F35" s="584"/>
      <c r="G35" s="584"/>
      <c r="H35" s="584"/>
      <c r="I35" s="584"/>
      <c r="J35" s="645"/>
      <c r="K35" s="646"/>
      <c r="L35" s="646"/>
      <c r="M35" s="646"/>
      <c r="N35" s="646"/>
      <c r="O35" s="648"/>
      <c r="P35" s="615"/>
      <c r="Q35" s="615"/>
      <c r="R35" s="615"/>
      <c r="S35" s="615"/>
      <c r="T35" s="615"/>
      <c r="U35" s="617"/>
      <c r="V35" s="614"/>
      <c r="W35" s="615"/>
      <c r="X35" s="615"/>
      <c r="Y35" s="615"/>
      <c r="Z35" s="615"/>
      <c r="AA35" s="617"/>
      <c r="AB35" s="591"/>
      <c r="AC35" s="592"/>
      <c r="AD35" s="592"/>
      <c r="AE35" s="592"/>
      <c r="AF35" s="592"/>
      <c r="AG35" s="594"/>
      <c r="AH35" s="597"/>
      <c r="AI35" s="598"/>
      <c r="AJ35" s="598"/>
      <c r="AK35" s="598"/>
      <c r="AL35" s="598"/>
      <c r="AM35" s="600"/>
      <c r="AN35" s="15"/>
      <c r="AO35" s="652"/>
      <c r="AP35" s="653"/>
      <c r="AQ35" s="653"/>
      <c r="AR35" s="653"/>
      <c r="AS35" s="653"/>
      <c r="AT35" s="65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578"/>
      <c r="C36" s="578"/>
      <c r="D36" s="579"/>
      <c r="E36" s="583"/>
      <c r="F36" s="584"/>
      <c r="G36" s="584"/>
      <c r="H36" s="584"/>
      <c r="I36" s="584"/>
      <c r="J36" s="645" t="str">
        <f>IF(AND('Mapa final'!$H$64="Baja",'Mapa final'!$L$64="Leve"),CONCATENATE("R",'Mapa final'!$A$64),"")</f>
        <v/>
      </c>
      <c r="K36" s="646"/>
      <c r="L36" s="646" t="str">
        <f>IF(AND('Mapa final'!$H$70="Baja",'Mapa final'!$L$70="Leve"),CONCATENATE("R",'Mapa final'!$A$70),"")</f>
        <v/>
      </c>
      <c r="M36" s="646"/>
      <c r="N36" s="646" t="str">
        <f>IF(AND('Mapa final'!$H$76="Baja",'Mapa final'!$L$76="Leve"),CONCATENATE("R",'Mapa final'!$A$76),"")</f>
        <v/>
      </c>
      <c r="O36" s="648"/>
      <c r="P36" s="615" t="str">
        <f>IF(AND('Mapa final'!$H$64="Baja",'Mapa final'!$L$64="Menor"),CONCATENATE("R",'Mapa final'!$A$64),"")</f>
        <v/>
      </c>
      <c r="Q36" s="615"/>
      <c r="R36" s="615" t="str">
        <f>IF(AND('Mapa final'!$H$70="Baja",'Mapa final'!$L$70="Menor"),CONCATENATE("R",'Mapa final'!$A$70),"")</f>
        <v/>
      </c>
      <c r="S36" s="615"/>
      <c r="T36" s="615" t="str">
        <f>IF(AND('Mapa final'!$H$76="Baja",'Mapa final'!$L$76="Menor"),CONCATENATE("R",'Mapa final'!$A$76),"")</f>
        <v/>
      </c>
      <c r="U36" s="617"/>
      <c r="V36" s="614" t="str">
        <f>IF(AND('Mapa final'!$H$64="Baja",'Mapa final'!$L$64="Moderado"),CONCATENATE("R",'Mapa final'!$A$64),"")</f>
        <v/>
      </c>
      <c r="W36" s="615"/>
      <c r="X36" s="615" t="str">
        <f>IF(AND('Mapa final'!$H$70="Baja",'Mapa final'!$L$70="Moderado"),CONCATENATE("R",'Mapa final'!$A$70),"")</f>
        <v/>
      </c>
      <c r="Y36" s="615"/>
      <c r="Z36" s="615" t="str">
        <f>IF(AND('Mapa final'!$H$76="Baja",'Mapa final'!$L$76="Moderado"),CONCATENATE("R",'Mapa final'!$A$76),"")</f>
        <v/>
      </c>
      <c r="AA36" s="617"/>
      <c r="AB36" s="591" t="str">
        <f>IF(AND('Mapa final'!$H$64="Baja",'Mapa final'!$L$64="Mayor"),CONCATENATE("R",'Mapa final'!$A$64),"")</f>
        <v/>
      </c>
      <c r="AC36" s="592"/>
      <c r="AD36" s="592" t="str">
        <f>IF(AND('Mapa final'!$H$70="Baja",'Mapa final'!$L$70="Mayor"),CONCATENATE("R",'Mapa final'!$A$70),"")</f>
        <v/>
      </c>
      <c r="AE36" s="592"/>
      <c r="AF36" s="592" t="str">
        <f>IF(AND('Mapa final'!$H$76="Baja",'Mapa final'!$L$76="Mayor"),CONCATENATE("R",'Mapa final'!$A$76),"")</f>
        <v/>
      </c>
      <c r="AG36" s="594"/>
      <c r="AH36" s="597" t="str">
        <f>IF(AND('Mapa final'!$H$64="Baja",'Mapa final'!$L$64="Catastrófico"),CONCATENATE("R",'Mapa final'!$A$64),"")</f>
        <v/>
      </c>
      <c r="AI36" s="598"/>
      <c r="AJ36" s="598" t="str">
        <f>IF(AND('Mapa final'!$H$70="Baja",'Mapa final'!$L$70="Catastrófico"),CONCATENATE("R",'Mapa final'!$A$70),"")</f>
        <v/>
      </c>
      <c r="AK36" s="598"/>
      <c r="AL36" s="598" t="str">
        <f>IF(AND('Mapa final'!$H$76="Baja",'Mapa final'!$L$76="Catastrófico"),CONCATENATE("R",'Mapa final'!$A$76),"")</f>
        <v/>
      </c>
      <c r="AM36" s="600"/>
      <c r="AN36" s="15"/>
      <c r="AO36" s="652"/>
      <c r="AP36" s="653"/>
      <c r="AQ36" s="653"/>
      <c r="AR36" s="653"/>
      <c r="AS36" s="653"/>
      <c r="AT36" s="65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578"/>
      <c r="C37" s="578"/>
      <c r="D37" s="579"/>
      <c r="E37" s="586"/>
      <c r="F37" s="587"/>
      <c r="G37" s="587"/>
      <c r="H37" s="587"/>
      <c r="I37" s="587"/>
      <c r="J37" s="658"/>
      <c r="K37" s="659"/>
      <c r="L37" s="659"/>
      <c r="M37" s="659"/>
      <c r="N37" s="659"/>
      <c r="O37" s="660"/>
      <c r="P37" s="632"/>
      <c r="Q37" s="632"/>
      <c r="R37" s="632"/>
      <c r="S37" s="632"/>
      <c r="T37" s="632"/>
      <c r="U37" s="633"/>
      <c r="V37" s="631"/>
      <c r="W37" s="632"/>
      <c r="X37" s="632"/>
      <c r="Y37" s="632"/>
      <c r="Z37" s="632"/>
      <c r="AA37" s="633"/>
      <c r="AB37" s="628"/>
      <c r="AC37" s="629"/>
      <c r="AD37" s="629"/>
      <c r="AE37" s="629"/>
      <c r="AF37" s="629"/>
      <c r="AG37" s="630"/>
      <c r="AH37" s="618"/>
      <c r="AI37" s="610"/>
      <c r="AJ37" s="610"/>
      <c r="AK37" s="610"/>
      <c r="AL37" s="610"/>
      <c r="AM37" s="611"/>
      <c r="AN37" s="15"/>
      <c r="AO37" s="655"/>
      <c r="AP37" s="656"/>
      <c r="AQ37" s="656"/>
      <c r="AR37" s="656"/>
      <c r="AS37" s="656"/>
      <c r="AT37" s="65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578"/>
      <c r="C38" s="578"/>
      <c r="D38" s="579"/>
      <c r="E38" s="580" t="s">
        <v>1061</v>
      </c>
      <c r="F38" s="581"/>
      <c r="G38" s="581"/>
      <c r="H38" s="581"/>
      <c r="I38" s="582"/>
      <c r="J38" s="643" t="str">
        <f>IF(AND('Mapa final'!$H$10="Muy Baja",'Mapa final'!$L$10="Leve"),CONCATENATE("R",'Mapa final'!$A$10),"")</f>
        <v/>
      </c>
      <c r="K38" s="644"/>
      <c r="L38" s="644" t="str">
        <f>IF(AND('Mapa final'!$H$16="Muy Baja",'Mapa final'!$L$16="Leve"),CONCATENATE("R",'Mapa final'!$A$16),"")</f>
        <v/>
      </c>
      <c r="M38" s="644"/>
      <c r="N38" s="644" t="str">
        <f>IF(AND('Mapa final'!$H$22="Muy Baja",'Mapa final'!$L$22="Leve"),CONCATENATE("R",'Mapa final'!$A$22),"")</f>
        <v/>
      </c>
      <c r="O38" s="647"/>
      <c r="P38" s="643" t="str">
        <f>IF(AND('Mapa final'!$H$10="Muy Baja",'Mapa final'!$L$10="Menor"),CONCATENATE("R",'Mapa final'!$A$10),"")</f>
        <v/>
      </c>
      <c r="Q38" s="644"/>
      <c r="R38" s="644" t="str">
        <f>IF(AND('Mapa final'!$H$16="Muy Baja",'Mapa final'!$L$16="Menor"),CONCATENATE("R",'Mapa final'!$A$16),"")</f>
        <v/>
      </c>
      <c r="S38" s="644"/>
      <c r="T38" s="644" t="str">
        <f>IF(AND('Mapa final'!$H$22="Muy Baja",'Mapa final'!$L$22="Menor"),CONCATENATE("R",'Mapa final'!$A$22),"")</f>
        <v>R3</v>
      </c>
      <c r="U38" s="647"/>
      <c r="V38" s="612" t="str">
        <f>IF(AND('Mapa final'!$H$10="Muy Baja",'Mapa final'!$L$10="Moderado"),CONCATENATE("R",'Mapa final'!$A$10),"")</f>
        <v/>
      </c>
      <c r="W38" s="613"/>
      <c r="X38" s="613" t="str">
        <f>IF(AND('Mapa final'!$H$16="Muy Baja",'Mapa final'!$L$16="Moderado"),CONCATENATE("R",'Mapa final'!$A$16),"")</f>
        <v/>
      </c>
      <c r="Y38" s="613"/>
      <c r="Z38" s="613" t="str">
        <f>IF(AND('Mapa final'!$H$22="Muy Baja",'Mapa final'!$L$22="Moderado"),CONCATENATE("R",'Mapa final'!$A$22),"")</f>
        <v/>
      </c>
      <c r="AA38" s="616"/>
      <c r="AB38" s="589" t="str">
        <f>IF(AND('Mapa final'!$H$10="Muy Baja",'Mapa final'!$L$10="Mayor"),CONCATENATE("R",'Mapa final'!$A$10),"")</f>
        <v/>
      </c>
      <c r="AC38" s="590"/>
      <c r="AD38" s="590" t="str">
        <f>IF(AND('Mapa final'!$H$16="Muy Baja",'Mapa final'!$L$16="Mayor"),CONCATENATE("R",'Mapa final'!$A$16),"")</f>
        <v/>
      </c>
      <c r="AE38" s="590"/>
      <c r="AF38" s="590" t="str">
        <f>IF(AND('Mapa final'!$H$22="Muy Baja",'Mapa final'!$L$22="Mayor"),CONCATENATE("R",'Mapa final'!$A$22),"")</f>
        <v/>
      </c>
      <c r="AG38" s="593"/>
      <c r="AH38" s="595" t="str">
        <f>IF(AND('Mapa final'!$H$10="Muy Baja",'Mapa final'!$L$10="Catastrófico"),CONCATENATE("R",'Mapa final'!$A$10),"")</f>
        <v/>
      </c>
      <c r="AI38" s="596"/>
      <c r="AJ38" s="596" t="str">
        <f>IF(AND('Mapa final'!$H$16="Muy Baja",'Mapa final'!$L$16="Catastrófico"),CONCATENATE("R",'Mapa final'!$A$16),"")</f>
        <v/>
      </c>
      <c r="AK38" s="596"/>
      <c r="AL38" s="596" t="str">
        <f>IF(AND('Mapa final'!$H$22="Muy Baja",'Mapa final'!$L$22="Catastrófico"),CONCATENATE("R",'Mapa final'!$A$22),"")</f>
        <v/>
      </c>
      <c r="AM38" s="59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578"/>
      <c r="C39" s="578"/>
      <c r="D39" s="579"/>
      <c r="E39" s="583"/>
      <c r="F39" s="584"/>
      <c r="G39" s="584"/>
      <c r="H39" s="584"/>
      <c r="I39" s="585"/>
      <c r="J39" s="645"/>
      <c r="K39" s="646"/>
      <c r="L39" s="646"/>
      <c r="M39" s="646"/>
      <c r="N39" s="646"/>
      <c r="O39" s="648"/>
      <c r="P39" s="645"/>
      <c r="Q39" s="646"/>
      <c r="R39" s="646"/>
      <c r="S39" s="646"/>
      <c r="T39" s="646"/>
      <c r="U39" s="648"/>
      <c r="V39" s="614"/>
      <c r="W39" s="615"/>
      <c r="X39" s="615"/>
      <c r="Y39" s="615"/>
      <c r="Z39" s="615"/>
      <c r="AA39" s="617"/>
      <c r="AB39" s="591"/>
      <c r="AC39" s="592"/>
      <c r="AD39" s="592"/>
      <c r="AE39" s="592"/>
      <c r="AF39" s="592"/>
      <c r="AG39" s="594"/>
      <c r="AH39" s="597"/>
      <c r="AI39" s="598"/>
      <c r="AJ39" s="598"/>
      <c r="AK39" s="598"/>
      <c r="AL39" s="598"/>
      <c r="AM39" s="60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578"/>
      <c r="C40" s="578"/>
      <c r="D40" s="579"/>
      <c r="E40" s="583"/>
      <c r="F40" s="584"/>
      <c r="G40" s="584"/>
      <c r="H40" s="584"/>
      <c r="I40" s="585"/>
      <c r="J40" s="645" t="str">
        <f>IF(AND('Mapa final'!$H$28="Muy Baja",'Mapa final'!$L$28="Leve"),CONCATENATE("R",'Mapa final'!$A$28),"")</f>
        <v/>
      </c>
      <c r="K40" s="646"/>
      <c r="L40" s="646" t="str">
        <f>IF(AND('Mapa final'!$H$34="Muy Baja",'Mapa final'!$L$34="Leve"),CONCATENATE("R",'Mapa final'!$A$34),"")</f>
        <v/>
      </c>
      <c r="M40" s="646"/>
      <c r="N40" s="646" t="str">
        <f>IF(AND('Mapa final'!$H$40="Muy Baja",'Mapa final'!$L$40="Leve"),CONCATENATE("R",'Mapa final'!$A$40),"")</f>
        <v/>
      </c>
      <c r="O40" s="648"/>
      <c r="P40" s="645" t="str">
        <f>IF(AND('Mapa final'!$H$28="Muy Baja",'Mapa final'!$L$28="Menor"),CONCATENATE("R",'Mapa final'!$A$28),"")</f>
        <v/>
      </c>
      <c r="Q40" s="646"/>
      <c r="R40" s="646" t="str">
        <f>IF(AND('Mapa final'!$H$34="Muy Baja",'Mapa final'!$L$34="Menor"),CONCATENATE("R",'Mapa final'!$A$34),"")</f>
        <v/>
      </c>
      <c r="S40" s="646"/>
      <c r="T40" s="646" t="str">
        <f>IF(AND('Mapa final'!$H$40="Muy Baja",'Mapa final'!$L$40="Menor"),CONCATENATE("R",'Mapa final'!$A$40),"")</f>
        <v/>
      </c>
      <c r="U40" s="648"/>
      <c r="V40" s="614" t="str">
        <f>IF(AND('Mapa final'!$H$28="Muy Baja",'Mapa final'!$L$28="Moderado"),CONCATENATE("R",'Mapa final'!$A$28),"")</f>
        <v/>
      </c>
      <c r="W40" s="615"/>
      <c r="X40" s="615" t="str">
        <f>IF(AND('Mapa final'!$H$34="Muy Baja",'Mapa final'!$L$34="Moderado"),CONCATENATE("R",'Mapa final'!$A$34),"")</f>
        <v/>
      </c>
      <c r="Y40" s="615"/>
      <c r="Z40" s="615" t="str">
        <f>IF(AND('Mapa final'!$H$40="Muy Baja",'Mapa final'!$L$40="Moderado"),CONCATENATE("R",'Mapa final'!$A$40),"")</f>
        <v/>
      </c>
      <c r="AA40" s="617"/>
      <c r="AB40" s="591" t="str">
        <f>IF(AND('Mapa final'!$H$28="Muy Baja",'Mapa final'!$L$28="Mayor"),CONCATENATE("R",'Mapa final'!$A$28),"")</f>
        <v/>
      </c>
      <c r="AC40" s="592"/>
      <c r="AD40" s="592" t="str">
        <f>IF(AND('Mapa final'!$H$34="Muy Baja",'Mapa final'!$L$34="Mayor"),CONCATENATE("R",'Mapa final'!$A$34),"")</f>
        <v/>
      </c>
      <c r="AE40" s="592"/>
      <c r="AF40" s="592" t="str">
        <f>IF(AND('Mapa final'!$H$40="Muy Baja",'Mapa final'!$L$40="Mayor"),CONCATENATE("R",'Mapa final'!$A$40),"")</f>
        <v/>
      </c>
      <c r="AG40" s="594"/>
      <c r="AH40" s="597" t="str">
        <f>IF(AND('Mapa final'!$H$28="Muy Baja",'Mapa final'!$L$28="Catastrófico"),CONCATENATE("R",'Mapa final'!$A$28),"")</f>
        <v/>
      </c>
      <c r="AI40" s="598"/>
      <c r="AJ40" s="598" t="str">
        <f>IF(AND('Mapa final'!$H$34="Muy Baja",'Mapa final'!$L$34="Catastrófico"),CONCATENATE("R",'Mapa final'!$A$34),"")</f>
        <v/>
      </c>
      <c r="AK40" s="598"/>
      <c r="AL40" s="598" t="str">
        <f>IF(AND('Mapa final'!$H$40="Muy Baja",'Mapa final'!$L$40="Catastrófico"),CONCATENATE("R",'Mapa final'!$A$40),"")</f>
        <v/>
      </c>
      <c r="AM40" s="60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578"/>
      <c r="C41" s="578"/>
      <c r="D41" s="579"/>
      <c r="E41" s="583"/>
      <c r="F41" s="584"/>
      <c r="G41" s="584"/>
      <c r="H41" s="584"/>
      <c r="I41" s="585"/>
      <c r="J41" s="645"/>
      <c r="K41" s="646"/>
      <c r="L41" s="646"/>
      <c r="M41" s="646"/>
      <c r="N41" s="646"/>
      <c r="O41" s="648"/>
      <c r="P41" s="645"/>
      <c r="Q41" s="646"/>
      <c r="R41" s="646"/>
      <c r="S41" s="646"/>
      <c r="T41" s="646"/>
      <c r="U41" s="648"/>
      <c r="V41" s="614"/>
      <c r="W41" s="615"/>
      <c r="X41" s="615"/>
      <c r="Y41" s="615"/>
      <c r="Z41" s="615"/>
      <c r="AA41" s="617"/>
      <c r="AB41" s="591"/>
      <c r="AC41" s="592"/>
      <c r="AD41" s="592"/>
      <c r="AE41" s="592"/>
      <c r="AF41" s="592"/>
      <c r="AG41" s="594"/>
      <c r="AH41" s="597"/>
      <c r="AI41" s="598"/>
      <c r="AJ41" s="598"/>
      <c r="AK41" s="598"/>
      <c r="AL41" s="598"/>
      <c r="AM41" s="60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578"/>
      <c r="C42" s="578"/>
      <c r="D42" s="579"/>
      <c r="E42" s="583"/>
      <c r="F42" s="584"/>
      <c r="G42" s="584"/>
      <c r="H42" s="584"/>
      <c r="I42" s="585"/>
      <c r="J42" s="645" t="str">
        <f>IF(AND('Mapa final'!$H$46="Muy Baja",'Mapa final'!$L$46="Leve"),CONCATENATE("R",'Mapa final'!$A$46),"")</f>
        <v/>
      </c>
      <c r="K42" s="646"/>
      <c r="L42" s="646" t="str">
        <f>IF(AND('Mapa final'!$H$52="Muy Baja",'Mapa final'!$L$52="Leve"),CONCATENATE("R",'Mapa final'!$A$52),"")</f>
        <v/>
      </c>
      <c r="M42" s="646"/>
      <c r="N42" s="646" t="str">
        <f>IF(AND('Mapa final'!$H$58="Muy Baja",'Mapa final'!$L$58="Leve"),CONCATENATE("R",'Mapa final'!$A$58),"")</f>
        <v/>
      </c>
      <c r="O42" s="648"/>
      <c r="P42" s="645" t="str">
        <f>IF(AND('Mapa final'!$H$46="Muy Baja",'Mapa final'!$L$46="Menor"),CONCATENATE("R",'Mapa final'!$A$46),"")</f>
        <v/>
      </c>
      <c r="Q42" s="646"/>
      <c r="R42" s="646" t="str">
        <f>IF(AND('Mapa final'!$H$52="Muy Baja",'Mapa final'!$L$52="Menor"),CONCATENATE("R",'Mapa final'!$A$52),"")</f>
        <v/>
      </c>
      <c r="S42" s="646"/>
      <c r="T42" s="646" t="str">
        <f>IF(AND('Mapa final'!$H$58="Muy Baja",'Mapa final'!$L$58="Menor"),CONCATENATE("R",'Mapa final'!$A$58),"")</f>
        <v/>
      </c>
      <c r="U42" s="648"/>
      <c r="V42" s="614" t="str">
        <f>IF(AND('Mapa final'!$H$46="Muy Baja",'Mapa final'!$L$46="Moderado"),CONCATENATE("R",'Mapa final'!$A$46),"")</f>
        <v/>
      </c>
      <c r="W42" s="615"/>
      <c r="X42" s="615" t="str">
        <f>IF(AND('Mapa final'!$H$52="Muy Baja",'Mapa final'!$L$52="Moderado"),CONCATENATE("R",'Mapa final'!$A$52),"")</f>
        <v/>
      </c>
      <c r="Y42" s="615"/>
      <c r="Z42" s="615" t="str">
        <f>IF(AND('Mapa final'!$H$58="Muy Baja",'Mapa final'!$L$58="Moderado"),CONCATENATE("R",'Mapa final'!$A$58),"")</f>
        <v/>
      </c>
      <c r="AA42" s="617"/>
      <c r="AB42" s="591" t="str">
        <f>IF(AND('Mapa final'!$H$46="Muy Baja",'Mapa final'!$L$46="Mayor"),CONCATENATE("R",'Mapa final'!$A$46),"")</f>
        <v/>
      </c>
      <c r="AC42" s="592"/>
      <c r="AD42" s="592" t="str">
        <f>IF(AND('Mapa final'!$H$52="Muy Baja",'Mapa final'!$L$52="Mayor"),CONCATENATE("R",'Mapa final'!$A$52),"")</f>
        <v/>
      </c>
      <c r="AE42" s="592"/>
      <c r="AF42" s="592" t="str">
        <f>IF(AND('Mapa final'!$H$58="Muy Baja",'Mapa final'!$L$58="Mayor"),CONCATENATE("R",'Mapa final'!$A$58),"")</f>
        <v/>
      </c>
      <c r="AG42" s="594"/>
      <c r="AH42" s="597" t="str">
        <f>IF(AND('Mapa final'!$H$46="Muy Baja",'Mapa final'!$L$46="Catastrófico"),CONCATENATE("R",'Mapa final'!$A$46),"")</f>
        <v/>
      </c>
      <c r="AI42" s="598"/>
      <c r="AJ42" s="598" t="str">
        <f>IF(AND('Mapa final'!$H$52="Muy Baja",'Mapa final'!$L$52="Catastrófico"),CONCATENATE("R",'Mapa final'!$A$52),"")</f>
        <v/>
      </c>
      <c r="AK42" s="598"/>
      <c r="AL42" s="598" t="str">
        <f>IF(AND('Mapa final'!$H$58="Muy Baja",'Mapa final'!$L$58="Catastrófico"),CONCATENATE("R",'Mapa final'!$A$58),"")</f>
        <v/>
      </c>
      <c r="AM42" s="60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578"/>
      <c r="C43" s="578"/>
      <c r="D43" s="579"/>
      <c r="E43" s="583"/>
      <c r="F43" s="584"/>
      <c r="G43" s="584"/>
      <c r="H43" s="584"/>
      <c r="I43" s="585"/>
      <c r="J43" s="645"/>
      <c r="K43" s="646"/>
      <c r="L43" s="646"/>
      <c r="M43" s="646"/>
      <c r="N43" s="646"/>
      <c r="O43" s="648"/>
      <c r="P43" s="645"/>
      <c r="Q43" s="646"/>
      <c r="R43" s="646"/>
      <c r="S43" s="646"/>
      <c r="T43" s="646"/>
      <c r="U43" s="648"/>
      <c r="V43" s="614"/>
      <c r="W43" s="615"/>
      <c r="X43" s="615"/>
      <c r="Y43" s="615"/>
      <c r="Z43" s="615"/>
      <c r="AA43" s="617"/>
      <c r="AB43" s="591"/>
      <c r="AC43" s="592"/>
      <c r="AD43" s="592"/>
      <c r="AE43" s="592"/>
      <c r="AF43" s="592"/>
      <c r="AG43" s="594"/>
      <c r="AH43" s="597"/>
      <c r="AI43" s="598"/>
      <c r="AJ43" s="598"/>
      <c r="AK43" s="598"/>
      <c r="AL43" s="598"/>
      <c r="AM43" s="60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578"/>
      <c r="C44" s="578"/>
      <c r="D44" s="579"/>
      <c r="E44" s="583"/>
      <c r="F44" s="584"/>
      <c r="G44" s="584"/>
      <c r="H44" s="584"/>
      <c r="I44" s="585"/>
      <c r="J44" s="645" t="str">
        <f>IF(AND('Mapa final'!$H$64="Muy Baja",'Mapa final'!$L$64="Leve"),CONCATENATE("R",'Mapa final'!$A$64),"")</f>
        <v/>
      </c>
      <c r="K44" s="646"/>
      <c r="L44" s="646" t="str">
        <f>IF(AND('Mapa final'!$H$70="Muy Baja",'Mapa final'!$L$70="Leve"),CONCATENATE("R",'Mapa final'!$A$70),"")</f>
        <v/>
      </c>
      <c r="M44" s="646"/>
      <c r="N44" s="646" t="str">
        <f>IF(AND('Mapa final'!$H$76="Muy Baja",'Mapa final'!$L$76="Leve"),CONCATENATE("R",'Mapa final'!$A$76),"")</f>
        <v/>
      </c>
      <c r="O44" s="648"/>
      <c r="P44" s="645" t="str">
        <f>IF(AND('Mapa final'!$H$64="Muy Baja",'Mapa final'!$L$64="Menor"),CONCATENATE("R",'Mapa final'!$A$64),"")</f>
        <v/>
      </c>
      <c r="Q44" s="646"/>
      <c r="R44" s="646" t="str">
        <f>IF(AND('Mapa final'!$H$70="Muy Baja",'Mapa final'!$L$70="Menor"),CONCATENATE("R",'Mapa final'!$A$70),"")</f>
        <v/>
      </c>
      <c r="S44" s="646"/>
      <c r="T44" s="646" t="str">
        <f>IF(AND('Mapa final'!$H$76="Muy Baja",'Mapa final'!$L$76="Menor"),CONCATENATE("R",'Mapa final'!$A$76),"")</f>
        <v/>
      </c>
      <c r="U44" s="648"/>
      <c r="V44" s="614" t="str">
        <f>IF(AND('Mapa final'!$H$64="Muy Baja",'Mapa final'!$L$64="Moderado"),CONCATENATE("R",'Mapa final'!$A$64),"")</f>
        <v/>
      </c>
      <c r="W44" s="615"/>
      <c r="X44" s="615" t="str">
        <f>IF(AND('Mapa final'!$H$70="Muy Baja",'Mapa final'!$L$70="Moderado"),CONCATENATE("R",'Mapa final'!$A$70),"")</f>
        <v/>
      </c>
      <c r="Y44" s="615"/>
      <c r="Z44" s="615" t="str">
        <f>IF(AND('Mapa final'!$H$76="Muy Baja",'Mapa final'!$L$76="Moderado"),CONCATENATE("R",'Mapa final'!$A$76),"")</f>
        <v/>
      </c>
      <c r="AA44" s="617"/>
      <c r="AB44" s="591" t="str">
        <f>IF(AND('Mapa final'!$H$64="Muy Baja",'Mapa final'!$L$64="Mayor"),CONCATENATE("R",'Mapa final'!$A$64),"")</f>
        <v/>
      </c>
      <c r="AC44" s="592"/>
      <c r="AD44" s="592" t="str">
        <f>IF(AND('Mapa final'!$H$70="Muy Baja",'Mapa final'!$L$70="Mayor"),CONCATENATE("R",'Mapa final'!$A$70),"")</f>
        <v/>
      </c>
      <c r="AE44" s="592"/>
      <c r="AF44" s="592" t="str">
        <f>IF(AND('Mapa final'!$H$76="Muy Baja",'Mapa final'!$L$76="Mayor"),CONCATENATE("R",'Mapa final'!$A$76),"")</f>
        <v/>
      </c>
      <c r="AG44" s="594"/>
      <c r="AH44" s="597" t="str">
        <f>IF(AND('Mapa final'!$H$64="Muy Baja",'Mapa final'!$L$64="Catastrófico"),CONCATENATE("R",'Mapa final'!$A$64),"")</f>
        <v/>
      </c>
      <c r="AI44" s="598"/>
      <c r="AJ44" s="598" t="str">
        <f>IF(AND('Mapa final'!$H$70="Muy Baja",'Mapa final'!$L$70="Catastrófico"),CONCATENATE("R",'Mapa final'!$A$70),"")</f>
        <v/>
      </c>
      <c r="AK44" s="598"/>
      <c r="AL44" s="598" t="str">
        <f>IF(AND('Mapa final'!$H$76="Muy Baja",'Mapa final'!$L$76="Catastrófico"),CONCATENATE("R",'Mapa final'!$A$76),"")</f>
        <v/>
      </c>
      <c r="AM44" s="60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578"/>
      <c r="C45" s="578"/>
      <c r="D45" s="579"/>
      <c r="E45" s="586"/>
      <c r="F45" s="587"/>
      <c r="G45" s="587"/>
      <c r="H45" s="587"/>
      <c r="I45" s="588"/>
      <c r="J45" s="658"/>
      <c r="K45" s="659"/>
      <c r="L45" s="659"/>
      <c r="M45" s="659"/>
      <c r="N45" s="659"/>
      <c r="O45" s="660"/>
      <c r="P45" s="658"/>
      <c r="Q45" s="659"/>
      <c r="R45" s="659"/>
      <c r="S45" s="659"/>
      <c r="T45" s="659"/>
      <c r="U45" s="660"/>
      <c r="V45" s="631"/>
      <c r="W45" s="632"/>
      <c r="X45" s="632"/>
      <c r="Y45" s="632"/>
      <c r="Z45" s="632"/>
      <c r="AA45" s="633"/>
      <c r="AB45" s="628"/>
      <c r="AC45" s="629"/>
      <c r="AD45" s="629"/>
      <c r="AE45" s="629"/>
      <c r="AF45" s="629"/>
      <c r="AG45" s="630"/>
      <c r="AH45" s="618"/>
      <c r="AI45" s="610"/>
      <c r="AJ45" s="610"/>
      <c r="AK45" s="610"/>
      <c r="AL45" s="610"/>
      <c r="AM45" s="61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0" t="s">
        <v>1062</v>
      </c>
      <c r="K46" s="581"/>
      <c r="L46" s="581"/>
      <c r="M46" s="581"/>
      <c r="N46" s="581"/>
      <c r="O46" s="582"/>
      <c r="P46" s="580" t="s">
        <v>1063</v>
      </c>
      <c r="Q46" s="581"/>
      <c r="R46" s="581"/>
      <c r="S46" s="581"/>
      <c r="T46" s="581"/>
      <c r="U46" s="582"/>
      <c r="V46" s="580" t="s">
        <v>1064</v>
      </c>
      <c r="W46" s="581"/>
      <c r="X46" s="581"/>
      <c r="Y46" s="581"/>
      <c r="Z46" s="581"/>
      <c r="AA46" s="582"/>
      <c r="AB46" s="580" t="s">
        <v>1065</v>
      </c>
      <c r="AC46" s="661"/>
      <c r="AD46" s="581"/>
      <c r="AE46" s="581"/>
      <c r="AF46" s="581"/>
      <c r="AG46" s="582"/>
      <c r="AH46" s="580" t="s">
        <v>1066</v>
      </c>
      <c r="AI46" s="581"/>
      <c r="AJ46" s="581"/>
      <c r="AK46" s="581"/>
      <c r="AL46" s="581"/>
      <c r="AM46" s="58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3"/>
      <c r="K47" s="584"/>
      <c r="L47" s="584"/>
      <c r="M47" s="584"/>
      <c r="N47" s="584"/>
      <c r="O47" s="585"/>
      <c r="P47" s="583"/>
      <c r="Q47" s="584"/>
      <c r="R47" s="584"/>
      <c r="S47" s="584"/>
      <c r="T47" s="584"/>
      <c r="U47" s="585"/>
      <c r="V47" s="583"/>
      <c r="W47" s="584"/>
      <c r="X47" s="584"/>
      <c r="Y47" s="584"/>
      <c r="Z47" s="584"/>
      <c r="AA47" s="585"/>
      <c r="AB47" s="583"/>
      <c r="AC47" s="584"/>
      <c r="AD47" s="584"/>
      <c r="AE47" s="584"/>
      <c r="AF47" s="584"/>
      <c r="AG47" s="585"/>
      <c r="AH47" s="583"/>
      <c r="AI47" s="584"/>
      <c r="AJ47" s="584"/>
      <c r="AK47" s="584"/>
      <c r="AL47" s="584"/>
      <c r="AM47" s="58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3"/>
      <c r="K48" s="584"/>
      <c r="L48" s="584"/>
      <c r="M48" s="584"/>
      <c r="N48" s="584"/>
      <c r="O48" s="585"/>
      <c r="P48" s="583"/>
      <c r="Q48" s="584"/>
      <c r="R48" s="584"/>
      <c r="S48" s="584"/>
      <c r="T48" s="584"/>
      <c r="U48" s="585"/>
      <c r="V48" s="583"/>
      <c r="W48" s="584"/>
      <c r="X48" s="584"/>
      <c r="Y48" s="584"/>
      <c r="Z48" s="584"/>
      <c r="AA48" s="585"/>
      <c r="AB48" s="583"/>
      <c r="AC48" s="584"/>
      <c r="AD48" s="584"/>
      <c r="AE48" s="584"/>
      <c r="AF48" s="584"/>
      <c r="AG48" s="585"/>
      <c r="AH48" s="583"/>
      <c r="AI48" s="584"/>
      <c r="AJ48" s="584"/>
      <c r="AK48" s="584"/>
      <c r="AL48" s="584"/>
      <c r="AM48" s="58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3"/>
      <c r="K49" s="584"/>
      <c r="L49" s="584"/>
      <c r="M49" s="584"/>
      <c r="N49" s="584"/>
      <c r="O49" s="585"/>
      <c r="P49" s="583"/>
      <c r="Q49" s="584"/>
      <c r="R49" s="584"/>
      <c r="S49" s="584"/>
      <c r="T49" s="584"/>
      <c r="U49" s="585"/>
      <c r="V49" s="583"/>
      <c r="W49" s="584"/>
      <c r="X49" s="584"/>
      <c r="Y49" s="584"/>
      <c r="Z49" s="584"/>
      <c r="AA49" s="585"/>
      <c r="AB49" s="583"/>
      <c r="AC49" s="584"/>
      <c r="AD49" s="584"/>
      <c r="AE49" s="584"/>
      <c r="AF49" s="584"/>
      <c r="AG49" s="585"/>
      <c r="AH49" s="583"/>
      <c r="AI49" s="584"/>
      <c r="AJ49" s="584"/>
      <c r="AK49" s="584"/>
      <c r="AL49" s="584"/>
      <c r="AM49" s="58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3"/>
      <c r="K50" s="584"/>
      <c r="L50" s="584"/>
      <c r="M50" s="584"/>
      <c r="N50" s="584"/>
      <c r="O50" s="585"/>
      <c r="P50" s="583"/>
      <c r="Q50" s="584"/>
      <c r="R50" s="584"/>
      <c r="S50" s="584"/>
      <c r="T50" s="584"/>
      <c r="U50" s="585"/>
      <c r="V50" s="583"/>
      <c r="W50" s="584"/>
      <c r="X50" s="584"/>
      <c r="Y50" s="584"/>
      <c r="Z50" s="584"/>
      <c r="AA50" s="585"/>
      <c r="AB50" s="583"/>
      <c r="AC50" s="584"/>
      <c r="AD50" s="584"/>
      <c r="AE50" s="584"/>
      <c r="AF50" s="584"/>
      <c r="AG50" s="585"/>
      <c r="AH50" s="583"/>
      <c r="AI50" s="584"/>
      <c r="AJ50" s="584"/>
      <c r="AK50" s="584"/>
      <c r="AL50" s="584"/>
      <c r="AM50" s="58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6"/>
      <c r="K51" s="587"/>
      <c r="L51" s="587"/>
      <c r="M51" s="587"/>
      <c r="N51" s="587"/>
      <c r="O51" s="588"/>
      <c r="P51" s="586"/>
      <c r="Q51" s="587"/>
      <c r="R51" s="587"/>
      <c r="S51" s="587"/>
      <c r="T51" s="587"/>
      <c r="U51" s="588"/>
      <c r="V51" s="586"/>
      <c r="W51" s="587"/>
      <c r="X51" s="587"/>
      <c r="Y51" s="587"/>
      <c r="Z51" s="587"/>
      <c r="AA51" s="588"/>
      <c r="AB51" s="586"/>
      <c r="AC51" s="587"/>
      <c r="AD51" s="587"/>
      <c r="AE51" s="587"/>
      <c r="AF51" s="587"/>
      <c r="AG51" s="588"/>
      <c r="AH51" s="586"/>
      <c r="AI51" s="587"/>
      <c r="AJ51" s="587"/>
      <c r="AK51" s="587"/>
      <c r="AL51" s="587"/>
      <c r="AM51" s="58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RcKZnqOL0STCUm/YbL3CW3Av3bdlZSAnSGi2okgDOcKzJuMHRw1ddqhQXzaJHsr4G8Hi6/hathQ++ztecX+ybA==" saltValue="sye1wejs6r8OTHh9Ra9IC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B29" sqref="AB29"/>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2" t="s">
        <v>1067</v>
      </c>
      <c r="C2" s="663"/>
      <c r="D2" s="663"/>
      <c r="E2" s="663"/>
      <c r="F2" s="663"/>
      <c r="G2" s="663"/>
      <c r="H2" s="663"/>
      <c r="I2" s="663"/>
      <c r="J2" s="577" t="s">
        <v>5</v>
      </c>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3"/>
      <c r="C3" s="663"/>
      <c r="D3" s="663"/>
      <c r="E3" s="663"/>
      <c r="F3" s="663"/>
      <c r="G3" s="663"/>
      <c r="H3" s="663"/>
      <c r="I3" s="663"/>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3"/>
      <c r="C4" s="663"/>
      <c r="D4" s="663"/>
      <c r="E4" s="663"/>
      <c r="F4" s="663"/>
      <c r="G4" s="663"/>
      <c r="H4" s="663"/>
      <c r="I4" s="663"/>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78" t="s">
        <v>3</v>
      </c>
      <c r="C6" s="578"/>
      <c r="D6" s="579"/>
      <c r="E6" s="664" t="s">
        <v>1054</v>
      </c>
      <c r="F6" s="665"/>
      <c r="G6" s="665"/>
      <c r="H6" s="665"/>
      <c r="I6" s="666"/>
      <c r="J6" s="250" t="str">
        <f>IF(AND('Mapa final'!$Y$10="Muy Alta",'Mapa final'!$AA$10="Leve"),CONCATENATE("R1C",'Mapa final'!$O$10),"")</f>
        <v/>
      </c>
      <c r="K6" s="251" t="str">
        <f>IF(AND('Mapa final'!$Y$11="Muy Alta",'Mapa final'!$AA$11="Leve"),CONCATENATE("R1C",'Mapa final'!$O$11),"")</f>
        <v/>
      </c>
      <c r="L6" s="251" t="str">
        <f>IF(AND('Mapa final'!$Y$12="Muy Alta",'Mapa final'!$AA$12="Leve"),CONCATENATE("R1C",'Mapa final'!$O$12),"")</f>
        <v/>
      </c>
      <c r="M6" s="251" t="str">
        <f>IF(AND('Mapa final'!$Y$13="Muy Alta",'Mapa final'!$AA$13="Leve"),CONCATENATE("R1C",'Mapa final'!$O$13),"")</f>
        <v/>
      </c>
      <c r="N6" s="251" t="str">
        <f>IF(AND('Mapa final'!$Y$14="Muy Alta",'Mapa final'!$AA$14="Leve"),CONCATENATE("R1C",'Mapa final'!$O$14),"")</f>
        <v/>
      </c>
      <c r="O6" s="252" t="str">
        <f>IF(AND('Mapa final'!$Y$15="Muy Alta",'Mapa final'!$AA$15="Leve"),CONCATENATE("R1C",'Mapa final'!$O$15),"")</f>
        <v/>
      </c>
      <c r="P6" s="250" t="str">
        <f>IF(AND('Mapa final'!$Y$10="Muy Alta",'Mapa final'!$AA$10="Menor"),CONCATENATE("R1C",'Mapa final'!$O$10),"")</f>
        <v/>
      </c>
      <c r="Q6" s="251" t="str">
        <f>IF(AND('Mapa final'!$Y$11="Muy Alta",'Mapa final'!$AA$11="Menor"),CONCATENATE("R1C",'Mapa final'!$O$11),"")</f>
        <v/>
      </c>
      <c r="R6" s="251" t="str">
        <f>IF(AND('Mapa final'!$Y$12="Muy Alta",'Mapa final'!$AA$12="Menor"),CONCATENATE("R1C",'Mapa final'!$O$12),"")</f>
        <v/>
      </c>
      <c r="S6" s="251" t="str">
        <f>IF(AND('Mapa final'!$Y$13="Muy Alta",'Mapa final'!$AA$13="Menor"),CONCATENATE("R1C",'Mapa final'!$O$13),"")</f>
        <v/>
      </c>
      <c r="T6" s="251" t="str">
        <f>IF(AND('Mapa final'!$Y$14="Muy Alta",'Mapa final'!$AA$14="Menor"),CONCATENATE("R1C",'Mapa final'!$O$14),"")</f>
        <v/>
      </c>
      <c r="U6" s="252" t="str">
        <f>IF(AND('Mapa final'!$Y$15="Muy Alta",'Mapa final'!$AA$15="Menor"),CONCATENATE("R1C",'Mapa final'!$O$15),"")</f>
        <v/>
      </c>
      <c r="V6" s="250" t="str">
        <f>IF(AND('Mapa final'!$Y$10="Muy Alta",'Mapa final'!$AA$10="Moderado"),CONCATENATE("R1C",'Mapa final'!$O$10),"")</f>
        <v/>
      </c>
      <c r="W6" s="251" t="str">
        <f>IF(AND('Mapa final'!$Y$11="Muy Alta",'Mapa final'!$AA$11="Moderado"),CONCATENATE("R1C",'Mapa final'!$O$11),"")</f>
        <v/>
      </c>
      <c r="X6" s="251" t="str">
        <f>IF(AND('Mapa final'!$Y$12="Muy Alta",'Mapa final'!$AA$12="Moderado"),CONCATENATE("R1C",'Mapa final'!$O$12),"")</f>
        <v/>
      </c>
      <c r="Y6" s="251" t="str">
        <f>IF(AND('Mapa final'!$Y$13="Muy Alta",'Mapa final'!$AA$13="Moderado"),CONCATENATE("R1C",'Mapa final'!$O$13),"")</f>
        <v/>
      </c>
      <c r="Z6" s="251" t="str">
        <f>IF(AND('Mapa final'!$Y$14="Muy Alta",'Mapa final'!$AA$14="Moderado"),CONCATENATE("R1C",'Mapa final'!$O$14),"")</f>
        <v/>
      </c>
      <c r="AA6" s="252" t="str">
        <f>IF(AND('Mapa final'!$Y$15="Muy Alta",'Mapa final'!$AA$15="Moderado"),CONCATENATE("R1C",'Mapa final'!$O$15),"")</f>
        <v/>
      </c>
      <c r="AB6" s="250" t="str">
        <f>IF(AND('Mapa final'!$Y$10="Muy Alta",'Mapa final'!$AA$10="Mayor"),CONCATENATE("R1C",'Mapa final'!$O$10),"")</f>
        <v/>
      </c>
      <c r="AC6" s="251" t="str">
        <f>IF(AND('Mapa final'!$Y$11="Muy Alta",'Mapa final'!$AA$11="Mayor"),CONCATENATE("R1C",'Mapa final'!$O$11),"")</f>
        <v/>
      </c>
      <c r="AD6" s="251" t="str">
        <f>IF(AND('Mapa final'!$Y$12="Muy Alta",'Mapa final'!$AA$12="Mayor"),CONCATENATE("R1C",'Mapa final'!$O$12),"")</f>
        <v/>
      </c>
      <c r="AE6" s="251" t="str">
        <f>IF(AND('Mapa final'!$Y$13="Muy Alta",'Mapa final'!$AA$13="Mayor"),CONCATENATE("R1C",'Mapa final'!$O$13),"")</f>
        <v/>
      </c>
      <c r="AF6" s="251" t="str">
        <f>IF(AND('Mapa final'!$Y$14="Muy Alta",'Mapa final'!$AA$14="Mayor"),CONCATENATE("R1C",'Mapa final'!$O$14),"")</f>
        <v/>
      </c>
      <c r="AG6" s="252" t="str">
        <f>IF(AND('Mapa final'!$Y$15="Muy Alta",'Mapa final'!$AA$15="Mayor"),CONCATENATE("R1C",'Mapa final'!$O$15),"")</f>
        <v/>
      </c>
      <c r="AH6" s="253" t="str">
        <f>IF(AND('Mapa final'!$Y$10="Muy Alta",'Mapa final'!$AA$10="Catastrófico"),CONCATENATE("R1C",'Mapa final'!$O$10),"")</f>
        <v/>
      </c>
      <c r="AI6" s="254" t="str">
        <f>IF(AND('Mapa final'!$Y$11="Muy Alta",'Mapa final'!$AA$11="Catastrófico"),CONCATENATE("R1C",'Mapa final'!$O$11),"")</f>
        <v/>
      </c>
      <c r="AJ6" s="254" t="str">
        <f>IF(AND('Mapa final'!$Y$12="Muy Alta",'Mapa final'!$AA$12="Catastrófico"),CONCATENATE("R1C",'Mapa final'!$O$12),"")</f>
        <v/>
      </c>
      <c r="AK6" s="254" t="str">
        <f>IF(AND('Mapa final'!$Y$13="Muy Alta",'Mapa final'!$AA$13="Catastrófico"),CONCATENATE("R1C",'Mapa final'!$O$13),"")</f>
        <v/>
      </c>
      <c r="AL6" s="254" t="str">
        <f>IF(AND('Mapa final'!$Y$14="Muy Alta",'Mapa final'!$AA$14="Catastrófico"),CONCATENATE("R1C",'Mapa final'!$O$14),"")</f>
        <v/>
      </c>
      <c r="AM6" s="255" t="str">
        <f>IF(AND('Mapa final'!$Y$15="Muy Alta",'Mapa final'!$AA$15="Catastrófico"),CONCATENATE("R1C",'Mapa final'!$O$15),"")</f>
        <v/>
      </c>
      <c r="AN6" s="15"/>
      <c r="AO6" s="673" t="s">
        <v>1055</v>
      </c>
      <c r="AP6" s="674"/>
      <c r="AQ6" s="674"/>
      <c r="AR6" s="674"/>
      <c r="AS6" s="674"/>
      <c r="AT6" s="67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78"/>
      <c r="C7" s="578"/>
      <c r="D7" s="579"/>
      <c r="E7" s="667"/>
      <c r="F7" s="668"/>
      <c r="G7" s="668"/>
      <c r="H7" s="668"/>
      <c r="I7" s="669"/>
      <c r="J7" s="256" t="str">
        <f>IF(AND('Mapa final'!$Y$16="Muy Alta",'Mapa final'!$AA$16="Leve"),CONCATENATE("R2C",'Mapa final'!$O$16),"")</f>
        <v/>
      </c>
      <c r="K7" s="257" t="str">
        <f>IF(AND('Mapa final'!$Y$17="Muy Alta",'Mapa final'!$AA$17="Leve"),CONCATENATE("R2C",'Mapa final'!$O$17),"")</f>
        <v/>
      </c>
      <c r="L7" s="257" t="str">
        <f>IF(AND('Mapa final'!$Y$18="Muy Alta",'Mapa final'!$AA$18="Leve"),CONCATENATE("R2C",'Mapa final'!$O$18),"")</f>
        <v/>
      </c>
      <c r="M7" s="257" t="str">
        <f>IF(AND('Mapa final'!$Y$19="Muy Alta",'Mapa final'!$AA$19="Leve"),CONCATENATE("R2C",'Mapa final'!$O$19),"")</f>
        <v/>
      </c>
      <c r="N7" s="257" t="str">
        <f>IF(AND('Mapa final'!$Y$20="Muy Alta",'Mapa final'!$AA$20="Leve"),CONCATENATE("R2C",'Mapa final'!$O$20),"")</f>
        <v/>
      </c>
      <c r="O7" s="258" t="str">
        <f>IF(AND('Mapa final'!$Y$21="Muy Alta",'Mapa final'!$AA$21="Leve"),CONCATENATE("R2C",'Mapa final'!$O$21),"")</f>
        <v/>
      </c>
      <c r="P7" s="256" t="str">
        <f>IF(AND('Mapa final'!$Y$16="Muy Alta",'Mapa final'!$AA$16="Menor"),CONCATENATE("R2C",'Mapa final'!$O$16),"")</f>
        <v/>
      </c>
      <c r="Q7" s="257" t="str">
        <f>IF(AND('Mapa final'!$Y$17="Muy Alta",'Mapa final'!$AA$17="Menor"),CONCATENATE("R2C",'Mapa final'!$O$17),"")</f>
        <v/>
      </c>
      <c r="R7" s="257" t="str">
        <f>IF(AND('Mapa final'!$Y$18="Muy Alta",'Mapa final'!$AA$18="Menor"),CONCATENATE("R2C",'Mapa final'!$O$18),"")</f>
        <v/>
      </c>
      <c r="S7" s="257" t="str">
        <f>IF(AND('Mapa final'!$Y$19="Muy Alta",'Mapa final'!$AA$19="Menor"),CONCATENATE("R2C",'Mapa final'!$O$19),"")</f>
        <v/>
      </c>
      <c r="T7" s="257" t="str">
        <f>IF(AND('Mapa final'!$Y$20="Muy Alta",'Mapa final'!$AA$20="Menor"),CONCATENATE("R2C",'Mapa final'!$O$20),"")</f>
        <v/>
      </c>
      <c r="U7" s="258" t="str">
        <f>IF(AND('Mapa final'!$Y$21="Muy Alta",'Mapa final'!$AA$21="Menor"),CONCATENATE("R2C",'Mapa final'!$O$21),"")</f>
        <v/>
      </c>
      <c r="V7" s="256" t="str">
        <f>IF(AND('Mapa final'!$Y$16="Muy Alta",'Mapa final'!$AA$16="Moderado"),CONCATENATE("R2C",'Mapa final'!$O$16),"")</f>
        <v/>
      </c>
      <c r="W7" s="257" t="str">
        <f>IF(AND('Mapa final'!$Y$17="Muy Alta",'Mapa final'!$AA$17="Moderado"),CONCATENATE("R2C",'Mapa final'!$O$17),"")</f>
        <v/>
      </c>
      <c r="X7" s="257" t="str">
        <f>IF(AND('Mapa final'!$Y$18="Muy Alta",'Mapa final'!$AA$18="Moderado"),CONCATENATE("R2C",'Mapa final'!$O$18),"")</f>
        <v/>
      </c>
      <c r="Y7" s="257" t="str">
        <f>IF(AND('Mapa final'!$Y$19="Muy Alta",'Mapa final'!$AA$19="Moderado"),CONCATENATE("R2C",'Mapa final'!$O$19),"")</f>
        <v/>
      </c>
      <c r="Z7" s="257" t="str">
        <f>IF(AND('Mapa final'!$Y$20="Muy Alta",'Mapa final'!$AA$20="Moderado"),CONCATENATE("R2C",'Mapa final'!$O$20),"")</f>
        <v/>
      </c>
      <c r="AA7" s="258" t="str">
        <f>IF(AND('Mapa final'!$Y$21="Muy Alta",'Mapa final'!$AA$21="Moderado"),CONCATENATE("R2C",'Mapa final'!$O$21),"")</f>
        <v/>
      </c>
      <c r="AB7" s="256" t="str">
        <f>IF(AND('Mapa final'!$Y$16="Muy Alta",'Mapa final'!$AA$16="Mayor"),CONCATENATE("R2C",'Mapa final'!$O$16),"")</f>
        <v/>
      </c>
      <c r="AC7" s="257" t="str">
        <f>IF(AND('Mapa final'!$Y$17="Muy Alta",'Mapa final'!$AA$17="Mayor"),CONCATENATE("R2C",'Mapa final'!$O$17),"")</f>
        <v/>
      </c>
      <c r="AD7" s="257" t="str">
        <f>IF(AND('Mapa final'!$Y$18="Muy Alta",'Mapa final'!$AA$18="Mayor"),CONCATENATE("R2C",'Mapa final'!$O$18),"")</f>
        <v/>
      </c>
      <c r="AE7" s="257" t="str">
        <f>IF(AND('Mapa final'!$Y$19="Muy Alta",'Mapa final'!$AA$19="Mayor"),CONCATENATE("R2C",'Mapa final'!$O$19),"")</f>
        <v/>
      </c>
      <c r="AF7" s="257" t="str">
        <f>IF(AND('Mapa final'!$Y$20="Muy Alta",'Mapa final'!$AA$20="Mayor"),CONCATENATE("R2C",'Mapa final'!$O$20),"")</f>
        <v/>
      </c>
      <c r="AG7" s="258" t="str">
        <f>IF(AND('Mapa final'!$Y$21="Muy Alta",'Mapa final'!$AA$21="Mayor"),CONCATENATE("R2C",'Mapa final'!$O$21),"")</f>
        <v/>
      </c>
      <c r="AH7" s="259" t="str">
        <f>IF(AND('Mapa final'!$Y$16="Muy Alta",'Mapa final'!$AA$16="Catastrófico"),CONCATENATE("R2C",'Mapa final'!$O$16),"")</f>
        <v/>
      </c>
      <c r="AI7" s="260" t="str">
        <f>IF(AND('Mapa final'!$Y$17="Muy Alta",'Mapa final'!$AA$17="Catastrófico"),CONCATENATE("R2C",'Mapa final'!$O$17),"")</f>
        <v/>
      </c>
      <c r="AJ7" s="260" t="str">
        <f>IF(AND('Mapa final'!$Y$18="Muy Alta",'Mapa final'!$AA$18="Catastrófico"),CONCATENATE("R2C",'Mapa final'!$O$18),"")</f>
        <v/>
      </c>
      <c r="AK7" s="260" t="str">
        <f>IF(AND('Mapa final'!$Y$19="Muy Alta",'Mapa final'!$AA$19="Catastrófico"),CONCATENATE("R2C",'Mapa final'!$O$19),"")</f>
        <v/>
      </c>
      <c r="AL7" s="260" t="str">
        <f>IF(AND('Mapa final'!$Y$20="Muy Alta",'Mapa final'!$AA$20="Catastrófico"),CONCATENATE("R2C",'Mapa final'!$O$20),"")</f>
        <v/>
      </c>
      <c r="AM7" s="261" t="str">
        <f>IF(AND('Mapa final'!$Y$21="Muy Alta",'Mapa final'!$AA$21="Catastrófico"),CONCATENATE("R2C",'Mapa final'!$O$21),"")</f>
        <v/>
      </c>
      <c r="AN7" s="15"/>
      <c r="AO7" s="676"/>
      <c r="AP7" s="677"/>
      <c r="AQ7" s="677"/>
      <c r="AR7" s="677"/>
      <c r="AS7" s="677"/>
      <c r="AT7" s="67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78"/>
      <c r="C8" s="578"/>
      <c r="D8" s="579"/>
      <c r="E8" s="667"/>
      <c r="F8" s="668"/>
      <c r="G8" s="668"/>
      <c r="H8" s="668"/>
      <c r="I8" s="669"/>
      <c r="J8" s="256" t="str">
        <f>IF(AND('Mapa final'!$Y$22="Muy Alta",'Mapa final'!$AA$22="Leve"),CONCATENATE("R3C",'Mapa final'!$O$22),"")</f>
        <v/>
      </c>
      <c r="K8" s="257" t="str">
        <f>IF(AND('Mapa final'!$Y$23="Muy Alta",'Mapa final'!$AA$23="Leve"),CONCATENATE("R3C",'Mapa final'!$O$23),"")</f>
        <v/>
      </c>
      <c r="L8" s="257" t="str">
        <f>IF(AND('Mapa final'!$Y$24="Muy Alta",'Mapa final'!$AA$24="Leve"),CONCATENATE("R3C",'Mapa final'!$O$24),"")</f>
        <v/>
      </c>
      <c r="M8" s="257" t="str">
        <f>IF(AND('Mapa final'!$Y$25="Muy Alta",'Mapa final'!$AA$25="Leve"),CONCATENATE("R3C",'Mapa final'!$O$25),"")</f>
        <v/>
      </c>
      <c r="N8" s="257" t="str">
        <f>IF(AND('Mapa final'!$Y$26="Muy Alta",'Mapa final'!$AA$26="Leve"),CONCATENATE("R3C",'Mapa final'!$O$26),"")</f>
        <v/>
      </c>
      <c r="O8" s="258" t="str">
        <f>IF(AND('Mapa final'!$Y$27="Muy Alta",'Mapa final'!$AA$27="Leve"),CONCATENATE("R3C",'Mapa final'!$O$27),"")</f>
        <v/>
      </c>
      <c r="P8" s="256" t="str">
        <f>IF(AND('Mapa final'!$Y$22="Muy Alta",'Mapa final'!$AA$22="Menor"),CONCATENATE("R3C",'Mapa final'!$O$22),"")</f>
        <v/>
      </c>
      <c r="Q8" s="257" t="str">
        <f>IF(AND('Mapa final'!$Y$23="Muy Alta",'Mapa final'!$AA$23="Menor"),CONCATENATE("R3C",'Mapa final'!$O$23),"")</f>
        <v/>
      </c>
      <c r="R8" s="257" t="str">
        <f>IF(AND('Mapa final'!$Y$24="Muy Alta",'Mapa final'!$AA$24="Menor"),CONCATENATE("R3C",'Mapa final'!$O$24),"")</f>
        <v/>
      </c>
      <c r="S8" s="257" t="str">
        <f>IF(AND('Mapa final'!$Y$25="Muy Alta",'Mapa final'!$AA$25="Menor"),CONCATENATE("R3C",'Mapa final'!$O$25),"")</f>
        <v/>
      </c>
      <c r="T8" s="257" t="str">
        <f>IF(AND('Mapa final'!$Y$26="Muy Alta",'Mapa final'!$AA$26="Menor"),CONCATENATE("R3C",'Mapa final'!$O$26),"")</f>
        <v/>
      </c>
      <c r="U8" s="258" t="str">
        <f>IF(AND('Mapa final'!$Y$27="Muy Alta",'Mapa final'!$AA$27="Menor"),CONCATENATE("R3C",'Mapa final'!$O$27),"")</f>
        <v/>
      </c>
      <c r="V8" s="256" t="str">
        <f>IF(AND('Mapa final'!$Y$22="Muy Alta",'Mapa final'!$AA$22="Moderado"),CONCATENATE("R3C",'Mapa final'!$O$22),"")</f>
        <v/>
      </c>
      <c r="W8" s="257" t="str">
        <f>IF(AND('Mapa final'!$Y$23="Muy Alta",'Mapa final'!$AA$23="Moderado"),CONCATENATE("R3C",'Mapa final'!$O$23),"")</f>
        <v/>
      </c>
      <c r="X8" s="257" t="str">
        <f>IF(AND('Mapa final'!$Y$24="Muy Alta",'Mapa final'!$AA$24="Moderado"),CONCATENATE("R3C",'Mapa final'!$O$24),"")</f>
        <v/>
      </c>
      <c r="Y8" s="257" t="str">
        <f>IF(AND('Mapa final'!$Y$25="Muy Alta",'Mapa final'!$AA$25="Moderado"),CONCATENATE("R3C",'Mapa final'!$O$25),"")</f>
        <v/>
      </c>
      <c r="Z8" s="257" t="str">
        <f>IF(AND('Mapa final'!$Y$26="Muy Alta",'Mapa final'!$AA$26="Moderado"),CONCATENATE("R3C",'Mapa final'!$O$26),"")</f>
        <v/>
      </c>
      <c r="AA8" s="258" t="str">
        <f>IF(AND('Mapa final'!$Y$27="Muy Alta",'Mapa final'!$AA$27="Moderado"),CONCATENATE("R3C",'Mapa final'!$O$27),"")</f>
        <v/>
      </c>
      <c r="AB8" s="256" t="str">
        <f>IF(AND('Mapa final'!$Y$22="Muy Alta",'Mapa final'!$AA$22="Mayor"),CONCATENATE("R3C",'Mapa final'!$O$22),"")</f>
        <v/>
      </c>
      <c r="AC8" s="257" t="str">
        <f>IF(AND('Mapa final'!$Y$23="Muy Alta",'Mapa final'!$AA$23="Mayor"),CONCATENATE("R3C",'Mapa final'!$O$23),"")</f>
        <v/>
      </c>
      <c r="AD8" s="257" t="str">
        <f>IF(AND('Mapa final'!$Y$24="Muy Alta",'Mapa final'!$AA$24="Mayor"),CONCATENATE("R3C",'Mapa final'!$O$24),"")</f>
        <v/>
      </c>
      <c r="AE8" s="257" t="str">
        <f>IF(AND('Mapa final'!$Y$25="Muy Alta",'Mapa final'!$AA$25="Mayor"),CONCATENATE("R3C",'Mapa final'!$O$25),"")</f>
        <v/>
      </c>
      <c r="AF8" s="257" t="str">
        <f>IF(AND('Mapa final'!$Y$26="Muy Alta",'Mapa final'!$AA$26="Mayor"),CONCATENATE("R3C",'Mapa final'!$O$26),"")</f>
        <v/>
      </c>
      <c r="AG8" s="258" t="str">
        <f>IF(AND('Mapa final'!$Y$27="Muy Alta",'Mapa final'!$AA$27="Mayor"),CONCATENATE("R3C",'Mapa final'!$O$27),"")</f>
        <v/>
      </c>
      <c r="AH8" s="259" t="str">
        <f>IF(AND('Mapa final'!$Y$22="Muy Alta",'Mapa final'!$AA$22="Catastrófico"),CONCATENATE("R3C",'Mapa final'!$O$22),"")</f>
        <v/>
      </c>
      <c r="AI8" s="260" t="str">
        <f>IF(AND('Mapa final'!$Y$23="Muy Alta",'Mapa final'!$AA$23="Catastrófico"),CONCATENATE("R3C",'Mapa final'!$O$23),"")</f>
        <v/>
      </c>
      <c r="AJ8" s="260" t="str">
        <f>IF(AND('Mapa final'!$Y$24="Muy Alta",'Mapa final'!$AA$24="Catastrófico"),CONCATENATE("R3C",'Mapa final'!$O$24),"")</f>
        <v/>
      </c>
      <c r="AK8" s="260" t="str">
        <f>IF(AND('Mapa final'!$Y$25="Muy Alta",'Mapa final'!$AA$25="Catastrófico"),CONCATENATE("R3C",'Mapa final'!$O$25),"")</f>
        <v/>
      </c>
      <c r="AL8" s="260" t="str">
        <f>IF(AND('Mapa final'!$Y$26="Muy Alta",'Mapa final'!$AA$26="Catastrófico"),CONCATENATE("R3C",'Mapa final'!$O$26),"")</f>
        <v/>
      </c>
      <c r="AM8" s="261" t="str">
        <f>IF(AND('Mapa final'!$Y$27="Muy Alta",'Mapa final'!$AA$27="Catastrófico"),CONCATENATE("R3C",'Mapa final'!$O$27),"")</f>
        <v/>
      </c>
      <c r="AN8" s="15"/>
      <c r="AO8" s="676"/>
      <c r="AP8" s="677"/>
      <c r="AQ8" s="677"/>
      <c r="AR8" s="677"/>
      <c r="AS8" s="677"/>
      <c r="AT8" s="67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78"/>
      <c r="C9" s="578"/>
      <c r="D9" s="579"/>
      <c r="E9" s="667"/>
      <c r="F9" s="668"/>
      <c r="G9" s="668"/>
      <c r="H9" s="668"/>
      <c r="I9" s="669"/>
      <c r="J9" s="256" t="str">
        <f>IF(AND('Mapa final'!$Y$28="Muy Alta",'Mapa final'!$AA$28="Leve"),CONCATENATE("R4C",'Mapa final'!$O$28),"")</f>
        <v/>
      </c>
      <c r="K9" s="257" t="str">
        <f>IF(AND('Mapa final'!$Y$29="Muy Alta",'Mapa final'!$AA$29="Leve"),CONCATENATE("R4C",'Mapa final'!$O$29),"")</f>
        <v/>
      </c>
      <c r="L9" s="257" t="str">
        <f>IF(AND('Mapa final'!$Y$30="Muy Alta",'Mapa final'!$AA$30="Leve"),CONCATENATE("R4C",'Mapa final'!$O$30),"")</f>
        <v/>
      </c>
      <c r="M9" s="257" t="str">
        <f>IF(AND('Mapa final'!$Y$31="Muy Alta",'Mapa final'!$AA$31="Leve"),CONCATENATE("R4C",'Mapa final'!$O$31),"")</f>
        <v/>
      </c>
      <c r="N9" s="257" t="str">
        <f>IF(AND('Mapa final'!$Y$32="Muy Alta",'Mapa final'!$AA$32="Leve"),CONCATENATE("R4C",'Mapa final'!$O$32),"")</f>
        <v/>
      </c>
      <c r="O9" s="258" t="str">
        <f>IF(AND('Mapa final'!$Y$33="Muy Alta",'Mapa final'!$AA$33="Leve"),CONCATENATE("R4C",'Mapa final'!$O$33),"")</f>
        <v/>
      </c>
      <c r="P9" s="256" t="str">
        <f>IF(AND('Mapa final'!$Y$28="Muy Alta",'Mapa final'!$AA$28="Menor"),CONCATENATE("R4C",'Mapa final'!$O$28),"")</f>
        <v/>
      </c>
      <c r="Q9" s="257" t="str">
        <f>IF(AND('Mapa final'!$Y$29="Muy Alta",'Mapa final'!$AA$29="Menor"),CONCATENATE("R4C",'Mapa final'!$O$29),"")</f>
        <v/>
      </c>
      <c r="R9" s="257" t="str">
        <f>IF(AND('Mapa final'!$Y$30="Muy Alta",'Mapa final'!$AA$30="Menor"),CONCATENATE("R4C",'Mapa final'!$O$30),"")</f>
        <v/>
      </c>
      <c r="S9" s="257" t="str">
        <f>IF(AND('Mapa final'!$Y$31="Muy Alta",'Mapa final'!$AA$31="Menor"),CONCATENATE("R4C",'Mapa final'!$O$31),"")</f>
        <v/>
      </c>
      <c r="T9" s="257" t="str">
        <f>IF(AND('Mapa final'!$Y$32="Muy Alta",'Mapa final'!$AA$32="Menor"),CONCATENATE("R4C",'Mapa final'!$O$32),"")</f>
        <v/>
      </c>
      <c r="U9" s="258" t="str">
        <f>IF(AND('Mapa final'!$Y$33="Muy Alta",'Mapa final'!$AA$33="Menor"),CONCATENATE("R4C",'Mapa final'!$O$33),"")</f>
        <v/>
      </c>
      <c r="V9" s="256" t="str">
        <f>IF(AND('Mapa final'!$Y$28="Muy Alta",'Mapa final'!$AA$28="Moderado"),CONCATENATE("R4C",'Mapa final'!$O$28),"")</f>
        <v/>
      </c>
      <c r="W9" s="257" t="str">
        <f>IF(AND('Mapa final'!$Y$29="Muy Alta",'Mapa final'!$AA$29="Moderado"),CONCATENATE("R4C",'Mapa final'!$O$29),"")</f>
        <v/>
      </c>
      <c r="X9" s="257" t="str">
        <f>IF(AND('Mapa final'!$Y$30="Muy Alta",'Mapa final'!$AA$30="Moderado"),CONCATENATE("R4C",'Mapa final'!$O$30),"")</f>
        <v/>
      </c>
      <c r="Y9" s="257" t="str">
        <f>IF(AND('Mapa final'!$Y$31="Muy Alta",'Mapa final'!$AA$31="Moderado"),CONCATENATE("R4C",'Mapa final'!$O$31),"")</f>
        <v/>
      </c>
      <c r="Z9" s="257" t="str">
        <f>IF(AND('Mapa final'!$Y$32="Muy Alta",'Mapa final'!$AA$32="Moderado"),CONCATENATE("R4C",'Mapa final'!$O$32),"")</f>
        <v/>
      </c>
      <c r="AA9" s="258" t="str">
        <f>IF(AND('Mapa final'!$Y$33="Muy Alta",'Mapa final'!$AA$33="Moderado"),CONCATENATE("R4C",'Mapa final'!$O$33),"")</f>
        <v/>
      </c>
      <c r="AB9" s="256" t="str">
        <f>IF(AND('Mapa final'!$Y$28="Muy Alta",'Mapa final'!$AA$28="Mayor"),CONCATENATE("R4C",'Mapa final'!$O$28),"")</f>
        <v/>
      </c>
      <c r="AC9" s="257" t="str">
        <f>IF(AND('Mapa final'!$Y$29="Muy Alta",'Mapa final'!$AA$29="Mayor"),CONCATENATE("R4C",'Mapa final'!$O$29),"")</f>
        <v/>
      </c>
      <c r="AD9" s="257" t="str">
        <f>IF(AND('Mapa final'!$Y$30="Muy Alta",'Mapa final'!$AA$30="Mayor"),CONCATENATE("R4C",'Mapa final'!$O$30),"")</f>
        <v/>
      </c>
      <c r="AE9" s="257" t="str">
        <f>IF(AND('Mapa final'!$Y$31="Muy Alta",'Mapa final'!$AA$31="Mayor"),CONCATENATE("R4C",'Mapa final'!$O$31),"")</f>
        <v/>
      </c>
      <c r="AF9" s="257" t="str">
        <f>IF(AND('Mapa final'!$Y$32="Muy Alta",'Mapa final'!$AA$32="Mayor"),CONCATENATE("R4C",'Mapa final'!$O$32),"")</f>
        <v/>
      </c>
      <c r="AG9" s="258" t="str">
        <f>IF(AND('Mapa final'!$Y$33="Muy Alta",'Mapa final'!$AA$33="Mayor"),CONCATENATE("R4C",'Mapa final'!$O$33),"")</f>
        <v/>
      </c>
      <c r="AH9" s="259" t="str">
        <f>IF(AND('Mapa final'!$Y$28="Muy Alta",'Mapa final'!$AA$28="Catastrófico"),CONCATENATE("R4C",'Mapa final'!$O$28),"")</f>
        <v/>
      </c>
      <c r="AI9" s="260" t="str">
        <f>IF(AND('Mapa final'!$Y$29="Muy Alta",'Mapa final'!$AA$29="Catastrófico"),CONCATENATE("R4C",'Mapa final'!$O$29),"")</f>
        <v/>
      </c>
      <c r="AJ9" s="260" t="str">
        <f>IF(AND('Mapa final'!$Y$30="Muy Alta",'Mapa final'!$AA$30="Catastrófico"),CONCATENATE("R4C",'Mapa final'!$O$30),"")</f>
        <v/>
      </c>
      <c r="AK9" s="260" t="str">
        <f>IF(AND('Mapa final'!$Y$31="Muy Alta",'Mapa final'!$AA$31="Catastrófico"),CONCATENATE("R4C",'Mapa final'!$O$31),"")</f>
        <v/>
      </c>
      <c r="AL9" s="260" t="str">
        <f>IF(AND('Mapa final'!$Y$32="Muy Alta",'Mapa final'!$AA$32="Catastrófico"),CONCATENATE("R4C",'Mapa final'!$O$32),"")</f>
        <v/>
      </c>
      <c r="AM9" s="261" t="str">
        <f>IF(AND('Mapa final'!$Y$33="Muy Alta",'Mapa final'!$AA$33="Catastrófico"),CONCATENATE("R4C",'Mapa final'!$O$33),"")</f>
        <v/>
      </c>
      <c r="AN9" s="15"/>
      <c r="AO9" s="676"/>
      <c r="AP9" s="677"/>
      <c r="AQ9" s="677"/>
      <c r="AR9" s="677"/>
      <c r="AS9" s="677"/>
      <c r="AT9" s="67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78"/>
      <c r="C10" s="578"/>
      <c r="D10" s="579"/>
      <c r="E10" s="667"/>
      <c r="F10" s="668"/>
      <c r="G10" s="668"/>
      <c r="H10" s="668"/>
      <c r="I10" s="669"/>
      <c r="J10" s="256" t="str">
        <f>IF(AND('Mapa final'!$Y$34="Muy Alta",'Mapa final'!$AA$34="Leve"),CONCATENATE("R5C",'Mapa final'!$O$34),"")</f>
        <v/>
      </c>
      <c r="K10" s="257" t="str">
        <f>IF(AND('Mapa final'!$Y$35="Muy Alta",'Mapa final'!$AA$35="Leve"),CONCATENATE("R5C",'Mapa final'!$O$35),"")</f>
        <v/>
      </c>
      <c r="L10" s="257" t="str">
        <f>IF(AND('Mapa final'!$Y$36="Muy Alta",'Mapa final'!$AA$36="Leve"),CONCATENATE("R5C",'Mapa final'!$O$36),"")</f>
        <v/>
      </c>
      <c r="M10" s="257" t="str">
        <f>IF(AND('Mapa final'!$Y$37="Muy Alta",'Mapa final'!$AA$37="Leve"),CONCATENATE("R5C",'Mapa final'!$O$37),"")</f>
        <v/>
      </c>
      <c r="N10" s="257" t="str">
        <f>IF(AND('Mapa final'!$Y$38="Muy Alta",'Mapa final'!$AA$38="Leve"),CONCATENATE("R5C",'Mapa final'!$O$38),"")</f>
        <v/>
      </c>
      <c r="O10" s="258" t="str">
        <f>IF(AND('Mapa final'!$Y$39="Muy Alta",'Mapa final'!$AA$39="Leve"),CONCATENATE("R5C",'Mapa final'!$O$39),"")</f>
        <v/>
      </c>
      <c r="P10" s="256" t="str">
        <f>IF(AND('Mapa final'!$Y$34="Muy Alta",'Mapa final'!$AA$34="Menor"),CONCATENATE("R5C",'Mapa final'!$O$34),"")</f>
        <v/>
      </c>
      <c r="Q10" s="257" t="str">
        <f>IF(AND('Mapa final'!$Y$35="Muy Alta",'Mapa final'!$AA$35="Menor"),CONCATENATE("R5C",'Mapa final'!$O$35),"")</f>
        <v/>
      </c>
      <c r="R10" s="257" t="str">
        <f>IF(AND('Mapa final'!$Y$36="Muy Alta",'Mapa final'!$AA$36="Menor"),CONCATENATE("R5C",'Mapa final'!$O$36),"")</f>
        <v/>
      </c>
      <c r="S10" s="257" t="str">
        <f>IF(AND('Mapa final'!$Y$37="Muy Alta",'Mapa final'!$AA$37="Menor"),CONCATENATE("R5C",'Mapa final'!$O$37),"")</f>
        <v/>
      </c>
      <c r="T10" s="257" t="str">
        <f>IF(AND('Mapa final'!$Y$38="Muy Alta",'Mapa final'!$AA$38="Menor"),CONCATENATE("R5C",'Mapa final'!$O$38),"")</f>
        <v/>
      </c>
      <c r="U10" s="258" t="str">
        <f>IF(AND('Mapa final'!$Y$39="Muy Alta",'Mapa final'!$AA$39="Menor"),CONCATENATE("R5C",'Mapa final'!$O$39),"")</f>
        <v/>
      </c>
      <c r="V10" s="256" t="str">
        <f>IF(AND('Mapa final'!$Y$34="Muy Alta",'Mapa final'!$AA$34="Moderado"),CONCATENATE("R5C",'Mapa final'!$O$34),"")</f>
        <v/>
      </c>
      <c r="W10" s="257" t="str">
        <f>IF(AND('Mapa final'!$Y$35="Muy Alta",'Mapa final'!$AA$35="Moderado"),CONCATENATE("R5C",'Mapa final'!$O$35),"")</f>
        <v/>
      </c>
      <c r="X10" s="257" t="str">
        <f>IF(AND('Mapa final'!$Y$36="Muy Alta",'Mapa final'!$AA$36="Moderado"),CONCATENATE("R5C",'Mapa final'!$O$36),"")</f>
        <v/>
      </c>
      <c r="Y10" s="257" t="str">
        <f>IF(AND('Mapa final'!$Y$37="Muy Alta",'Mapa final'!$AA$37="Moderado"),CONCATENATE("R5C",'Mapa final'!$O$37),"")</f>
        <v/>
      </c>
      <c r="Z10" s="257" t="str">
        <f>IF(AND('Mapa final'!$Y$38="Muy Alta",'Mapa final'!$AA$38="Moderado"),CONCATENATE("R5C",'Mapa final'!$O$38),"")</f>
        <v/>
      </c>
      <c r="AA10" s="258" t="str">
        <f>IF(AND('Mapa final'!$Y$39="Muy Alta",'Mapa final'!$AA$39="Moderado"),CONCATENATE("R5C",'Mapa final'!$O$39),"")</f>
        <v/>
      </c>
      <c r="AB10" s="256" t="str">
        <f>IF(AND('Mapa final'!$Y$34="Muy Alta",'Mapa final'!$AA$34="Mayor"),CONCATENATE("R5C",'Mapa final'!$O$34),"")</f>
        <v/>
      </c>
      <c r="AC10" s="257" t="str">
        <f>IF(AND('Mapa final'!$Y$35="Muy Alta",'Mapa final'!$AA$35="Mayor"),CONCATENATE("R5C",'Mapa final'!$O$35),"")</f>
        <v/>
      </c>
      <c r="AD10" s="257" t="str">
        <f>IF(AND('Mapa final'!$Y$36="Muy Alta",'Mapa final'!$AA$36="Mayor"),CONCATENATE("R5C",'Mapa final'!$O$36),"")</f>
        <v/>
      </c>
      <c r="AE10" s="257" t="str">
        <f>IF(AND('Mapa final'!$Y$37="Muy Alta",'Mapa final'!$AA$37="Mayor"),CONCATENATE("R5C",'Mapa final'!$O$37),"")</f>
        <v/>
      </c>
      <c r="AF10" s="257" t="str">
        <f>IF(AND('Mapa final'!$Y$38="Muy Alta",'Mapa final'!$AA$38="Mayor"),CONCATENATE("R5C",'Mapa final'!$O$38),"")</f>
        <v/>
      </c>
      <c r="AG10" s="258" t="str">
        <f>IF(AND('Mapa final'!$Y$39="Muy Alta",'Mapa final'!$AA$39="Mayor"),CONCATENATE("R5C",'Mapa final'!$O$39),"")</f>
        <v/>
      </c>
      <c r="AH10" s="259" t="str">
        <f>IF(AND('Mapa final'!$Y$34="Muy Alta",'Mapa final'!$AA$34="Catastrófico"),CONCATENATE("R5C",'Mapa final'!$O$34),"")</f>
        <v/>
      </c>
      <c r="AI10" s="260" t="str">
        <f>IF(AND('Mapa final'!$Y$35="Muy Alta",'Mapa final'!$AA$35="Catastrófico"),CONCATENATE("R5C",'Mapa final'!$O$35),"")</f>
        <v/>
      </c>
      <c r="AJ10" s="260" t="str">
        <f>IF(AND('Mapa final'!$Y$36="Muy Alta",'Mapa final'!$AA$36="Catastrófico"),CONCATENATE("R5C",'Mapa final'!$O$36),"")</f>
        <v/>
      </c>
      <c r="AK10" s="260" t="str">
        <f>IF(AND('Mapa final'!$Y$37="Muy Alta",'Mapa final'!$AA$37="Catastrófico"),CONCATENATE("R5C",'Mapa final'!$O$37),"")</f>
        <v/>
      </c>
      <c r="AL10" s="260" t="str">
        <f>IF(AND('Mapa final'!$Y$38="Muy Alta",'Mapa final'!$AA$38="Catastrófico"),CONCATENATE("R5C",'Mapa final'!$O$38),"")</f>
        <v/>
      </c>
      <c r="AM10" s="261" t="str">
        <f>IF(AND('Mapa final'!$Y$39="Muy Alta",'Mapa final'!$AA$39="Catastrófico"),CONCATENATE("R5C",'Mapa final'!$O$39),"")</f>
        <v/>
      </c>
      <c r="AN10" s="15"/>
      <c r="AO10" s="676"/>
      <c r="AP10" s="677"/>
      <c r="AQ10" s="677"/>
      <c r="AR10" s="677"/>
      <c r="AS10" s="677"/>
      <c r="AT10" s="67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78"/>
      <c r="C11" s="578"/>
      <c r="D11" s="579"/>
      <c r="E11" s="667"/>
      <c r="F11" s="668"/>
      <c r="G11" s="668"/>
      <c r="H11" s="668"/>
      <c r="I11" s="669"/>
      <c r="J11" s="256" t="str">
        <f>IF(AND('Mapa final'!$Y$40="Muy Alta",'Mapa final'!$AA$40="Leve"),CONCATENATE("R6C",'Mapa final'!$O$40),"")</f>
        <v/>
      </c>
      <c r="K11" s="257" t="str">
        <f>IF(AND('Mapa final'!$Y$41="Muy Alta",'Mapa final'!$AA$41="Leve"),CONCATENATE("R6C",'Mapa final'!$O$41),"")</f>
        <v/>
      </c>
      <c r="L11" s="257" t="str">
        <f>IF(AND('Mapa final'!$Y$42="Muy Alta",'Mapa final'!$AA$42="Leve"),CONCATENATE("R6C",'Mapa final'!$O$42),"")</f>
        <v/>
      </c>
      <c r="M11" s="257" t="str">
        <f>IF(AND('Mapa final'!$Y$43="Muy Alta",'Mapa final'!$AA$43="Leve"),CONCATENATE("R6C",'Mapa final'!$O$43),"")</f>
        <v/>
      </c>
      <c r="N11" s="257" t="str">
        <f>IF(AND('Mapa final'!$Y$44="Muy Alta",'Mapa final'!$AA$44="Leve"),CONCATENATE("R6C",'Mapa final'!$O$44),"")</f>
        <v/>
      </c>
      <c r="O11" s="258" t="str">
        <f>IF(AND('Mapa final'!$Y$45="Muy Alta",'Mapa final'!$AA$45="Leve"),CONCATENATE("R6C",'Mapa final'!$O$45),"")</f>
        <v/>
      </c>
      <c r="P11" s="256" t="str">
        <f>IF(AND('Mapa final'!$Y$40="Muy Alta",'Mapa final'!$AA$40="Menor"),CONCATENATE("R6C",'Mapa final'!$O$40),"")</f>
        <v/>
      </c>
      <c r="Q11" s="257" t="str">
        <f>IF(AND('Mapa final'!$Y$41="Muy Alta",'Mapa final'!$AA$41="Menor"),CONCATENATE("R6C",'Mapa final'!$O$41),"")</f>
        <v/>
      </c>
      <c r="R11" s="257" t="str">
        <f>IF(AND('Mapa final'!$Y$42="Muy Alta",'Mapa final'!$AA$42="Menor"),CONCATENATE("R6C",'Mapa final'!$O$42),"")</f>
        <v/>
      </c>
      <c r="S11" s="257" t="str">
        <f>IF(AND('Mapa final'!$Y$43="Muy Alta",'Mapa final'!$AA$43="Menor"),CONCATENATE("R6C",'Mapa final'!$O$43),"")</f>
        <v/>
      </c>
      <c r="T11" s="257" t="str">
        <f>IF(AND('Mapa final'!$Y$44="Muy Alta",'Mapa final'!$AA$44="Menor"),CONCATENATE("R6C",'Mapa final'!$O$44),"")</f>
        <v/>
      </c>
      <c r="U11" s="258" t="str">
        <f>IF(AND('Mapa final'!$Y$45="Muy Alta",'Mapa final'!$AA$45="Menor"),CONCATENATE("R6C",'Mapa final'!$O$45),"")</f>
        <v/>
      </c>
      <c r="V11" s="256" t="str">
        <f>IF(AND('Mapa final'!$Y$40="Muy Alta",'Mapa final'!$AA$40="Moderado"),CONCATENATE("R6C",'Mapa final'!$O$40),"")</f>
        <v/>
      </c>
      <c r="W11" s="257" t="str">
        <f>IF(AND('Mapa final'!$Y$41="Muy Alta",'Mapa final'!$AA$41="Moderado"),CONCATENATE("R6C",'Mapa final'!$O$41),"")</f>
        <v/>
      </c>
      <c r="X11" s="257" t="str">
        <f>IF(AND('Mapa final'!$Y$42="Muy Alta",'Mapa final'!$AA$42="Moderado"),CONCATENATE("R6C",'Mapa final'!$O$42),"")</f>
        <v/>
      </c>
      <c r="Y11" s="257" t="str">
        <f>IF(AND('Mapa final'!$Y$43="Muy Alta",'Mapa final'!$AA$43="Moderado"),CONCATENATE("R6C",'Mapa final'!$O$43),"")</f>
        <v/>
      </c>
      <c r="Z11" s="257" t="str">
        <f>IF(AND('Mapa final'!$Y$44="Muy Alta",'Mapa final'!$AA$44="Moderado"),CONCATENATE("R6C",'Mapa final'!$O$44),"")</f>
        <v/>
      </c>
      <c r="AA11" s="258" t="str">
        <f>IF(AND('Mapa final'!$Y$45="Muy Alta",'Mapa final'!$AA$45="Moderado"),CONCATENATE("R6C",'Mapa final'!$O$45),"")</f>
        <v/>
      </c>
      <c r="AB11" s="256" t="str">
        <f>IF(AND('Mapa final'!$Y$40="Muy Alta",'Mapa final'!$AA$40="Mayor"),CONCATENATE("R6C",'Mapa final'!$O$40),"")</f>
        <v/>
      </c>
      <c r="AC11" s="257" t="str">
        <f>IF(AND('Mapa final'!$Y$41="Muy Alta",'Mapa final'!$AA$41="Mayor"),CONCATENATE("R6C",'Mapa final'!$O$41),"")</f>
        <v/>
      </c>
      <c r="AD11" s="257" t="str">
        <f>IF(AND('Mapa final'!$Y$42="Muy Alta",'Mapa final'!$AA$42="Mayor"),CONCATENATE("R6C",'Mapa final'!$O$42),"")</f>
        <v/>
      </c>
      <c r="AE11" s="257" t="str">
        <f>IF(AND('Mapa final'!$Y$43="Muy Alta",'Mapa final'!$AA$43="Mayor"),CONCATENATE("R6C",'Mapa final'!$O$43),"")</f>
        <v/>
      </c>
      <c r="AF11" s="257" t="str">
        <f>IF(AND('Mapa final'!$Y$44="Muy Alta",'Mapa final'!$AA$44="Mayor"),CONCATENATE("R6C",'Mapa final'!$O$44),"")</f>
        <v/>
      </c>
      <c r="AG11" s="258" t="str">
        <f>IF(AND('Mapa final'!$Y$45="Muy Alta",'Mapa final'!$AA$45="Mayor"),CONCATENATE("R6C",'Mapa final'!$O$45),"")</f>
        <v/>
      </c>
      <c r="AH11" s="259" t="str">
        <f>IF(AND('Mapa final'!$Y$40="Muy Alta",'Mapa final'!$AA$40="Catastrófico"),CONCATENATE("R6C",'Mapa final'!$O$40),"")</f>
        <v/>
      </c>
      <c r="AI11" s="260" t="str">
        <f>IF(AND('Mapa final'!$Y$41="Muy Alta",'Mapa final'!$AA$41="Catastrófico"),CONCATENATE("R6C",'Mapa final'!$O$41),"")</f>
        <v/>
      </c>
      <c r="AJ11" s="260" t="str">
        <f>IF(AND('Mapa final'!$Y$42="Muy Alta",'Mapa final'!$AA$42="Catastrófico"),CONCATENATE("R6C",'Mapa final'!$O$42),"")</f>
        <v/>
      </c>
      <c r="AK11" s="260" t="str">
        <f>IF(AND('Mapa final'!$Y$43="Muy Alta",'Mapa final'!$AA$43="Catastrófico"),CONCATENATE("R6C",'Mapa final'!$O$43),"")</f>
        <v/>
      </c>
      <c r="AL11" s="260" t="str">
        <f>IF(AND('Mapa final'!$Y$44="Muy Alta",'Mapa final'!$AA$44="Catastrófico"),CONCATENATE("R6C",'Mapa final'!$O$44),"")</f>
        <v/>
      </c>
      <c r="AM11" s="261" t="str">
        <f>IF(AND('Mapa final'!$Y$45="Muy Alta",'Mapa final'!$AA$45="Catastrófico"),CONCATENATE("R6C",'Mapa final'!$O$45),"")</f>
        <v/>
      </c>
      <c r="AN11" s="15"/>
      <c r="AO11" s="676"/>
      <c r="AP11" s="677"/>
      <c r="AQ11" s="677"/>
      <c r="AR11" s="677"/>
      <c r="AS11" s="677"/>
      <c r="AT11" s="67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78"/>
      <c r="C12" s="578"/>
      <c r="D12" s="579"/>
      <c r="E12" s="667"/>
      <c r="F12" s="668"/>
      <c r="G12" s="668"/>
      <c r="H12" s="668"/>
      <c r="I12" s="669"/>
      <c r="J12" s="256" t="str">
        <f>IF(AND('Mapa final'!$Y$46="Muy Alta",'Mapa final'!$AA$46="Leve"),CONCATENATE("R7C",'Mapa final'!$O$46),"")</f>
        <v/>
      </c>
      <c r="K12" s="257" t="str">
        <f>IF(AND('Mapa final'!$Y$47="Muy Alta",'Mapa final'!$AA$47="Leve"),CONCATENATE("R7C",'Mapa final'!$O$47),"")</f>
        <v/>
      </c>
      <c r="L12" s="257" t="str">
        <f>IF(AND('Mapa final'!$Y$48="Muy Alta",'Mapa final'!$AA$48="Leve"),CONCATENATE("R7C",'Mapa final'!$O$48),"")</f>
        <v/>
      </c>
      <c r="M12" s="257" t="str">
        <f>IF(AND('Mapa final'!$Y$49="Muy Alta",'Mapa final'!$AA$49="Leve"),CONCATENATE("R7C",'Mapa final'!$O$49),"")</f>
        <v/>
      </c>
      <c r="N12" s="257" t="str">
        <f>IF(AND('Mapa final'!$Y$50="Muy Alta",'Mapa final'!$AA$50="Leve"),CONCATENATE("R7C",'Mapa final'!$O$50),"")</f>
        <v/>
      </c>
      <c r="O12" s="258" t="str">
        <f>IF(AND('Mapa final'!$Y$51="Muy Alta",'Mapa final'!$AA$51="Leve"),CONCATENATE("R7C",'Mapa final'!$O$51),"")</f>
        <v/>
      </c>
      <c r="P12" s="256" t="str">
        <f>IF(AND('Mapa final'!$Y$46="Muy Alta",'Mapa final'!$AA$46="Menor"),CONCATENATE("R7C",'Mapa final'!$O$46),"")</f>
        <v/>
      </c>
      <c r="Q12" s="257" t="str">
        <f>IF(AND('Mapa final'!$Y$47="Muy Alta",'Mapa final'!$AA$47="Menor"),CONCATENATE("R7C",'Mapa final'!$O$47),"")</f>
        <v/>
      </c>
      <c r="R12" s="257" t="str">
        <f>IF(AND('Mapa final'!$Y$48="Muy Alta",'Mapa final'!$AA$48="Menor"),CONCATENATE("R7C",'Mapa final'!$O$48),"")</f>
        <v/>
      </c>
      <c r="S12" s="257" t="str">
        <f>IF(AND('Mapa final'!$Y$49="Muy Alta",'Mapa final'!$AA$49="Menor"),CONCATENATE("R7C",'Mapa final'!$O$49),"")</f>
        <v/>
      </c>
      <c r="T12" s="257" t="str">
        <f>IF(AND('Mapa final'!$Y$50="Muy Alta",'Mapa final'!$AA$50="Menor"),CONCATENATE("R7C",'Mapa final'!$O$50),"")</f>
        <v/>
      </c>
      <c r="U12" s="258" t="str">
        <f>IF(AND('Mapa final'!$Y$51="Muy Alta",'Mapa final'!$AA$51="Menor"),CONCATENATE("R7C",'Mapa final'!$O$51),"")</f>
        <v/>
      </c>
      <c r="V12" s="256" t="str">
        <f>IF(AND('Mapa final'!$Y$46="Muy Alta",'Mapa final'!$AA$46="Moderado"),CONCATENATE("R7C",'Mapa final'!$O$46),"")</f>
        <v/>
      </c>
      <c r="W12" s="257" t="str">
        <f>IF(AND('Mapa final'!$Y$47="Muy Alta",'Mapa final'!$AA$47="Moderado"),CONCATENATE("R7C",'Mapa final'!$O$47),"")</f>
        <v/>
      </c>
      <c r="X12" s="257" t="str">
        <f>IF(AND('Mapa final'!$Y$48="Muy Alta",'Mapa final'!$AA$48="Moderado"),CONCATENATE("R7C",'Mapa final'!$O$48),"")</f>
        <v/>
      </c>
      <c r="Y12" s="257" t="str">
        <f>IF(AND('Mapa final'!$Y$49="Muy Alta",'Mapa final'!$AA$49="Moderado"),CONCATENATE("R7C",'Mapa final'!$O$49),"")</f>
        <v/>
      </c>
      <c r="Z12" s="257" t="str">
        <f>IF(AND('Mapa final'!$Y$50="Muy Alta",'Mapa final'!$AA$50="Moderado"),CONCATENATE("R7C",'Mapa final'!$O$50),"")</f>
        <v/>
      </c>
      <c r="AA12" s="258" t="str">
        <f>IF(AND('Mapa final'!$Y$51="Muy Alta",'Mapa final'!$AA$51="Moderado"),CONCATENATE("R7C",'Mapa final'!$O$51),"")</f>
        <v/>
      </c>
      <c r="AB12" s="256" t="str">
        <f>IF(AND('Mapa final'!$Y$46="Muy Alta",'Mapa final'!$AA$46="Mayor"),CONCATENATE("R7C",'Mapa final'!$O$46),"")</f>
        <v/>
      </c>
      <c r="AC12" s="257" t="str">
        <f>IF(AND('Mapa final'!$Y$47="Muy Alta",'Mapa final'!$AA$47="Mayor"),CONCATENATE("R7C",'Mapa final'!$O$47),"")</f>
        <v/>
      </c>
      <c r="AD12" s="257" t="str">
        <f>IF(AND('Mapa final'!$Y$48="Muy Alta",'Mapa final'!$AA$48="Mayor"),CONCATENATE("R7C",'Mapa final'!$O$48),"")</f>
        <v/>
      </c>
      <c r="AE12" s="257" t="str">
        <f>IF(AND('Mapa final'!$Y$49="Muy Alta",'Mapa final'!$AA$49="Mayor"),CONCATENATE("R7C",'Mapa final'!$O$49),"")</f>
        <v/>
      </c>
      <c r="AF12" s="257" t="str">
        <f>IF(AND('Mapa final'!$Y$50="Muy Alta",'Mapa final'!$AA$50="Mayor"),CONCATENATE("R7C",'Mapa final'!$O$50),"")</f>
        <v/>
      </c>
      <c r="AG12" s="258" t="str">
        <f>IF(AND('Mapa final'!$Y$51="Muy Alta",'Mapa final'!$AA$51="Mayor"),CONCATENATE("R7C",'Mapa final'!$O$51),"")</f>
        <v/>
      </c>
      <c r="AH12" s="259" t="str">
        <f>IF(AND('Mapa final'!$Y$46="Muy Alta",'Mapa final'!$AA$46="Catastrófico"),CONCATENATE("R7C",'Mapa final'!$O$46),"")</f>
        <v/>
      </c>
      <c r="AI12" s="260" t="str">
        <f>IF(AND('Mapa final'!$Y$47="Muy Alta",'Mapa final'!$AA$47="Catastrófico"),CONCATENATE("R7C",'Mapa final'!$O$47),"")</f>
        <v/>
      </c>
      <c r="AJ12" s="260" t="str">
        <f>IF(AND('Mapa final'!$Y$48="Muy Alta",'Mapa final'!$AA$48="Catastrófico"),CONCATENATE("R7C",'Mapa final'!$O$48),"")</f>
        <v/>
      </c>
      <c r="AK12" s="260" t="str">
        <f>IF(AND('Mapa final'!$Y$49="Muy Alta",'Mapa final'!$AA$49="Catastrófico"),CONCATENATE("R7C",'Mapa final'!$O$49),"")</f>
        <v/>
      </c>
      <c r="AL12" s="260" t="str">
        <f>IF(AND('Mapa final'!$Y$50="Muy Alta",'Mapa final'!$AA$50="Catastrófico"),CONCATENATE("R7C",'Mapa final'!$O$50),"")</f>
        <v/>
      </c>
      <c r="AM12" s="261" t="str">
        <f>IF(AND('Mapa final'!$Y$51="Muy Alta",'Mapa final'!$AA$51="Catastrófico"),CONCATENATE("R7C",'Mapa final'!$O$51),"")</f>
        <v/>
      </c>
      <c r="AN12" s="15"/>
      <c r="AO12" s="676"/>
      <c r="AP12" s="677"/>
      <c r="AQ12" s="677"/>
      <c r="AR12" s="677"/>
      <c r="AS12" s="677"/>
      <c r="AT12" s="67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78"/>
      <c r="C13" s="578"/>
      <c r="D13" s="579"/>
      <c r="E13" s="667"/>
      <c r="F13" s="668"/>
      <c r="G13" s="668"/>
      <c r="H13" s="668"/>
      <c r="I13" s="669"/>
      <c r="J13" s="256" t="str">
        <f>IF(AND('Mapa final'!$Y$52="Muy Alta",'Mapa final'!$AA$52="Leve"),CONCATENATE("R8C",'Mapa final'!$O$52),"")</f>
        <v/>
      </c>
      <c r="K13" s="257" t="str">
        <f>IF(AND('Mapa final'!$Y$53="Muy Alta",'Mapa final'!$AA$53="Leve"),CONCATENATE("R8C",'Mapa final'!$O$53),"")</f>
        <v/>
      </c>
      <c r="L13" s="257" t="str">
        <f>IF(AND('Mapa final'!$Y$54="Muy Alta",'Mapa final'!$AA$54="Leve"),CONCATENATE("R8C",'Mapa final'!$O$54),"")</f>
        <v/>
      </c>
      <c r="M13" s="257" t="str">
        <f>IF(AND('Mapa final'!$Y$55="Muy Alta",'Mapa final'!$AA$55="Leve"),CONCATENATE("R8C",'Mapa final'!$O$55),"")</f>
        <v/>
      </c>
      <c r="N13" s="257" t="str">
        <f>IF(AND('Mapa final'!$Y$56="Muy Alta",'Mapa final'!$AA$56="Leve"),CONCATENATE("R8C",'Mapa final'!$O$56),"")</f>
        <v/>
      </c>
      <c r="O13" s="258" t="str">
        <f>IF(AND('Mapa final'!$Y$57="Muy Alta",'Mapa final'!$AA$57="Leve"),CONCATENATE("R8C",'Mapa final'!$O$57),"")</f>
        <v/>
      </c>
      <c r="P13" s="256" t="str">
        <f>IF(AND('Mapa final'!$Y$52="Muy Alta",'Mapa final'!$AA$52="Menor"),CONCATENATE("R8C",'Mapa final'!$O$52),"")</f>
        <v/>
      </c>
      <c r="Q13" s="257" t="str">
        <f>IF(AND('Mapa final'!$Y$53="Muy Alta",'Mapa final'!$AA$53="Menor"),CONCATENATE("R8C",'Mapa final'!$O$53),"")</f>
        <v/>
      </c>
      <c r="R13" s="257" t="str">
        <f>IF(AND('Mapa final'!$Y$54="Muy Alta",'Mapa final'!$AA$54="Menor"),CONCATENATE("R8C",'Mapa final'!$O$54),"")</f>
        <v/>
      </c>
      <c r="S13" s="257" t="str">
        <f>IF(AND('Mapa final'!$Y$55="Muy Alta",'Mapa final'!$AA$55="Menor"),CONCATENATE("R8C",'Mapa final'!$O$55),"")</f>
        <v/>
      </c>
      <c r="T13" s="257" t="str">
        <f>IF(AND('Mapa final'!$Y$56="Muy Alta",'Mapa final'!$AA$56="Menor"),CONCATENATE("R8C",'Mapa final'!$O$56),"")</f>
        <v/>
      </c>
      <c r="U13" s="258" t="str">
        <f>IF(AND('Mapa final'!$Y$57="Muy Alta",'Mapa final'!$AA$57="Menor"),CONCATENATE("R8C",'Mapa final'!$O$57),"")</f>
        <v/>
      </c>
      <c r="V13" s="256" t="str">
        <f>IF(AND('Mapa final'!$Y$52="Muy Alta",'Mapa final'!$AA$52="Moderado"),CONCATENATE("R8C",'Mapa final'!$O$52),"")</f>
        <v/>
      </c>
      <c r="W13" s="257" t="str">
        <f>IF(AND('Mapa final'!$Y$53="Muy Alta",'Mapa final'!$AA$53="Moderado"),CONCATENATE("R8C",'Mapa final'!$O$53),"")</f>
        <v/>
      </c>
      <c r="X13" s="257" t="str">
        <f>IF(AND('Mapa final'!$Y$54="Muy Alta",'Mapa final'!$AA$54="Moderado"),CONCATENATE("R8C",'Mapa final'!$O$54),"")</f>
        <v/>
      </c>
      <c r="Y13" s="257" t="str">
        <f>IF(AND('Mapa final'!$Y$55="Muy Alta",'Mapa final'!$AA$55="Moderado"),CONCATENATE("R8C",'Mapa final'!$O$55),"")</f>
        <v/>
      </c>
      <c r="Z13" s="257" t="str">
        <f>IF(AND('Mapa final'!$Y$56="Muy Alta",'Mapa final'!$AA$56="Moderado"),CONCATENATE("R8C",'Mapa final'!$O$56),"")</f>
        <v/>
      </c>
      <c r="AA13" s="258" t="str">
        <f>IF(AND('Mapa final'!$Y$57="Muy Alta",'Mapa final'!$AA$57="Moderado"),CONCATENATE("R8C",'Mapa final'!$O$57),"")</f>
        <v/>
      </c>
      <c r="AB13" s="256" t="str">
        <f>IF(AND('Mapa final'!$Y$52="Muy Alta",'Mapa final'!$AA$52="Mayor"),CONCATENATE("R8C",'Mapa final'!$O$52),"")</f>
        <v/>
      </c>
      <c r="AC13" s="257" t="str">
        <f>IF(AND('Mapa final'!$Y$53="Muy Alta",'Mapa final'!$AA$53="Mayor"),CONCATENATE("R8C",'Mapa final'!$O$53),"")</f>
        <v/>
      </c>
      <c r="AD13" s="257" t="str">
        <f>IF(AND('Mapa final'!$Y$54="Muy Alta",'Mapa final'!$AA$54="Mayor"),CONCATENATE("R8C",'Mapa final'!$O$54),"")</f>
        <v/>
      </c>
      <c r="AE13" s="257" t="str">
        <f>IF(AND('Mapa final'!$Y$55="Muy Alta",'Mapa final'!$AA$55="Mayor"),CONCATENATE("R8C",'Mapa final'!$O$55),"")</f>
        <v/>
      </c>
      <c r="AF13" s="257" t="str">
        <f>IF(AND('Mapa final'!$Y$56="Muy Alta",'Mapa final'!$AA$56="Mayor"),CONCATENATE("R8C",'Mapa final'!$O$56),"")</f>
        <v/>
      </c>
      <c r="AG13" s="258" t="str">
        <f>IF(AND('Mapa final'!$Y$57="Muy Alta",'Mapa final'!$AA$57="Mayor"),CONCATENATE("R8C",'Mapa final'!$O$57),"")</f>
        <v/>
      </c>
      <c r="AH13" s="259" t="str">
        <f>IF(AND('Mapa final'!$Y$52="Muy Alta",'Mapa final'!$AA$52="Catastrófico"),CONCATENATE("R8C",'Mapa final'!$O$52),"")</f>
        <v/>
      </c>
      <c r="AI13" s="260" t="str">
        <f>IF(AND('Mapa final'!$Y$53="Muy Alta",'Mapa final'!$AA$53="Catastrófico"),CONCATENATE("R8C",'Mapa final'!$O$53),"")</f>
        <v/>
      </c>
      <c r="AJ13" s="260" t="str">
        <f>IF(AND('Mapa final'!$Y$54="Muy Alta",'Mapa final'!$AA$54="Catastrófico"),CONCATENATE("R8C",'Mapa final'!$O$54),"")</f>
        <v/>
      </c>
      <c r="AK13" s="260" t="str">
        <f>IF(AND('Mapa final'!$Y$55="Muy Alta",'Mapa final'!$AA$55="Catastrófico"),CONCATENATE("R8C",'Mapa final'!$O$55),"")</f>
        <v/>
      </c>
      <c r="AL13" s="260" t="str">
        <f>IF(AND('Mapa final'!$Y$56="Muy Alta",'Mapa final'!$AA$56="Catastrófico"),CONCATENATE("R8C",'Mapa final'!$O$56),"")</f>
        <v/>
      </c>
      <c r="AM13" s="261" t="str">
        <f>IF(AND('Mapa final'!$Y$57="Muy Alta",'Mapa final'!$AA$57="Catastrófico"),CONCATENATE("R8C",'Mapa final'!$O$57),"")</f>
        <v/>
      </c>
      <c r="AN13" s="15"/>
      <c r="AO13" s="676"/>
      <c r="AP13" s="677"/>
      <c r="AQ13" s="677"/>
      <c r="AR13" s="677"/>
      <c r="AS13" s="677"/>
      <c r="AT13" s="67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78"/>
      <c r="C14" s="578"/>
      <c r="D14" s="579"/>
      <c r="E14" s="667"/>
      <c r="F14" s="668"/>
      <c r="G14" s="668"/>
      <c r="H14" s="668"/>
      <c r="I14" s="669"/>
      <c r="J14" s="256" t="str">
        <f>IF(AND('Mapa final'!$Y$58="Muy Alta",'Mapa final'!$AA$58="Leve"),CONCATENATE("R9C",'Mapa final'!$O$58),"")</f>
        <v/>
      </c>
      <c r="K14" s="257" t="str">
        <f>IF(AND('Mapa final'!$Y$59="Muy Alta",'Mapa final'!$AA$59="Leve"),CONCATENATE("R9C",'Mapa final'!$O$59),"")</f>
        <v/>
      </c>
      <c r="L14" s="257" t="str">
        <f>IF(AND('Mapa final'!$Y$60="Muy Alta",'Mapa final'!$AA$60="Leve"),CONCATENATE("R9C",'Mapa final'!$O$60),"")</f>
        <v/>
      </c>
      <c r="M14" s="257" t="str">
        <f>IF(AND('Mapa final'!$Y$61="Muy Alta",'Mapa final'!$AA$61="Leve"),CONCATENATE("R9C",'Mapa final'!$O$61),"")</f>
        <v/>
      </c>
      <c r="N14" s="257" t="str">
        <f>IF(AND('Mapa final'!$Y$62="Muy Alta",'Mapa final'!$AA$62="Leve"),CONCATENATE("R9C",'Mapa final'!$O$62),"")</f>
        <v/>
      </c>
      <c r="O14" s="258" t="str">
        <f>IF(AND('Mapa final'!$Y$63="Muy Alta",'Mapa final'!$AA$63="Leve"),CONCATENATE("R9C",'Mapa final'!$O$63),"")</f>
        <v/>
      </c>
      <c r="P14" s="256" t="str">
        <f>IF(AND('Mapa final'!$Y$58="Muy Alta",'Mapa final'!$AA$58="Menor"),CONCATENATE("R9C",'Mapa final'!$O$58),"")</f>
        <v/>
      </c>
      <c r="Q14" s="257" t="str">
        <f>IF(AND('Mapa final'!$Y$59="Muy Alta",'Mapa final'!$AA$59="Menor"),CONCATENATE("R9C",'Mapa final'!$O$59),"")</f>
        <v/>
      </c>
      <c r="R14" s="257" t="str">
        <f>IF(AND('Mapa final'!$Y$60="Muy Alta",'Mapa final'!$AA$60="Menor"),CONCATENATE("R9C",'Mapa final'!$O$60),"")</f>
        <v/>
      </c>
      <c r="S14" s="257" t="str">
        <f>IF(AND('Mapa final'!$Y$61="Muy Alta",'Mapa final'!$AA$61="Menor"),CONCATENATE("R9C",'Mapa final'!$O$61),"")</f>
        <v/>
      </c>
      <c r="T14" s="257" t="str">
        <f>IF(AND('Mapa final'!$Y$62="Muy Alta",'Mapa final'!$AA$62="Menor"),CONCATENATE("R9C",'Mapa final'!$O$62),"")</f>
        <v/>
      </c>
      <c r="U14" s="258" t="str">
        <f>IF(AND('Mapa final'!$Y$63="Muy Alta",'Mapa final'!$AA$63="Menor"),CONCATENATE("R9C",'Mapa final'!$O$63),"")</f>
        <v/>
      </c>
      <c r="V14" s="256" t="str">
        <f>IF(AND('Mapa final'!$Y$58="Muy Alta",'Mapa final'!$AA$58="Moderado"),CONCATENATE("R9C",'Mapa final'!$O$58),"")</f>
        <v/>
      </c>
      <c r="W14" s="257" t="str">
        <f>IF(AND('Mapa final'!$Y$59="Muy Alta",'Mapa final'!$AA$59="Moderado"),CONCATENATE("R9C",'Mapa final'!$O$59),"")</f>
        <v/>
      </c>
      <c r="X14" s="257" t="str">
        <f>IF(AND('Mapa final'!$Y$60="Muy Alta",'Mapa final'!$AA$60="Moderado"),CONCATENATE("R9C",'Mapa final'!$O$60),"")</f>
        <v/>
      </c>
      <c r="Y14" s="257" t="str">
        <f>IF(AND('Mapa final'!$Y$61="Muy Alta",'Mapa final'!$AA$61="Moderado"),CONCATENATE("R9C",'Mapa final'!$O$61),"")</f>
        <v/>
      </c>
      <c r="Z14" s="257" t="str">
        <f>IF(AND('Mapa final'!$Y$62="Muy Alta",'Mapa final'!$AA$62="Moderado"),CONCATENATE("R9C",'Mapa final'!$O$62),"")</f>
        <v/>
      </c>
      <c r="AA14" s="258" t="str">
        <f>IF(AND('Mapa final'!$Y$63="Muy Alta",'Mapa final'!$AA$63="Moderado"),CONCATENATE("R9C",'Mapa final'!$O$63),"")</f>
        <v/>
      </c>
      <c r="AB14" s="256" t="str">
        <f>IF(AND('Mapa final'!$Y$58="Muy Alta",'Mapa final'!$AA$58="Mayor"),CONCATENATE("R9C",'Mapa final'!$O$58),"")</f>
        <v/>
      </c>
      <c r="AC14" s="257" t="str">
        <f>IF(AND('Mapa final'!$Y$59="Muy Alta",'Mapa final'!$AA$59="Mayor"),CONCATENATE("R9C",'Mapa final'!$O$59),"")</f>
        <v/>
      </c>
      <c r="AD14" s="257" t="str">
        <f>IF(AND('Mapa final'!$Y$60="Muy Alta",'Mapa final'!$AA$60="Mayor"),CONCATENATE("R9C",'Mapa final'!$O$60),"")</f>
        <v/>
      </c>
      <c r="AE14" s="257" t="str">
        <f>IF(AND('Mapa final'!$Y$61="Muy Alta",'Mapa final'!$AA$61="Mayor"),CONCATENATE("R9C",'Mapa final'!$O$61),"")</f>
        <v/>
      </c>
      <c r="AF14" s="257" t="str">
        <f>IF(AND('Mapa final'!$Y$62="Muy Alta",'Mapa final'!$AA$62="Mayor"),CONCATENATE("R9C",'Mapa final'!$O$62),"")</f>
        <v/>
      </c>
      <c r="AG14" s="258" t="str">
        <f>IF(AND('Mapa final'!$Y$63="Muy Alta",'Mapa final'!$AA$63="Mayor"),CONCATENATE("R9C",'Mapa final'!$O$63),"")</f>
        <v/>
      </c>
      <c r="AH14" s="259" t="str">
        <f>IF(AND('Mapa final'!$Y$58="Muy Alta",'Mapa final'!$AA$58="Catastrófico"),CONCATENATE("R9C",'Mapa final'!$O$58),"")</f>
        <v/>
      </c>
      <c r="AI14" s="260" t="str">
        <f>IF(AND('Mapa final'!$Y$59="Muy Alta",'Mapa final'!$AA$59="Catastrófico"),CONCATENATE("R9C",'Mapa final'!$O$59),"")</f>
        <v/>
      </c>
      <c r="AJ14" s="260" t="str">
        <f>IF(AND('Mapa final'!$Y$60="Muy Alta",'Mapa final'!$AA$60="Catastrófico"),CONCATENATE("R9C",'Mapa final'!$O$60),"")</f>
        <v/>
      </c>
      <c r="AK14" s="260" t="str">
        <f>IF(AND('Mapa final'!$Y$61="Muy Alta",'Mapa final'!$AA$61="Catastrófico"),CONCATENATE("R9C",'Mapa final'!$O$61),"")</f>
        <v/>
      </c>
      <c r="AL14" s="260" t="str">
        <f>IF(AND('Mapa final'!$Y$62="Muy Alta",'Mapa final'!$AA$62="Catastrófico"),CONCATENATE("R9C",'Mapa final'!$O$62),"")</f>
        <v/>
      </c>
      <c r="AM14" s="261" t="str">
        <f>IF(AND('Mapa final'!$Y$63="Muy Alta",'Mapa final'!$AA$63="Catastrófico"),CONCATENATE("R9C",'Mapa final'!$O$63),"")</f>
        <v/>
      </c>
      <c r="AN14" s="15"/>
      <c r="AO14" s="676"/>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78"/>
      <c r="C15" s="578"/>
      <c r="D15" s="579"/>
      <c r="E15" s="670"/>
      <c r="F15" s="671"/>
      <c r="G15" s="671"/>
      <c r="H15" s="671"/>
      <c r="I15" s="672"/>
      <c r="J15" s="262" t="str">
        <f>IF(AND('Mapa final'!$Y$64="Muy Alta",'Mapa final'!$AA$64="Leve"),CONCATENATE("R10C",'Mapa final'!$O$64),"")</f>
        <v/>
      </c>
      <c r="K15" s="263" t="str">
        <f>IF(AND('Mapa final'!$Y$65="Muy Alta",'Mapa final'!$AA$65="Leve"),CONCATENATE("R10C",'Mapa final'!$O$65),"")</f>
        <v/>
      </c>
      <c r="L15" s="263" t="str">
        <f>IF(AND('Mapa final'!$Y$66="Muy Alta",'Mapa final'!$AA$66="Leve"),CONCATENATE("R10C",'Mapa final'!$O$66),"")</f>
        <v/>
      </c>
      <c r="M15" s="263" t="str">
        <f>IF(AND('Mapa final'!$Y$67="Muy Alta",'Mapa final'!$AA$67="Leve"),CONCATENATE("R10C",'Mapa final'!$O$67),"")</f>
        <v/>
      </c>
      <c r="N15" s="263" t="str">
        <f>IF(AND('Mapa final'!$Y$68="Muy Alta",'Mapa final'!$AA$68="Leve"),CONCATENATE("R10C",'Mapa final'!$O$68),"")</f>
        <v/>
      </c>
      <c r="O15" s="264" t="str">
        <f>IF(AND('Mapa final'!$Y$69="Muy Alta",'Mapa final'!$AA$69="Leve"),CONCATENATE("R10C",'Mapa final'!$O$69),"")</f>
        <v/>
      </c>
      <c r="P15" s="256" t="str">
        <f>IF(AND('Mapa final'!$Y$64="Muy Alta",'Mapa final'!$AA$64="Menor"),CONCATENATE("R10C",'Mapa final'!$O$64),"")</f>
        <v/>
      </c>
      <c r="Q15" s="257" t="str">
        <f>IF(AND('Mapa final'!$Y$65="Muy Alta",'Mapa final'!$AA$65="Menor"),CONCATENATE("R10C",'Mapa final'!$O$65),"")</f>
        <v/>
      </c>
      <c r="R15" s="257" t="str">
        <f>IF(AND('Mapa final'!$Y$66="Muy Alta",'Mapa final'!$AA$66="Menor"),CONCATENATE("R10C",'Mapa final'!$O$66),"")</f>
        <v/>
      </c>
      <c r="S15" s="257" t="str">
        <f>IF(AND('Mapa final'!$Y$67="Muy Alta",'Mapa final'!$AA$67="Menor"),CONCATENATE("R10C",'Mapa final'!$O$67),"")</f>
        <v/>
      </c>
      <c r="T15" s="257" t="str">
        <f>IF(AND('Mapa final'!$Y$68="Muy Alta",'Mapa final'!$AA$68="Menor"),CONCATENATE("R10C",'Mapa final'!$O$68),"")</f>
        <v/>
      </c>
      <c r="U15" s="258" t="str">
        <f>IF(AND('Mapa final'!$Y$69="Muy Alta",'Mapa final'!$AA$69="Menor"),CONCATENATE("R10C",'Mapa final'!$O$69),"")</f>
        <v/>
      </c>
      <c r="V15" s="262" t="str">
        <f>IF(AND('Mapa final'!$Y$64="Muy Alta",'Mapa final'!$AA$64="Moderado"),CONCATENATE("R10C",'Mapa final'!$O$64),"")</f>
        <v/>
      </c>
      <c r="W15" s="263" t="str">
        <f>IF(AND('Mapa final'!$Y$65="Muy Alta",'Mapa final'!$AA$65="Moderado"),CONCATENATE("R10C",'Mapa final'!$O$65),"")</f>
        <v/>
      </c>
      <c r="X15" s="263" t="str">
        <f>IF(AND('Mapa final'!$Y$66="Muy Alta",'Mapa final'!$AA$66="Moderado"),CONCATENATE("R10C",'Mapa final'!$O$66),"")</f>
        <v/>
      </c>
      <c r="Y15" s="263" t="str">
        <f>IF(AND('Mapa final'!$Y$67="Muy Alta",'Mapa final'!$AA$67="Moderado"),CONCATENATE("R10C",'Mapa final'!$O$67),"")</f>
        <v/>
      </c>
      <c r="Z15" s="263" t="str">
        <f>IF(AND('Mapa final'!$Y$68="Muy Alta",'Mapa final'!$AA$68="Moderado"),CONCATENATE("R10C",'Mapa final'!$O$68),"")</f>
        <v/>
      </c>
      <c r="AA15" s="264" t="str">
        <f>IF(AND('Mapa final'!$Y$69="Muy Alta",'Mapa final'!$AA$69="Moderado"),CONCATENATE("R10C",'Mapa final'!$O$69),"")</f>
        <v/>
      </c>
      <c r="AB15" s="256" t="str">
        <f>IF(AND('Mapa final'!$Y$64="Muy Alta",'Mapa final'!$AA$64="Mayor"),CONCATENATE("R10C",'Mapa final'!$O$64),"")</f>
        <v/>
      </c>
      <c r="AC15" s="257" t="str">
        <f>IF(AND('Mapa final'!$Y$65="Muy Alta",'Mapa final'!$AA$65="Mayor"),CONCATENATE("R10C",'Mapa final'!$O$65),"")</f>
        <v/>
      </c>
      <c r="AD15" s="257" t="str">
        <f>IF(AND('Mapa final'!$Y$66="Muy Alta",'Mapa final'!$AA$66="Mayor"),CONCATENATE("R10C",'Mapa final'!$O$66),"")</f>
        <v/>
      </c>
      <c r="AE15" s="257" t="str">
        <f>IF(AND('Mapa final'!$Y$67="Muy Alta",'Mapa final'!$AA$67="Mayor"),CONCATENATE("R10C",'Mapa final'!$O$67),"")</f>
        <v/>
      </c>
      <c r="AF15" s="257" t="str">
        <f>IF(AND('Mapa final'!$Y$68="Muy Alta",'Mapa final'!$AA$68="Mayor"),CONCATENATE("R10C",'Mapa final'!$O$68),"")</f>
        <v/>
      </c>
      <c r="AG15" s="258" t="str">
        <f>IF(AND('Mapa final'!$Y$69="Muy Alta",'Mapa final'!$AA$69="Mayor"),CONCATENATE("R10C",'Mapa final'!$O$69),"")</f>
        <v/>
      </c>
      <c r="AH15" s="265" t="str">
        <f>IF(AND('Mapa final'!$Y$64="Muy Alta",'Mapa final'!$AA$64="Catastrófico"),CONCATENATE("R10C",'Mapa final'!$O$64),"")</f>
        <v/>
      </c>
      <c r="AI15" s="266" t="str">
        <f>IF(AND('Mapa final'!$Y$65="Muy Alta",'Mapa final'!$AA$65="Catastrófico"),CONCATENATE("R10C",'Mapa final'!$O$65),"")</f>
        <v/>
      </c>
      <c r="AJ15" s="266" t="str">
        <f>IF(AND('Mapa final'!$Y$66="Muy Alta",'Mapa final'!$AA$66="Catastrófico"),CONCATENATE("R10C",'Mapa final'!$O$66),"")</f>
        <v/>
      </c>
      <c r="AK15" s="266" t="str">
        <f>IF(AND('Mapa final'!$Y$67="Muy Alta",'Mapa final'!$AA$67="Catastrófico"),CONCATENATE("R10C",'Mapa final'!$O$67),"")</f>
        <v/>
      </c>
      <c r="AL15" s="266" t="str">
        <f>IF(AND('Mapa final'!$Y$68="Muy Alta",'Mapa final'!$AA$68="Catastrófico"),CONCATENATE("R10C",'Mapa final'!$O$68),"")</f>
        <v/>
      </c>
      <c r="AM15" s="267" t="str">
        <f>IF(AND('Mapa final'!$Y$69="Muy Alta",'Mapa final'!$AA$69="Catastrófico"),CONCATENATE("R10C",'Mapa final'!$O$69),"")</f>
        <v/>
      </c>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78"/>
      <c r="C16" s="578"/>
      <c r="D16" s="579"/>
      <c r="E16" s="664" t="s">
        <v>1056</v>
      </c>
      <c r="F16" s="665"/>
      <c r="G16" s="665"/>
      <c r="H16" s="665"/>
      <c r="I16" s="665"/>
      <c r="J16" s="268" t="str">
        <f>IF(AND('Mapa final'!$Y$10="Alta",'Mapa final'!$AA$10="Leve"),CONCATENATE("R1C",'Mapa final'!$O$10),"")</f>
        <v/>
      </c>
      <c r="K16" s="269" t="str">
        <f>IF(AND('Mapa final'!$Y$11="Alta",'Mapa final'!$AA$11="Leve"),CONCATENATE("R1C",'Mapa final'!$O$11),"")</f>
        <v/>
      </c>
      <c r="L16" s="269" t="str">
        <f>IF(AND('Mapa final'!$Y$12="Alta",'Mapa final'!$AA$12="Leve"),CONCATENATE("R1C",'Mapa final'!$O$12),"")</f>
        <v/>
      </c>
      <c r="M16" s="269" t="str">
        <f>IF(AND('Mapa final'!$Y$13="Alta",'Mapa final'!$AA$13="Leve"),CONCATENATE("R1C",'Mapa final'!$O$13),"")</f>
        <v/>
      </c>
      <c r="N16" s="269" t="str">
        <f>IF(AND('Mapa final'!$Y$14="Alta",'Mapa final'!$AA$14="Leve"),CONCATENATE("R1C",'Mapa final'!$O$14),"")</f>
        <v/>
      </c>
      <c r="O16" s="270" t="str">
        <f>IF(AND('Mapa final'!$Y$15="Alta",'Mapa final'!$AA$15="Leve"),CONCATENATE("R1C",'Mapa final'!$O$15),"")</f>
        <v/>
      </c>
      <c r="P16" s="268" t="str">
        <f>IF(AND('Mapa final'!$Y$10="Alta",'Mapa final'!$AA$10="Menor"),CONCATENATE("R1C",'Mapa final'!$O$10),"")</f>
        <v/>
      </c>
      <c r="Q16" s="269" t="str">
        <f>IF(AND('Mapa final'!$Y$11="Alta",'Mapa final'!$AA$11="Menor"),CONCATENATE("R1C",'Mapa final'!$O$11),"")</f>
        <v/>
      </c>
      <c r="R16" s="269" t="str">
        <f>IF(AND('Mapa final'!$Y$12="Alta",'Mapa final'!$AA$12="Menor"),CONCATENATE("R1C",'Mapa final'!$O$12),"")</f>
        <v/>
      </c>
      <c r="S16" s="269" t="str">
        <f>IF(AND('Mapa final'!$Y$13="Alta",'Mapa final'!$AA$13="Menor"),CONCATENATE("R1C",'Mapa final'!$O$13),"")</f>
        <v/>
      </c>
      <c r="T16" s="269" t="str">
        <f>IF(AND('Mapa final'!$Y$14="Alta",'Mapa final'!$AA$14="Menor"),CONCATENATE("R1C",'Mapa final'!$O$14),"")</f>
        <v/>
      </c>
      <c r="U16" s="270" t="str">
        <f>IF(AND('Mapa final'!$Y$15="Alta",'Mapa final'!$AA$15="Menor"),CONCATENATE("R1C",'Mapa final'!$O$15),"")</f>
        <v/>
      </c>
      <c r="V16" s="250" t="str">
        <f>IF(AND('Mapa final'!$Y$10="Alta",'Mapa final'!$AA$10="Moderado"),CONCATENATE("R1C",'Mapa final'!$O$10),"")</f>
        <v/>
      </c>
      <c r="W16" s="251" t="str">
        <f>IF(AND('Mapa final'!$Y$11="Alta",'Mapa final'!$AA$11="Moderado"),CONCATENATE("R1C",'Mapa final'!$O$11),"")</f>
        <v/>
      </c>
      <c r="X16" s="251" t="str">
        <f>IF(AND('Mapa final'!$Y$12="Alta",'Mapa final'!$AA$12="Moderado"),CONCATENATE("R1C",'Mapa final'!$O$12),"")</f>
        <v/>
      </c>
      <c r="Y16" s="251" t="str">
        <f>IF(AND('Mapa final'!$Y$13="Alta",'Mapa final'!$AA$13="Moderado"),CONCATENATE("R1C",'Mapa final'!$O$13),"")</f>
        <v/>
      </c>
      <c r="Z16" s="251" t="str">
        <f>IF(AND('Mapa final'!$Y$14="Alta",'Mapa final'!$AA$14="Moderado"),CONCATENATE("R1C",'Mapa final'!$O$14),"")</f>
        <v/>
      </c>
      <c r="AA16" s="252" t="str">
        <f>IF(AND('Mapa final'!$Y$15="Alta",'Mapa final'!$AA$15="Moderado"),CONCATENATE("R1C",'Mapa final'!$O$15),"")</f>
        <v/>
      </c>
      <c r="AB16" s="250" t="str">
        <f>IF(AND('Mapa final'!$Y$10="Alta",'Mapa final'!$AA$10="Mayor"),CONCATENATE("R1C",'Mapa final'!$O$10),"")</f>
        <v/>
      </c>
      <c r="AC16" s="251" t="str">
        <f>IF(AND('Mapa final'!$Y$11="Alta",'Mapa final'!$AA$11="Mayor"),CONCATENATE("R1C",'Mapa final'!$O$11),"")</f>
        <v/>
      </c>
      <c r="AD16" s="251" t="str">
        <f>IF(AND('Mapa final'!$Y$12="Alta",'Mapa final'!$AA$12="Mayor"),CONCATENATE("R1C",'Mapa final'!$O$12),"")</f>
        <v/>
      </c>
      <c r="AE16" s="251" t="str">
        <f>IF(AND('Mapa final'!$Y$13="Alta",'Mapa final'!$AA$13="Mayor"),CONCATENATE("R1C",'Mapa final'!$O$13),"")</f>
        <v/>
      </c>
      <c r="AF16" s="251" t="str">
        <f>IF(AND('Mapa final'!$Y$14="Alta",'Mapa final'!$AA$14="Mayor"),CONCATENATE("R1C",'Mapa final'!$O$14),"")</f>
        <v/>
      </c>
      <c r="AG16" s="252" t="str">
        <f>IF(AND('Mapa final'!$Y$15="Alta",'Mapa final'!$AA$15="Mayor"),CONCATENATE("R1C",'Mapa final'!$O$15),"")</f>
        <v/>
      </c>
      <c r="AH16" s="253" t="str">
        <f>IF(AND('Mapa final'!$Y$10="Alta",'Mapa final'!$AA$10="Catastrófico"),CONCATENATE("R1C",'Mapa final'!$O$10),"")</f>
        <v/>
      </c>
      <c r="AI16" s="254" t="str">
        <f>IF(AND('Mapa final'!$Y$11="Alta",'Mapa final'!$AA$11="Catastrófico"),CONCATENATE("R1C",'Mapa final'!$O$11),"")</f>
        <v/>
      </c>
      <c r="AJ16" s="254" t="str">
        <f>IF(AND('Mapa final'!$Y$12="Alta",'Mapa final'!$AA$12="Catastrófico"),CONCATENATE("R1C",'Mapa final'!$O$12),"")</f>
        <v/>
      </c>
      <c r="AK16" s="254" t="str">
        <f>IF(AND('Mapa final'!$Y$13="Alta",'Mapa final'!$AA$13="Catastrófico"),CONCATENATE("R1C",'Mapa final'!$O$13),"")</f>
        <v/>
      </c>
      <c r="AL16" s="254" t="str">
        <f>IF(AND('Mapa final'!$Y$14="Alta",'Mapa final'!$AA$14="Catastrófico"),CONCATENATE("R1C",'Mapa final'!$O$14),"")</f>
        <v/>
      </c>
      <c r="AM16" s="255" t="str">
        <f>IF(AND('Mapa final'!$Y$15="Alta",'Mapa final'!$AA$15="Catastrófico"),CONCATENATE("R1C",'Mapa final'!$O$15),"")</f>
        <v/>
      </c>
      <c r="AN16" s="15"/>
      <c r="AO16" s="683" t="s">
        <v>1057</v>
      </c>
      <c r="AP16" s="684"/>
      <c r="AQ16" s="684"/>
      <c r="AR16" s="684"/>
      <c r="AS16" s="684"/>
      <c r="AT16" s="68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78"/>
      <c r="C17" s="578"/>
      <c r="D17" s="579"/>
      <c r="E17" s="682"/>
      <c r="F17" s="668"/>
      <c r="G17" s="668"/>
      <c r="H17" s="668"/>
      <c r="I17" s="668"/>
      <c r="J17" s="271" t="str">
        <f>IF(AND('Mapa final'!$Y$16="Alta",'Mapa final'!$AA$16="Leve"),CONCATENATE("R2C",'Mapa final'!$O$16),"")</f>
        <v/>
      </c>
      <c r="K17" s="272" t="str">
        <f>IF(AND('Mapa final'!$Y$17="Alta",'Mapa final'!$AA$17="Leve"),CONCATENATE("R2C",'Mapa final'!$O$17),"")</f>
        <v/>
      </c>
      <c r="L17" s="272" t="str">
        <f>IF(AND('Mapa final'!$Y$18="Alta",'Mapa final'!$AA$18="Leve"),CONCATENATE("R2C",'Mapa final'!$O$18),"")</f>
        <v/>
      </c>
      <c r="M17" s="272" t="str">
        <f>IF(AND('Mapa final'!$Y$19="Alta",'Mapa final'!$AA$19="Leve"),CONCATENATE("R2C",'Mapa final'!$O$19),"")</f>
        <v/>
      </c>
      <c r="N17" s="272" t="str">
        <f>IF(AND('Mapa final'!$Y$20="Alta",'Mapa final'!$AA$20="Leve"),CONCATENATE("R2C",'Mapa final'!$O$20),"")</f>
        <v/>
      </c>
      <c r="O17" s="273" t="str">
        <f>IF(AND('Mapa final'!$Y$21="Alta",'Mapa final'!$AA$21="Leve"),CONCATENATE("R2C",'Mapa final'!$O$21),"")</f>
        <v/>
      </c>
      <c r="P17" s="271" t="str">
        <f>IF(AND('Mapa final'!$Y$16="Alta",'Mapa final'!$AA$16="Menor"),CONCATENATE("R2C",'Mapa final'!$O$16),"")</f>
        <v/>
      </c>
      <c r="Q17" s="272" t="str">
        <f>IF(AND('Mapa final'!$Y$17="Alta",'Mapa final'!$AA$17="Menor"),CONCATENATE("R2C",'Mapa final'!$O$17),"")</f>
        <v/>
      </c>
      <c r="R17" s="272" t="str">
        <f>IF(AND('Mapa final'!$Y$18="Alta",'Mapa final'!$AA$18="Menor"),CONCATENATE("R2C",'Mapa final'!$O$18),"")</f>
        <v/>
      </c>
      <c r="S17" s="272" t="str">
        <f>IF(AND('Mapa final'!$Y$19="Alta",'Mapa final'!$AA$19="Menor"),CONCATENATE("R2C",'Mapa final'!$O$19),"")</f>
        <v/>
      </c>
      <c r="T17" s="272" t="str">
        <f>IF(AND('Mapa final'!$Y$20="Alta",'Mapa final'!$AA$20="Menor"),CONCATENATE("R2C",'Mapa final'!$O$20),"")</f>
        <v/>
      </c>
      <c r="U17" s="273" t="str">
        <f>IF(AND('Mapa final'!$Y$21="Alta",'Mapa final'!$AA$21="Menor"),CONCATENATE("R2C",'Mapa final'!$O$21),"")</f>
        <v/>
      </c>
      <c r="V17" s="256" t="str">
        <f>IF(AND('Mapa final'!$Y$16="Alta",'Mapa final'!$AA$16="Moderado"),CONCATENATE("R2C",'Mapa final'!$O$16),"")</f>
        <v/>
      </c>
      <c r="W17" s="257" t="str">
        <f>IF(AND('Mapa final'!$Y$17="Alta",'Mapa final'!$AA$17="Moderado"),CONCATENATE("R2C",'Mapa final'!$O$17),"")</f>
        <v/>
      </c>
      <c r="X17" s="257" t="str">
        <f>IF(AND('Mapa final'!$Y$18="Alta",'Mapa final'!$AA$18="Moderado"),CONCATENATE("R2C",'Mapa final'!$O$18),"")</f>
        <v/>
      </c>
      <c r="Y17" s="257" t="str">
        <f>IF(AND('Mapa final'!$Y$19="Alta",'Mapa final'!$AA$19="Moderado"),CONCATENATE("R2C",'Mapa final'!$O$19),"")</f>
        <v/>
      </c>
      <c r="Z17" s="257" t="str">
        <f>IF(AND('Mapa final'!$Y$20="Alta",'Mapa final'!$AA$20="Moderado"),CONCATENATE("R2C",'Mapa final'!$O$20),"")</f>
        <v/>
      </c>
      <c r="AA17" s="258" t="str">
        <f>IF(AND('Mapa final'!$Y$21="Alta",'Mapa final'!$AA$21="Moderado"),CONCATENATE("R2C",'Mapa final'!$O$21),"")</f>
        <v/>
      </c>
      <c r="AB17" s="256" t="str">
        <f>IF(AND('Mapa final'!$Y$16="Alta",'Mapa final'!$AA$16="Mayor"),CONCATENATE("R2C",'Mapa final'!$O$16),"")</f>
        <v/>
      </c>
      <c r="AC17" s="257" t="str">
        <f>IF(AND('Mapa final'!$Y$17="Alta",'Mapa final'!$AA$17="Mayor"),CONCATENATE("R2C",'Mapa final'!$O$17),"")</f>
        <v/>
      </c>
      <c r="AD17" s="257" t="str">
        <f>IF(AND('Mapa final'!$Y$18="Alta",'Mapa final'!$AA$18="Mayor"),CONCATENATE("R2C",'Mapa final'!$O$18),"")</f>
        <v/>
      </c>
      <c r="AE17" s="257" t="str">
        <f>IF(AND('Mapa final'!$Y$19="Alta",'Mapa final'!$AA$19="Mayor"),CONCATENATE("R2C",'Mapa final'!$O$19),"")</f>
        <v/>
      </c>
      <c r="AF17" s="257" t="str">
        <f>IF(AND('Mapa final'!$Y$20="Alta",'Mapa final'!$AA$20="Mayor"),CONCATENATE("R2C",'Mapa final'!$O$20),"")</f>
        <v/>
      </c>
      <c r="AG17" s="258" t="str">
        <f>IF(AND('Mapa final'!$Y$21="Alta",'Mapa final'!$AA$21="Mayor"),CONCATENATE("R2C",'Mapa final'!$O$21),"")</f>
        <v/>
      </c>
      <c r="AH17" s="259" t="str">
        <f>IF(AND('Mapa final'!$Y$16="Alta",'Mapa final'!$AA$16="Catastrófico"),CONCATENATE("R2C",'Mapa final'!$O$16),"")</f>
        <v/>
      </c>
      <c r="AI17" s="260" t="str">
        <f>IF(AND('Mapa final'!$Y$17="Alta",'Mapa final'!$AA$17="Catastrófico"),CONCATENATE("R2C",'Mapa final'!$O$17),"")</f>
        <v/>
      </c>
      <c r="AJ17" s="260" t="str">
        <f>IF(AND('Mapa final'!$Y$18="Alta",'Mapa final'!$AA$18="Catastrófico"),CONCATENATE("R2C",'Mapa final'!$O$18),"")</f>
        <v/>
      </c>
      <c r="AK17" s="260" t="str">
        <f>IF(AND('Mapa final'!$Y$19="Alta",'Mapa final'!$AA$19="Catastrófico"),CONCATENATE("R2C",'Mapa final'!$O$19),"")</f>
        <v/>
      </c>
      <c r="AL17" s="260" t="str">
        <f>IF(AND('Mapa final'!$Y$20="Alta",'Mapa final'!$AA$20="Catastrófico"),CONCATENATE("R2C",'Mapa final'!$O$20),"")</f>
        <v/>
      </c>
      <c r="AM17" s="261" t="str">
        <f>IF(AND('Mapa final'!$Y$21="Alta",'Mapa final'!$AA$21="Catastrófico"),CONCATENATE("R2C",'Mapa final'!$O$21),"")</f>
        <v/>
      </c>
      <c r="AN17" s="15"/>
      <c r="AO17" s="686"/>
      <c r="AP17" s="687"/>
      <c r="AQ17" s="687"/>
      <c r="AR17" s="687"/>
      <c r="AS17" s="687"/>
      <c r="AT17" s="68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78"/>
      <c r="C18" s="578"/>
      <c r="D18" s="579"/>
      <c r="E18" s="667"/>
      <c r="F18" s="668"/>
      <c r="G18" s="668"/>
      <c r="H18" s="668"/>
      <c r="I18" s="668"/>
      <c r="J18" s="271" t="str">
        <f>IF(AND('Mapa final'!$Y$22="Alta",'Mapa final'!$AA$22="Leve"),CONCATENATE("R3C",'Mapa final'!$O$22),"")</f>
        <v/>
      </c>
      <c r="K18" s="272" t="str">
        <f>IF(AND('Mapa final'!$Y$23="Alta",'Mapa final'!$AA$23="Leve"),CONCATENATE("R3C",'Mapa final'!$O$23),"")</f>
        <v/>
      </c>
      <c r="L18" s="272" t="str">
        <f>IF(AND('Mapa final'!$Y$24="Alta",'Mapa final'!$AA$24="Leve"),CONCATENATE("R3C",'Mapa final'!$O$24),"")</f>
        <v/>
      </c>
      <c r="M18" s="272" t="str">
        <f>IF(AND('Mapa final'!$Y$25="Alta",'Mapa final'!$AA$25="Leve"),CONCATENATE("R3C",'Mapa final'!$O$25),"")</f>
        <v/>
      </c>
      <c r="N18" s="272" t="str">
        <f>IF(AND('Mapa final'!$Y$26="Alta",'Mapa final'!$AA$26="Leve"),CONCATENATE("R3C",'Mapa final'!$O$26),"")</f>
        <v/>
      </c>
      <c r="O18" s="273" t="str">
        <f>IF(AND('Mapa final'!$Y$27="Alta",'Mapa final'!$AA$27="Leve"),CONCATENATE("R3C",'Mapa final'!$O$27),"")</f>
        <v/>
      </c>
      <c r="P18" s="271" t="str">
        <f>IF(AND('Mapa final'!$Y$22="Alta",'Mapa final'!$AA$22="Menor"),CONCATENATE("R3C",'Mapa final'!$O$22),"")</f>
        <v/>
      </c>
      <c r="Q18" s="272" t="str">
        <f>IF(AND('Mapa final'!$Y$23="Alta",'Mapa final'!$AA$23="Menor"),CONCATENATE("R3C",'Mapa final'!$O$23),"")</f>
        <v/>
      </c>
      <c r="R18" s="272" t="str">
        <f>IF(AND('Mapa final'!$Y$24="Alta",'Mapa final'!$AA$24="Menor"),CONCATENATE("R3C",'Mapa final'!$O$24),"")</f>
        <v/>
      </c>
      <c r="S18" s="272" t="str">
        <f>IF(AND('Mapa final'!$Y$25="Alta",'Mapa final'!$AA$25="Menor"),CONCATENATE("R3C",'Mapa final'!$O$25),"")</f>
        <v/>
      </c>
      <c r="T18" s="272" t="str">
        <f>IF(AND('Mapa final'!$Y$26="Alta",'Mapa final'!$AA$26="Menor"),CONCATENATE("R3C",'Mapa final'!$O$26),"")</f>
        <v/>
      </c>
      <c r="U18" s="273" t="str">
        <f>IF(AND('Mapa final'!$Y$27="Alta",'Mapa final'!$AA$27="Menor"),CONCATENATE("R3C",'Mapa final'!$O$27),"")</f>
        <v/>
      </c>
      <c r="V18" s="256" t="str">
        <f>IF(AND('Mapa final'!$Y$22="Alta",'Mapa final'!$AA$22="Moderado"),CONCATENATE("R3C",'Mapa final'!$O$22),"")</f>
        <v/>
      </c>
      <c r="W18" s="257" t="str">
        <f>IF(AND('Mapa final'!$Y$23="Alta",'Mapa final'!$AA$23="Moderado"),CONCATENATE("R3C",'Mapa final'!$O$23),"")</f>
        <v/>
      </c>
      <c r="X18" s="257" t="str">
        <f>IF(AND('Mapa final'!$Y$24="Alta",'Mapa final'!$AA$24="Moderado"),CONCATENATE("R3C",'Mapa final'!$O$24),"")</f>
        <v/>
      </c>
      <c r="Y18" s="257" t="str">
        <f>IF(AND('Mapa final'!$Y$25="Alta",'Mapa final'!$AA$25="Moderado"),CONCATENATE("R3C",'Mapa final'!$O$25),"")</f>
        <v/>
      </c>
      <c r="Z18" s="257" t="str">
        <f>IF(AND('Mapa final'!$Y$26="Alta",'Mapa final'!$AA$26="Moderado"),CONCATENATE("R3C",'Mapa final'!$O$26),"")</f>
        <v/>
      </c>
      <c r="AA18" s="258" t="str">
        <f>IF(AND('Mapa final'!$Y$27="Alta",'Mapa final'!$AA$27="Moderado"),CONCATENATE("R3C",'Mapa final'!$O$27),"")</f>
        <v/>
      </c>
      <c r="AB18" s="256" t="str">
        <f>IF(AND('Mapa final'!$Y$22="Alta",'Mapa final'!$AA$22="Mayor"),CONCATENATE("R3C",'Mapa final'!$O$22),"")</f>
        <v/>
      </c>
      <c r="AC18" s="257" t="str">
        <f>IF(AND('Mapa final'!$Y$23="Alta",'Mapa final'!$AA$23="Mayor"),CONCATENATE("R3C",'Mapa final'!$O$23),"")</f>
        <v/>
      </c>
      <c r="AD18" s="257" t="str">
        <f>IF(AND('Mapa final'!$Y$24="Alta",'Mapa final'!$AA$24="Mayor"),CONCATENATE("R3C",'Mapa final'!$O$24),"")</f>
        <v/>
      </c>
      <c r="AE18" s="257" t="str">
        <f>IF(AND('Mapa final'!$Y$25="Alta",'Mapa final'!$AA$25="Mayor"),CONCATENATE("R3C",'Mapa final'!$O$25),"")</f>
        <v/>
      </c>
      <c r="AF18" s="257" t="str">
        <f>IF(AND('Mapa final'!$Y$26="Alta",'Mapa final'!$AA$26="Mayor"),CONCATENATE("R3C",'Mapa final'!$O$26),"")</f>
        <v/>
      </c>
      <c r="AG18" s="258" t="str">
        <f>IF(AND('Mapa final'!$Y$27="Alta",'Mapa final'!$AA$27="Mayor"),CONCATENATE("R3C",'Mapa final'!$O$27),"")</f>
        <v/>
      </c>
      <c r="AH18" s="259" t="str">
        <f>IF(AND('Mapa final'!$Y$22="Alta",'Mapa final'!$AA$22="Catastrófico"),CONCATENATE("R3C",'Mapa final'!$O$22),"")</f>
        <v/>
      </c>
      <c r="AI18" s="260" t="str">
        <f>IF(AND('Mapa final'!$Y$23="Alta",'Mapa final'!$AA$23="Catastrófico"),CONCATENATE("R3C",'Mapa final'!$O$23),"")</f>
        <v/>
      </c>
      <c r="AJ18" s="260" t="str">
        <f>IF(AND('Mapa final'!$Y$24="Alta",'Mapa final'!$AA$24="Catastrófico"),CONCATENATE("R3C",'Mapa final'!$O$24),"")</f>
        <v/>
      </c>
      <c r="AK18" s="260" t="str">
        <f>IF(AND('Mapa final'!$Y$25="Alta",'Mapa final'!$AA$25="Catastrófico"),CONCATENATE("R3C",'Mapa final'!$O$25),"")</f>
        <v/>
      </c>
      <c r="AL18" s="260" t="str">
        <f>IF(AND('Mapa final'!$Y$26="Alta",'Mapa final'!$AA$26="Catastrófico"),CONCATENATE("R3C",'Mapa final'!$O$26),"")</f>
        <v/>
      </c>
      <c r="AM18" s="261" t="str">
        <f>IF(AND('Mapa final'!$Y$27="Alta",'Mapa final'!$AA$27="Catastrófico"),CONCATENATE("R3C",'Mapa final'!$O$27),"")</f>
        <v/>
      </c>
      <c r="AN18" s="15"/>
      <c r="AO18" s="686"/>
      <c r="AP18" s="687"/>
      <c r="AQ18" s="687"/>
      <c r="AR18" s="687"/>
      <c r="AS18" s="687"/>
      <c r="AT18" s="68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78"/>
      <c r="C19" s="578"/>
      <c r="D19" s="579"/>
      <c r="E19" s="667"/>
      <c r="F19" s="668"/>
      <c r="G19" s="668"/>
      <c r="H19" s="668"/>
      <c r="I19" s="668"/>
      <c r="J19" s="271" t="str">
        <f>IF(AND('Mapa final'!$Y$28="Alta",'Mapa final'!$AA$28="Leve"),CONCATENATE("R4C",'Mapa final'!$O$28),"")</f>
        <v/>
      </c>
      <c r="K19" s="272" t="str">
        <f>IF(AND('Mapa final'!$Y$29="Alta",'Mapa final'!$AA$29="Leve"),CONCATENATE("R4C",'Mapa final'!$O$29),"")</f>
        <v/>
      </c>
      <c r="L19" s="272" t="str">
        <f>IF(AND('Mapa final'!$Y$30="Alta",'Mapa final'!$AA$30="Leve"),CONCATENATE("R4C",'Mapa final'!$O$30),"")</f>
        <v/>
      </c>
      <c r="M19" s="272" t="str">
        <f>IF(AND('Mapa final'!$Y$31="Alta",'Mapa final'!$AA$31="Leve"),CONCATENATE("R4C",'Mapa final'!$O$31),"")</f>
        <v/>
      </c>
      <c r="N19" s="272" t="str">
        <f>IF(AND('Mapa final'!$Y$32="Alta",'Mapa final'!$AA$32="Leve"),CONCATENATE("R4C",'Mapa final'!$O$32),"")</f>
        <v/>
      </c>
      <c r="O19" s="273" t="str">
        <f>IF(AND('Mapa final'!$Y$33="Alta",'Mapa final'!$AA$33="Leve"),CONCATENATE("R4C",'Mapa final'!$O$33),"")</f>
        <v/>
      </c>
      <c r="P19" s="271" t="str">
        <f>IF(AND('Mapa final'!$Y$28="Alta",'Mapa final'!$AA$28="Menor"),CONCATENATE("R4C",'Mapa final'!$O$28),"")</f>
        <v/>
      </c>
      <c r="Q19" s="272" t="str">
        <f>IF(AND('Mapa final'!$Y$29="Alta",'Mapa final'!$AA$29="Menor"),CONCATENATE("R4C",'Mapa final'!$O$29),"")</f>
        <v/>
      </c>
      <c r="R19" s="272" t="str">
        <f>IF(AND('Mapa final'!$Y$30="Alta",'Mapa final'!$AA$30="Menor"),CONCATENATE("R4C",'Mapa final'!$O$30),"")</f>
        <v/>
      </c>
      <c r="S19" s="272" t="str">
        <f>IF(AND('Mapa final'!$Y$31="Alta",'Mapa final'!$AA$31="Menor"),CONCATENATE("R4C",'Mapa final'!$O$31),"")</f>
        <v/>
      </c>
      <c r="T19" s="272" t="str">
        <f>IF(AND('Mapa final'!$Y$32="Alta",'Mapa final'!$AA$32="Menor"),CONCATENATE("R4C",'Mapa final'!$O$32),"")</f>
        <v/>
      </c>
      <c r="U19" s="273" t="str">
        <f>IF(AND('Mapa final'!$Y$33="Alta",'Mapa final'!$AA$33="Menor"),CONCATENATE("R4C",'Mapa final'!$O$33),"")</f>
        <v/>
      </c>
      <c r="V19" s="256" t="str">
        <f>IF(AND('Mapa final'!$Y$28="Alta",'Mapa final'!$AA$28="Moderado"),CONCATENATE("R4C",'Mapa final'!$O$28),"")</f>
        <v/>
      </c>
      <c r="W19" s="257" t="str">
        <f>IF(AND('Mapa final'!$Y$29="Alta",'Mapa final'!$AA$29="Moderado"),CONCATENATE("R4C",'Mapa final'!$O$29),"")</f>
        <v/>
      </c>
      <c r="X19" s="257" t="str">
        <f>IF(AND('Mapa final'!$Y$30="Alta",'Mapa final'!$AA$30="Moderado"),CONCATENATE("R4C",'Mapa final'!$O$30),"")</f>
        <v/>
      </c>
      <c r="Y19" s="257" t="str">
        <f>IF(AND('Mapa final'!$Y$31="Alta",'Mapa final'!$AA$31="Moderado"),CONCATENATE("R4C",'Mapa final'!$O$31),"")</f>
        <v/>
      </c>
      <c r="Z19" s="257" t="str">
        <f>IF(AND('Mapa final'!$Y$32="Alta",'Mapa final'!$AA$32="Moderado"),CONCATENATE("R4C",'Mapa final'!$O$32),"")</f>
        <v/>
      </c>
      <c r="AA19" s="258" t="str">
        <f>IF(AND('Mapa final'!$Y$33="Alta",'Mapa final'!$AA$33="Moderado"),CONCATENATE("R4C",'Mapa final'!$O$33),"")</f>
        <v/>
      </c>
      <c r="AB19" s="256" t="str">
        <f>IF(AND('Mapa final'!$Y$28="Alta",'Mapa final'!$AA$28="Mayor"),CONCATENATE("R4C",'Mapa final'!$O$28),"")</f>
        <v/>
      </c>
      <c r="AC19" s="257" t="str">
        <f>IF(AND('Mapa final'!$Y$29="Alta",'Mapa final'!$AA$29="Mayor"),CONCATENATE("R4C",'Mapa final'!$O$29),"")</f>
        <v/>
      </c>
      <c r="AD19" s="257" t="str">
        <f>IF(AND('Mapa final'!$Y$30="Alta",'Mapa final'!$AA$30="Mayor"),CONCATENATE("R4C",'Mapa final'!$O$30),"")</f>
        <v/>
      </c>
      <c r="AE19" s="257" t="str">
        <f>IF(AND('Mapa final'!$Y$31="Alta",'Mapa final'!$AA$31="Mayor"),CONCATENATE("R4C",'Mapa final'!$O$31),"")</f>
        <v/>
      </c>
      <c r="AF19" s="257" t="str">
        <f>IF(AND('Mapa final'!$Y$32="Alta",'Mapa final'!$AA$32="Mayor"),CONCATENATE("R4C",'Mapa final'!$O$32),"")</f>
        <v/>
      </c>
      <c r="AG19" s="258" t="str">
        <f>IF(AND('Mapa final'!$Y$33="Alta",'Mapa final'!$AA$33="Mayor"),CONCATENATE("R4C",'Mapa final'!$O$33),"")</f>
        <v/>
      </c>
      <c r="AH19" s="259" t="str">
        <f>IF(AND('Mapa final'!$Y$28="Alta",'Mapa final'!$AA$28="Catastrófico"),CONCATENATE("R4C",'Mapa final'!$O$28),"")</f>
        <v/>
      </c>
      <c r="AI19" s="260" t="str">
        <f>IF(AND('Mapa final'!$Y$29="Alta",'Mapa final'!$AA$29="Catastrófico"),CONCATENATE("R4C",'Mapa final'!$O$29),"")</f>
        <v/>
      </c>
      <c r="AJ19" s="260" t="str">
        <f>IF(AND('Mapa final'!$Y$30="Alta",'Mapa final'!$AA$30="Catastrófico"),CONCATENATE("R4C",'Mapa final'!$O$30),"")</f>
        <v/>
      </c>
      <c r="AK19" s="260" t="str">
        <f>IF(AND('Mapa final'!$Y$31="Alta",'Mapa final'!$AA$31="Catastrófico"),CONCATENATE("R4C",'Mapa final'!$O$31),"")</f>
        <v/>
      </c>
      <c r="AL19" s="260" t="str">
        <f>IF(AND('Mapa final'!$Y$32="Alta",'Mapa final'!$AA$32="Catastrófico"),CONCATENATE("R4C",'Mapa final'!$O$32),"")</f>
        <v/>
      </c>
      <c r="AM19" s="261" t="str">
        <f>IF(AND('Mapa final'!$Y$33="Alta",'Mapa final'!$AA$33="Catastrófico"),CONCATENATE("R4C",'Mapa final'!$O$33),"")</f>
        <v/>
      </c>
      <c r="AN19" s="15"/>
      <c r="AO19" s="686"/>
      <c r="AP19" s="687"/>
      <c r="AQ19" s="687"/>
      <c r="AR19" s="687"/>
      <c r="AS19" s="687"/>
      <c r="AT19" s="68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78"/>
      <c r="C20" s="578"/>
      <c r="D20" s="579"/>
      <c r="E20" s="667"/>
      <c r="F20" s="668"/>
      <c r="G20" s="668"/>
      <c r="H20" s="668"/>
      <c r="I20" s="668"/>
      <c r="J20" s="271" t="str">
        <f>IF(AND('Mapa final'!$Y$34="Alta",'Mapa final'!$AA$34="Leve"),CONCATENATE("R5C",'Mapa final'!$O$34),"")</f>
        <v/>
      </c>
      <c r="K20" s="272" t="str">
        <f>IF(AND('Mapa final'!$Y$35="Alta",'Mapa final'!$AA$35="Leve"),CONCATENATE("R5C",'Mapa final'!$O$35),"")</f>
        <v/>
      </c>
      <c r="L20" s="272" t="str">
        <f>IF(AND('Mapa final'!$Y$36="Alta",'Mapa final'!$AA$36="Leve"),CONCATENATE("R5C",'Mapa final'!$O$36),"")</f>
        <v/>
      </c>
      <c r="M20" s="272" t="str">
        <f>IF(AND('Mapa final'!$Y$37="Alta",'Mapa final'!$AA$37="Leve"),CONCATENATE("R5C",'Mapa final'!$O$37),"")</f>
        <v/>
      </c>
      <c r="N20" s="272" t="str">
        <f>IF(AND('Mapa final'!$Y$38="Alta",'Mapa final'!$AA$38="Leve"),CONCATENATE("R5C",'Mapa final'!$O$38),"")</f>
        <v/>
      </c>
      <c r="O20" s="273" t="str">
        <f>IF(AND('Mapa final'!$Y$39="Alta",'Mapa final'!$AA$39="Leve"),CONCATENATE("R5C",'Mapa final'!$O$39),"")</f>
        <v/>
      </c>
      <c r="P20" s="271" t="str">
        <f>IF(AND('Mapa final'!$Y$34="Alta",'Mapa final'!$AA$34="Menor"),CONCATENATE("R5C",'Mapa final'!$O$34),"")</f>
        <v/>
      </c>
      <c r="Q20" s="272" t="str">
        <f>IF(AND('Mapa final'!$Y$35="Alta",'Mapa final'!$AA$35="Menor"),CONCATENATE("R5C",'Mapa final'!$O$35),"")</f>
        <v/>
      </c>
      <c r="R20" s="272" t="str">
        <f>IF(AND('Mapa final'!$Y$36="Alta",'Mapa final'!$AA$36="Menor"),CONCATENATE("R5C",'Mapa final'!$O$36),"")</f>
        <v/>
      </c>
      <c r="S20" s="272" t="str">
        <f>IF(AND('Mapa final'!$Y$37="Alta",'Mapa final'!$AA$37="Menor"),CONCATENATE("R5C",'Mapa final'!$O$37),"")</f>
        <v/>
      </c>
      <c r="T20" s="272" t="str">
        <f>IF(AND('Mapa final'!$Y$38="Alta",'Mapa final'!$AA$38="Menor"),CONCATENATE("R5C",'Mapa final'!$O$38),"")</f>
        <v/>
      </c>
      <c r="U20" s="273" t="str">
        <f>IF(AND('Mapa final'!$Y$39="Alta",'Mapa final'!$AA$39="Menor"),CONCATENATE("R5C",'Mapa final'!$O$39),"")</f>
        <v/>
      </c>
      <c r="V20" s="256" t="str">
        <f>IF(AND('Mapa final'!$Y$34="Alta",'Mapa final'!$AA$34="Moderado"),CONCATENATE("R5C",'Mapa final'!$O$34),"")</f>
        <v/>
      </c>
      <c r="W20" s="257" t="str">
        <f>IF(AND('Mapa final'!$Y$35="Alta",'Mapa final'!$AA$35="Moderado"),CONCATENATE("R5C",'Mapa final'!$O$35),"")</f>
        <v/>
      </c>
      <c r="X20" s="257" t="str">
        <f>IF(AND('Mapa final'!$Y$36="Alta",'Mapa final'!$AA$36="Moderado"),CONCATENATE("R5C",'Mapa final'!$O$36),"")</f>
        <v/>
      </c>
      <c r="Y20" s="257" t="str">
        <f>IF(AND('Mapa final'!$Y$37="Alta",'Mapa final'!$AA$37="Moderado"),CONCATENATE("R5C",'Mapa final'!$O$37),"")</f>
        <v/>
      </c>
      <c r="Z20" s="257" t="str">
        <f>IF(AND('Mapa final'!$Y$38="Alta",'Mapa final'!$AA$38="Moderado"),CONCATENATE("R5C",'Mapa final'!$O$38),"")</f>
        <v/>
      </c>
      <c r="AA20" s="258" t="str">
        <f>IF(AND('Mapa final'!$Y$39="Alta",'Mapa final'!$AA$39="Moderado"),CONCATENATE("R5C",'Mapa final'!$O$39),"")</f>
        <v/>
      </c>
      <c r="AB20" s="256" t="str">
        <f>IF(AND('Mapa final'!$Y$34="Alta",'Mapa final'!$AA$34="Mayor"),CONCATENATE("R5C",'Mapa final'!$O$34),"")</f>
        <v/>
      </c>
      <c r="AC20" s="257" t="str">
        <f>IF(AND('Mapa final'!$Y$35="Alta",'Mapa final'!$AA$35="Mayor"),CONCATENATE("R5C",'Mapa final'!$O$35),"")</f>
        <v/>
      </c>
      <c r="AD20" s="257" t="str">
        <f>IF(AND('Mapa final'!$Y$36="Alta",'Mapa final'!$AA$36="Mayor"),CONCATENATE("R5C",'Mapa final'!$O$36),"")</f>
        <v/>
      </c>
      <c r="AE20" s="257" t="str">
        <f>IF(AND('Mapa final'!$Y$37="Alta",'Mapa final'!$AA$37="Mayor"),CONCATENATE("R5C",'Mapa final'!$O$37),"")</f>
        <v/>
      </c>
      <c r="AF20" s="257" t="str">
        <f>IF(AND('Mapa final'!$Y$38="Alta",'Mapa final'!$AA$38="Mayor"),CONCATENATE("R5C",'Mapa final'!$O$38),"")</f>
        <v/>
      </c>
      <c r="AG20" s="258" t="str">
        <f>IF(AND('Mapa final'!$Y$39="Alta",'Mapa final'!$AA$39="Mayor"),CONCATENATE("R5C",'Mapa final'!$O$39),"")</f>
        <v/>
      </c>
      <c r="AH20" s="259" t="str">
        <f>IF(AND('Mapa final'!$Y$34="Alta",'Mapa final'!$AA$34="Catastrófico"),CONCATENATE("R5C",'Mapa final'!$O$34),"")</f>
        <v/>
      </c>
      <c r="AI20" s="260" t="str">
        <f>IF(AND('Mapa final'!$Y$35="Alta",'Mapa final'!$AA$35="Catastrófico"),CONCATENATE("R5C",'Mapa final'!$O$35),"")</f>
        <v/>
      </c>
      <c r="AJ20" s="260" t="str">
        <f>IF(AND('Mapa final'!$Y$36="Alta",'Mapa final'!$AA$36="Catastrófico"),CONCATENATE("R5C",'Mapa final'!$O$36),"")</f>
        <v/>
      </c>
      <c r="AK20" s="260" t="str">
        <f>IF(AND('Mapa final'!$Y$37="Alta",'Mapa final'!$AA$37="Catastrófico"),CONCATENATE("R5C",'Mapa final'!$O$37),"")</f>
        <v/>
      </c>
      <c r="AL20" s="260" t="str">
        <f>IF(AND('Mapa final'!$Y$38="Alta",'Mapa final'!$AA$38="Catastrófico"),CONCATENATE("R5C",'Mapa final'!$O$38),"")</f>
        <v/>
      </c>
      <c r="AM20" s="261" t="str">
        <f>IF(AND('Mapa final'!$Y$39="Alta",'Mapa final'!$AA$39="Catastrófico"),CONCATENATE("R5C",'Mapa final'!$O$39),"")</f>
        <v/>
      </c>
      <c r="AN20" s="15"/>
      <c r="AO20" s="686"/>
      <c r="AP20" s="687"/>
      <c r="AQ20" s="687"/>
      <c r="AR20" s="687"/>
      <c r="AS20" s="687"/>
      <c r="AT20" s="68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78"/>
      <c r="C21" s="578"/>
      <c r="D21" s="579"/>
      <c r="E21" s="667"/>
      <c r="F21" s="668"/>
      <c r="G21" s="668"/>
      <c r="H21" s="668"/>
      <c r="I21" s="668"/>
      <c r="J21" s="271" t="str">
        <f>IF(AND('Mapa final'!$Y$40="Alta",'Mapa final'!$AA$40="Leve"),CONCATENATE("R6C",'Mapa final'!$O$40),"")</f>
        <v/>
      </c>
      <c r="K21" s="272" t="str">
        <f>IF(AND('Mapa final'!$Y$41="Alta",'Mapa final'!$AA$41="Leve"),CONCATENATE("R6C",'Mapa final'!$O$41),"")</f>
        <v/>
      </c>
      <c r="L21" s="272" t="str">
        <f>IF(AND('Mapa final'!$Y$42="Alta",'Mapa final'!$AA$42="Leve"),CONCATENATE("R6C",'Mapa final'!$O$42),"")</f>
        <v/>
      </c>
      <c r="M21" s="272" t="str">
        <f>IF(AND('Mapa final'!$Y$43="Alta",'Mapa final'!$AA$43="Leve"),CONCATENATE("R6C",'Mapa final'!$O$43),"")</f>
        <v/>
      </c>
      <c r="N21" s="272" t="str">
        <f>IF(AND('Mapa final'!$Y$44="Alta",'Mapa final'!$AA$44="Leve"),CONCATENATE("R6C",'Mapa final'!$O$44),"")</f>
        <v/>
      </c>
      <c r="O21" s="273" t="str">
        <f>IF(AND('Mapa final'!$Y$45="Alta",'Mapa final'!$AA$45="Leve"),CONCATENATE("R6C",'Mapa final'!$O$45),"")</f>
        <v/>
      </c>
      <c r="P21" s="271" t="str">
        <f>IF(AND('Mapa final'!$Y$40="Alta",'Mapa final'!$AA$40="Menor"),CONCATENATE("R6C",'Mapa final'!$O$40),"")</f>
        <v/>
      </c>
      <c r="Q21" s="272" t="str">
        <f>IF(AND('Mapa final'!$Y$41="Alta",'Mapa final'!$AA$41="Menor"),CONCATENATE("R6C",'Mapa final'!$O$41),"")</f>
        <v/>
      </c>
      <c r="R21" s="272" t="str">
        <f>IF(AND('Mapa final'!$Y$42="Alta",'Mapa final'!$AA$42="Menor"),CONCATENATE("R6C",'Mapa final'!$O$42),"")</f>
        <v/>
      </c>
      <c r="S21" s="272" t="str">
        <f>IF(AND('Mapa final'!$Y$43="Alta",'Mapa final'!$AA$43="Menor"),CONCATENATE("R6C",'Mapa final'!$O$43),"")</f>
        <v/>
      </c>
      <c r="T21" s="272" t="str">
        <f>IF(AND('Mapa final'!$Y$44="Alta",'Mapa final'!$AA$44="Menor"),CONCATENATE("R6C",'Mapa final'!$O$44),"")</f>
        <v/>
      </c>
      <c r="U21" s="273" t="str">
        <f>IF(AND('Mapa final'!$Y$45="Alta",'Mapa final'!$AA$45="Menor"),CONCATENATE("R6C",'Mapa final'!$O$45),"")</f>
        <v/>
      </c>
      <c r="V21" s="256" t="str">
        <f>IF(AND('Mapa final'!$Y$40="Alta",'Mapa final'!$AA$40="Moderado"),CONCATENATE("R6C",'Mapa final'!$O$40),"")</f>
        <v/>
      </c>
      <c r="W21" s="257" t="str">
        <f>IF(AND('Mapa final'!$Y$41="Alta",'Mapa final'!$AA$41="Moderado"),CONCATENATE("R6C",'Mapa final'!$O$41),"")</f>
        <v/>
      </c>
      <c r="X21" s="257" t="str">
        <f>IF(AND('Mapa final'!$Y$42="Alta",'Mapa final'!$AA$42="Moderado"),CONCATENATE("R6C",'Mapa final'!$O$42),"")</f>
        <v/>
      </c>
      <c r="Y21" s="257" t="str">
        <f>IF(AND('Mapa final'!$Y$43="Alta",'Mapa final'!$AA$43="Moderado"),CONCATENATE("R6C",'Mapa final'!$O$43),"")</f>
        <v/>
      </c>
      <c r="Z21" s="257" t="str">
        <f>IF(AND('Mapa final'!$Y$44="Alta",'Mapa final'!$AA$44="Moderado"),CONCATENATE("R6C",'Mapa final'!$O$44),"")</f>
        <v/>
      </c>
      <c r="AA21" s="258" t="str">
        <f>IF(AND('Mapa final'!$Y$45="Alta",'Mapa final'!$AA$45="Moderado"),CONCATENATE("R6C",'Mapa final'!$O$45),"")</f>
        <v/>
      </c>
      <c r="AB21" s="256" t="str">
        <f>IF(AND('Mapa final'!$Y$40="Alta",'Mapa final'!$AA$40="Mayor"),CONCATENATE("R6C",'Mapa final'!$O$40),"")</f>
        <v/>
      </c>
      <c r="AC21" s="257" t="str">
        <f>IF(AND('Mapa final'!$Y$41="Alta",'Mapa final'!$AA$41="Mayor"),CONCATENATE("R6C",'Mapa final'!$O$41),"")</f>
        <v/>
      </c>
      <c r="AD21" s="257" t="str">
        <f>IF(AND('Mapa final'!$Y$42="Alta",'Mapa final'!$AA$42="Mayor"),CONCATENATE("R6C",'Mapa final'!$O$42),"")</f>
        <v/>
      </c>
      <c r="AE21" s="257" t="str">
        <f>IF(AND('Mapa final'!$Y$43="Alta",'Mapa final'!$AA$43="Mayor"),CONCATENATE("R6C",'Mapa final'!$O$43),"")</f>
        <v/>
      </c>
      <c r="AF21" s="257" t="str">
        <f>IF(AND('Mapa final'!$Y$44="Alta",'Mapa final'!$AA$44="Mayor"),CONCATENATE("R6C",'Mapa final'!$O$44),"")</f>
        <v/>
      </c>
      <c r="AG21" s="258" t="str">
        <f>IF(AND('Mapa final'!$Y$45="Alta",'Mapa final'!$AA$45="Mayor"),CONCATENATE("R6C",'Mapa final'!$O$45),"")</f>
        <v/>
      </c>
      <c r="AH21" s="259" t="str">
        <f>IF(AND('Mapa final'!$Y$40="Alta",'Mapa final'!$AA$40="Catastrófico"),CONCATENATE("R6C",'Mapa final'!$O$40),"")</f>
        <v/>
      </c>
      <c r="AI21" s="260" t="str">
        <f>IF(AND('Mapa final'!$Y$41="Alta",'Mapa final'!$AA$41="Catastrófico"),CONCATENATE("R6C",'Mapa final'!$O$41),"")</f>
        <v/>
      </c>
      <c r="AJ21" s="260" t="str">
        <f>IF(AND('Mapa final'!$Y$42="Alta",'Mapa final'!$AA$42="Catastrófico"),CONCATENATE("R6C",'Mapa final'!$O$42),"")</f>
        <v/>
      </c>
      <c r="AK21" s="260" t="str">
        <f>IF(AND('Mapa final'!$Y$43="Alta",'Mapa final'!$AA$43="Catastrófico"),CONCATENATE("R6C",'Mapa final'!$O$43),"")</f>
        <v/>
      </c>
      <c r="AL21" s="260" t="str">
        <f>IF(AND('Mapa final'!$Y$44="Alta",'Mapa final'!$AA$44="Catastrófico"),CONCATENATE("R6C",'Mapa final'!$O$44),"")</f>
        <v/>
      </c>
      <c r="AM21" s="261" t="str">
        <f>IF(AND('Mapa final'!$Y$45="Alta",'Mapa final'!$AA$45="Catastrófico"),CONCATENATE("R6C",'Mapa final'!$O$45),"")</f>
        <v/>
      </c>
      <c r="AN21" s="15"/>
      <c r="AO21" s="686"/>
      <c r="AP21" s="687"/>
      <c r="AQ21" s="687"/>
      <c r="AR21" s="687"/>
      <c r="AS21" s="687"/>
      <c r="AT21" s="68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78"/>
      <c r="C22" s="578"/>
      <c r="D22" s="579"/>
      <c r="E22" s="667"/>
      <c r="F22" s="668"/>
      <c r="G22" s="668"/>
      <c r="H22" s="668"/>
      <c r="I22" s="668"/>
      <c r="J22" s="271" t="str">
        <f>IF(AND('Mapa final'!$Y$46="Alta",'Mapa final'!$AA$46="Leve"),CONCATENATE("R7C",'Mapa final'!$O$46),"")</f>
        <v/>
      </c>
      <c r="K22" s="272" t="str">
        <f>IF(AND('Mapa final'!$Y$47="Alta",'Mapa final'!$AA$47="Leve"),CONCATENATE("R7C",'Mapa final'!$O$47),"")</f>
        <v/>
      </c>
      <c r="L22" s="272" t="str">
        <f>IF(AND('Mapa final'!$Y$48="Alta",'Mapa final'!$AA$48="Leve"),CONCATENATE("R7C",'Mapa final'!$O$48),"")</f>
        <v/>
      </c>
      <c r="M22" s="272" t="str">
        <f>IF(AND('Mapa final'!$Y$49="Alta",'Mapa final'!$AA$49="Leve"),CONCATENATE("R7C",'Mapa final'!$O$49),"")</f>
        <v/>
      </c>
      <c r="N22" s="272" t="str">
        <f>IF(AND('Mapa final'!$Y$50="Alta",'Mapa final'!$AA$50="Leve"),CONCATENATE("R7C",'Mapa final'!$O$50),"")</f>
        <v/>
      </c>
      <c r="O22" s="273" t="str">
        <f>IF(AND('Mapa final'!$Y$51="Alta",'Mapa final'!$AA$51="Leve"),CONCATENATE("R7C",'Mapa final'!$O$51),"")</f>
        <v/>
      </c>
      <c r="P22" s="271" t="str">
        <f>IF(AND('Mapa final'!$Y$46="Alta",'Mapa final'!$AA$46="Menor"),CONCATENATE("R7C",'Mapa final'!$O$46),"")</f>
        <v/>
      </c>
      <c r="Q22" s="272" t="str">
        <f>IF(AND('Mapa final'!$Y$47="Alta",'Mapa final'!$AA$47="Menor"),CONCATENATE("R7C",'Mapa final'!$O$47),"")</f>
        <v/>
      </c>
      <c r="R22" s="272" t="str">
        <f>IF(AND('Mapa final'!$Y$48="Alta",'Mapa final'!$AA$48="Menor"),CONCATENATE("R7C",'Mapa final'!$O$48),"")</f>
        <v/>
      </c>
      <c r="S22" s="272" t="str">
        <f>IF(AND('Mapa final'!$Y$49="Alta",'Mapa final'!$AA$49="Menor"),CONCATENATE("R7C",'Mapa final'!$O$49),"")</f>
        <v/>
      </c>
      <c r="T22" s="272" t="str">
        <f>IF(AND('Mapa final'!$Y$50="Alta",'Mapa final'!$AA$50="Menor"),CONCATENATE("R7C",'Mapa final'!$O$50),"")</f>
        <v/>
      </c>
      <c r="U22" s="273" t="str">
        <f>IF(AND('Mapa final'!$Y$51="Alta",'Mapa final'!$AA$51="Menor"),CONCATENATE("R7C",'Mapa final'!$O$51),"")</f>
        <v/>
      </c>
      <c r="V22" s="256" t="str">
        <f>IF(AND('Mapa final'!$Y$46="Alta",'Mapa final'!$AA$46="Moderado"),CONCATENATE("R7C",'Mapa final'!$O$46),"")</f>
        <v/>
      </c>
      <c r="W22" s="257" t="str">
        <f>IF(AND('Mapa final'!$Y$47="Alta",'Mapa final'!$AA$47="Moderado"),CONCATENATE("R7C",'Mapa final'!$O$47),"")</f>
        <v/>
      </c>
      <c r="X22" s="257" t="str">
        <f>IF(AND('Mapa final'!$Y$48="Alta",'Mapa final'!$AA$48="Moderado"),CONCATENATE("R7C",'Mapa final'!$O$48),"")</f>
        <v/>
      </c>
      <c r="Y22" s="257" t="str">
        <f>IF(AND('Mapa final'!$Y$49="Alta",'Mapa final'!$AA$49="Moderado"),CONCATENATE("R7C",'Mapa final'!$O$49),"")</f>
        <v/>
      </c>
      <c r="Z22" s="257" t="str">
        <f>IF(AND('Mapa final'!$Y$50="Alta",'Mapa final'!$AA$50="Moderado"),CONCATENATE("R7C",'Mapa final'!$O$50),"")</f>
        <v/>
      </c>
      <c r="AA22" s="258" t="str">
        <f>IF(AND('Mapa final'!$Y$51="Alta",'Mapa final'!$AA$51="Moderado"),CONCATENATE("R7C",'Mapa final'!$O$51),"")</f>
        <v/>
      </c>
      <c r="AB22" s="256" t="str">
        <f>IF(AND('Mapa final'!$Y$46="Alta",'Mapa final'!$AA$46="Mayor"),CONCATENATE("R7C",'Mapa final'!$O$46),"")</f>
        <v/>
      </c>
      <c r="AC22" s="257" t="str">
        <f>IF(AND('Mapa final'!$Y$47="Alta",'Mapa final'!$AA$47="Mayor"),CONCATENATE("R7C",'Mapa final'!$O$47),"")</f>
        <v/>
      </c>
      <c r="AD22" s="257" t="str">
        <f>IF(AND('Mapa final'!$Y$48="Alta",'Mapa final'!$AA$48="Mayor"),CONCATENATE("R7C",'Mapa final'!$O$48),"")</f>
        <v/>
      </c>
      <c r="AE22" s="257" t="str">
        <f>IF(AND('Mapa final'!$Y$49="Alta",'Mapa final'!$AA$49="Mayor"),CONCATENATE("R7C",'Mapa final'!$O$49),"")</f>
        <v/>
      </c>
      <c r="AF22" s="257" t="str">
        <f>IF(AND('Mapa final'!$Y$50="Alta",'Mapa final'!$AA$50="Mayor"),CONCATENATE("R7C",'Mapa final'!$O$50),"")</f>
        <v/>
      </c>
      <c r="AG22" s="258" t="str">
        <f>IF(AND('Mapa final'!$Y$51="Alta",'Mapa final'!$AA$51="Mayor"),CONCATENATE("R7C",'Mapa final'!$O$51),"")</f>
        <v/>
      </c>
      <c r="AH22" s="259" t="str">
        <f>IF(AND('Mapa final'!$Y$46="Alta",'Mapa final'!$AA$46="Catastrófico"),CONCATENATE("R7C",'Mapa final'!$O$46),"")</f>
        <v/>
      </c>
      <c r="AI22" s="260" t="str">
        <f>IF(AND('Mapa final'!$Y$47="Alta",'Mapa final'!$AA$47="Catastrófico"),CONCATENATE("R7C",'Mapa final'!$O$47),"")</f>
        <v/>
      </c>
      <c r="AJ22" s="260" t="str">
        <f>IF(AND('Mapa final'!$Y$48="Alta",'Mapa final'!$AA$48="Catastrófico"),CONCATENATE("R7C",'Mapa final'!$O$48),"")</f>
        <v/>
      </c>
      <c r="AK22" s="260" t="str">
        <f>IF(AND('Mapa final'!$Y$49="Alta",'Mapa final'!$AA$49="Catastrófico"),CONCATENATE("R7C",'Mapa final'!$O$49),"")</f>
        <v/>
      </c>
      <c r="AL22" s="260" t="str">
        <f>IF(AND('Mapa final'!$Y$50="Alta",'Mapa final'!$AA$50="Catastrófico"),CONCATENATE("R7C",'Mapa final'!$O$50),"")</f>
        <v/>
      </c>
      <c r="AM22" s="261" t="str">
        <f>IF(AND('Mapa final'!$Y$51="Alta",'Mapa final'!$AA$51="Catastrófico"),CONCATENATE("R7C",'Mapa final'!$O$51),"")</f>
        <v/>
      </c>
      <c r="AN22" s="15"/>
      <c r="AO22" s="686"/>
      <c r="AP22" s="687"/>
      <c r="AQ22" s="687"/>
      <c r="AR22" s="687"/>
      <c r="AS22" s="687"/>
      <c r="AT22" s="68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78"/>
      <c r="C23" s="578"/>
      <c r="D23" s="579"/>
      <c r="E23" s="667"/>
      <c r="F23" s="668"/>
      <c r="G23" s="668"/>
      <c r="H23" s="668"/>
      <c r="I23" s="668"/>
      <c r="J23" s="271" t="str">
        <f>IF(AND('Mapa final'!$Y$52="Alta",'Mapa final'!$AA$52="Leve"),CONCATENATE("R8C",'Mapa final'!$O$52),"")</f>
        <v/>
      </c>
      <c r="K23" s="272" t="str">
        <f>IF(AND('Mapa final'!$Y$53="Alta",'Mapa final'!$AA$53="Leve"),CONCATENATE("R8C",'Mapa final'!$O$53),"")</f>
        <v/>
      </c>
      <c r="L23" s="272" t="str">
        <f>IF(AND('Mapa final'!$Y$54="Alta",'Mapa final'!$AA$54="Leve"),CONCATENATE("R8C",'Mapa final'!$O$54),"")</f>
        <v/>
      </c>
      <c r="M23" s="272" t="str">
        <f>IF(AND('Mapa final'!$Y$55="Alta",'Mapa final'!$AA$55="Leve"),CONCATENATE("R8C",'Mapa final'!$O$55),"")</f>
        <v/>
      </c>
      <c r="N23" s="272" t="str">
        <f>IF(AND('Mapa final'!$Y$56="Alta",'Mapa final'!$AA$56="Leve"),CONCATENATE("R8C",'Mapa final'!$O$56),"")</f>
        <v/>
      </c>
      <c r="O23" s="273" t="str">
        <f>IF(AND('Mapa final'!$Y$57="Alta",'Mapa final'!$AA$57="Leve"),CONCATENATE("R8C",'Mapa final'!$O$57),"")</f>
        <v/>
      </c>
      <c r="P23" s="271" t="str">
        <f>IF(AND('Mapa final'!$Y$52="Alta",'Mapa final'!$AA$52="Menor"),CONCATENATE("R8C",'Mapa final'!$O$52),"")</f>
        <v/>
      </c>
      <c r="Q23" s="272" t="str">
        <f>IF(AND('Mapa final'!$Y$53="Alta",'Mapa final'!$AA$53="Menor"),CONCATENATE("R8C",'Mapa final'!$O$53),"")</f>
        <v/>
      </c>
      <c r="R23" s="272" t="str">
        <f>IF(AND('Mapa final'!$Y$54="Alta",'Mapa final'!$AA$54="Menor"),CONCATENATE("R8C",'Mapa final'!$O$54),"")</f>
        <v/>
      </c>
      <c r="S23" s="272" t="str">
        <f>IF(AND('Mapa final'!$Y$55="Alta",'Mapa final'!$AA$55="Menor"),CONCATENATE("R8C",'Mapa final'!$O$55),"")</f>
        <v/>
      </c>
      <c r="T23" s="272" t="str">
        <f>IF(AND('Mapa final'!$Y$56="Alta",'Mapa final'!$AA$56="Menor"),CONCATENATE("R8C",'Mapa final'!$O$56),"")</f>
        <v/>
      </c>
      <c r="U23" s="273" t="str">
        <f>IF(AND('Mapa final'!$Y$57="Alta",'Mapa final'!$AA$57="Menor"),CONCATENATE("R8C",'Mapa final'!$O$57),"")</f>
        <v/>
      </c>
      <c r="V23" s="256" t="str">
        <f>IF(AND('Mapa final'!$Y$52="Alta",'Mapa final'!$AA$52="Moderado"),CONCATENATE("R8C",'Mapa final'!$O$52),"")</f>
        <v/>
      </c>
      <c r="W23" s="257" t="str">
        <f>IF(AND('Mapa final'!$Y$53="Alta",'Mapa final'!$AA$53="Moderado"),CONCATENATE("R8C",'Mapa final'!$O$53),"")</f>
        <v/>
      </c>
      <c r="X23" s="257" t="str">
        <f>IF(AND('Mapa final'!$Y$54="Alta",'Mapa final'!$AA$54="Moderado"),CONCATENATE("R8C",'Mapa final'!$O$54),"")</f>
        <v/>
      </c>
      <c r="Y23" s="257" t="str">
        <f>IF(AND('Mapa final'!$Y$55="Alta",'Mapa final'!$AA$55="Moderado"),CONCATENATE("R8C",'Mapa final'!$O$55),"")</f>
        <v/>
      </c>
      <c r="Z23" s="257" t="str">
        <f>IF(AND('Mapa final'!$Y$56="Alta",'Mapa final'!$AA$56="Moderado"),CONCATENATE("R8C",'Mapa final'!$O$56),"")</f>
        <v/>
      </c>
      <c r="AA23" s="258" t="str">
        <f>IF(AND('Mapa final'!$Y$57="Alta",'Mapa final'!$AA$57="Moderado"),CONCATENATE("R8C",'Mapa final'!$O$57),"")</f>
        <v/>
      </c>
      <c r="AB23" s="256" t="str">
        <f>IF(AND('Mapa final'!$Y$52="Alta",'Mapa final'!$AA$52="Mayor"),CONCATENATE("R8C",'Mapa final'!$O$52),"")</f>
        <v/>
      </c>
      <c r="AC23" s="257" t="str">
        <f>IF(AND('Mapa final'!$Y$53="Alta",'Mapa final'!$AA$53="Mayor"),CONCATENATE("R8C",'Mapa final'!$O$53),"")</f>
        <v/>
      </c>
      <c r="AD23" s="257" t="str">
        <f>IF(AND('Mapa final'!$Y$54="Alta",'Mapa final'!$AA$54="Mayor"),CONCATENATE("R8C",'Mapa final'!$O$54),"")</f>
        <v/>
      </c>
      <c r="AE23" s="257" t="str">
        <f>IF(AND('Mapa final'!$Y$55="Alta",'Mapa final'!$AA$55="Mayor"),CONCATENATE("R8C",'Mapa final'!$O$55),"")</f>
        <v/>
      </c>
      <c r="AF23" s="257" t="str">
        <f>IF(AND('Mapa final'!$Y$56="Alta",'Mapa final'!$AA$56="Mayor"),CONCATENATE("R8C",'Mapa final'!$O$56),"")</f>
        <v/>
      </c>
      <c r="AG23" s="258" t="str">
        <f>IF(AND('Mapa final'!$Y$57="Alta",'Mapa final'!$AA$57="Mayor"),CONCATENATE("R8C",'Mapa final'!$O$57),"")</f>
        <v/>
      </c>
      <c r="AH23" s="259" t="str">
        <f>IF(AND('Mapa final'!$Y$52="Alta",'Mapa final'!$AA$52="Catastrófico"),CONCATENATE("R8C",'Mapa final'!$O$52),"")</f>
        <v/>
      </c>
      <c r="AI23" s="260" t="str">
        <f>IF(AND('Mapa final'!$Y$53="Alta",'Mapa final'!$AA$53="Catastrófico"),CONCATENATE("R8C",'Mapa final'!$O$53),"")</f>
        <v/>
      </c>
      <c r="AJ23" s="260" t="str">
        <f>IF(AND('Mapa final'!$Y$54="Alta",'Mapa final'!$AA$54="Catastrófico"),CONCATENATE("R8C",'Mapa final'!$O$54),"")</f>
        <v/>
      </c>
      <c r="AK23" s="260" t="str">
        <f>IF(AND('Mapa final'!$Y$55="Alta",'Mapa final'!$AA$55="Catastrófico"),CONCATENATE("R8C",'Mapa final'!$O$55),"")</f>
        <v/>
      </c>
      <c r="AL23" s="260" t="str">
        <f>IF(AND('Mapa final'!$Y$56="Alta",'Mapa final'!$AA$56="Catastrófico"),CONCATENATE("R8C",'Mapa final'!$O$56),"")</f>
        <v/>
      </c>
      <c r="AM23" s="261" t="str">
        <f>IF(AND('Mapa final'!$Y$57="Alta",'Mapa final'!$AA$57="Catastrófico"),CONCATENATE("R8C",'Mapa final'!$O$57),"")</f>
        <v/>
      </c>
      <c r="AN23" s="15"/>
      <c r="AO23" s="686"/>
      <c r="AP23" s="687"/>
      <c r="AQ23" s="687"/>
      <c r="AR23" s="687"/>
      <c r="AS23" s="687"/>
      <c r="AT23" s="68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78"/>
      <c r="C24" s="578"/>
      <c r="D24" s="579"/>
      <c r="E24" s="667"/>
      <c r="F24" s="668"/>
      <c r="G24" s="668"/>
      <c r="H24" s="668"/>
      <c r="I24" s="668"/>
      <c r="J24" s="271" t="str">
        <f>IF(AND('Mapa final'!$Y$58="Alta",'Mapa final'!$AA$58="Leve"),CONCATENATE("R9C",'Mapa final'!$O$58),"")</f>
        <v/>
      </c>
      <c r="K24" s="272" t="str">
        <f>IF(AND('Mapa final'!$Y$59="Alta",'Mapa final'!$AA$59="Leve"),CONCATENATE("R9C",'Mapa final'!$O$59),"")</f>
        <v/>
      </c>
      <c r="L24" s="272" t="str">
        <f>IF(AND('Mapa final'!$Y$60="Alta",'Mapa final'!$AA$60="Leve"),CONCATENATE("R9C",'Mapa final'!$O$60),"")</f>
        <v/>
      </c>
      <c r="M24" s="272" t="str">
        <f>IF(AND('Mapa final'!$Y$61="Alta",'Mapa final'!$AA$61="Leve"),CONCATENATE("R9C",'Mapa final'!$O$61),"")</f>
        <v/>
      </c>
      <c r="N24" s="272" t="str">
        <f>IF(AND('Mapa final'!$Y$62="Alta",'Mapa final'!$AA$62="Leve"),CONCATENATE("R9C",'Mapa final'!$O$62),"")</f>
        <v/>
      </c>
      <c r="O24" s="273" t="str">
        <f>IF(AND('Mapa final'!$Y$63="Alta",'Mapa final'!$AA$63="Leve"),CONCATENATE("R9C",'Mapa final'!$O$63),"")</f>
        <v/>
      </c>
      <c r="P24" s="271" t="str">
        <f>IF(AND('Mapa final'!$Y$58="Alta",'Mapa final'!$AA$58="Menor"),CONCATENATE("R9C",'Mapa final'!$O$58),"")</f>
        <v/>
      </c>
      <c r="Q24" s="272" t="str">
        <f>IF(AND('Mapa final'!$Y$59="Alta",'Mapa final'!$AA$59="Menor"),CONCATENATE("R9C",'Mapa final'!$O$59),"")</f>
        <v/>
      </c>
      <c r="R24" s="272" t="str">
        <f>IF(AND('Mapa final'!$Y$60="Alta",'Mapa final'!$AA$60="Menor"),CONCATENATE("R9C",'Mapa final'!$O$60),"")</f>
        <v/>
      </c>
      <c r="S24" s="272" t="str">
        <f>IF(AND('Mapa final'!$Y$61="Alta",'Mapa final'!$AA$61="Menor"),CONCATENATE("R9C",'Mapa final'!$O$61),"")</f>
        <v/>
      </c>
      <c r="T24" s="272" t="str">
        <f>IF(AND('Mapa final'!$Y$62="Alta",'Mapa final'!$AA$62="Menor"),CONCATENATE("R9C",'Mapa final'!$O$62),"")</f>
        <v/>
      </c>
      <c r="U24" s="273" t="str">
        <f>IF(AND('Mapa final'!$Y$63="Alta",'Mapa final'!$AA$63="Menor"),CONCATENATE("R9C",'Mapa final'!$O$63),"")</f>
        <v/>
      </c>
      <c r="V24" s="256" t="str">
        <f>IF(AND('Mapa final'!$Y$58="Alta",'Mapa final'!$AA$58="Moderado"),CONCATENATE("R9C",'Mapa final'!$O$58),"")</f>
        <v/>
      </c>
      <c r="W24" s="257" t="str">
        <f>IF(AND('Mapa final'!$Y$59="Alta",'Mapa final'!$AA$59="Moderado"),CONCATENATE("R9C",'Mapa final'!$O$59),"")</f>
        <v/>
      </c>
      <c r="X24" s="257" t="str">
        <f>IF(AND('Mapa final'!$Y$60="Alta",'Mapa final'!$AA$60="Moderado"),CONCATENATE("R9C",'Mapa final'!$O$60),"")</f>
        <v/>
      </c>
      <c r="Y24" s="257" t="str">
        <f>IF(AND('Mapa final'!$Y$61="Alta",'Mapa final'!$AA$61="Moderado"),CONCATENATE("R9C",'Mapa final'!$O$61),"")</f>
        <v/>
      </c>
      <c r="Z24" s="257" t="str">
        <f>IF(AND('Mapa final'!$Y$62="Alta",'Mapa final'!$AA$62="Moderado"),CONCATENATE("R9C",'Mapa final'!$O$62),"")</f>
        <v/>
      </c>
      <c r="AA24" s="258" t="str">
        <f>IF(AND('Mapa final'!$Y$63="Alta",'Mapa final'!$AA$63="Moderado"),CONCATENATE("R9C",'Mapa final'!$O$63),"")</f>
        <v/>
      </c>
      <c r="AB24" s="256" t="str">
        <f>IF(AND('Mapa final'!$Y$58="Alta",'Mapa final'!$AA$58="Mayor"),CONCATENATE("R9C",'Mapa final'!$O$58),"")</f>
        <v/>
      </c>
      <c r="AC24" s="257" t="str">
        <f>IF(AND('Mapa final'!$Y$59="Alta",'Mapa final'!$AA$59="Mayor"),CONCATENATE("R9C",'Mapa final'!$O$59),"")</f>
        <v/>
      </c>
      <c r="AD24" s="257" t="str">
        <f>IF(AND('Mapa final'!$Y$60="Alta",'Mapa final'!$AA$60="Mayor"),CONCATENATE("R9C",'Mapa final'!$O$60),"")</f>
        <v/>
      </c>
      <c r="AE24" s="257" t="str">
        <f>IF(AND('Mapa final'!$Y$61="Alta",'Mapa final'!$AA$61="Mayor"),CONCATENATE("R9C",'Mapa final'!$O$61),"")</f>
        <v/>
      </c>
      <c r="AF24" s="257" t="str">
        <f>IF(AND('Mapa final'!$Y$62="Alta",'Mapa final'!$AA$62="Mayor"),CONCATENATE("R9C",'Mapa final'!$O$62),"")</f>
        <v/>
      </c>
      <c r="AG24" s="258" t="str">
        <f>IF(AND('Mapa final'!$Y$63="Alta",'Mapa final'!$AA$63="Mayor"),CONCATENATE("R9C",'Mapa final'!$O$63),"")</f>
        <v/>
      </c>
      <c r="AH24" s="259" t="str">
        <f>IF(AND('Mapa final'!$Y$58="Alta",'Mapa final'!$AA$58="Catastrófico"),CONCATENATE("R9C",'Mapa final'!$O$58),"")</f>
        <v/>
      </c>
      <c r="AI24" s="260" t="str">
        <f>IF(AND('Mapa final'!$Y$59="Alta",'Mapa final'!$AA$59="Catastrófico"),CONCATENATE("R9C",'Mapa final'!$O$59),"")</f>
        <v/>
      </c>
      <c r="AJ24" s="260" t="str">
        <f>IF(AND('Mapa final'!$Y$60="Alta",'Mapa final'!$AA$60="Catastrófico"),CONCATENATE("R9C",'Mapa final'!$O$60),"")</f>
        <v/>
      </c>
      <c r="AK24" s="260" t="str">
        <f>IF(AND('Mapa final'!$Y$61="Alta",'Mapa final'!$AA$61="Catastrófico"),CONCATENATE("R9C",'Mapa final'!$O$61),"")</f>
        <v/>
      </c>
      <c r="AL24" s="260" t="str">
        <f>IF(AND('Mapa final'!$Y$62="Alta",'Mapa final'!$AA$62="Catastrófico"),CONCATENATE("R9C",'Mapa final'!$O$62),"")</f>
        <v/>
      </c>
      <c r="AM24" s="261" t="str">
        <f>IF(AND('Mapa final'!$Y$63="Alta",'Mapa final'!$AA$63="Catastrófico"),CONCATENATE("R9C",'Mapa final'!$O$63),"")</f>
        <v/>
      </c>
      <c r="AN24" s="15"/>
      <c r="AO24" s="686"/>
      <c r="AP24" s="687"/>
      <c r="AQ24" s="687"/>
      <c r="AR24" s="687"/>
      <c r="AS24" s="687"/>
      <c r="AT24" s="68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78"/>
      <c r="C25" s="578"/>
      <c r="D25" s="579"/>
      <c r="E25" s="670"/>
      <c r="F25" s="671"/>
      <c r="G25" s="671"/>
      <c r="H25" s="671"/>
      <c r="I25" s="671"/>
      <c r="J25" s="274" t="str">
        <f>IF(AND('Mapa final'!$Y$64="Alta",'Mapa final'!$AA$64="Leve"),CONCATENATE("R10C",'Mapa final'!$O$64),"")</f>
        <v/>
      </c>
      <c r="K25" s="275" t="str">
        <f>IF(AND('Mapa final'!$Y$65="Alta",'Mapa final'!$AA$65="Leve"),CONCATENATE("R10C",'Mapa final'!$O$65),"")</f>
        <v/>
      </c>
      <c r="L25" s="275" t="str">
        <f>IF(AND('Mapa final'!$Y$66="Alta",'Mapa final'!$AA$66="Leve"),CONCATENATE("R10C",'Mapa final'!$O$66),"")</f>
        <v/>
      </c>
      <c r="M25" s="275" t="str">
        <f>IF(AND('Mapa final'!$Y$67="Alta",'Mapa final'!$AA$67="Leve"),CONCATENATE("R10C",'Mapa final'!$O$67),"")</f>
        <v/>
      </c>
      <c r="N25" s="275" t="str">
        <f>IF(AND('Mapa final'!$Y$68="Alta",'Mapa final'!$AA$68="Leve"),CONCATENATE("R10C",'Mapa final'!$O$68),"")</f>
        <v/>
      </c>
      <c r="O25" s="276" t="str">
        <f>IF(AND('Mapa final'!$Y$69="Alta",'Mapa final'!$AA$69="Leve"),CONCATENATE("R10C",'Mapa final'!$O$69),"")</f>
        <v/>
      </c>
      <c r="P25" s="274" t="str">
        <f>IF(AND('Mapa final'!$Y$64="Alta",'Mapa final'!$AA$64="Menor"),CONCATENATE("R10C",'Mapa final'!$O$64),"")</f>
        <v/>
      </c>
      <c r="Q25" s="275" t="str">
        <f>IF(AND('Mapa final'!$Y$65="Alta",'Mapa final'!$AA$65="Menor"),CONCATENATE("R10C",'Mapa final'!$O$65),"")</f>
        <v/>
      </c>
      <c r="R25" s="275" t="str">
        <f>IF(AND('Mapa final'!$Y$66="Alta",'Mapa final'!$AA$66="Menor"),CONCATENATE("R10C",'Mapa final'!$O$66),"")</f>
        <v/>
      </c>
      <c r="S25" s="275" t="str">
        <f>IF(AND('Mapa final'!$Y$67="Alta",'Mapa final'!$AA$67="Menor"),CONCATENATE("R10C",'Mapa final'!$O$67),"")</f>
        <v/>
      </c>
      <c r="T25" s="275" t="str">
        <f>IF(AND('Mapa final'!$Y$68="Alta",'Mapa final'!$AA$68="Menor"),CONCATENATE("R10C",'Mapa final'!$O$68),"")</f>
        <v/>
      </c>
      <c r="U25" s="276" t="str">
        <f>IF(AND('Mapa final'!$Y$69="Alta",'Mapa final'!$AA$69="Menor"),CONCATENATE("R10C",'Mapa final'!$O$69),"")</f>
        <v/>
      </c>
      <c r="V25" s="262" t="str">
        <f>IF(AND('Mapa final'!$Y$64="Alta",'Mapa final'!$AA$64="Moderado"),CONCATENATE("R10C",'Mapa final'!$O$64),"")</f>
        <v/>
      </c>
      <c r="W25" s="263" t="str">
        <f>IF(AND('Mapa final'!$Y$65="Alta",'Mapa final'!$AA$65="Moderado"),CONCATENATE("R10C",'Mapa final'!$O$65),"")</f>
        <v/>
      </c>
      <c r="X25" s="263" t="str">
        <f>IF(AND('Mapa final'!$Y$66="Alta",'Mapa final'!$AA$66="Moderado"),CONCATENATE("R10C",'Mapa final'!$O$66),"")</f>
        <v/>
      </c>
      <c r="Y25" s="263" t="str">
        <f>IF(AND('Mapa final'!$Y$67="Alta",'Mapa final'!$AA$67="Moderado"),CONCATENATE("R10C",'Mapa final'!$O$67),"")</f>
        <v/>
      </c>
      <c r="Z25" s="263" t="str">
        <f>IF(AND('Mapa final'!$Y$68="Alta",'Mapa final'!$AA$68="Moderado"),CONCATENATE("R10C",'Mapa final'!$O$68),"")</f>
        <v/>
      </c>
      <c r="AA25" s="264" t="str">
        <f>IF(AND('Mapa final'!$Y$69="Alta",'Mapa final'!$AA$69="Moderado"),CONCATENATE("R10C",'Mapa final'!$O$69),"")</f>
        <v/>
      </c>
      <c r="AB25" s="262" t="str">
        <f>IF(AND('Mapa final'!$Y$64="Alta",'Mapa final'!$AA$64="Mayor"),CONCATENATE("R10C",'Mapa final'!$O$64),"")</f>
        <v/>
      </c>
      <c r="AC25" s="263" t="str">
        <f>IF(AND('Mapa final'!$Y$65="Alta",'Mapa final'!$AA$65="Mayor"),CONCATENATE("R10C",'Mapa final'!$O$65),"")</f>
        <v/>
      </c>
      <c r="AD25" s="263" t="str">
        <f>IF(AND('Mapa final'!$Y$66="Alta",'Mapa final'!$AA$66="Mayor"),CONCATENATE("R10C",'Mapa final'!$O$66),"")</f>
        <v/>
      </c>
      <c r="AE25" s="263" t="str">
        <f>IF(AND('Mapa final'!$Y$67="Alta",'Mapa final'!$AA$67="Mayor"),CONCATENATE("R10C",'Mapa final'!$O$67),"")</f>
        <v/>
      </c>
      <c r="AF25" s="263" t="str">
        <f>IF(AND('Mapa final'!$Y$68="Alta",'Mapa final'!$AA$68="Mayor"),CONCATENATE("R10C",'Mapa final'!$O$68),"")</f>
        <v/>
      </c>
      <c r="AG25" s="264" t="str">
        <f>IF(AND('Mapa final'!$Y$69="Alta",'Mapa final'!$AA$69="Mayor"),CONCATENATE("R10C",'Mapa final'!$O$69),"")</f>
        <v/>
      </c>
      <c r="AH25" s="265" t="str">
        <f>IF(AND('Mapa final'!$Y$64="Alta",'Mapa final'!$AA$64="Catastrófico"),CONCATENATE("R10C",'Mapa final'!$O$64),"")</f>
        <v/>
      </c>
      <c r="AI25" s="266" t="str">
        <f>IF(AND('Mapa final'!$Y$65="Alta",'Mapa final'!$AA$65="Catastrófico"),CONCATENATE("R10C",'Mapa final'!$O$65),"")</f>
        <v/>
      </c>
      <c r="AJ25" s="266" t="str">
        <f>IF(AND('Mapa final'!$Y$66="Alta",'Mapa final'!$AA$66="Catastrófico"),CONCATENATE("R10C",'Mapa final'!$O$66),"")</f>
        <v/>
      </c>
      <c r="AK25" s="266" t="str">
        <f>IF(AND('Mapa final'!$Y$67="Alta",'Mapa final'!$AA$67="Catastrófico"),CONCATENATE("R10C",'Mapa final'!$O$67),"")</f>
        <v/>
      </c>
      <c r="AL25" s="266" t="str">
        <f>IF(AND('Mapa final'!$Y$68="Alta",'Mapa final'!$AA$68="Catastrófico"),CONCATENATE("R10C",'Mapa final'!$O$68),"")</f>
        <v/>
      </c>
      <c r="AM25" s="267" t="str">
        <f>IF(AND('Mapa final'!$Y$69="Alta",'Mapa final'!$AA$69="Catastrófico"),CONCATENATE("R10C",'Mapa final'!$O$69),"")</f>
        <v/>
      </c>
      <c r="AN25" s="15"/>
      <c r="AO25" s="689"/>
      <c r="AP25" s="690"/>
      <c r="AQ25" s="690"/>
      <c r="AR25" s="690"/>
      <c r="AS25" s="690"/>
      <c r="AT25" s="69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78"/>
      <c r="C26" s="578"/>
      <c r="D26" s="579"/>
      <c r="E26" s="664" t="s">
        <v>1058</v>
      </c>
      <c r="F26" s="665"/>
      <c r="G26" s="665"/>
      <c r="H26" s="665"/>
      <c r="I26" s="666"/>
      <c r="J26" s="268" t="str">
        <f>IF(AND('Mapa final'!$Y$10="Media",'Mapa final'!$AA$10="Leve"),CONCATENATE("R1C",'Mapa final'!$O$10),"")</f>
        <v/>
      </c>
      <c r="K26" s="269" t="str">
        <f>IF(AND('Mapa final'!$Y$11="Media",'Mapa final'!$AA$11="Leve"),CONCATENATE("R1C",'Mapa final'!$O$11),"")</f>
        <v/>
      </c>
      <c r="L26" s="269" t="str">
        <f>IF(AND('Mapa final'!$Y$12="Media",'Mapa final'!$AA$12="Leve"),CONCATENATE("R1C",'Mapa final'!$O$12),"")</f>
        <v/>
      </c>
      <c r="M26" s="269" t="str">
        <f>IF(AND('Mapa final'!$Y$13="Media",'Mapa final'!$AA$13="Leve"),CONCATENATE("R1C",'Mapa final'!$O$13),"")</f>
        <v/>
      </c>
      <c r="N26" s="269" t="str">
        <f>IF(AND('Mapa final'!$Y$14="Media",'Mapa final'!$AA$14="Leve"),CONCATENATE("R1C",'Mapa final'!$O$14),"")</f>
        <v/>
      </c>
      <c r="O26" s="270" t="str">
        <f>IF(AND('Mapa final'!$Y$15="Media",'Mapa final'!$AA$15="Leve"),CONCATENATE("R1C",'Mapa final'!$O$15),"")</f>
        <v/>
      </c>
      <c r="P26" s="268" t="str">
        <f>IF(AND('Mapa final'!$Y$10="Media",'Mapa final'!$AA$10="Menor"),CONCATENATE("R1C",'Mapa final'!$O$10),"")</f>
        <v/>
      </c>
      <c r="Q26" s="269" t="str">
        <f>IF(AND('Mapa final'!$Y$11="Media",'Mapa final'!$AA$11="Menor"),CONCATENATE("R1C",'Mapa final'!$O$11),"")</f>
        <v/>
      </c>
      <c r="R26" s="269" t="str">
        <f>IF(AND('Mapa final'!$Y$12="Media",'Mapa final'!$AA$12="Menor"),CONCATENATE("R1C",'Mapa final'!$O$12),"")</f>
        <v/>
      </c>
      <c r="S26" s="269" t="str">
        <f>IF(AND('Mapa final'!$Y$13="Media",'Mapa final'!$AA$13="Menor"),CONCATENATE("R1C",'Mapa final'!$O$13),"")</f>
        <v/>
      </c>
      <c r="T26" s="269" t="str">
        <f>IF(AND('Mapa final'!$Y$14="Media",'Mapa final'!$AA$14="Menor"),CONCATENATE("R1C",'Mapa final'!$O$14),"")</f>
        <v/>
      </c>
      <c r="U26" s="270" t="str">
        <f>IF(AND('Mapa final'!$Y$15="Media",'Mapa final'!$AA$15="Menor"),CONCATENATE("R1C",'Mapa final'!$O$15),"")</f>
        <v/>
      </c>
      <c r="V26" s="268" t="str">
        <f>IF(AND('Mapa final'!$Y$10="Media",'Mapa final'!$AA$10="Moderado"),CONCATENATE("R1C",'Mapa final'!$O$10),"")</f>
        <v/>
      </c>
      <c r="W26" s="269" t="str">
        <f>IF(AND('Mapa final'!$Y$11="Media",'Mapa final'!$AA$11="Moderado"),CONCATENATE("R1C",'Mapa final'!$O$11),"")</f>
        <v/>
      </c>
      <c r="X26" s="269" t="str">
        <f>IF(AND('Mapa final'!$Y$12="Media",'Mapa final'!$AA$12="Moderado"),CONCATENATE("R1C",'Mapa final'!$O$12),"")</f>
        <v/>
      </c>
      <c r="Y26" s="269" t="str">
        <f>IF(AND('Mapa final'!$Y$13="Media",'Mapa final'!$AA$13="Moderado"),CONCATENATE("R1C",'Mapa final'!$O$13),"")</f>
        <v/>
      </c>
      <c r="Z26" s="269" t="str">
        <f>IF(AND('Mapa final'!$Y$14="Media",'Mapa final'!$AA$14="Moderado"),CONCATENATE("R1C",'Mapa final'!$O$14),"")</f>
        <v/>
      </c>
      <c r="AA26" s="270" t="str">
        <f>IF(AND('Mapa final'!$Y$15="Media",'Mapa final'!$AA$15="Moderado"),CONCATENATE("R1C",'Mapa final'!$O$15),"")</f>
        <v/>
      </c>
      <c r="AB26" s="250" t="str">
        <f>IF(AND('Mapa final'!$Y$10="Media",'Mapa final'!$AA$10="Mayor"),CONCATENATE("R1C",'Mapa final'!$O$10),"")</f>
        <v/>
      </c>
      <c r="AC26" s="251" t="str">
        <f>IF(AND('Mapa final'!$Y$11="Media",'Mapa final'!$AA$11="Mayor"),CONCATENATE("R1C",'Mapa final'!$O$11),"")</f>
        <v/>
      </c>
      <c r="AD26" s="251" t="str">
        <f>IF(AND('Mapa final'!$Y$12="Media",'Mapa final'!$AA$12="Mayor"),CONCATENATE("R1C",'Mapa final'!$O$12),"")</f>
        <v/>
      </c>
      <c r="AE26" s="251" t="str">
        <f>IF(AND('Mapa final'!$Y$13="Media",'Mapa final'!$AA$13="Mayor"),CONCATENATE("R1C",'Mapa final'!$O$13),"")</f>
        <v/>
      </c>
      <c r="AF26" s="251" t="str">
        <f>IF(AND('Mapa final'!$Y$14="Media",'Mapa final'!$AA$14="Mayor"),CONCATENATE("R1C",'Mapa final'!$O$14),"")</f>
        <v/>
      </c>
      <c r="AG26" s="252" t="str">
        <f>IF(AND('Mapa final'!$Y$15="Media",'Mapa final'!$AA$15="Mayor"),CONCATENATE("R1C",'Mapa final'!$O$15),"")</f>
        <v/>
      </c>
      <c r="AH26" s="253" t="str">
        <f>IF(AND('Mapa final'!$Y$10="Media",'Mapa final'!$AA$10="Catastrófico"),CONCATENATE("R1C",'Mapa final'!$O$10),"")</f>
        <v/>
      </c>
      <c r="AI26" s="254" t="str">
        <f>IF(AND('Mapa final'!$Y$11="Media",'Mapa final'!$AA$11="Catastrófico"),CONCATENATE("R1C",'Mapa final'!$O$11),"")</f>
        <v/>
      </c>
      <c r="AJ26" s="254" t="str">
        <f>IF(AND('Mapa final'!$Y$12="Media",'Mapa final'!$AA$12="Catastrófico"),CONCATENATE("R1C",'Mapa final'!$O$12),"")</f>
        <v/>
      </c>
      <c r="AK26" s="254" t="str">
        <f>IF(AND('Mapa final'!$Y$13="Media",'Mapa final'!$AA$13="Catastrófico"),CONCATENATE("R1C",'Mapa final'!$O$13),"")</f>
        <v/>
      </c>
      <c r="AL26" s="254" t="str">
        <f>IF(AND('Mapa final'!$Y$14="Media",'Mapa final'!$AA$14="Catastrófico"),CONCATENATE("R1C",'Mapa final'!$O$14),"")</f>
        <v/>
      </c>
      <c r="AM26" s="255" t="str">
        <f>IF(AND('Mapa final'!$Y$15="Media",'Mapa final'!$AA$15="Catastrófico"),CONCATENATE("R1C",'Mapa final'!$O$15),"")</f>
        <v/>
      </c>
      <c r="AN26" s="15"/>
      <c r="AO26" s="692" t="s">
        <v>9</v>
      </c>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78"/>
      <c r="C27" s="578"/>
      <c r="D27" s="579"/>
      <c r="E27" s="682"/>
      <c r="F27" s="668"/>
      <c r="G27" s="668"/>
      <c r="H27" s="668"/>
      <c r="I27" s="669"/>
      <c r="J27" s="271" t="str">
        <f>IF(AND('Mapa final'!$Y$16="Media",'Mapa final'!$AA$16="Leve"),CONCATENATE("R2C",'Mapa final'!$O$16),"")</f>
        <v/>
      </c>
      <c r="K27" s="272" t="str">
        <f>IF(AND('Mapa final'!$Y$17="Media",'Mapa final'!$AA$17="Leve"),CONCATENATE("R2C",'Mapa final'!$O$17),"")</f>
        <v/>
      </c>
      <c r="L27" s="272" t="str">
        <f>IF(AND('Mapa final'!$Y$18="Media",'Mapa final'!$AA$18="Leve"),CONCATENATE("R2C",'Mapa final'!$O$18),"")</f>
        <v/>
      </c>
      <c r="M27" s="272" t="str">
        <f>IF(AND('Mapa final'!$Y$19="Media",'Mapa final'!$AA$19="Leve"),CONCATENATE("R2C",'Mapa final'!$O$19),"")</f>
        <v/>
      </c>
      <c r="N27" s="272" t="str">
        <f>IF(AND('Mapa final'!$Y$20="Media",'Mapa final'!$AA$20="Leve"),CONCATENATE("R2C",'Mapa final'!$O$20),"")</f>
        <v/>
      </c>
      <c r="O27" s="273" t="str">
        <f>IF(AND('Mapa final'!$Y$21="Media",'Mapa final'!$AA$21="Leve"),CONCATENATE("R2C",'Mapa final'!$O$21),"")</f>
        <v/>
      </c>
      <c r="P27" s="271" t="str">
        <f>IF(AND('Mapa final'!$Y$16="Media",'Mapa final'!$AA$16="Menor"),CONCATENATE("R2C",'Mapa final'!$O$16),"")</f>
        <v/>
      </c>
      <c r="Q27" s="272" t="str">
        <f>IF(AND('Mapa final'!$Y$17="Media",'Mapa final'!$AA$17="Menor"),CONCATENATE("R2C",'Mapa final'!$O$17),"")</f>
        <v/>
      </c>
      <c r="R27" s="272" t="str">
        <f>IF(AND('Mapa final'!$Y$18="Media",'Mapa final'!$AA$18="Menor"),CONCATENATE("R2C",'Mapa final'!$O$18),"")</f>
        <v/>
      </c>
      <c r="S27" s="272" t="str">
        <f>IF(AND('Mapa final'!$Y$19="Media",'Mapa final'!$AA$19="Menor"),CONCATENATE("R2C",'Mapa final'!$O$19),"")</f>
        <v/>
      </c>
      <c r="T27" s="272" t="str">
        <f>IF(AND('Mapa final'!$Y$20="Media",'Mapa final'!$AA$20="Menor"),CONCATENATE("R2C",'Mapa final'!$O$20),"")</f>
        <v/>
      </c>
      <c r="U27" s="273" t="str">
        <f>IF(AND('Mapa final'!$Y$21="Media",'Mapa final'!$AA$21="Menor"),CONCATENATE("R2C",'Mapa final'!$O$21),"")</f>
        <v/>
      </c>
      <c r="V27" s="271" t="str">
        <f>IF(AND('Mapa final'!$Y$16="Media",'Mapa final'!$AA$16="Moderado"),CONCATENATE("R2C",'Mapa final'!$O$16),"")</f>
        <v/>
      </c>
      <c r="W27" s="272" t="str">
        <f>IF(AND('Mapa final'!$Y$17="Media",'Mapa final'!$AA$17="Moderado"),CONCATENATE("R2C",'Mapa final'!$O$17),"")</f>
        <v/>
      </c>
      <c r="X27" s="272" t="str">
        <f>IF(AND('Mapa final'!$Y$18="Media",'Mapa final'!$AA$18="Moderado"),CONCATENATE("R2C",'Mapa final'!$O$18),"")</f>
        <v/>
      </c>
      <c r="Y27" s="272" t="str">
        <f>IF(AND('Mapa final'!$Y$19="Media",'Mapa final'!$AA$19="Moderado"),CONCATENATE("R2C",'Mapa final'!$O$19),"")</f>
        <v/>
      </c>
      <c r="Z27" s="272" t="str">
        <f>IF(AND('Mapa final'!$Y$20="Media",'Mapa final'!$AA$20="Moderado"),CONCATENATE("R2C",'Mapa final'!$O$20),"")</f>
        <v/>
      </c>
      <c r="AA27" s="273" t="str">
        <f>IF(AND('Mapa final'!$Y$21="Media",'Mapa final'!$AA$21="Moderado"),CONCATENATE("R2C",'Mapa final'!$O$21),"")</f>
        <v/>
      </c>
      <c r="AB27" s="256" t="str">
        <f>IF(AND('Mapa final'!$Y$16="Media",'Mapa final'!$AA$16="Mayor"),CONCATENATE("R2C",'Mapa final'!$O$16),"")</f>
        <v/>
      </c>
      <c r="AC27" s="257" t="str">
        <f>IF(AND('Mapa final'!$Y$17="Media",'Mapa final'!$AA$17="Mayor"),CONCATENATE("R2C",'Mapa final'!$O$17),"")</f>
        <v/>
      </c>
      <c r="AD27" s="257" t="str">
        <f>IF(AND('Mapa final'!$Y$18="Media",'Mapa final'!$AA$18="Mayor"),CONCATENATE("R2C",'Mapa final'!$O$18),"")</f>
        <v/>
      </c>
      <c r="AE27" s="257" t="str">
        <f>IF(AND('Mapa final'!$Y$19="Media",'Mapa final'!$AA$19="Mayor"),CONCATENATE("R2C",'Mapa final'!$O$19),"")</f>
        <v/>
      </c>
      <c r="AF27" s="257" t="str">
        <f>IF(AND('Mapa final'!$Y$20="Media",'Mapa final'!$AA$20="Mayor"),CONCATENATE("R2C",'Mapa final'!$O$20),"")</f>
        <v/>
      </c>
      <c r="AG27" s="258" t="str">
        <f>IF(AND('Mapa final'!$Y$21="Media",'Mapa final'!$AA$21="Mayor"),CONCATENATE("R2C",'Mapa final'!$O$21),"")</f>
        <v/>
      </c>
      <c r="AH27" s="259" t="str">
        <f>IF(AND('Mapa final'!$Y$16="Media",'Mapa final'!$AA$16="Catastrófico"),CONCATENATE("R2C",'Mapa final'!$O$16),"")</f>
        <v/>
      </c>
      <c r="AI27" s="260" t="str">
        <f>IF(AND('Mapa final'!$Y$17="Media",'Mapa final'!$AA$17="Catastrófico"),CONCATENATE("R2C",'Mapa final'!$O$17),"")</f>
        <v/>
      </c>
      <c r="AJ27" s="260" t="str">
        <f>IF(AND('Mapa final'!$Y$18="Media",'Mapa final'!$AA$18="Catastrófico"),CONCATENATE("R2C",'Mapa final'!$O$18),"")</f>
        <v/>
      </c>
      <c r="AK27" s="260" t="str">
        <f>IF(AND('Mapa final'!$Y$19="Media",'Mapa final'!$AA$19="Catastrófico"),CONCATENATE("R2C",'Mapa final'!$O$19),"")</f>
        <v/>
      </c>
      <c r="AL27" s="260" t="str">
        <f>IF(AND('Mapa final'!$Y$20="Media",'Mapa final'!$AA$20="Catastrófico"),CONCATENATE("R2C",'Mapa final'!$O$20),"")</f>
        <v/>
      </c>
      <c r="AM27" s="261" t="str">
        <f>IF(AND('Mapa final'!$Y$21="Media",'Mapa final'!$AA$21="Catastrófico"),CONCATENATE("R2C",'Mapa final'!$O$21),"")</f>
        <v/>
      </c>
      <c r="AN27" s="15"/>
      <c r="AO27" s="695"/>
      <c r="AP27" s="696"/>
      <c r="AQ27" s="696"/>
      <c r="AR27" s="696"/>
      <c r="AS27" s="696"/>
      <c r="AT27" s="69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78"/>
      <c r="C28" s="578"/>
      <c r="D28" s="579"/>
      <c r="E28" s="667"/>
      <c r="F28" s="668"/>
      <c r="G28" s="668"/>
      <c r="H28" s="668"/>
      <c r="I28" s="669"/>
      <c r="J28" s="271" t="str">
        <f>IF(AND('Mapa final'!$Y$22="Media",'Mapa final'!$AA$22="Leve"),CONCATENATE("R3C",'Mapa final'!$O$22),"")</f>
        <v/>
      </c>
      <c r="K28" s="272" t="str">
        <f>IF(AND('Mapa final'!$Y$23="Media",'Mapa final'!$AA$23="Leve"),CONCATENATE("R3C",'Mapa final'!$O$23),"")</f>
        <v/>
      </c>
      <c r="L28" s="272" t="str">
        <f>IF(AND('Mapa final'!$Y$24="Media",'Mapa final'!$AA$24="Leve"),CONCATENATE("R3C",'Mapa final'!$O$24),"")</f>
        <v/>
      </c>
      <c r="M28" s="272" t="str">
        <f>IF(AND('Mapa final'!$Y$25="Media",'Mapa final'!$AA$25="Leve"),CONCATENATE("R3C",'Mapa final'!$O$25),"")</f>
        <v/>
      </c>
      <c r="N28" s="272" t="str">
        <f>IF(AND('Mapa final'!$Y$26="Media",'Mapa final'!$AA$26="Leve"),CONCATENATE("R3C",'Mapa final'!$O$26),"")</f>
        <v/>
      </c>
      <c r="O28" s="273" t="str">
        <f>IF(AND('Mapa final'!$Y$27="Media",'Mapa final'!$AA$27="Leve"),CONCATENATE("R3C",'Mapa final'!$O$27),"")</f>
        <v/>
      </c>
      <c r="P28" s="271" t="str">
        <f>IF(AND('Mapa final'!$Y$22="Media",'Mapa final'!$AA$22="Menor"),CONCATENATE("R3C",'Mapa final'!$O$22),"")</f>
        <v/>
      </c>
      <c r="Q28" s="272" t="str">
        <f>IF(AND('Mapa final'!$Y$23="Media",'Mapa final'!$AA$23="Menor"),CONCATENATE("R3C",'Mapa final'!$O$23),"")</f>
        <v/>
      </c>
      <c r="R28" s="272" t="str">
        <f>IF(AND('Mapa final'!$Y$24="Media",'Mapa final'!$AA$24="Menor"),CONCATENATE("R3C",'Mapa final'!$O$24),"")</f>
        <v/>
      </c>
      <c r="S28" s="272" t="str">
        <f>IF(AND('Mapa final'!$Y$25="Media",'Mapa final'!$AA$25="Menor"),CONCATENATE("R3C",'Mapa final'!$O$25),"")</f>
        <v/>
      </c>
      <c r="T28" s="272" t="str">
        <f>IF(AND('Mapa final'!$Y$26="Media",'Mapa final'!$AA$26="Menor"),CONCATENATE("R3C",'Mapa final'!$O$26),"")</f>
        <v/>
      </c>
      <c r="U28" s="273" t="str">
        <f>IF(AND('Mapa final'!$Y$27="Media",'Mapa final'!$AA$27="Menor"),CONCATENATE("R3C",'Mapa final'!$O$27),"")</f>
        <v/>
      </c>
      <c r="V28" s="271" t="str">
        <f>IF(AND('Mapa final'!$Y$22="Media",'Mapa final'!$AA$22="Moderado"),CONCATENATE("R3C",'Mapa final'!$O$22),"")</f>
        <v/>
      </c>
      <c r="W28" s="272" t="str">
        <f>IF(AND('Mapa final'!$Y$23="Media",'Mapa final'!$AA$23="Moderado"),CONCATENATE("R3C",'Mapa final'!$O$23),"")</f>
        <v/>
      </c>
      <c r="X28" s="272" t="str">
        <f>IF(AND('Mapa final'!$Y$24="Media",'Mapa final'!$AA$24="Moderado"),CONCATENATE("R3C",'Mapa final'!$O$24),"")</f>
        <v/>
      </c>
      <c r="Y28" s="272" t="str">
        <f>IF(AND('Mapa final'!$Y$25="Media",'Mapa final'!$AA$25="Moderado"),CONCATENATE("R3C",'Mapa final'!$O$25),"")</f>
        <v/>
      </c>
      <c r="Z28" s="272" t="str">
        <f>IF(AND('Mapa final'!$Y$26="Media",'Mapa final'!$AA$26="Moderado"),CONCATENATE("R3C",'Mapa final'!$O$26),"")</f>
        <v/>
      </c>
      <c r="AA28" s="273" t="str">
        <f>IF(AND('Mapa final'!$Y$27="Media",'Mapa final'!$AA$27="Moderado"),CONCATENATE("R3C",'Mapa final'!$O$27),"")</f>
        <v/>
      </c>
      <c r="AB28" s="256" t="str">
        <f>IF(AND('Mapa final'!$Y$22="Media",'Mapa final'!$AA$22="Mayor"),CONCATENATE("R3C",'Mapa final'!$O$22),"")</f>
        <v/>
      </c>
      <c r="AC28" s="257" t="str">
        <f>IF(AND('Mapa final'!$Y$23="Media",'Mapa final'!$AA$23="Mayor"),CONCATENATE("R3C",'Mapa final'!$O$23),"")</f>
        <v/>
      </c>
      <c r="AD28" s="257" t="str">
        <f>IF(AND('Mapa final'!$Y$24="Media",'Mapa final'!$AA$24="Mayor"),CONCATENATE("R3C",'Mapa final'!$O$24),"")</f>
        <v/>
      </c>
      <c r="AE28" s="257" t="str">
        <f>IF(AND('Mapa final'!$Y$25="Media",'Mapa final'!$AA$25="Mayor"),CONCATENATE("R3C",'Mapa final'!$O$25),"")</f>
        <v/>
      </c>
      <c r="AF28" s="257" t="str">
        <f>IF(AND('Mapa final'!$Y$26="Media",'Mapa final'!$AA$26="Mayor"),CONCATENATE("R3C",'Mapa final'!$O$26),"")</f>
        <v/>
      </c>
      <c r="AG28" s="258" t="str">
        <f>IF(AND('Mapa final'!$Y$27="Media",'Mapa final'!$AA$27="Mayor"),CONCATENATE("R3C",'Mapa final'!$O$27),"")</f>
        <v/>
      </c>
      <c r="AH28" s="259" t="str">
        <f>IF(AND('Mapa final'!$Y$22="Media",'Mapa final'!$AA$22="Catastrófico"),CONCATENATE("R3C",'Mapa final'!$O$22),"")</f>
        <v/>
      </c>
      <c r="AI28" s="260" t="str">
        <f>IF(AND('Mapa final'!$Y$23="Media",'Mapa final'!$AA$23="Catastrófico"),CONCATENATE("R3C",'Mapa final'!$O$23),"")</f>
        <v/>
      </c>
      <c r="AJ28" s="260" t="str">
        <f>IF(AND('Mapa final'!$Y$24="Media",'Mapa final'!$AA$24="Catastrófico"),CONCATENATE("R3C",'Mapa final'!$O$24),"")</f>
        <v/>
      </c>
      <c r="AK28" s="260" t="str">
        <f>IF(AND('Mapa final'!$Y$25="Media",'Mapa final'!$AA$25="Catastrófico"),CONCATENATE("R3C",'Mapa final'!$O$25),"")</f>
        <v/>
      </c>
      <c r="AL28" s="260" t="str">
        <f>IF(AND('Mapa final'!$Y$26="Media",'Mapa final'!$AA$26="Catastrófico"),CONCATENATE("R3C",'Mapa final'!$O$26),"")</f>
        <v/>
      </c>
      <c r="AM28" s="261" t="str">
        <f>IF(AND('Mapa final'!$Y$27="Media",'Mapa final'!$AA$27="Catastrófico"),CONCATENATE("R3C",'Mapa final'!$O$27),"")</f>
        <v/>
      </c>
      <c r="AN28" s="15"/>
      <c r="AO28" s="695"/>
      <c r="AP28" s="696"/>
      <c r="AQ28" s="696"/>
      <c r="AR28" s="696"/>
      <c r="AS28" s="696"/>
      <c r="AT28" s="69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78"/>
      <c r="C29" s="578"/>
      <c r="D29" s="579"/>
      <c r="E29" s="667"/>
      <c r="F29" s="668"/>
      <c r="G29" s="668"/>
      <c r="H29" s="668"/>
      <c r="I29" s="669"/>
      <c r="J29" s="271" t="str">
        <f>IF(AND('Mapa final'!$Y$28="Media",'Mapa final'!$AA$28="Leve"),CONCATENATE("R4C",'Mapa final'!$O$28),"")</f>
        <v/>
      </c>
      <c r="K29" s="272" t="str">
        <f>IF(AND('Mapa final'!$Y$29="Media",'Mapa final'!$AA$29="Leve"),CONCATENATE("R4C",'Mapa final'!$O$29),"")</f>
        <v/>
      </c>
      <c r="L29" s="272" t="str">
        <f>IF(AND('Mapa final'!$Y$30="Media",'Mapa final'!$AA$30="Leve"),CONCATENATE("R4C",'Mapa final'!$O$30),"")</f>
        <v/>
      </c>
      <c r="M29" s="272" t="str">
        <f>IF(AND('Mapa final'!$Y$31="Media",'Mapa final'!$AA$31="Leve"),CONCATENATE("R4C",'Mapa final'!$O$31),"")</f>
        <v/>
      </c>
      <c r="N29" s="272" t="str">
        <f>IF(AND('Mapa final'!$Y$32="Media",'Mapa final'!$AA$32="Leve"),CONCATENATE("R4C",'Mapa final'!$O$32),"")</f>
        <v/>
      </c>
      <c r="O29" s="273" t="str">
        <f>IF(AND('Mapa final'!$Y$33="Media",'Mapa final'!$AA$33="Leve"),CONCATENATE("R4C",'Mapa final'!$O$33),"")</f>
        <v/>
      </c>
      <c r="P29" s="271" t="str">
        <f>IF(AND('Mapa final'!$Y$28="Media",'Mapa final'!$AA$28="Menor"),CONCATENATE("R4C",'Mapa final'!$O$28),"")</f>
        <v/>
      </c>
      <c r="Q29" s="272" t="str">
        <f>IF(AND('Mapa final'!$Y$29="Media",'Mapa final'!$AA$29="Menor"),CONCATENATE("R4C",'Mapa final'!$O$29),"")</f>
        <v/>
      </c>
      <c r="R29" s="272" t="str">
        <f>IF(AND('Mapa final'!$Y$30="Media",'Mapa final'!$AA$30="Menor"),CONCATENATE("R4C",'Mapa final'!$O$30),"")</f>
        <v/>
      </c>
      <c r="S29" s="272" t="str">
        <f>IF(AND('Mapa final'!$Y$31="Media",'Mapa final'!$AA$31="Menor"),CONCATENATE("R4C",'Mapa final'!$O$31),"")</f>
        <v/>
      </c>
      <c r="T29" s="272" t="str">
        <f>IF(AND('Mapa final'!$Y$32="Media",'Mapa final'!$AA$32="Menor"),CONCATENATE("R4C",'Mapa final'!$O$32),"")</f>
        <v/>
      </c>
      <c r="U29" s="273" t="str">
        <f>IF(AND('Mapa final'!$Y$33="Media",'Mapa final'!$AA$33="Menor"),CONCATENATE("R4C",'Mapa final'!$O$33),"")</f>
        <v/>
      </c>
      <c r="V29" s="271" t="str">
        <f>IF(AND('Mapa final'!$Y$28="Media",'Mapa final'!$AA$28="Moderado"),CONCATENATE("R4C",'Mapa final'!$O$28),"")</f>
        <v/>
      </c>
      <c r="W29" s="272" t="str">
        <f>IF(AND('Mapa final'!$Y$29="Media",'Mapa final'!$AA$29="Moderado"),CONCATENATE("R4C",'Mapa final'!$O$29),"")</f>
        <v/>
      </c>
      <c r="X29" s="272" t="str">
        <f>IF(AND('Mapa final'!$Y$30="Media",'Mapa final'!$AA$30="Moderado"),CONCATENATE("R4C",'Mapa final'!$O$30),"")</f>
        <v/>
      </c>
      <c r="Y29" s="272" t="str">
        <f>IF(AND('Mapa final'!$Y$31="Media",'Mapa final'!$AA$31="Moderado"),CONCATENATE("R4C",'Mapa final'!$O$31),"")</f>
        <v/>
      </c>
      <c r="Z29" s="272" t="str">
        <f>IF(AND('Mapa final'!$Y$32="Media",'Mapa final'!$AA$32="Moderado"),CONCATENATE("R4C",'Mapa final'!$O$32),"")</f>
        <v/>
      </c>
      <c r="AA29" s="273" t="str">
        <f>IF(AND('Mapa final'!$Y$33="Media",'Mapa final'!$AA$33="Moderado"),CONCATENATE("R4C",'Mapa final'!$O$33),"")</f>
        <v/>
      </c>
      <c r="AB29" s="256" t="str">
        <f>IF(AND('Mapa final'!$Y$28="Media",'Mapa final'!$AA$28="Mayor"),CONCATENATE("R4C",'Mapa final'!$O$28),"")</f>
        <v/>
      </c>
      <c r="AC29" s="257" t="str">
        <f>IF(AND('Mapa final'!$Y$29="Media",'Mapa final'!$AA$29="Mayor"),CONCATENATE("R4C",'Mapa final'!$O$29),"")</f>
        <v/>
      </c>
      <c r="AD29" s="257" t="str">
        <f>IF(AND('Mapa final'!$Y$30="Media",'Mapa final'!$AA$30="Mayor"),CONCATENATE("R4C",'Mapa final'!$O$30),"")</f>
        <v/>
      </c>
      <c r="AE29" s="257" t="str">
        <f>IF(AND('Mapa final'!$Y$31="Media",'Mapa final'!$AA$31="Mayor"),CONCATENATE("R4C",'Mapa final'!$O$31),"")</f>
        <v/>
      </c>
      <c r="AF29" s="257" t="str">
        <f>IF(AND('Mapa final'!$Y$32="Media",'Mapa final'!$AA$32="Mayor"),CONCATENATE("R4C",'Mapa final'!$O$32),"")</f>
        <v/>
      </c>
      <c r="AG29" s="258" t="str">
        <f>IF(AND('Mapa final'!$Y$33="Media",'Mapa final'!$AA$33="Mayor"),CONCATENATE("R4C",'Mapa final'!$O$33),"")</f>
        <v/>
      </c>
      <c r="AH29" s="259" t="str">
        <f>IF(AND('Mapa final'!$Y$28="Media",'Mapa final'!$AA$28="Catastrófico"),CONCATENATE("R4C",'Mapa final'!$O$28),"")</f>
        <v/>
      </c>
      <c r="AI29" s="260" t="str">
        <f>IF(AND('Mapa final'!$Y$29="Media",'Mapa final'!$AA$29="Catastrófico"),CONCATENATE("R4C",'Mapa final'!$O$29),"")</f>
        <v/>
      </c>
      <c r="AJ29" s="260" t="str">
        <f>IF(AND('Mapa final'!$Y$30="Media",'Mapa final'!$AA$30="Catastrófico"),CONCATENATE("R4C",'Mapa final'!$O$30),"")</f>
        <v/>
      </c>
      <c r="AK29" s="260" t="str">
        <f>IF(AND('Mapa final'!$Y$31="Media",'Mapa final'!$AA$31="Catastrófico"),CONCATENATE("R4C",'Mapa final'!$O$31),"")</f>
        <v/>
      </c>
      <c r="AL29" s="260" t="str">
        <f>IF(AND('Mapa final'!$Y$32="Media",'Mapa final'!$AA$32="Catastrófico"),CONCATENATE("R4C",'Mapa final'!$O$32),"")</f>
        <v/>
      </c>
      <c r="AM29" s="261" t="str">
        <f>IF(AND('Mapa final'!$Y$33="Media",'Mapa final'!$AA$33="Catastrófico"),CONCATENATE("R4C",'Mapa final'!$O$33),"")</f>
        <v/>
      </c>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78"/>
      <c r="C30" s="578"/>
      <c r="D30" s="579"/>
      <c r="E30" s="667"/>
      <c r="F30" s="668"/>
      <c r="G30" s="668"/>
      <c r="H30" s="668"/>
      <c r="I30" s="669"/>
      <c r="J30" s="271" t="str">
        <f>IF(AND('Mapa final'!$Y$34="Media",'Mapa final'!$AA$34="Leve"),CONCATENATE("R5C",'Mapa final'!$O$34),"")</f>
        <v/>
      </c>
      <c r="K30" s="272" t="str">
        <f>IF(AND('Mapa final'!$Y$35="Media",'Mapa final'!$AA$35="Leve"),CONCATENATE("R5C",'Mapa final'!$O$35),"")</f>
        <v/>
      </c>
      <c r="L30" s="272" t="str">
        <f>IF(AND('Mapa final'!$Y$36="Media",'Mapa final'!$AA$36="Leve"),CONCATENATE("R5C",'Mapa final'!$O$36),"")</f>
        <v/>
      </c>
      <c r="M30" s="272" t="str">
        <f>IF(AND('Mapa final'!$Y$37="Media",'Mapa final'!$AA$37="Leve"),CONCATENATE("R5C",'Mapa final'!$O$37),"")</f>
        <v/>
      </c>
      <c r="N30" s="272" t="str">
        <f>IF(AND('Mapa final'!$Y$38="Media",'Mapa final'!$AA$38="Leve"),CONCATENATE("R5C",'Mapa final'!$O$38),"")</f>
        <v/>
      </c>
      <c r="O30" s="273" t="str">
        <f>IF(AND('Mapa final'!$Y$39="Media",'Mapa final'!$AA$39="Leve"),CONCATENATE("R5C",'Mapa final'!$O$39),"")</f>
        <v/>
      </c>
      <c r="P30" s="271" t="str">
        <f>IF(AND('Mapa final'!$Y$34="Media",'Mapa final'!$AA$34="Menor"),CONCATENATE("R5C",'Mapa final'!$O$34),"")</f>
        <v/>
      </c>
      <c r="Q30" s="272" t="str">
        <f>IF(AND('Mapa final'!$Y$35="Media",'Mapa final'!$AA$35="Menor"),CONCATENATE("R5C",'Mapa final'!$O$35),"")</f>
        <v/>
      </c>
      <c r="R30" s="272" t="str">
        <f>IF(AND('Mapa final'!$Y$36="Media",'Mapa final'!$AA$36="Menor"),CONCATENATE("R5C",'Mapa final'!$O$36),"")</f>
        <v/>
      </c>
      <c r="S30" s="272" t="str">
        <f>IF(AND('Mapa final'!$Y$37="Media",'Mapa final'!$AA$37="Menor"),CONCATENATE("R5C",'Mapa final'!$O$37),"")</f>
        <v/>
      </c>
      <c r="T30" s="272" t="str">
        <f>IF(AND('Mapa final'!$Y$38="Media",'Mapa final'!$AA$38="Menor"),CONCATENATE("R5C",'Mapa final'!$O$38),"")</f>
        <v/>
      </c>
      <c r="U30" s="273" t="str">
        <f>IF(AND('Mapa final'!$Y$39="Media",'Mapa final'!$AA$39="Menor"),CONCATENATE("R5C",'Mapa final'!$O$39),"")</f>
        <v/>
      </c>
      <c r="V30" s="271" t="str">
        <f>IF(AND('Mapa final'!$Y$34="Media",'Mapa final'!$AA$34="Moderado"),CONCATENATE("R5C",'Mapa final'!$O$34),"")</f>
        <v/>
      </c>
      <c r="W30" s="272" t="str">
        <f>IF(AND('Mapa final'!$Y$35="Media",'Mapa final'!$AA$35="Moderado"),CONCATENATE("R5C",'Mapa final'!$O$35),"")</f>
        <v/>
      </c>
      <c r="X30" s="272" t="str">
        <f>IF(AND('Mapa final'!$Y$36="Media",'Mapa final'!$AA$36="Moderado"),CONCATENATE("R5C",'Mapa final'!$O$36),"")</f>
        <v/>
      </c>
      <c r="Y30" s="272" t="str">
        <f>IF(AND('Mapa final'!$Y$37="Media",'Mapa final'!$AA$37="Moderado"),CONCATENATE("R5C",'Mapa final'!$O$37),"")</f>
        <v/>
      </c>
      <c r="Z30" s="272" t="str">
        <f>IF(AND('Mapa final'!$Y$38="Media",'Mapa final'!$AA$38="Moderado"),CONCATENATE("R5C",'Mapa final'!$O$38),"")</f>
        <v/>
      </c>
      <c r="AA30" s="273" t="str">
        <f>IF(AND('Mapa final'!$Y$39="Media",'Mapa final'!$AA$39="Moderado"),CONCATENATE("R5C",'Mapa final'!$O$39),"")</f>
        <v/>
      </c>
      <c r="AB30" s="256" t="str">
        <f>IF(AND('Mapa final'!$Y$34="Media",'Mapa final'!$AA$34="Mayor"),CONCATENATE("R5C",'Mapa final'!$O$34),"")</f>
        <v/>
      </c>
      <c r="AC30" s="257" t="str">
        <f>IF(AND('Mapa final'!$Y$35="Media",'Mapa final'!$AA$35="Mayor"),CONCATENATE("R5C",'Mapa final'!$O$35),"")</f>
        <v/>
      </c>
      <c r="AD30" s="257" t="str">
        <f>IF(AND('Mapa final'!$Y$36="Media",'Mapa final'!$AA$36="Mayor"),CONCATENATE("R5C",'Mapa final'!$O$36),"")</f>
        <v/>
      </c>
      <c r="AE30" s="257" t="str">
        <f>IF(AND('Mapa final'!$Y$37="Media",'Mapa final'!$AA$37="Mayor"),CONCATENATE("R5C",'Mapa final'!$O$37),"")</f>
        <v/>
      </c>
      <c r="AF30" s="257" t="str">
        <f>IF(AND('Mapa final'!$Y$38="Media",'Mapa final'!$AA$38="Mayor"),CONCATENATE("R5C",'Mapa final'!$O$38),"")</f>
        <v/>
      </c>
      <c r="AG30" s="258" t="str">
        <f>IF(AND('Mapa final'!$Y$39="Media",'Mapa final'!$AA$39="Mayor"),CONCATENATE("R5C",'Mapa final'!$O$39),"")</f>
        <v/>
      </c>
      <c r="AH30" s="259" t="str">
        <f>IF(AND('Mapa final'!$Y$34="Media",'Mapa final'!$AA$34="Catastrófico"),CONCATENATE("R5C",'Mapa final'!$O$34),"")</f>
        <v/>
      </c>
      <c r="AI30" s="260" t="str">
        <f>IF(AND('Mapa final'!$Y$35="Media",'Mapa final'!$AA$35="Catastrófico"),CONCATENATE("R5C",'Mapa final'!$O$35),"")</f>
        <v/>
      </c>
      <c r="AJ30" s="260" t="str">
        <f>IF(AND('Mapa final'!$Y$36="Media",'Mapa final'!$AA$36="Catastrófico"),CONCATENATE("R5C",'Mapa final'!$O$36),"")</f>
        <v/>
      </c>
      <c r="AK30" s="260" t="str">
        <f>IF(AND('Mapa final'!$Y$37="Media",'Mapa final'!$AA$37="Catastrófico"),CONCATENATE("R5C",'Mapa final'!$O$37),"")</f>
        <v/>
      </c>
      <c r="AL30" s="260" t="str">
        <f>IF(AND('Mapa final'!$Y$38="Media",'Mapa final'!$AA$38="Catastrófico"),CONCATENATE("R5C",'Mapa final'!$O$38),"")</f>
        <v/>
      </c>
      <c r="AM30" s="261" t="str">
        <f>IF(AND('Mapa final'!$Y$39="Media",'Mapa final'!$AA$39="Catastrófico"),CONCATENATE("R5C",'Mapa final'!$O$39),"")</f>
        <v/>
      </c>
      <c r="AN30" s="15"/>
      <c r="AO30" s="695"/>
      <c r="AP30" s="696"/>
      <c r="AQ30" s="696"/>
      <c r="AR30" s="696"/>
      <c r="AS30" s="696"/>
      <c r="AT30" s="69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78"/>
      <c r="C31" s="578"/>
      <c r="D31" s="579"/>
      <c r="E31" s="667"/>
      <c r="F31" s="668"/>
      <c r="G31" s="668"/>
      <c r="H31" s="668"/>
      <c r="I31" s="669"/>
      <c r="J31" s="271" t="str">
        <f>IF(AND('Mapa final'!$Y$40="Media",'Mapa final'!$AA$40="Leve"),CONCATENATE("R6C",'Mapa final'!$O$40),"")</f>
        <v/>
      </c>
      <c r="K31" s="272" t="str">
        <f>IF(AND('Mapa final'!$Y$41="Media",'Mapa final'!$AA$41="Leve"),CONCATENATE("R6C",'Mapa final'!$O$41),"")</f>
        <v/>
      </c>
      <c r="L31" s="272" t="str">
        <f>IF(AND('Mapa final'!$Y$42="Media",'Mapa final'!$AA$42="Leve"),CONCATENATE("R6C",'Mapa final'!$O$42),"")</f>
        <v/>
      </c>
      <c r="M31" s="272" t="str">
        <f>IF(AND('Mapa final'!$Y$43="Media",'Mapa final'!$AA$43="Leve"),CONCATENATE("R6C",'Mapa final'!$O$43),"")</f>
        <v/>
      </c>
      <c r="N31" s="272" t="str">
        <f>IF(AND('Mapa final'!$Y$44="Media",'Mapa final'!$AA$44="Leve"),CONCATENATE("R6C",'Mapa final'!$O$44),"")</f>
        <v/>
      </c>
      <c r="O31" s="273" t="str">
        <f>IF(AND('Mapa final'!$Y$45="Media",'Mapa final'!$AA$45="Leve"),CONCATENATE("R6C",'Mapa final'!$O$45),"")</f>
        <v/>
      </c>
      <c r="P31" s="271" t="str">
        <f>IF(AND('Mapa final'!$Y$40="Media",'Mapa final'!$AA$40="Menor"),CONCATENATE("R6C",'Mapa final'!$O$40),"")</f>
        <v/>
      </c>
      <c r="Q31" s="272" t="str">
        <f>IF(AND('Mapa final'!$Y$41="Media",'Mapa final'!$AA$41="Menor"),CONCATENATE("R6C",'Mapa final'!$O$41),"")</f>
        <v/>
      </c>
      <c r="R31" s="272" t="str">
        <f>IF(AND('Mapa final'!$Y$42="Media",'Mapa final'!$AA$42="Menor"),CONCATENATE("R6C",'Mapa final'!$O$42),"")</f>
        <v/>
      </c>
      <c r="S31" s="272" t="str">
        <f>IF(AND('Mapa final'!$Y$43="Media",'Mapa final'!$AA$43="Menor"),CONCATENATE("R6C",'Mapa final'!$O$43),"")</f>
        <v/>
      </c>
      <c r="T31" s="272" t="str">
        <f>IF(AND('Mapa final'!$Y$44="Media",'Mapa final'!$AA$44="Menor"),CONCATENATE("R6C",'Mapa final'!$O$44),"")</f>
        <v/>
      </c>
      <c r="U31" s="273" t="str">
        <f>IF(AND('Mapa final'!$Y$45="Media",'Mapa final'!$AA$45="Menor"),CONCATENATE("R6C",'Mapa final'!$O$45),"")</f>
        <v/>
      </c>
      <c r="V31" s="271" t="str">
        <f>IF(AND('Mapa final'!$Y$40="Media",'Mapa final'!$AA$40="Moderado"),CONCATENATE("R6C",'Mapa final'!$O$40),"")</f>
        <v/>
      </c>
      <c r="W31" s="272" t="str">
        <f>IF(AND('Mapa final'!$Y$41="Media",'Mapa final'!$AA$41="Moderado"),CONCATENATE("R6C",'Mapa final'!$O$41),"")</f>
        <v/>
      </c>
      <c r="X31" s="272" t="str">
        <f>IF(AND('Mapa final'!$Y$42="Media",'Mapa final'!$AA$42="Moderado"),CONCATENATE("R6C",'Mapa final'!$O$42),"")</f>
        <v/>
      </c>
      <c r="Y31" s="272" t="str">
        <f>IF(AND('Mapa final'!$Y$43="Media",'Mapa final'!$AA$43="Moderado"),CONCATENATE("R6C",'Mapa final'!$O$43),"")</f>
        <v/>
      </c>
      <c r="Z31" s="272" t="str">
        <f>IF(AND('Mapa final'!$Y$44="Media",'Mapa final'!$AA$44="Moderado"),CONCATENATE("R6C",'Mapa final'!$O$44),"")</f>
        <v/>
      </c>
      <c r="AA31" s="273" t="str">
        <f>IF(AND('Mapa final'!$Y$45="Media",'Mapa final'!$AA$45="Moderado"),CONCATENATE("R6C",'Mapa final'!$O$45),"")</f>
        <v/>
      </c>
      <c r="AB31" s="256" t="str">
        <f>IF(AND('Mapa final'!$Y$40="Media",'Mapa final'!$AA$40="Mayor"),CONCATENATE("R6C",'Mapa final'!$O$40),"")</f>
        <v/>
      </c>
      <c r="AC31" s="257" t="str">
        <f>IF(AND('Mapa final'!$Y$41="Media",'Mapa final'!$AA$41="Mayor"),CONCATENATE("R6C",'Mapa final'!$O$41),"")</f>
        <v/>
      </c>
      <c r="AD31" s="257" t="str">
        <f>IF(AND('Mapa final'!$Y$42="Media",'Mapa final'!$AA$42="Mayor"),CONCATENATE("R6C",'Mapa final'!$O$42),"")</f>
        <v/>
      </c>
      <c r="AE31" s="257" t="str">
        <f>IF(AND('Mapa final'!$Y$43="Media",'Mapa final'!$AA$43="Mayor"),CONCATENATE("R6C",'Mapa final'!$O$43),"")</f>
        <v/>
      </c>
      <c r="AF31" s="257" t="str">
        <f>IF(AND('Mapa final'!$Y$44="Media",'Mapa final'!$AA$44="Mayor"),CONCATENATE("R6C",'Mapa final'!$O$44),"")</f>
        <v/>
      </c>
      <c r="AG31" s="258" t="str">
        <f>IF(AND('Mapa final'!$Y$45="Media",'Mapa final'!$AA$45="Mayor"),CONCATENATE("R6C",'Mapa final'!$O$45),"")</f>
        <v/>
      </c>
      <c r="AH31" s="259" t="str">
        <f>IF(AND('Mapa final'!$Y$40="Media",'Mapa final'!$AA$40="Catastrófico"),CONCATENATE("R6C",'Mapa final'!$O$40),"")</f>
        <v/>
      </c>
      <c r="AI31" s="260" t="str">
        <f>IF(AND('Mapa final'!$Y$41="Media",'Mapa final'!$AA$41="Catastrófico"),CONCATENATE("R6C",'Mapa final'!$O$41),"")</f>
        <v/>
      </c>
      <c r="AJ31" s="260" t="str">
        <f>IF(AND('Mapa final'!$Y$42="Media",'Mapa final'!$AA$42="Catastrófico"),CONCATENATE("R6C",'Mapa final'!$O$42),"")</f>
        <v/>
      </c>
      <c r="AK31" s="260" t="str">
        <f>IF(AND('Mapa final'!$Y$43="Media",'Mapa final'!$AA$43="Catastrófico"),CONCATENATE("R6C",'Mapa final'!$O$43),"")</f>
        <v/>
      </c>
      <c r="AL31" s="260" t="str">
        <f>IF(AND('Mapa final'!$Y$44="Media",'Mapa final'!$AA$44="Catastrófico"),CONCATENATE("R6C",'Mapa final'!$O$44),"")</f>
        <v/>
      </c>
      <c r="AM31" s="261" t="str">
        <f>IF(AND('Mapa final'!$Y$45="Media",'Mapa final'!$AA$45="Catastrófico"),CONCATENATE("R6C",'Mapa final'!$O$45),"")</f>
        <v/>
      </c>
      <c r="AN31" s="15"/>
      <c r="AO31" s="695"/>
      <c r="AP31" s="696"/>
      <c r="AQ31" s="696"/>
      <c r="AR31" s="696"/>
      <c r="AS31" s="696"/>
      <c r="AT31" s="69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78"/>
      <c r="C32" s="578"/>
      <c r="D32" s="579"/>
      <c r="E32" s="667"/>
      <c r="F32" s="668"/>
      <c r="G32" s="668"/>
      <c r="H32" s="668"/>
      <c r="I32" s="669"/>
      <c r="J32" s="271" t="str">
        <f>IF(AND('Mapa final'!$Y$46="Media",'Mapa final'!$AA$46="Leve"),CONCATENATE("R7C",'Mapa final'!$O$46),"")</f>
        <v/>
      </c>
      <c r="K32" s="272" t="str">
        <f>IF(AND('Mapa final'!$Y$47="Media",'Mapa final'!$AA$47="Leve"),CONCATENATE("R7C",'Mapa final'!$O$47),"")</f>
        <v/>
      </c>
      <c r="L32" s="272" t="str">
        <f>IF(AND('Mapa final'!$Y$48="Media",'Mapa final'!$AA$48="Leve"),CONCATENATE("R7C",'Mapa final'!$O$48),"")</f>
        <v/>
      </c>
      <c r="M32" s="272" t="str">
        <f>IF(AND('Mapa final'!$Y$49="Media",'Mapa final'!$AA$49="Leve"),CONCATENATE("R7C",'Mapa final'!$O$49),"")</f>
        <v/>
      </c>
      <c r="N32" s="272" t="str">
        <f>IF(AND('Mapa final'!$Y$50="Media",'Mapa final'!$AA$50="Leve"),CONCATENATE("R7C",'Mapa final'!$O$50),"")</f>
        <v/>
      </c>
      <c r="O32" s="273" t="str">
        <f>IF(AND('Mapa final'!$Y$51="Media",'Mapa final'!$AA$51="Leve"),CONCATENATE("R7C",'Mapa final'!$O$51),"")</f>
        <v/>
      </c>
      <c r="P32" s="271" t="str">
        <f>IF(AND('Mapa final'!$Y$46="Media",'Mapa final'!$AA$46="Menor"),CONCATENATE("R7C",'Mapa final'!$O$46),"")</f>
        <v/>
      </c>
      <c r="Q32" s="272" t="str">
        <f>IF(AND('Mapa final'!$Y$47="Media",'Mapa final'!$AA$47="Menor"),CONCATENATE("R7C",'Mapa final'!$O$47),"")</f>
        <v/>
      </c>
      <c r="R32" s="272" t="str">
        <f>IF(AND('Mapa final'!$Y$48="Media",'Mapa final'!$AA$48="Menor"),CONCATENATE("R7C",'Mapa final'!$O$48),"")</f>
        <v/>
      </c>
      <c r="S32" s="272" t="str">
        <f>IF(AND('Mapa final'!$Y$49="Media",'Mapa final'!$AA$49="Menor"),CONCATENATE("R7C",'Mapa final'!$O$49),"")</f>
        <v/>
      </c>
      <c r="T32" s="272" t="str">
        <f>IF(AND('Mapa final'!$Y$50="Media",'Mapa final'!$AA$50="Menor"),CONCATENATE("R7C",'Mapa final'!$O$50),"")</f>
        <v/>
      </c>
      <c r="U32" s="273" t="str">
        <f>IF(AND('Mapa final'!$Y$51="Media",'Mapa final'!$AA$51="Menor"),CONCATENATE("R7C",'Mapa final'!$O$51),"")</f>
        <v/>
      </c>
      <c r="V32" s="271" t="str">
        <f>IF(AND('Mapa final'!$Y$46="Media",'Mapa final'!$AA$46="Moderado"),CONCATENATE("R7C",'Mapa final'!$O$46),"")</f>
        <v/>
      </c>
      <c r="W32" s="272" t="str">
        <f>IF(AND('Mapa final'!$Y$47="Media",'Mapa final'!$AA$47="Moderado"),CONCATENATE("R7C",'Mapa final'!$O$47),"")</f>
        <v/>
      </c>
      <c r="X32" s="272" t="str">
        <f>IF(AND('Mapa final'!$Y$48="Media",'Mapa final'!$AA$48="Moderado"),CONCATENATE("R7C",'Mapa final'!$O$48),"")</f>
        <v/>
      </c>
      <c r="Y32" s="272" t="str">
        <f>IF(AND('Mapa final'!$Y$49="Media",'Mapa final'!$AA$49="Moderado"),CONCATENATE("R7C",'Mapa final'!$O$49),"")</f>
        <v/>
      </c>
      <c r="Z32" s="272" t="str">
        <f>IF(AND('Mapa final'!$Y$50="Media",'Mapa final'!$AA$50="Moderado"),CONCATENATE("R7C",'Mapa final'!$O$50),"")</f>
        <v/>
      </c>
      <c r="AA32" s="273" t="str">
        <f>IF(AND('Mapa final'!$Y$51="Media",'Mapa final'!$AA$51="Moderado"),CONCATENATE("R7C",'Mapa final'!$O$51),"")</f>
        <v/>
      </c>
      <c r="AB32" s="256" t="str">
        <f>IF(AND('Mapa final'!$Y$46="Media",'Mapa final'!$AA$46="Mayor"),CONCATENATE("R7C",'Mapa final'!$O$46),"")</f>
        <v/>
      </c>
      <c r="AC32" s="257" t="str">
        <f>IF(AND('Mapa final'!$Y$47="Media",'Mapa final'!$AA$47="Mayor"),CONCATENATE("R7C",'Mapa final'!$O$47),"")</f>
        <v/>
      </c>
      <c r="AD32" s="257" t="str">
        <f>IF(AND('Mapa final'!$Y$48="Media",'Mapa final'!$AA$48="Mayor"),CONCATENATE("R7C",'Mapa final'!$O$48),"")</f>
        <v/>
      </c>
      <c r="AE32" s="257" t="str">
        <f>IF(AND('Mapa final'!$Y$49="Media",'Mapa final'!$AA$49="Mayor"),CONCATENATE("R7C",'Mapa final'!$O$49),"")</f>
        <v/>
      </c>
      <c r="AF32" s="257" t="str">
        <f>IF(AND('Mapa final'!$Y$50="Media",'Mapa final'!$AA$50="Mayor"),CONCATENATE("R7C",'Mapa final'!$O$50),"")</f>
        <v/>
      </c>
      <c r="AG32" s="258" t="str">
        <f>IF(AND('Mapa final'!$Y$51="Media",'Mapa final'!$AA$51="Mayor"),CONCATENATE("R7C",'Mapa final'!$O$51),"")</f>
        <v/>
      </c>
      <c r="AH32" s="259" t="str">
        <f>IF(AND('Mapa final'!$Y$46="Media",'Mapa final'!$AA$46="Catastrófico"),CONCATENATE("R7C",'Mapa final'!$O$46),"")</f>
        <v/>
      </c>
      <c r="AI32" s="260" t="str">
        <f>IF(AND('Mapa final'!$Y$47="Media",'Mapa final'!$AA$47="Catastrófico"),CONCATENATE("R7C",'Mapa final'!$O$47),"")</f>
        <v/>
      </c>
      <c r="AJ32" s="260" t="str">
        <f>IF(AND('Mapa final'!$Y$48="Media",'Mapa final'!$AA$48="Catastrófico"),CONCATENATE("R7C",'Mapa final'!$O$48),"")</f>
        <v/>
      </c>
      <c r="AK32" s="260" t="str">
        <f>IF(AND('Mapa final'!$Y$49="Media",'Mapa final'!$AA$49="Catastrófico"),CONCATENATE("R7C",'Mapa final'!$O$49),"")</f>
        <v/>
      </c>
      <c r="AL32" s="260" t="str">
        <f>IF(AND('Mapa final'!$Y$50="Media",'Mapa final'!$AA$50="Catastrófico"),CONCATENATE("R7C",'Mapa final'!$O$50),"")</f>
        <v/>
      </c>
      <c r="AM32" s="261" t="str">
        <f>IF(AND('Mapa final'!$Y$51="Media",'Mapa final'!$AA$51="Catastrófico"),CONCATENATE("R7C",'Mapa final'!$O$51),"")</f>
        <v/>
      </c>
      <c r="AN32" s="15"/>
      <c r="AO32" s="695"/>
      <c r="AP32" s="696"/>
      <c r="AQ32" s="696"/>
      <c r="AR32" s="696"/>
      <c r="AS32" s="696"/>
      <c r="AT32" s="69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78"/>
      <c r="C33" s="578"/>
      <c r="D33" s="579"/>
      <c r="E33" s="667"/>
      <c r="F33" s="668"/>
      <c r="G33" s="668"/>
      <c r="H33" s="668"/>
      <c r="I33" s="669"/>
      <c r="J33" s="271" t="str">
        <f>IF(AND('Mapa final'!$Y$52="Media",'Mapa final'!$AA$52="Leve"),CONCATENATE("R8C",'Mapa final'!$O$52),"")</f>
        <v/>
      </c>
      <c r="K33" s="272" t="str">
        <f>IF(AND('Mapa final'!$Y$53="Media",'Mapa final'!$AA$53="Leve"),CONCATENATE("R8C",'Mapa final'!$O$53),"")</f>
        <v/>
      </c>
      <c r="L33" s="272" t="str">
        <f>IF(AND('Mapa final'!$Y$54="Media",'Mapa final'!$AA$54="Leve"),CONCATENATE("R8C",'Mapa final'!$O$54),"")</f>
        <v/>
      </c>
      <c r="M33" s="272" t="str">
        <f>IF(AND('Mapa final'!$Y$55="Media",'Mapa final'!$AA$55="Leve"),CONCATENATE("R8C",'Mapa final'!$O$55),"")</f>
        <v/>
      </c>
      <c r="N33" s="272" t="str">
        <f>IF(AND('Mapa final'!$Y$56="Media",'Mapa final'!$AA$56="Leve"),CONCATENATE("R8C",'Mapa final'!$O$56),"")</f>
        <v/>
      </c>
      <c r="O33" s="273" t="str">
        <f>IF(AND('Mapa final'!$Y$57="Media",'Mapa final'!$AA$57="Leve"),CONCATENATE("R8C",'Mapa final'!$O$57),"")</f>
        <v/>
      </c>
      <c r="P33" s="271" t="str">
        <f>IF(AND('Mapa final'!$Y$52="Media",'Mapa final'!$AA$52="Menor"),CONCATENATE("R8C",'Mapa final'!$O$52),"")</f>
        <v/>
      </c>
      <c r="Q33" s="272" t="str">
        <f>IF(AND('Mapa final'!$Y$53="Media",'Mapa final'!$AA$53="Menor"),CONCATENATE("R8C",'Mapa final'!$O$53),"")</f>
        <v/>
      </c>
      <c r="R33" s="272" t="str">
        <f>IF(AND('Mapa final'!$Y$54="Media",'Mapa final'!$AA$54="Menor"),CONCATENATE("R8C",'Mapa final'!$O$54),"")</f>
        <v/>
      </c>
      <c r="S33" s="272" t="str">
        <f>IF(AND('Mapa final'!$Y$55="Media",'Mapa final'!$AA$55="Menor"),CONCATENATE("R8C",'Mapa final'!$O$55),"")</f>
        <v/>
      </c>
      <c r="T33" s="272" t="str">
        <f>IF(AND('Mapa final'!$Y$56="Media",'Mapa final'!$AA$56="Menor"),CONCATENATE("R8C",'Mapa final'!$O$56),"")</f>
        <v/>
      </c>
      <c r="U33" s="273" t="str">
        <f>IF(AND('Mapa final'!$Y$57="Media",'Mapa final'!$AA$57="Menor"),CONCATENATE("R8C",'Mapa final'!$O$57),"")</f>
        <v/>
      </c>
      <c r="V33" s="271" t="str">
        <f>IF(AND('Mapa final'!$Y$52="Media",'Mapa final'!$AA$52="Moderado"),CONCATENATE("R8C",'Mapa final'!$O$52),"")</f>
        <v/>
      </c>
      <c r="W33" s="272" t="str">
        <f>IF(AND('Mapa final'!$Y$53="Media",'Mapa final'!$AA$53="Moderado"),CONCATENATE("R8C",'Mapa final'!$O$53),"")</f>
        <v/>
      </c>
      <c r="X33" s="272" t="str">
        <f>IF(AND('Mapa final'!$Y$54="Media",'Mapa final'!$AA$54="Moderado"),CONCATENATE("R8C",'Mapa final'!$O$54),"")</f>
        <v/>
      </c>
      <c r="Y33" s="272" t="str">
        <f>IF(AND('Mapa final'!$Y$55="Media",'Mapa final'!$AA$55="Moderado"),CONCATENATE("R8C",'Mapa final'!$O$55),"")</f>
        <v/>
      </c>
      <c r="Z33" s="272" t="str">
        <f>IF(AND('Mapa final'!$Y$56="Media",'Mapa final'!$AA$56="Moderado"),CONCATENATE("R8C",'Mapa final'!$O$56),"")</f>
        <v/>
      </c>
      <c r="AA33" s="273" t="str">
        <f>IF(AND('Mapa final'!$Y$57="Media",'Mapa final'!$AA$57="Moderado"),CONCATENATE("R8C",'Mapa final'!$O$57),"")</f>
        <v/>
      </c>
      <c r="AB33" s="256" t="str">
        <f>IF(AND('Mapa final'!$Y$52="Media",'Mapa final'!$AA$52="Mayor"),CONCATENATE("R8C",'Mapa final'!$O$52),"")</f>
        <v/>
      </c>
      <c r="AC33" s="257" t="str">
        <f>IF(AND('Mapa final'!$Y$53="Media",'Mapa final'!$AA$53="Mayor"),CONCATENATE("R8C",'Mapa final'!$O$53),"")</f>
        <v/>
      </c>
      <c r="AD33" s="257" t="str">
        <f>IF(AND('Mapa final'!$Y$54="Media",'Mapa final'!$AA$54="Mayor"),CONCATENATE("R8C",'Mapa final'!$O$54),"")</f>
        <v/>
      </c>
      <c r="AE33" s="257" t="str">
        <f>IF(AND('Mapa final'!$Y$55="Media",'Mapa final'!$AA$55="Mayor"),CONCATENATE("R8C",'Mapa final'!$O$55),"")</f>
        <v/>
      </c>
      <c r="AF33" s="257" t="str">
        <f>IF(AND('Mapa final'!$Y$56="Media",'Mapa final'!$AA$56="Mayor"),CONCATENATE("R8C",'Mapa final'!$O$56),"")</f>
        <v/>
      </c>
      <c r="AG33" s="258" t="str">
        <f>IF(AND('Mapa final'!$Y$57="Media",'Mapa final'!$AA$57="Mayor"),CONCATENATE("R8C",'Mapa final'!$O$57),"")</f>
        <v/>
      </c>
      <c r="AH33" s="259" t="str">
        <f>IF(AND('Mapa final'!$Y$52="Media",'Mapa final'!$AA$52="Catastrófico"),CONCATENATE("R8C",'Mapa final'!$O$52),"")</f>
        <v/>
      </c>
      <c r="AI33" s="260" t="str">
        <f>IF(AND('Mapa final'!$Y$53="Media",'Mapa final'!$AA$53="Catastrófico"),CONCATENATE("R8C",'Mapa final'!$O$53),"")</f>
        <v/>
      </c>
      <c r="AJ33" s="260" t="str">
        <f>IF(AND('Mapa final'!$Y$54="Media",'Mapa final'!$AA$54="Catastrófico"),CONCATENATE("R8C",'Mapa final'!$O$54),"")</f>
        <v/>
      </c>
      <c r="AK33" s="260" t="str">
        <f>IF(AND('Mapa final'!$Y$55="Media",'Mapa final'!$AA$55="Catastrófico"),CONCATENATE("R8C",'Mapa final'!$O$55),"")</f>
        <v/>
      </c>
      <c r="AL33" s="260" t="str">
        <f>IF(AND('Mapa final'!$Y$56="Media",'Mapa final'!$AA$56="Catastrófico"),CONCATENATE("R8C",'Mapa final'!$O$56),"")</f>
        <v/>
      </c>
      <c r="AM33" s="261" t="str">
        <f>IF(AND('Mapa final'!$Y$57="Media",'Mapa final'!$AA$57="Catastrófico"),CONCATENATE("R8C",'Mapa final'!$O$57),"")</f>
        <v/>
      </c>
      <c r="AN33" s="15"/>
      <c r="AO33" s="695"/>
      <c r="AP33" s="696"/>
      <c r="AQ33" s="696"/>
      <c r="AR33" s="696"/>
      <c r="AS33" s="696"/>
      <c r="AT33" s="69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78"/>
      <c r="C34" s="578"/>
      <c r="D34" s="579"/>
      <c r="E34" s="667"/>
      <c r="F34" s="668"/>
      <c r="G34" s="668"/>
      <c r="H34" s="668"/>
      <c r="I34" s="669"/>
      <c r="J34" s="271" t="str">
        <f>IF(AND('Mapa final'!$Y$58="Media",'Mapa final'!$AA$58="Leve"),CONCATENATE("R9C",'Mapa final'!$O$58),"")</f>
        <v/>
      </c>
      <c r="K34" s="272" t="str">
        <f>IF(AND('Mapa final'!$Y$59="Media",'Mapa final'!$AA$59="Leve"),CONCATENATE("R9C",'Mapa final'!$O$59),"")</f>
        <v/>
      </c>
      <c r="L34" s="272" t="str">
        <f>IF(AND('Mapa final'!$Y$60="Media",'Mapa final'!$AA$60="Leve"),CONCATENATE("R9C",'Mapa final'!$O$60),"")</f>
        <v/>
      </c>
      <c r="M34" s="272" t="str">
        <f>IF(AND('Mapa final'!$Y$61="Media",'Mapa final'!$AA$61="Leve"),CONCATENATE("R9C",'Mapa final'!$O$61),"")</f>
        <v/>
      </c>
      <c r="N34" s="272" t="str">
        <f>IF(AND('Mapa final'!$Y$62="Media",'Mapa final'!$AA$62="Leve"),CONCATENATE("R9C",'Mapa final'!$O$62),"")</f>
        <v/>
      </c>
      <c r="O34" s="273" t="str">
        <f>IF(AND('Mapa final'!$Y$63="Media",'Mapa final'!$AA$63="Leve"),CONCATENATE("R9C",'Mapa final'!$O$63),"")</f>
        <v/>
      </c>
      <c r="P34" s="271" t="str">
        <f>IF(AND('Mapa final'!$Y$58="Media",'Mapa final'!$AA$58="Menor"),CONCATENATE("R9C",'Mapa final'!$O$58),"")</f>
        <v/>
      </c>
      <c r="Q34" s="272" t="str">
        <f>IF(AND('Mapa final'!$Y$59="Media",'Mapa final'!$AA$59="Menor"),CONCATENATE("R9C",'Mapa final'!$O$59),"")</f>
        <v/>
      </c>
      <c r="R34" s="272" t="str">
        <f>IF(AND('Mapa final'!$Y$60="Media",'Mapa final'!$AA$60="Menor"),CONCATENATE("R9C",'Mapa final'!$O$60),"")</f>
        <v/>
      </c>
      <c r="S34" s="272" t="str">
        <f>IF(AND('Mapa final'!$Y$61="Media",'Mapa final'!$AA$61="Menor"),CONCATENATE("R9C",'Mapa final'!$O$61),"")</f>
        <v/>
      </c>
      <c r="T34" s="272" t="str">
        <f>IF(AND('Mapa final'!$Y$62="Media",'Mapa final'!$AA$62="Menor"),CONCATENATE("R9C",'Mapa final'!$O$62),"")</f>
        <v/>
      </c>
      <c r="U34" s="273" t="str">
        <f>IF(AND('Mapa final'!$Y$63="Media",'Mapa final'!$AA$63="Menor"),CONCATENATE("R9C",'Mapa final'!$O$63),"")</f>
        <v/>
      </c>
      <c r="V34" s="271" t="str">
        <f>IF(AND('Mapa final'!$Y$58="Media",'Mapa final'!$AA$58="Moderado"),CONCATENATE("R9C",'Mapa final'!$O$58),"")</f>
        <v/>
      </c>
      <c r="W34" s="272" t="str">
        <f>IF(AND('Mapa final'!$Y$59="Media",'Mapa final'!$AA$59="Moderado"),CONCATENATE("R9C",'Mapa final'!$O$59),"")</f>
        <v/>
      </c>
      <c r="X34" s="272" t="str">
        <f>IF(AND('Mapa final'!$Y$60="Media",'Mapa final'!$AA$60="Moderado"),CONCATENATE("R9C",'Mapa final'!$O$60),"")</f>
        <v/>
      </c>
      <c r="Y34" s="272" t="str">
        <f>IF(AND('Mapa final'!$Y$61="Media",'Mapa final'!$AA$61="Moderado"),CONCATENATE("R9C",'Mapa final'!$O$61),"")</f>
        <v/>
      </c>
      <c r="Z34" s="272" t="str">
        <f>IF(AND('Mapa final'!$Y$62="Media",'Mapa final'!$AA$62="Moderado"),CONCATENATE("R9C",'Mapa final'!$O$62),"")</f>
        <v/>
      </c>
      <c r="AA34" s="273" t="str">
        <f>IF(AND('Mapa final'!$Y$63="Media",'Mapa final'!$AA$63="Moderado"),CONCATENATE("R9C",'Mapa final'!$O$63),"")</f>
        <v/>
      </c>
      <c r="AB34" s="256" t="str">
        <f>IF(AND('Mapa final'!$Y$58="Media",'Mapa final'!$AA$58="Mayor"),CONCATENATE("R9C",'Mapa final'!$O$58),"")</f>
        <v/>
      </c>
      <c r="AC34" s="257" t="str">
        <f>IF(AND('Mapa final'!$Y$59="Media",'Mapa final'!$AA$59="Mayor"),CONCATENATE("R9C",'Mapa final'!$O$59),"")</f>
        <v/>
      </c>
      <c r="AD34" s="257" t="str">
        <f>IF(AND('Mapa final'!$Y$60="Media",'Mapa final'!$AA$60="Mayor"),CONCATENATE("R9C",'Mapa final'!$O$60),"")</f>
        <v/>
      </c>
      <c r="AE34" s="257" t="str">
        <f>IF(AND('Mapa final'!$Y$61="Media",'Mapa final'!$AA$61="Mayor"),CONCATENATE("R9C",'Mapa final'!$O$61),"")</f>
        <v/>
      </c>
      <c r="AF34" s="257" t="str">
        <f>IF(AND('Mapa final'!$Y$62="Media",'Mapa final'!$AA$62="Mayor"),CONCATENATE("R9C",'Mapa final'!$O$62),"")</f>
        <v/>
      </c>
      <c r="AG34" s="258" t="str">
        <f>IF(AND('Mapa final'!$Y$63="Media",'Mapa final'!$AA$63="Mayor"),CONCATENATE("R9C",'Mapa final'!$O$63),"")</f>
        <v/>
      </c>
      <c r="AH34" s="259" t="str">
        <f>IF(AND('Mapa final'!$Y$58="Media",'Mapa final'!$AA$58="Catastrófico"),CONCATENATE("R9C",'Mapa final'!$O$58),"")</f>
        <v/>
      </c>
      <c r="AI34" s="260" t="str">
        <f>IF(AND('Mapa final'!$Y$59="Media",'Mapa final'!$AA$59="Catastrófico"),CONCATENATE("R9C",'Mapa final'!$O$59),"")</f>
        <v/>
      </c>
      <c r="AJ34" s="260" t="str">
        <f>IF(AND('Mapa final'!$Y$60="Media",'Mapa final'!$AA$60="Catastrófico"),CONCATENATE("R9C",'Mapa final'!$O$60),"")</f>
        <v/>
      </c>
      <c r="AK34" s="260" t="str">
        <f>IF(AND('Mapa final'!$Y$61="Media",'Mapa final'!$AA$61="Catastrófico"),CONCATENATE("R9C",'Mapa final'!$O$61),"")</f>
        <v/>
      </c>
      <c r="AL34" s="260" t="str">
        <f>IF(AND('Mapa final'!$Y$62="Media",'Mapa final'!$AA$62="Catastrófico"),CONCATENATE("R9C",'Mapa final'!$O$62),"")</f>
        <v/>
      </c>
      <c r="AM34" s="261" t="str">
        <f>IF(AND('Mapa final'!$Y$63="Media",'Mapa final'!$AA$63="Catastrófico"),CONCATENATE("R9C",'Mapa final'!$O$63),"")</f>
        <v/>
      </c>
      <c r="AN34" s="15"/>
      <c r="AO34" s="695"/>
      <c r="AP34" s="696"/>
      <c r="AQ34" s="696"/>
      <c r="AR34" s="696"/>
      <c r="AS34" s="696"/>
      <c r="AT34" s="69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78"/>
      <c r="C35" s="578"/>
      <c r="D35" s="579"/>
      <c r="E35" s="670"/>
      <c r="F35" s="671"/>
      <c r="G35" s="671"/>
      <c r="H35" s="671"/>
      <c r="I35" s="672"/>
      <c r="J35" s="271" t="str">
        <f>IF(AND('Mapa final'!$Y$64="Media",'Mapa final'!$AA$64="Leve"),CONCATENATE("R10C",'Mapa final'!$O$64),"")</f>
        <v/>
      </c>
      <c r="K35" s="272" t="str">
        <f>IF(AND('Mapa final'!$Y$65="Media",'Mapa final'!$AA$65="Leve"),CONCATENATE("R10C",'Mapa final'!$O$65),"")</f>
        <v/>
      </c>
      <c r="L35" s="272" t="str">
        <f>IF(AND('Mapa final'!$Y$66="Media",'Mapa final'!$AA$66="Leve"),CONCATENATE("R10C",'Mapa final'!$O$66),"")</f>
        <v/>
      </c>
      <c r="M35" s="272" t="str">
        <f>IF(AND('Mapa final'!$Y$67="Media",'Mapa final'!$AA$67="Leve"),CONCATENATE("R10C",'Mapa final'!$O$67),"")</f>
        <v/>
      </c>
      <c r="N35" s="272" t="str">
        <f>IF(AND('Mapa final'!$Y$68="Media",'Mapa final'!$AA$68="Leve"),CONCATENATE("R10C",'Mapa final'!$O$68),"")</f>
        <v/>
      </c>
      <c r="O35" s="273" t="str">
        <f>IF(AND('Mapa final'!$Y$69="Media",'Mapa final'!$AA$69="Leve"),CONCATENATE("R10C",'Mapa final'!$O$69),"")</f>
        <v/>
      </c>
      <c r="P35" s="271" t="str">
        <f>IF(AND('Mapa final'!$Y$64="Media",'Mapa final'!$AA$64="Menor"),CONCATENATE("R10C",'Mapa final'!$O$64),"")</f>
        <v/>
      </c>
      <c r="Q35" s="272" t="str">
        <f>IF(AND('Mapa final'!$Y$65="Media",'Mapa final'!$AA$65="Menor"),CONCATENATE("R10C",'Mapa final'!$O$65),"")</f>
        <v/>
      </c>
      <c r="R35" s="272" t="str">
        <f>IF(AND('Mapa final'!$Y$66="Media",'Mapa final'!$AA$66="Menor"),CONCATENATE("R10C",'Mapa final'!$O$66),"")</f>
        <v/>
      </c>
      <c r="S35" s="272" t="str">
        <f>IF(AND('Mapa final'!$Y$67="Media",'Mapa final'!$AA$67="Menor"),CONCATENATE("R10C",'Mapa final'!$O$67),"")</f>
        <v/>
      </c>
      <c r="T35" s="272" t="str">
        <f>IF(AND('Mapa final'!$Y$68="Media",'Mapa final'!$AA$68="Menor"),CONCATENATE("R10C",'Mapa final'!$O$68),"")</f>
        <v/>
      </c>
      <c r="U35" s="273" t="str">
        <f>IF(AND('Mapa final'!$Y$69="Media",'Mapa final'!$AA$69="Menor"),CONCATENATE("R10C",'Mapa final'!$O$69),"")</f>
        <v/>
      </c>
      <c r="V35" s="271" t="str">
        <f>IF(AND('Mapa final'!$Y$64="Media",'Mapa final'!$AA$64="Moderado"),CONCATENATE("R10C",'Mapa final'!$O$64),"")</f>
        <v/>
      </c>
      <c r="W35" s="272" t="str">
        <f>IF(AND('Mapa final'!$Y$65="Media",'Mapa final'!$AA$65="Moderado"),CONCATENATE("R10C",'Mapa final'!$O$65),"")</f>
        <v/>
      </c>
      <c r="X35" s="272" t="str">
        <f>IF(AND('Mapa final'!$Y$66="Media",'Mapa final'!$AA$66="Moderado"),CONCATENATE("R10C",'Mapa final'!$O$66),"")</f>
        <v/>
      </c>
      <c r="Y35" s="272" t="str">
        <f>IF(AND('Mapa final'!$Y$67="Media",'Mapa final'!$AA$67="Moderado"),CONCATENATE("R10C",'Mapa final'!$O$67),"")</f>
        <v/>
      </c>
      <c r="Z35" s="272" t="str">
        <f>IF(AND('Mapa final'!$Y$68="Media",'Mapa final'!$AA$68="Moderado"),CONCATENATE("R10C",'Mapa final'!$O$68),"")</f>
        <v/>
      </c>
      <c r="AA35" s="273" t="str">
        <f>IF(AND('Mapa final'!$Y$69="Media",'Mapa final'!$AA$69="Moderado"),CONCATENATE("R10C",'Mapa final'!$O$69),"")</f>
        <v/>
      </c>
      <c r="AB35" s="262" t="str">
        <f>IF(AND('Mapa final'!$Y$64="Media",'Mapa final'!$AA$64="Mayor"),CONCATENATE("R10C",'Mapa final'!$O$64),"")</f>
        <v/>
      </c>
      <c r="AC35" s="263" t="str">
        <f>IF(AND('Mapa final'!$Y$65="Media",'Mapa final'!$AA$65="Mayor"),CONCATENATE("R10C",'Mapa final'!$O$65),"")</f>
        <v/>
      </c>
      <c r="AD35" s="263" t="str">
        <f>IF(AND('Mapa final'!$Y$66="Media",'Mapa final'!$AA$66="Mayor"),CONCATENATE("R10C",'Mapa final'!$O$66),"")</f>
        <v/>
      </c>
      <c r="AE35" s="263" t="str">
        <f>IF(AND('Mapa final'!$Y$67="Media",'Mapa final'!$AA$67="Mayor"),CONCATENATE("R10C",'Mapa final'!$O$67),"")</f>
        <v/>
      </c>
      <c r="AF35" s="263" t="str">
        <f>IF(AND('Mapa final'!$Y$68="Media",'Mapa final'!$AA$68="Mayor"),CONCATENATE("R10C",'Mapa final'!$O$68),"")</f>
        <v/>
      </c>
      <c r="AG35" s="264" t="str">
        <f>IF(AND('Mapa final'!$Y$69="Media",'Mapa final'!$AA$69="Mayor"),CONCATENATE("R10C",'Mapa final'!$O$69),"")</f>
        <v/>
      </c>
      <c r="AH35" s="265" t="str">
        <f>IF(AND('Mapa final'!$Y$64="Media",'Mapa final'!$AA$64="Catastrófico"),CONCATENATE("R10C",'Mapa final'!$O$64),"")</f>
        <v/>
      </c>
      <c r="AI35" s="266" t="str">
        <f>IF(AND('Mapa final'!$Y$65="Media",'Mapa final'!$AA$65="Catastrófico"),CONCATENATE("R10C",'Mapa final'!$O$65),"")</f>
        <v/>
      </c>
      <c r="AJ35" s="266" t="str">
        <f>IF(AND('Mapa final'!$Y$66="Media",'Mapa final'!$AA$66="Catastrófico"),CONCATENATE("R10C",'Mapa final'!$O$66),"")</f>
        <v/>
      </c>
      <c r="AK35" s="266" t="str">
        <f>IF(AND('Mapa final'!$Y$67="Media",'Mapa final'!$AA$67="Catastrófico"),CONCATENATE("R10C",'Mapa final'!$O$67),"")</f>
        <v/>
      </c>
      <c r="AL35" s="266" t="str">
        <f>IF(AND('Mapa final'!$Y$68="Media",'Mapa final'!$AA$68="Catastrófico"),CONCATENATE("R10C",'Mapa final'!$O$68),"")</f>
        <v/>
      </c>
      <c r="AM35" s="267" t="str">
        <f>IF(AND('Mapa final'!$Y$69="Media",'Mapa final'!$AA$69="Catastrófico"),CONCATENATE("R10C",'Mapa final'!$O$69),"")</f>
        <v/>
      </c>
      <c r="AN35" s="15"/>
      <c r="AO35" s="698"/>
      <c r="AP35" s="699"/>
      <c r="AQ35" s="699"/>
      <c r="AR35" s="699"/>
      <c r="AS35" s="699"/>
      <c r="AT35" s="70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78"/>
      <c r="C36" s="578"/>
      <c r="D36" s="579"/>
      <c r="E36" s="664" t="s">
        <v>1059</v>
      </c>
      <c r="F36" s="665"/>
      <c r="G36" s="665"/>
      <c r="H36" s="665"/>
      <c r="I36" s="665"/>
      <c r="J36" s="277" t="str">
        <f>IF(AND('Mapa final'!$Y$10="Baja",'Mapa final'!$AA$10="Leve"),CONCATENATE("R1C",'Mapa final'!$O$10),"")</f>
        <v>R1C1</v>
      </c>
      <c r="K36" s="278" t="str">
        <f>IF(AND('Mapa final'!$Y$11="Baja",'Mapa final'!$AA$11="Leve"),CONCATENATE("R1C",'Mapa final'!$O$11),"")</f>
        <v>R1C2</v>
      </c>
      <c r="L36" s="278" t="str">
        <f>IF(AND('Mapa final'!$Y$12="Baja",'Mapa final'!$AA$12="Leve"),CONCATENATE("R1C",'Mapa final'!$O$12),"")</f>
        <v/>
      </c>
      <c r="M36" s="278" t="str">
        <f>IF(AND('Mapa final'!$Y$13="Baja",'Mapa final'!$AA$13="Leve"),CONCATENATE("R1C",'Mapa final'!$O$13),"")</f>
        <v/>
      </c>
      <c r="N36" s="278" t="str">
        <f>IF(AND('Mapa final'!$Y$14="Baja",'Mapa final'!$AA$14="Leve"),CONCATENATE("R1C",'Mapa final'!$O$14),"")</f>
        <v/>
      </c>
      <c r="O36" s="279" t="str">
        <f>IF(AND('Mapa final'!$Y$15="Baja",'Mapa final'!$AA$15="Leve"),CONCATENATE("R1C",'Mapa final'!$O$15),"")</f>
        <v/>
      </c>
      <c r="P36" s="268" t="str">
        <f>IF(AND('Mapa final'!$Y$10="Baja",'Mapa final'!$AA$10="Menor"),CONCATENATE("R1C",'Mapa final'!$O$10),"")</f>
        <v/>
      </c>
      <c r="Q36" s="269" t="str">
        <f>IF(AND('Mapa final'!$Y$11="Baja",'Mapa final'!$AA$11="Menor"),CONCATENATE("R1C",'Mapa final'!$O$11),"")</f>
        <v/>
      </c>
      <c r="R36" s="269" t="str">
        <f>IF(AND('Mapa final'!$Y$12="Baja",'Mapa final'!$AA$12="Menor"),CONCATENATE("R1C",'Mapa final'!$O$12),"")</f>
        <v/>
      </c>
      <c r="S36" s="269" t="str">
        <f>IF(AND('Mapa final'!$Y$13="Baja",'Mapa final'!$AA$13="Menor"),CONCATENATE("R1C",'Mapa final'!$O$13),"")</f>
        <v/>
      </c>
      <c r="T36" s="269" t="str">
        <f>IF(AND('Mapa final'!$Y$14="Baja",'Mapa final'!$AA$14="Menor"),CONCATENATE("R1C",'Mapa final'!$O$14),"")</f>
        <v/>
      </c>
      <c r="U36" s="270" t="str">
        <f>IF(AND('Mapa final'!$Y$15="Baja",'Mapa final'!$AA$15="Menor"),CONCATENATE("R1C",'Mapa final'!$O$15),"")</f>
        <v/>
      </c>
      <c r="V36" s="268" t="str">
        <f>IF(AND('Mapa final'!$Y$10="Baja",'Mapa final'!$AA$10="Moderado"),CONCATENATE("R1C",'Mapa final'!$O$10),"")</f>
        <v/>
      </c>
      <c r="W36" s="269" t="str">
        <f>IF(AND('Mapa final'!$Y$11="Baja",'Mapa final'!$AA$11="Moderado"),CONCATENATE("R1C",'Mapa final'!$O$11),"")</f>
        <v/>
      </c>
      <c r="X36" s="269" t="str">
        <f>IF(AND('Mapa final'!$Y$12="Baja",'Mapa final'!$AA$12="Moderado"),CONCATENATE("R1C",'Mapa final'!$O$12),"")</f>
        <v/>
      </c>
      <c r="Y36" s="269" t="str">
        <f>IF(AND('Mapa final'!$Y$13="Baja",'Mapa final'!$AA$13="Moderado"),CONCATENATE("R1C",'Mapa final'!$O$13),"")</f>
        <v/>
      </c>
      <c r="Z36" s="269" t="str">
        <f>IF(AND('Mapa final'!$Y$14="Baja",'Mapa final'!$AA$14="Moderado"),CONCATENATE("R1C",'Mapa final'!$O$14),"")</f>
        <v/>
      </c>
      <c r="AA36" s="270" t="str">
        <f>IF(AND('Mapa final'!$Y$15="Baja",'Mapa final'!$AA$15="Moderado"),CONCATENATE("R1C",'Mapa final'!$O$15),"")</f>
        <v/>
      </c>
      <c r="AB36" s="250" t="str">
        <f>IF(AND('Mapa final'!$Y$10="Baja",'Mapa final'!$AA$10="Mayor"),CONCATENATE("R1C",'Mapa final'!$O$10),"")</f>
        <v/>
      </c>
      <c r="AC36" s="251" t="str">
        <f>IF(AND('Mapa final'!$Y$11="Baja",'Mapa final'!$AA$11="Mayor"),CONCATENATE("R1C",'Mapa final'!$O$11),"")</f>
        <v/>
      </c>
      <c r="AD36" s="251" t="str">
        <f>IF(AND('Mapa final'!$Y$12="Baja",'Mapa final'!$AA$12="Mayor"),CONCATENATE("R1C",'Mapa final'!$O$12),"")</f>
        <v/>
      </c>
      <c r="AE36" s="251" t="str">
        <f>IF(AND('Mapa final'!$Y$13="Baja",'Mapa final'!$AA$13="Mayor"),CONCATENATE("R1C",'Mapa final'!$O$13),"")</f>
        <v/>
      </c>
      <c r="AF36" s="251" t="str">
        <f>IF(AND('Mapa final'!$Y$14="Baja",'Mapa final'!$AA$14="Mayor"),CONCATENATE("R1C",'Mapa final'!$O$14),"")</f>
        <v/>
      </c>
      <c r="AG36" s="252" t="str">
        <f>IF(AND('Mapa final'!$Y$15="Baja",'Mapa final'!$AA$15="Mayor"),CONCATENATE("R1C",'Mapa final'!$O$15),"")</f>
        <v/>
      </c>
      <c r="AH36" s="253" t="str">
        <f>IF(AND('Mapa final'!$Y$10="Baja",'Mapa final'!$AA$10="Catastrófico"),CONCATENATE("R1C",'Mapa final'!$O$10),"")</f>
        <v/>
      </c>
      <c r="AI36" s="254" t="str">
        <f>IF(AND('Mapa final'!$Y$11="Baja",'Mapa final'!$AA$11="Catastrófico"),CONCATENATE("R1C",'Mapa final'!$O$11),"")</f>
        <v/>
      </c>
      <c r="AJ36" s="254" t="str">
        <f>IF(AND('Mapa final'!$Y$12="Baja",'Mapa final'!$AA$12="Catastrófico"),CONCATENATE("R1C",'Mapa final'!$O$12),"")</f>
        <v/>
      </c>
      <c r="AK36" s="254" t="str">
        <f>IF(AND('Mapa final'!$Y$13="Baja",'Mapa final'!$AA$13="Catastrófico"),CONCATENATE("R1C",'Mapa final'!$O$13),"")</f>
        <v/>
      </c>
      <c r="AL36" s="254" t="str">
        <f>IF(AND('Mapa final'!$Y$14="Baja",'Mapa final'!$AA$14="Catastrófico"),CONCATENATE("R1C",'Mapa final'!$O$14),"")</f>
        <v/>
      </c>
      <c r="AM36" s="255" t="str">
        <f>IF(AND('Mapa final'!$Y$15="Baja",'Mapa final'!$AA$15="Catastrófico"),CONCATENATE("R1C",'Mapa final'!$O$15),"")</f>
        <v/>
      </c>
      <c r="AN36" s="15"/>
      <c r="AO36" s="701" t="s">
        <v>1060</v>
      </c>
      <c r="AP36" s="702"/>
      <c r="AQ36" s="702"/>
      <c r="AR36" s="702"/>
      <c r="AS36" s="702"/>
      <c r="AT36" s="70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78"/>
      <c r="C37" s="578"/>
      <c r="D37" s="579"/>
      <c r="E37" s="682"/>
      <c r="F37" s="668"/>
      <c r="G37" s="668"/>
      <c r="H37" s="668"/>
      <c r="I37" s="668"/>
      <c r="J37" s="280" t="str">
        <f>IF(AND('Mapa final'!$Y$16="Baja",'Mapa final'!$AA$16="Leve"),CONCATENATE("R2C",'Mapa final'!$O$16),"")</f>
        <v>R2C1</v>
      </c>
      <c r="K37" s="281" t="str">
        <f>IF(AND('Mapa final'!$Y$17="Baja",'Mapa final'!$AA$17="Leve"),CONCATENATE("R2C",'Mapa final'!$O$17),"")</f>
        <v/>
      </c>
      <c r="L37" s="281" t="str">
        <f>IF(AND('Mapa final'!$Y$18="Baja",'Mapa final'!$AA$18="Leve"),CONCATENATE("R2C",'Mapa final'!$O$18),"")</f>
        <v/>
      </c>
      <c r="M37" s="281" t="str">
        <f>IF(AND('Mapa final'!$Y$19="Baja",'Mapa final'!$AA$19="Leve"),CONCATENATE("R2C",'Mapa final'!$O$19),"")</f>
        <v/>
      </c>
      <c r="N37" s="281" t="str">
        <f>IF(AND('Mapa final'!$Y$20="Baja",'Mapa final'!$AA$20="Leve"),CONCATENATE("R2C",'Mapa final'!$O$20),"")</f>
        <v/>
      </c>
      <c r="O37" s="282" t="str">
        <f>IF(AND('Mapa final'!$Y$21="Baja",'Mapa final'!$AA$21="Leve"),CONCATENATE("R2C",'Mapa final'!$O$21),"")</f>
        <v/>
      </c>
      <c r="P37" s="271" t="str">
        <f>IF(AND('Mapa final'!$Y$16="Baja",'Mapa final'!$AA$16="Menor"),CONCATENATE("R2C",'Mapa final'!$O$16),"")</f>
        <v/>
      </c>
      <c r="Q37" s="272" t="str">
        <f>IF(AND('Mapa final'!$Y$17="Baja",'Mapa final'!$AA$17="Menor"),CONCATENATE("R2C",'Mapa final'!$O$17),"")</f>
        <v/>
      </c>
      <c r="R37" s="272" t="str">
        <f>IF(AND('Mapa final'!$Y$18="Baja",'Mapa final'!$AA$18="Menor"),CONCATENATE("R2C",'Mapa final'!$O$18),"")</f>
        <v/>
      </c>
      <c r="S37" s="272" t="str">
        <f>IF(AND('Mapa final'!$Y$19="Baja",'Mapa final'!$AA$19="Menor"),CONCATENATE("R2C",'Mapa final'!$O$19),"")</f>
        <v/>
      </c>
      <c r="T37" s="272" t="str">
        <f>IF(AND('Mapa final'!$Y$20="Baja",'Mapa final'!$AA$20="Menor"),CONCATENATE("R2C",'Mapa final'!$O$20),"")</f>
        <v/>
      </c>
      <c r="U37" s="273" t="str">
        <f>IF(AND('Mapa final'!$Y$21="Baja",'Mapa final'!$AA$21="Menor"),CONCATENATE("R2C",'Mapa final'!$O$21),"")</f>
        <v/>
      </c>
      <c r="V37" s="271" t="str">
        <f>IF(AND('Mapa final'!$Y$16="Baja",'Mapa final'!$AA$16="Moderado"),CONCATENATE("R2C",'Mapa final'!$O$16),"")</f>
        <v/>
      </c>
      <c r="W37" s="272" t="str">
        <f>IF(AND('Mapa final'!$Y$17="Baja",'Mapa final'!$AA$17="Moderado"),CONCATENATE("R2C",'Mapa final'!$O$17),"")</f>
        <v/>
      </c>
      <c r="X37" s="272" t="str">
        <f>IF(AND('Mapa final'!$Y$18="Baja",'Mapa final'!$AA$18="Moderado"),CONCATENATE("R2C",'Mapa final'!$O$18),"")</f>
        <v/>
      </c>
      <c r="Y37" s="272" t="str">
        <f>IF(AND('Mapa final'!$Y$19="Baja",'Mapa final'!$AA$19="Moderado"),CONCATENATE("R2C",'Mapa final'!$O$19),"")</f>
        <v/>
      </c>
      <c r="Z37" s="272" t="str">
        <f>IF(AND('Mapa final'!$Y$20="Baja",'Mapa final'!$AA$20="Moderado"),CONCATENATE("R2C",'Mapa final'!$O$20),"")</f>
        <v/>
      </c>
      <c r="AA37" s="273" t="str">
        <f>IF(AND('Mapa final'!$Y$21="Baja",'Mapa final'!$AA$21="Moderado"),CONCATENATE("R2C",'Mapa final'!$O$21),"")</f>
        <v/>
      </c>
      <c r="AB37" s="256" t="str">
        <f>IF(AND('Mapa final'!$Y$16="Baja",'Mapa final'!$AA$16="Mayor"),CONCATENATE("R2C",'Mapa final'!$O$16),"")</f>
        <v/>
      </c>
      <c r="AC37" s="257" t="str">
        <f>IF(AND('Mapa final'!$Y$17="Baja",'Mapa final'!$AA$17="Mayor"),CONCATENATE("R2C",'Mapa final'!$O$17),"")</f>
        <v/>
      </c>
      <c r="AD37" s="257" t="str">
        <f>IF(AND('Mapa final'!$Y$18="Baja",'Mapa final'!$AA$18="Mayor"),CONCATENATE("R2C",'Mapa final'!$O$18),"")</f>
        <v/>
      </c>
      <c r="AE37" s="257" t="str">
        <f>IF(AND('Mapa final'!$Y$19="Baja",'Mapa final'!$AA$19="Mayor"),CONCATENATE("R2C",'Mapa final'!$O$19),"")</f>
        <v/>
      </c>
      <c r="AF37" s="257" t="str">
        <f>IF(AND('Mapa final'!$Y$20="Baja",'Mapa final'!$AA$20="Mayor"),CONCATENATE("R2C",'Mapa final'!$O$20),"")</f>
        <v/>
      </c>
      <c r="AG37" s="258" t="str">
        <f>IF(AND('Mapa final'!$Y$21="Baja",'Mapa final'!$AA$21="Mayor"),CONCATENATE("R2C",'Mapa final'!$O$21),"")</f>
        <v/>
      </c>
      <c r="AH37" s="259" t="str">
        <f>IF(AND('Mapa final'!$Y$16="Baja",'Mapa final'!$AA$16="Catastrófico"),CONCATENATE("R2C",'Mapa final'!$O$16),"")</f>
        <v/>
      </c>
      <c r="AI37" s="260" t="str">
        <f>IF(AND('Mapa final'!$Y$17="Baja",'Mapa final'!$AA$17="Catastrófico"),CONCATENATE("R2C",'Mapa final'!$O$17),"")</f>
        <v/>
      </c>
      <c r="AJ37" s="260" t="str">
        <f>IF(AND('Mapa final'!$Y$18="Baja",'Mapa final'!$AA$18="Catastrófico"),CONCATENATE("R2C",'Mapa final'!$O$18),"")</f>
        <v/>
      </c>
      <c r="AK37" s="260" t="str">
        <f>IF(AND('Mapa final'!$Y$19="Baja",'Mapa final'!$AA$19="Catastrófico"),CONCATENATE("R2C",'Mapa final'!$O$19),"")</f>
        <v/>
      </c>
      <c r="AL37" s="260" t="str">
        <f>IF(AND('Mapa final'!$Y$20="Baja",'Mapa final'!$AA$20="Catastrófico"),CONCATENATE("R2C",'Mapa final'!$O$20),"")</f>
        <v/>
      </c>
      <c r="AM37" s="261" t="str">
        <f>IF(AND('Mapa final'!$Y$21="Baja",'Mapa final'!$AA$21="Catastrófico"),CONCATENATE("R2C",'Mapa final'!$O$21),"")</f>
        <v/>
      </c>
      <c r="AN37" s="15"/>
      <c r="AO37" s="704"/>
      <c r="AP37" s="705"/>
      <c r="AQ37" s="705"/>
      <c r="AR37" s="705"/>
      <c r="AS37" s="705"/>
      <c r="AT37" s="70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78"/>
      <c r="C38" s="578"/>
      <c r="D38" s="579"/>
      <c r="E38" s="667"/>
      <c r="F38" s="668"/>
      <c r="G38" s="668"/>
      <c r="H38" s="668"/>
      <c r="I38" s="668"/>
      <c r="J38" s="280" t="str">
        <f>IF(AND('Mapa final'!$Y$22="Baja",'Mapa final'!$AA$22="Leve"),CONCATENATE("R3C",'Mapa final'!$O$22),"")</f>
        <v/>
      </c>
      <c r="K38" s="281" t="str">
        <f>IF(AND('Mapa final'!$Y$23="Baja",'Mapa final'!$AA$23="Leve"),CONCATENATE("R3C",'Mapa final'!$O$23),"")</f>
        <v/>
      </c>
      <c r="L38" s="281" t="str">
        <f>IF(AND('Mapa final'!$Y$24="Baja",'Mapa final'!$AA$24="Leve"),CONCATENATE("R3C",'Mapa final'!$O$24),"")</f>
        <v/>
      </c>
      <c r="M38" s="281" t="str">
        <f>IF(AND('Mapa final'!$Y$25="Baja",'Mapa final'!$AA$25="Leve"),CONCATENATE("R3C",'Mapa final'!$O$25),"")</f>
        <v/>
      </c>
      <c r="N38" s="281" t="str">
        <f>IF(AND('Mapa final'!$Y$26="Baja",'Mapa final'!$AA$26="Leve"),CONCATENATE("R3C",'Mapa final'!$O$26),"")</f>
        <v/>
      </c>
      <c r="O38" s="282" t="str">
        <f>IF(AND('Mapa final'!$Y$27="Baja",'Mapa final'!$AA$27="Leve"),CONCATENATE("R3C",'Mapa final'!$O$27),"")</f>
        <v/>
      </c>
      <c r="P38" s="271" t="str">
        <f>IF(AND('Mapa final'!$Y$22="Baja",'Mapa final'!$AA$22="Menor"),CONCATENATE("R3C",'Mapa final'!$O$22),"")</f>
        <v/>
      </c>
      <c r="Q38" s="272" t="str">
        <f>IF(AND('Mapa final'!$Y$23="Baja",'Mapa final'!$AA$23="Menor"),CONCATENATE("R3C",'Mapa final'!$O$23),"")</f>
        <v/>
      </c>
      <c r="R38" s="272" t="str">
        <f>IF(AND('Mapa final'!$Y$24="Baja",'Mapa final'!$AA$24="Menor"),CONCATENATE("R3C",'Mapa final'!$O$24),"")</f>
        <v/>
      </c>
      <c r="S38" s="272" t="str">
        <f>IF(AND('Mapa final'!$Y$25="Baja",'Mapa final'!$AA$25="Menor"),CONCATENATE("R3C",'Mapa final'!$O$25),"")</f>
        <v/>
      </c>
      <c r="T38" s="272" t="str">
        <f>IF(AND('Mapa final'!$Y$26="Baja",'Mapa final'!$AA$26="Menor"),CONCATENATE("R3C",'Mapa final'!$O$26),"")</f>
        <v/>
      </c>
      <c r="U38" s="273" t="str">
        <f>IF(AND('Mapa final'!$Y$27="Baja",'Mapa final'!$AA$27="Menor"),CONCATENATE("R3C",'Mapa final'!$O$27),"")</f>
        <v/>
      </c>
      <c r="V38" s="271" t="str">
        <f>IF(AND('Mapa final'!$Y$22="Baja",'Mapa final'!$AA$22="Moderado"),CONCATENATE("R3C",'Mapa final'!$O$22),"")</f>
        <v/>
      </c>
      <c r="W38" s="272" t="str">
        <f>IF(AND('Mapa final'!$Y$23="Baja",'Mapa final'!$AA$23="Moderado"),CONCATENATE("R3C",'Mapa final'!$O$23),"")</f>
        <v/>
      </c>
      <c r="X38" s="272" t="str">
        <f>IF(AND('Mapa final'!$Y$24="Baja",'Mapa final'!$AA$24="Moderado"),CONCATENATE("R3C",'Mapa final'!$O$24),"")</f>
        <v/>
      </c>
      <c r="Y38" s="272" t="str">
        <f>IF(AND('Mapa final'!$Y$25="Baja",'Mapa final'!$AA$25="Moderado"),CONCATENATE("R3C",'Mapa final'!$O$25),"")</f>
        <v/>
      </c>
      <c r="Z38" s="272" t="str">
        <f>IF(AND('Mapa final'!$Y$26="Baja",'Mapa final'!$AA$26="Moderado"),CONCATENATE("R3C",'Mapa final'!$O$26),"")</f>
        <v/>
      </c>
      <c r="AA38" s="273" t="str">
        <f>IF(AND('Mapa final'!$Y$27="Baja",'Mapa final'!$AA$27="Moderado"),CONCATENATE("R3C",'Mapa final'!$O$27),"")</f>
        <v/>
      </c>
      <c r="AB38" s="256" t="str">
        <f>IF(AND('Mapa final'!$Y$22="Baja",'Mapa final'!$AA$22="Mayor"),CONCATENATE("R3C",'Mapa final'!$O$22),"")</f>
        <v/>
      </c>
      <c r="AC38" s="257" t="str">
        <f>IF(AND('Mapa final'!$Y$23="Baja",'Mapa final'!$AA$23="Mayor"),CONCATENATE("R3C",'Mapa final'!$O$23),"")</f>
        <v/>
      </c>
      <c r="AD38" s="257" t="str">
        <f>IF(AND('Mapa final'!$Y$24="Baja",'Mapa final'!$AA$24="Mayor"),CONCATENATE("R3C",'Mapa final'!$O$24),"")</f>
        <v/>
      </c>
      <c r="AE38" s="257" t="str">
        <f>IF(AND('Mapa final'!$Y$25="Baja",'Mapa final'!$AA$25="Mayor"),CONCATENATE("R3C",'Mapa final'!$O$25),"")</f>
        <v/>
      </c>
      <c r="AF38" s="257" t="str">
        <f>IF(AND('Mapa final'!$Y$26="Baja",'Mapa final'!$AA$26="Mayor"),CONCATENATE("R3C",'Mapa final'!$O$26),"")</f>
        <v/>
      </c>
      <c r="AG38" s="258" t="str">
        <f>IF(AND('Mapa final'!$Y$27="Baja",'Mapa final'!$AA$27="Mayor"),CONCATENATE("R3C",'Mapa final'!$O$27),"")</f>
        <v/>
      </c>
      <c r="AH38" s="259" t="str">
        <f>IF(AND('Mapa final'!$Y$22="Baja",'Mapa final'!$AA$22="Catastrófico"),CONCATENATE("R3C",'Mapa final'!$O$22),"")</f>
        <v/>
      </c>
      <c r="AI38" s="260" t="str">
        <f>IF(AND('Mapa final'!$Y$23="Baja",'Mapa final'!$AA$23="Catastrófico"),CONCATENATE("R3C",'Mapa final'!$O$23),"")</f>
        <v/>
      </c>
      <c r="AJ38" s="260" t="str">
        <f>IF(AND('Mapa final'!$Y$24="Baja",'Mapa final'!$AA$24="Catastrófico"),CONCATENATE("R3C",'Mapa final'!$O$24),"")</f>
        <v/>
      </c>
      <c r="AK38" s="260" t="str">
        <f>IF(AND('Mapa final'!$Y$25="Baja",'Mapa final'!$AA$25="Catastrófico"),CONCATENATE("R3C",'Mapa final'!$O$25),"")</f>
        <v/>
      </c>
      <c r="AL38" s="260" t="str">
        <f>IF(AND('Mapa final'!$Y$26="Baja",'Mapa final'!$AA$26="Catastrófico"),CONCATENATE("R3C",'Mapa final'!$O$26),"")</f>
        <v/>
      </c>
      <c r="AM38" s="261" t="str">
        <f>IF(AND('Mapa final'!$Y$27="Baja",'Mapa final'!$AA$27="Catastrófico"),CONCATENATE("R3C",'Mapa final'!$O$27),"")</f>
        <v/>
      </c>
      <c r="AN38" s="15"/>
      <c r="AO38" s="704"/>
      <c r="AP38" s="705"/>
      <c r="AQ38" s="705"/>
      <c r="AR38" s="705"/>
      <c r="AS38" s="705"/>
      <c r="AT38" s="70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78"/>
      <c r="C39" s="578"/>
      <c r="D39" s="579"/>
      <c r="E39" s="667"/>
      <c r="F39" s="668"/>
      <c r="G39" s="668"/>
      <c r="H39" s="668"/>
      <c r="I39" s="668"/>
      <c r="J39" s="280" t="str">
        <f>IF(AND('Mapa final'!$Y$28="Baja",'Mapa final'!$AA$28="Leve"),CONCATENATE("R4C",'Mapa final'!$O$28),"")</f>
        <v>R4C1</v>
      </c>
      <c r="K39" s="281" t="str">
        <f>IF(AND('Mapa final'!$Y$29="Baja",'Mapa final'!$AA$29="Leve"),CONCATENATE("R4C",'Mapa final'!$O$29),"")</f>
        <v/>
      </c>
      <c r="L39" s="281" t="str">
        <f>IF(AND('Mapa final'!$Y$30="Baja",'Mapa final'!$AA$30="Leve"),CONCATENATE("R4C",'Mapa final'!$O$30),"")</f>
        <v/>
      </c>
      <c r="M39" s="281" t="str">
        <f>IF(AND('Mapa final'!$Y$31="Baja",'Mapa final'!$AA$31="Leve"),CONCATENATE("R4C",'Mapa final'!$O$31),"")</f>
        <v/>
      </c>
      <c r="N39" s="281" t="str">
        <f>IF(AND('Mapa final'!$Y$32="Baja",'Mapa final'!$AA$32="Leve"),CONCATENATE("R4C",'Mapa final'!$O$32),"")</f>
        <v/>
      </c>
      <c r="O39" s="282" t="str">
        <f>IF(AND('Mapa final'!$Y$33="Baja",'Mapa final'!$AA$33="Leve"),CONCATENATE("R4C",'Mapa final'!$O$33),"")</f>
        <v/>
      </c>
      <c r="P39" s="271" t="str">
        <f>IF(AND('Mapa final'!$Y$28="Baja",'Mapa final'!$AA$28="Menor"),CONCATENATE("R4C",'Mapa final'!$O$28),"")</f>
        <v/>
      </c>
      <c r="Q39" s="272" t="str">
        <f>IF(AND('Mapa final'!$Y$29="Baja",'Mapa final'!$AA$29="Menor"),CONCATENATE("R4C",'Mapa final'!$O$29),"")</f>
        <v/>
      </c>
      <c r="R39" s="272" t="str">
        <f>IF(AND('Mapa final'!$Y$30="Baja",'Mapa final'!$AA$30="Menor"),CONCATENATE("R4C",'Mapa final'!$O$30),"")</f>
        <v/>
      </c>
      <c r="S39" s="272" t="str">
        <f>IF(AND('Mapa final'!$Y$31="Baja",'Mapa final'!$AA$31="Menor"),CONCATENATE("R4C",'Mapa final'!$O$31),"")</f>
        <v/>
      </c>
      <c r="T39" s="272" t="str">
        <f>IF(AND('Mapa final'!$Y$32="Baja",'Mapa final'!$AA$32="Menor"),CONCATENATE("R4C",'Mapa final'!$O$32),"")</f>
        <v/>
      </c>
      <c r="U39" s="273" t="str">
        <f>IF(AND('Mapa final'!$Y$33="Baja",'Mapa final'!$AA$33="Menor"),CONCATENATE("R4C",'Mapa final'!$O$33),"")</f>
        <v/>
      </c>
      <c r="V39" s="271" t="str">
        <f>IF(AND('Mapa final'!$Y$28="Baja",'Mapa final'!$AA$28="Moderado"),CONCATENATE("R4C",'Mapa final'!$O$28),"")</f>
        <v/>
      </c>
      <c r="W39" s="272" t="str">
        <f>IF(AND('Mapa final'!$Y$29="Baja",'Mapa final'!$AA$29="Moderado"),CONCATENATE("R4C",'Mapa final'!$O$29),"")</f>
        <v/>
      </c>
      <c r="X39" s="272" t="str">
        <f>IF(AND('Mapa final'!$Y$30="Baja",'Mapa final'!$AA$30="Moderado"),CONCATENATE("R4C",'Mapa final'!$O$30),"")</f>
        <v/>
      </c>
      <c r="Y39" s="272" t="str">
        <f>IF(AND('Mapa final'!$Y$31="Baja",'Mapa final'!$AA$31="Moderado"),CONCATENATE("R4C",'Mapa final'!$O$31),"")</f>
        <v/>
      </c>
      <c r="Z39" s="272" t="str">
        <f>IF(AND('Mapa final'!$Y$32="Baja",'Mapa final'!$AA$32="Moderado"),CONCATENATE("R4C",'Mapa final'!$O$32),"")</f>
        <v/>
      </c>
      <c r="AA39" s="273" t="str">
        <f>IF(AND('Mapa final'!$Y$33="Baja",'Mapa final'!$AA$33="Moderado"),CONCATENATE("R4C",'Mapa final'!$O$33),"")</f>
        <v/>
      </c>
      <c r="AB39" s="256" t="str">
        <f>IF(AND('Mapa final'!$Y$28="Baja",'Mapa final'!$AA$28="Mayor"),CONCATENATE("R4C",'Mapa final'!$O$28),"")</f>
        <v/>
      </c>
      <c r="AC39" s="257" t="str">
        <f>IF(AND('Mapa final'!$Y$29="Baja",'Mapa final'!$AA$29="Mayor"),CONCATENATE("R4C",'Mapa final'!$O$29),"")</f>
        <v/>
      </c>
      <c r="AD39" s="257" t="str">
        <f>IF(AND('Mapa final'!$Y$30="Baja",'Mapa final'!$AA$30="Mayor"),CONCATENATE("R4C",'Mapa final'!$O$30),"")</f>
        <v/>
      </c>
      <c r="AE39" s="257" t="str">
        <f>IF(AND('Mapa final'!$Y$31="Baja",'Mapa final'!$AA$31="Mayor"),CONCATENATE("R4C",'Mapa final'!$O$31),"")</f>
        <v/>
      </c>
      <c r="AF39" s="257" t="str">
        <f>IF(AND('Mapa final'!$Y$32="Baja",'Mapa final'!$AA$32="Mayor"),CONCATENATE("R4C",'Mapa final'!$O$32),"")</f>
        <v/>
      </c>
      <c r="AG39" s="258" t="str">
        <f>IF(AND('Mapa final'!$Y$33="Baja",'Mapa final'!$AA$33="Mayor"),CONCATENATE("R4C",'Mapa final'!$O$33),"")</f>
        <v/>
      </c>
      <c r="AH39" s="259" t="str">
        <f>IF(AND('Mapa final'!$Y$28="Baja",'Mapa final'!$AA$28="Catastrófico"),CONCATENATE("R4C",'Mapa final'!$O$28),"")</f>
        <v/>
      </c>
      <c r="AI39" s="260" t="str">
        <f>IF(AND('Mapa final'!$Y$29="Baja",'Mapa final'!$AA$29="Catastrófico"),CONCATENATE("R4C",'Mapa final'!$O$29),"")</f>
        <v/>
      </c>
      <c r="AJ39" s="260" t="str">
        <f>IF(AND('Mapa final'!$Y$30="Baja",'Mapa final'!$AA$30="Catastrófico"),CONCATENATE("R4C",'Mapa final'!$O$30),"")</f>
        <v/>
      </c>
      <c r="AK39" s="260" t="str">
        <f>IF(AND('Mapa final'!$Y$31="Baja",'Mapa final'!$AA$31="Catastrófico"),CONCATENATE("R4C",'Mapa final'!$O$31),"")</f>
        <v/>
      </c>
      <c r="AL39" s="260" t="str">
        <f>IF(AND('Mapa final'!$Y$32="Baja",'Mapa final'!$AA$32="Catastrófico"),CONCATENATE("R4C",'Mapa final'!$O$32),"")</f>
        <v/>
      </c>
      <c r="AM39" s="261" t="str">
        <f>IF(AND('Mapa final'!$Y$33="Baja",'Mapa final'!$AA$33="Catastrófico"),CONCATENATE("R4C",'Mapa final'!$O$33),"")</f>
        <v/>
      </c>
      <c r="AN39" s="15"/>
      <c r="AO39" s="704"/>
      <c r="AP39" s="705"/>
      <c r="AQ39" s="705"/>
      <c r="AR39" s="705"/>
      <c r="AS39" s="705"/>
      <c r="AT39" s="70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78"/>
      <c r="C40" s="578"/>
      <c r="D40" s="579"/>
      <c r="E40" s="667"/>
      <c r="F40" s="668"/>
      <c r="G40" s="668"/>
      <c r="H40" s="668"/>
      <c r="I40" s="668"/>
      <c r="J40" s="280" t="str">
        <f>IF(AND('Mapa final'!$Y$34="Baja",'Mapa final'!$AA$34="Leve"),CONCATENATE("R5C",'Mapa final'!$O$34),"")</f>
        <v/>
      </c>
      <c r="K40" s="281" t="str">
        <f>IF(AND('Mapa final'!$Y$35="Baja",'Mapa final'!$AA$35="Leve"),CONCATENATE("R5C",'Mapa final'!$O$35),"")</f>
        <v/>
      </c>
      <c r="L40" s="281" t="str">
        <f>IF(AND('Mapa final'!$Y$36="Baja",'Mapa final'!$AA$36="Leve"),CONCATENATE("R5C",'Mapa final'!$O$36),"")</f>
        <v/>
      </c>
      <c r="M40" s="281" t="str">
        <f>IF(AND('Mapa final'!$Y$37="Baja",'Mapa final'!$AA$37="Leve"),CONCATENATE("R5C",'Mapa final'!$O$37),"")</f>
        <v/>
      </c>
      <c r="N40" s="281" t="str">
        <f>IF(AND('Mapa final'!$Y$38="Baja",'Mapa final'!$AA$38="Leve"),CONCATENATE("R5C",'Mapa final'!$O$38),"")</f>
        <v/>
      </c>
      <c r="O40" s="282" t="str">
        <f>IF(AND('Mapa final'!$Y$39="Baja",'Mapa final'!$AA$39="Leve"),CONCATENATE("R5C",'Mapa final'!$O$39),"")</f>
        <v/>
      </c>
      <c r="P40" s="271" t="str">
        <f>IF(AND('Mapa final'!$Y$34="Baja",'Mapa final'!$AA$34="Menor"),CONCATENATE("R5C",'Mapa final'!$O$34),"")</f>
        <v/>
      </c>
      <c r="Q40" s="272" t="str">
        <f>IF(AND('Mapa final'!$Y$35="Baja",'Mapa final'!$AA$35="Menor"),CONCATENATE("R5C",'Mapa final'!$O$35),"")</f>
        <v/>
      </c>
      <c r="R40" s="272" t="str">
        <f>IF(AND('Mapa final'!$Y$36="Baja",'Mapa final'!$AA$36="Menor"),CONCATENATE("R5C",'Mapa final'!$O$36),"")</f>
        <v/>
      </c>
      <c r="S40" s="272" t="str">
        <f>IF(AND('Mapa final'!$Y$37="Baja",'Mapa final'!$AA$37="Menor"),CONCATENATE("R5C",'Mapa final'!$O$37),"")</f>
        <v/>
      </c>
      <c r="T40" s="272" t="str">
        <f>IF(AND('Mapa final'!$Y$38="Baja",'Mapa final'!$AA$38="Menor"),CONCATENATE("R5C",'Mapa final'!$O$38),"")</f>
        <v/>
      </c>
      <c r="U40" s="273" t="str">
        <f>IF(AND('Mapa final'!$Y$39="Baja",'Mapa final'!$AA$39="Menor"),CONCATENATE("R5C",'Mapa final'!$O$39),"")</f>
        <v/>
      </c>
      <c r="V40" s="271" t="str">
        <f>IF(AND('Mapa final'!$Y$34="Baja",'Mapa final'!$AA$34="Moderado"),CONCATENATE("R5C",'Mapa final'!$O$34),"")</f>
        <v/>
      </c>
      <c r="W40" s="272" t="str">
        <f>IF(AND('Mapa final'!$Y$35="Baja",'Mapa final'!$AA$35="Moderado"),CONCATENATE("R5C",'Mapa final'!$O$35),"")</f>
        <v/>
      </c>
      <c r="X40" s="272" t="str">
        <f>IF(AND('Mapa final'!$Y$36="Baja",'Mapa final'!$AA$36="Moderado"),CONCATENATE("R5C",'Mapa final'!$O$36),"")</f>
        <v/>
      </c>
      <c r="Y40" s="272" t="str">
        <f>IF(AND('Mapa final'!$Y$37="Baja",'Mapa final'!$AA$37="Moderado"),CONCATENATE("R5C",'Mapa final'!$O$37),"")</f>
        <v/>
      </c>
      <c r="Z40" s="272" t="str">
        <f>IF(AND('Mapa final'!$Y$38="Baja",'Mapa final'!$AA$38="Moderado"),CONCATENATE("R5C",'Mapa final'!$O$38),"")</f>
        <v/>
      </c>
      <c r="AA40" s="273" t="str">
        <f>IF(AND('Mapa final'!$Y$39="Baja",'Mapa final'!$AA$39="Moderado"),CONCATENATE("R5C",'Mapa final'!$O$39),"")</f>
        <v/>
      </c>
      <c r="AB40" s="256" t="str">
        <f>IF(AND('Mapa final'!$Y$34="Baja",'Mapa final'!$AA$34="Mayor"),CONCATENATE("R5C",'Mapa final'!$O$34),"")</f>
        <v/>
      </c>
      <c r="AC40" s="257" t="str">
        <f>IF(AND('Mapa final'!$Y$35="Baja",'Mapa final'!$AA$35="Mayor"),CONCATENATE("R5C",'Mapa final'!$O$35),"")</f>
        <v/>
      </c>
      <c r="AD40" s="257" t="str">
        <f>IF(AND('Mapa final'!$Y$36="Baja",'Mapa final'!$AA$36="Mayor"),CONCATENATE("R5C",'Mapa final'!$O$36),"")</f>
        <v/>
      </c>
      <c r="AE40" s="257" t="str">
        <f>IF(AND('Mapa final'!$Y$37="Baja",'Mapa final'!$AA$37="Mayor"),CONCATENATE("R5C",'Mapa final'!$O$37),"")</f>
        <v/>
      </c>
      <c r="AF40" s="257" t="str">
        <f>IF(AND('Mapa final'!$Y$38="Baja",'Mapa final'!$AA$38="Mayor"),CONCATENATE("R5C",'Mapa final'!$O$38),"")</f>
        <v/>
      </c>
      <c r="AG40" s="258" t="str">
        <f>IF(AND('Mapa final'!$Y$39="Baja",'Mapa final'!$AA$39="Mayor"),CONCATENATE("R5C",'Mapa final'!$O$39),"")</f>
        <v/>
      </c>
      <c r="AH40" s="259" t="str">
        <f>IF(AND('Mapa final'!$Y$34="Baja",'Mapa final'!$AA$34="Catastrófico"),CONCATENATE("R5C",'Mapa final'!$O$34),"")</f>
        <v/>
      </c>
      <c r="AI40" s="260" t="str">
        <f>IF(AND('Mapa final'!$Y$35="Baja",'Mapa final'!$AA$35="Catastrófico"),CONCATENATE("R5C",'Mapa final'!$O$35),"")</f>
        <v/>
      </c>
      <c r="AJ40" s="260" t="str">
        <f>IF(AND('Mapa final'!$Y$36="Baja",'Mapa final'!$AA$36="Catastrófico"),CONCATENATE("R5C",'Mapa final'!$O$36),"")</f>
        <v/>
      </c>
      <c r="AK40" s="260" t="str">
        <f>IF(AND('Mapa final'!$Y$37="Baja",'Mapa final'!$AA$37="Catastrófico"),CONCATENATE("R5C",'Mapa final'!$O$37),"")</f>
        <v/>
      </c>
      <c r="AL40" s="260" t="str">
        <f>IF(AND('Mapa final'!$Y$38="Baja",'Mapa final'!$AA$38="Catastrófico"),CONCATENATE("R5C",'Mapa final'!$O$38),"")</f>
        <v/>
      </c>
      <c r="AM40" s="261" t="str">
        <f>IF(AND('Mapa final'!$Y$39="Baja",'Mapa final'!$AA$39="Catastrófico"),CONCATENATE("R5C",'Mapa final'!$O$39),"")</f>
        <v/>
      </c>
      <c r="AN40" s="15"/>
      <c r="AO40" s="704"/>
      <c r="AP40" s="705"/>
      <c r="AQ40" s="705"/>
      <c r="AR40" s="705"/>
      <c r="AS40" s="705"/>
      <c r="AT40" s="70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78"/>
      <c r="C41" s="578"/>
      <c r="D41" s="579"/>
      <c r="E41" s="667"/>
      <c r="F41" s="668"/>
      <c r="G41" s="668"/>
      <c r="H41" s="668"/>
      <c r="I41" s="668"/>
      <c r="J41" s="280" t="str">
        <f>IF(AND('Mapa final'!$Y$40="Baja",'Mapa final'!$AA$40="Leve"),CONCATENATE("R6C",'Mapa final'!$O$40),"")</f>
        <v/>
      </c>
      <c r="K41" s="281" t="str">
        <f>IF(AND('Mapa final'!$Y$41="Baja",'Mapa final'!$AA$41="Leve"),CONCATENATE("R6C",'Mapa final'!$O$41),"")</f>
        <v/>
      </c>
      <c r="L41" s="281" t="str">
        <f>IF(AND('Mapa final'!$Y$42="Baja",'Mapa final'!$AA$42="Leve"),CONCATENATE("R6C",'Mapa final'!$O$42),"")</f>
        <v/>
      </c>
      <c r="M41" s="281" t="str">
        <f>IF(AND('Mapa final'!$Y$43="Baja",'Mapa final'!$AA$43="Leve"),CONCATENATE("R6C",'Mapa final'!$O$43),"")</f>
        <v/>
      </c>
      <c r="N41" s="281" t="str">
        <f>IF(AND('Mapa final'!$Y$44="Baja",'Mapa final'!$AA$44="Leve"),CONCATENATE("R6C",'Mapa final'!$O$44),"")</f>
        <v/>
      </c>
      <c r="O41" s="282" t="str">
        <f>IF(AND('Mapa final'!$Y$45="Baja",'Mapa final'!$AA$45="Leve"),CONCATENATE("R6C",'Mapa final'!$O$45),"")</f>
        <v/>
      </c>
      <c r="P41" s="271" t="str">
        <f>IF(AND('Mapa final'!$Y$40="Baja",'Mapa final'!$AA$40="Menor"),CONCATENATE("R6C",'Mapa final'!$O$40),"")</f>
        <v/>
      </c>
      <c r="Q41" s="272" t="str">
        <f>IF(AND('Mapa final'!$Y$41="Baja",'Mapa final'!$AA$41="Menor"),CONCATENATE("R6C",'Mapa final'!$O$41),"")</f>
        <v/>
      </c>
      <c r="R41" s="272" t="str">
        <f>IF(AND('Mapa final'!$Y$42="Baja",'Mapa final'!$AA$42="Menor"),CONCATENATE("R6C",'Mapa final'!$O$42),"")</f>
        <v/>
      </c>
      <c r="S41" s="272" t="str">
        <f>IF(AND('Mapa final'!$Y$43="Baja",'Mapa final'!$AA$43="Menor"),CONCATENATE("R6C",'Mapa final'!$O$43),"")</f>
        <v/>
      </c>
      <c r="T41" s="272" t="str">
        <f>IF(AND('Mapa final'!$Y$44="Baja",'Mapa final'!$AA$44="Menor"),CONCATENATE("R6C",'Mapa final'!$O$44),"")</f>
        <v/>
      </c>
      <c r="U41" s="273" t="str">
        <f>IF(AND('Mapa final'!$Y$45="Baja",'Mapa final'!$AA$45="Menor"),CONCATENATE("R6C",'Mapa final'!$O$45),"")</f>
        <v/>
      </c>
      <c r="V41" s="271" t="str">
        <f>IF(AND('Mapa final'!$Y$40="Baja",'Mapa final'!$AA$40="Moderado"),CONCATENATE("R6C",'Mapa final'!$O$40),"")</f>
        <v/>
      </c>
      <c r="W41" s="272" t="str">
        <f>IF(AND('Mapa final'!$Y$41="Baja",'Mapa final'!$AA$41="Moderado"),CONCATENATE("R6C",'Mapa final'!$O$41),"")</f>
        <v/>
      </c>
      <c r="X41" s="272" t="str">
        <f>IF(AND('Mapa final'!$Y$42="Baja",'Mapa final'!$AA$42="Moderado"),CONCATENATE("R6C",'Mapa final'!$O$42),"")</f>
        <v/>
      </c>
      <c r="Y41" s="272" t="str">
        <f>IF(AND('Mapa final'!$Y$43="Baja",'Mapa final'!$AA$43="Moderado"),CONCATENATE("R6C",'Mapa final'!$O$43),"")</f>
        <v/>
      </c>
      <c r="Z41" s="272" t="str">
        <f>IF(AND('Mapa final'!$Y$44="Baja",'Mapa final'!$AA$44="Moderado"),CONCATENATE("R6C",'Mapa final'!$O$44),"")</f>
        <v/>
      </c>
      <c r="AA41" s="273" t="str">
        <f>IF(AND('Mapa final'!$Y$45="Baja",'Mapa final'!$AA$45="Moderado"),CONCATENATE("R6C",'Mapa final'!$O$45),"")</f>
        <v/>
      </c>
      <c r="AB41" s="256" t="str">
        <f>IF(AND('Mapa final'!$Y$40="Baja",'Mapa final'!$AA$40="Mayor"),CONCATENATE("R6C",'Mapa final'!$O$40),"")</f>
        <v/>
      </c>
      <c r="AC41" s="257" t="str">
        <f>IF(AND('Mapa final'!$Y$41="Baja",'Mapa final'!$AA$41="Mayor"),CONCATENATE("R6C",'Mapa final'!$O$41),"")</f>
        <v/>
      </c>
      <c r="AD41" s="257" t="str">
        <f>IF(AND('Mapa final'!$Y$42="Baja",'Mapa final'!$AA$42="Mayor"),CONCATENATE("R6C",'Mapa final'!$O$42),"")</f>
        <v/>
      </c>
      <c r="AE41" s="257" t="str">
        <f>IF(AND('Mapa final'!$Y$43="Baja",'Mapa final'!$AA$43="Mayor"),CONCATENATE("R6C",'Mapa final'!$O$43),"")</f>
        <v/>
      </c>
      <c r="AF41" s="257" t="str">
        <f>IF(AND('Mapa final'!$Y$44="Baja",'Mapa final'!$AA$44="Mayor"),CONCATENATE("R6C",'Mapa final'!$O$44),"")</f>
        <v/>
      </c>
      <c r="AG41" s="258" t="str">
        <f>IF(AND('Mapa final'!$Y$45="Baja",'Mapa final'!$AA$45="Mayor"),CONCATENATE("R6C",'Mapa final'!$O$45),"")</f>
        <v/>
      </c>
      <c r="AH41" s="259" t="str">
        <f>IF(AND('Mapa final'!$Y$40="Baja",'Mapa final'!$AA$40="Catastrófico"),CONCATENATE("R6C",'Mapa final'!$O$40),"")</f>
        <v/>
      </c>
      <c r="AI41" s="260" t="str">
        <f>IF(AND('Mapa final'!$Y$41="Baja",'Mapa final'!$AA$41="Catastrófico"),CONCATENATE("R6C",'Mapa final'!$O$41),"")</f>
        <v/>
      </c>
      <c r="AJ41" s="260" t="str">
        <f>IF(AND('Mapa final'!$Y$42="Baja",'Mapa final'!$AA$42="Catastrófico"),CONCATENATE("R6C",'Mapa final'!$O$42),"")</f>
        <v/>
      </c>
      <c r="AK41" s="260" t="str">
        <f>IF(AND('Mapa final'!$Y$43="Baja",'Mapa final'!$AA$43="Catastrófico"),CONCATENATE("R6C",'Mapa final'!$O$43),"")</f>
        <v/>
      </c>
      <c r="AL41" s="260" t="str">
        <f>IF(AND('Mapa final'!$Y$44="Baja",'Mapa final'!$AA$44="Catastrófico"),CONCATENATE("R6C",'Mapa final'!$O$44),"")</f>
        <v/>
      </c>
      <c r="AM41" s="261" t="str">
        <f>IF(AND('Mapa final'!$Y$45="Baja",'Mapa final'!$AA$45="Catastrófico"),CONCATENATE("R6C",'Mapa final'!$O$45),"")</f>
        <v/>
      </c>
      <c r="AN41" s="15"/>
      <c r="AO41" s="704"/>
      <c r="AP41" s="705"/>
      <c r="AQ41" s="705"/>
      <c r="AR41" s="705"/>
      <c r="AS41" s="705"/>
      <c r="AT41" s="70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78"/>
      <c r="C42" s="578"/>
      <c r="D42" s="579"/>
      <c r="E42" s="667"/>
      <c r="F42" s="668"/>
      <c r="G42" s="668"/>
      <c r="H42" s="668"/>
      <c r="I42" s="668"/>
      <c r="J42" s="280" t="str">
        <f>IF(AND('Mapa final'!$Y$46="Baja",'Mapa final'!$AA$46="Leve"),CONCATENATE("R7C",'Mapa final'!$O$46),"")</f>
        <v/>
      </c>
      <c r="K42" s="281" t="str">
        <f>IF(AND('Mapa final'!$Y$47="Baja",'Mapa final'!$AA$47="Leve"),CONCATENATE("R7C",'Mapa final'!$O$47),"")</f>
        <v/>
      </c>
      <c r="L42" s="281" t="str">
        <f>IF(AND('Mapa final'!$Y$48="Baja",'Mapa final'!$AA$48="Leve"),CONCATENATE("R7C",'Mapa final'!$O$48),"")</f>
        <v/>
      </c>
      <c r="M42" s="281" t="str">
        <f>IF(AND('Mapa final'!$Y$49="Baja",'Mapa final'!$AA$49="Leve"),CONCATENATE("R7C",'Mapa final'!$O$49),"")</f>
        <v/>
      </c>
      <c r="N42" s="281" t="str">
        <f>IF(AND('Mapa final'!$Y$50="Baja",'Mapa final'!$AA$50="Leve"),CONCATENATE("R7C",'Mapa final'!$O$50),"")</f>
        <v/>
      </c>
      <c r="O42" s="282" t="str">
        <f>IF(AND('Mapa final'!$Y$51="Baja",'Mapa final'!$AA$51="Leve"),CONCATENATE("R7C",'Mapa final'!$O$51),"")</f>
        <v/>
      </c>
      <c r="P42" s="271" t="str">
        <f>IF(AND('Mapa final'!$Y$46="Baja",'Mapa final'!$AA$46="Menor"),CONCATENATE("R7C",'Mapa final'!$O$46),"")</f>
        <v/>
      </c>
      <c r="Q42" s="272" t="str">
        <f>IF(AND('Mapa final'!$Y$47="Baja",'Mapa final'!$AA$47="Menor"),CONCATENATE("R7C",'Mapa final'!$O$47),"")</f>
        <v/>
      </c>
      <c r="R42" s="272" t="str">
        <f>IF(AND('Mapa final'!$Y$48="Baja",'Mapa final'!$AA$48="Menor"),CONCATENATE("R7C",'Mapa final'!$O$48),"")</f>
        <v/>
      </c>
      <c r="S42" s="272" t="str">
        <f>IF(AND('Mapa final'!$Y$49="Baja",'Mapa final'!$AA$49="Menor"),CONCATENATE("R7C",'Mapa final'!$O$49),"")</f>
        <v/>
      </c>
      <c r="T42" s="272" t="str">
        <f>IF(AND('Mapa final'!$Y$50="Baja",'Mapa final'!$AA$50="Menor"),CONCATENATE("R7C",'Mapa final'!$O$50),"")</f>
        <v/>
      </c>
      <c r="U42" s="273" t="str">
        <f>IF(AND('Mapa final'!$Y$51="Baja",'Mapa final'!$AA$51="Menor"),CONCATENATE("R7C",'Mapa final'!$O$51),"")</f>
        <v/>
      </c>
      <c r="V42" s="271" t="str">
        <f>IF(AND('Mapa final'!$Y$46="Baja",'Mapa final'!$AA$46="Moderado"),CONCATENATE("R7C",'Mapa final'!$O$46),"")</f>
        <v/>
      </c>
      <c r="W42" s="272" t="str">
        <f>IF(AND('Mapa final'!$Y$47="Baja",'Mapa final'!$AA$47="Moderado"),CONCATENATE("R7C",'Mapa final'!$O$47),"")</f>
        <v/>
      </c>
      <c r="X42" s="272" t="str">
        <f>IF(AND('Mapa final'!$Y$48="Baja",'Mapa final'!$AA$48="Moderado"),CONCATENATE("R7C",'Mapa final'!$O$48),"")</f>
        <v/>
      </c>
      <c r="Y42" s="272" t="str">
        <f>IF(AND('Mapa final'!$Y$49="Baja",'Mapa final'!$AA$49="Moderado"),CONCATENATE("R7C",'Mapa final'!$O$49),"")</f>
        <v/>
      </c>
      <c r="Z42" s="272" t="str">
        <f>IF(AND('Mapa final'!$Y$50="Baja",'Mapa final'!$AA$50="Moderado"),CONCATENATE("R7C",'Mapa final'!$O$50),"")</f>
        <v/>
      </c>
      <c r="AA42" s="273" t="str">
        <f>IF(AND('Mapa final'!$Y$51="Baja",'Mapa final'!$AA$51="Moderado"),CONCATENATE("R7C",'Mapa final'!$O$51),"")</f>
        <v/>
      </c>
      <c r="AB42" s="256" t="str">
        <f>IF(AND('Mapa final'!$Y$46="Baja",'Mapa final'!$AA$46="Mayor"),CONCATENATE("R7C",'Mapa final'!$O$46),"")</f>
        <v/>
      </c>
      <c r="AC42" s="257" t="str">
        <f>IF(AND('Mapa final'!$Y$47="Baja",'Mapa final'!$AA$47="Mayor"),CONCATENATE("R7C",'Mapa final'!$O$47),"")</f>
        <v/>
      </c>
      <c r="AD42" s="257" t="str">
        <f>IF(AND('Mapa final'!$Y$48="Baja",'Mapa final'!$AA$48="Mayor"),CONCATENATE("R7C",'Mapa final'!$O$48),"")</f>
        <v/>
      </c>
      <c r="AE42" s="257" t="str">
        <f>IF(AND('Mapa final'!$Y$49="Baja",'Mapa final'!$AA$49="Mayor"),CONCATENATE("R7C",'Mapa final'!$O$49),"")</f>
        <v/>
      </c>
      <c r="AF42" s="257" t="str">
        <f>IF(AND('Mapa final'!$Y$50="Baja",'Mapa final'!$AA$50="Mayor"),CONCATENATE("R7C",'Mapa final'!$O$50),"")</f>
        <v/>
      </c>
      <c r="AG42" s="258" t="str">
        <f>IF(AND('Mapa final'!$Y$51="Baja",'Mapa final'!$AA$51="Mayor"),CONCATENATE("R7C",'Mapa final'!$O$51),"")</f>
        <v/>
      </c>
      <c r="AH42" s="259" t="str">
        <f>IF(AND('Mapa final'!$Y$46="Baja",'Mapa final'!$AA$46="Catastrófico"),CONCATENATE("R7C",'Mapa final'!$O$46),"")</f>
        <v/>
      </c>
      <c r="AI42" s="260" t="str">
        <f>IF(AND('Mapa final'!$Y$47="Baja",'Mapa final'!$AA$47="Catastrófico"),CONCATENATE("R7C",'Mapa final'!$O$47),"")</f>
        <v/>
      </c>
      <c r="AJ42" s="260" t="str">
        <f>IF(AND('Mapa final'!$Y$48="Baja",'Mapa final'!$AA$48="Catastrófico"),CONCATENATE("R7C",'Mapa final'!$O$48),"")</f>
        <v/>
      </c>
      <c r="AK42" s="260" t="str">
        <f>IF(AND('Mapa final'!$Y$49="Baja",'Mapa final'!$AA$49="Catastrófico"),CONCATENATE("R7C",'Mapa final'!$O$49),"")</f>
        <v/>
      </c>
      <c r="AL42" s="260" t="str">
        <f>IF(AND('Mapa final'!$Y$50="Baja",'Mapa final'!$AA$50="Catastrófico"),CONCATENATE("R7C",'Mapa final'!$O$50),"")</f>
        <v/>
      </c>
      <c r="AM42" s="261" t="str">
        <f>IF(AND('Mapa final'!$Y$51="Baja",'Mapa final'!$AA$51="Catastrófico"),CONCATENATE("R7C",'Mapa final'!$O$51),"")</f>
        <v/>
      </c>
      <c r="AN42" s="15"/>
      <c r="AO42" s="704"/>
      <c r="AP42" s="705"/>
      <c r="AQ42" s="705"/>
      <c r="AR42" s="705"/>
      <c r="AS42" s="705"/>
      <c r="AT42" s="70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78"/>
      <c r="C43" s="578"/>
      <c r="D43" s="579"/>
      <c r="E43" s="667"/>
      <c r="F43" s="668"/>
      <c r="G43" s="668"/>
      <c r="H43" s="668"/>
      <c r="I43" s="668"/>
      <c r="J43" s="280" t="str">
        <f>IF(AND('Mapa final'!$Y$52="Baja",'Mapa final'!$AA$52="Leve"),CONCATENATE("R8C",'Mapa final'!$O$52),"")</f>
        <v/>
      </c>
      <c r="K43" s="281" t="str">
        <f>IF(AND('Mapa final'!$Y$53="Baja",'Mapa final'!$AA$53="Leve"),CONCATENATE("R8C",'Mapa final'!$O$53),"")</f>
        <v/>
      </c>
      <c r="L43" s="281" t="str">
        <f>IF(AND('Mapa final'!$Y$54="Baja",'Mapa final'!$AA$54="Leve"),CONCATENATE("R8C",'Mapa final'!$O$54),"")</f>
        <v/>
      </c>
      <c r="M43" s="281" t="str">
        <f>IF(AND('Mapa final'!$Y$55="Baja",'Mapa final'!$AA$55="Leve"),CONCATENATE("R8C",'Mapa final'!$O$55),"")</f>
        <v/>
      </c>
      <c r="N43" s="281" t="str">
        <f>IF(AND('Mapa final'!$Y$56="Baja",'Mapa final'!$AA$56="Leve"),CONCATENATE("R8C",'Mapa final'!$O$56),"")</f>
        <v/>
      </c>
      <c r="O43" s="282" t="str">
        <f>IF(AND('Mapa final'!$Y$57="Baja",'Mapa final'!$AA$57="Leve"),CONCATENATE("R8C",'Mapa final'!$O$57),"")</f>
        <v/>
      </c>
      <c r="P43" s="271" t="str">
        <f>IF(AND('Mapa final'!$Y$52="Baja",'Mapa final'!$AA$52="Menor"),CONCATENATE("R8C",'Mapa final'!$O$52),"")</f>
        <v/>
      </c>
      <c r="Q43" s="272" t="str">
        <f>IF(AND('Mapa final'!$Y$53="Baja",'Mapa final'!$AA$53="Menor"),CONCATENATE("R8C",'Mapa final'!$O$53),"")</f>
        <v/>
      </c>
      <c r="R43" s="272" t="str">
        <f>IF(AND('Mapa final'!$Y$54="Baja",'Mapa final'!$AA$54="Menor"),CONCATENATE("R8C",'Mapa final'!$O$54),"")</f>
        <v/>
      </c>
      <c r="S43" s="272" t="str">
        <f>IF(AND('Mapa final'!$Y$55="Baja",'Mapa final'!$AA$55="Menor"),CONCATENATE("R8C",'Mapa final'!$O$55),"")</f>
        <v/>
      </c>
      <c r="T43" s="272" t="str">
        <f>IF(AND('Mapa final'!$Y$56="Baja",'Mapa final'!$AA$56="Menor"),CONCATENATE("R8C",'Mapa final'!$O$56),"")</f>
        <v/>
      </c>
      <c r="U43" s="273" t="str">
        <f>IF(AND('Mapa final'!$Y$57="Baja",'Mapa final'!$AA$57="Menor"),CONCATENATE("R8C",'Mapa final'!$O$57),"")</f>
        <v/>
      </c>
      <c r="V43" s="271" t="str">
        <f>IF(AND('Mapa final'!$Y$52="Baja",'Mapa final'!$AA$52="Moderado"),CONCATENATE("R8C",'Mapa final'!$O$52),"")</f>
        <v/>
      </c>
      <c r="W43" s="272" t="str">
        <f>IF(AND('Mapa final'!$Y$53="Baja",'Mapa final'!$AA$53="Moderado"),CONCATENATE("R8C",'Mapa final'!$O$53),"")</f>
        <v/>
      </c>
      <c r="X43" s="272" t="str">
        <f>IF(AND('Mapa final'!$Y$54="Baja",'Mapa final'!$AA$54="Moderado"),CONCATENATE("R8C",'Mapa final'!$O$54),"")</f>
        <v/>
      </c>
      <c r="Y43" s="272" t="str">
        <f>IF(AND('Mapa final'!$Y$55="Baja",'Mapa final'!$AA$55="Moderado"),CONCATENATE("R8C",'Mapa final'!$O$55),"")</f>
        <v/>
      </c>
      <c r="Z43" s="272" t="str">
        <f>IF(AND('Mapa final'!$Y$56="Baja",'Mapa final'!$AA$56="Moderado"),CONCATENATE("R8C",'Mapa final'!$O$56),"")</f>
        <v/>
      </c>
      <c r="AA43" s="273" t="str">
        <f>IF(AND('Mapa final'!$Y$57="Baja",'Mapa final'!$AA$57="Moderado"),CONCATENATE("R8C",'Mapa final'!$O$57),"")</f>
        <v/>
      </c>
      <c r="AB43" s="256" t="str">
        <f>IF(AND('Mapa final'!$Y$52="Baja",'Mapa final'!$AA$52="Mayor"),CONCATENATE("R8C",'Mapa final'!$O$52),"")</f>
        <v/>
      </c>
      <c r="AC43" s="257" t="str">
        <f>IF(AND('Mapa final'!$Y$53="Baja",'Mapa final'!$AA$53="Mayor"),CONCATENATE("R8C",'Mapa final'!$O$53),"")</f>
        <v/>
      </c>
      <c r="AD43" s="257" t="str">
        <f>IF(AND('Mapa final'!$Y$54="Baja",'Mapa final'!$AA$54="Mayor"),CONCATENATE("R8C",'Mapa final'!$O$54),"")</f>
        <v/>
      </c>
      <c r="AE43" s="257" t="str">
        <f>IF(AND('Mapa final'!$Y$55="Baja",'Mapa final'!$AA$55="Mayor"),CONCATENATE("R8C",'Mapa final'!$O$55),"")</f>
        <v/>
      </c>
      <c r="AF43" s="257" t="str">
        <f>IF(AND('Mapa final'!$Y$56="Baja",'Mapa final'!$AA$56="Mayor"),CONCATENATE("R8C",'Mapa final'!$O$56),"")</f>
        <v/>
      </c>
      <c r="AG43" s="258" t="str">
        <f>IF(AND('Mapa final'!$Y$57="Baja",'Mapa final'!$AA$57="Mayor"),CONCATENATE("R8C",'Mapa final'!$O$57),"")</f>
        <v/>
      </c>
      <c r="AH43" s="259" t="str">
        <f>IF(AND('Mapa final'!$Y$52="Baja",'Mapa final'!$AA$52="Catastrófico"),CONCATENATE("R8C",'Mapa final'!$O$52),"")</f>
        <v/>
      </c>
      <c r="AI43" s="260" t="str">
        <f>IF(AND('Mapa final'!$Y$53="Baja",'Mapa final'!$AA$53="Catastrófico"),CONCATENATE("R8C",'Mapa final'!$O$53),"")</f>
        <v/>
      </c>
      <c r="AJ43" s="260" t="str">
        <f>IF(AND('Mapa final'!$Y$54="Baja",'Mapa final'!$AA$54="Catastrófico"),CONCATENATE("R8C",'Mapa final'!$O$54),"")</f>
        <v/>
      </c>
      <c r="AK43" s="260" t="str">
        <f>IF(AND('Mapa final'!$Y$55="Baja",'Mapa final'!$AA$55="Catastrófico"),CONCATENATE("R8C",'Mapa final'!$O$55),"")</f>
        <v/>
      </c>
      <c r="AL43" s="260" t="str">
        <f>IF(AND('Mapa final'!$Y$56="Baja",'Mapa final'!$AA$56="Catastrófico"),CONCATENATE("R8C",'Mapa final'!$O$56),"")</f>
        <v/>
      </c>
      <c r="AM43" s="261" t="str">
        <f>IF(AND('Mapa final'!$Y$57="Baja",'Mapa final'!$AA$57="Catastrófico"),CONCATENATE("R8C",'Mapa final'!$O$57),"")</f>
        <v/>
      </c>
      <c r="AN43" s="15"/>
      <c r="AO43" s="704"/>
      <c r="AP43" s="705"/>
      <c r="AQ43" s="705"/>
      <c r="AR43" s="705"/>
      <c r="AS43" s="705"/>
      <c r="AT43" s="70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78"/>
      <c r="C44" s="578"/>
      <c r="D44" s="579"/>
      <c r="E44" s="667"/>
      <c r="F44" s="668"/>
      <c r="G44" s="668"/>
      <c r="H44" s="668"/>
      <c r="I44" s="668"/>
      <c r="J44" s="280" t="str">
        <f>IF(AND('Mapa final'!$Y$58="Baja",'Mapa final'!$AA$58="Leve"),CONCATENATE("R9C",'Mapa final'!$O$58),"")</f>
        <v/>
      </c>
      <c r="K44" s="281" t="str">
        <f>IF(AND('Mapa final'!$Y$59="Baja",'Mapa final'!$AA$59="Leve"),CONCATENATE("R9C",'Mapa final'!$O$59),"")</f>
        <v/>
      </c>
      <c r="L44" s="281" t="str">
        <f>IF(AND('Mapa final'!$Y$60="Baja",'Mapa final'!$AA$60="Leve"),CONCATENATE("R9C",'Mapa final'!$O$60),"")</f>
        <v/>
      </c>
      <c r="M44" s="281" t="str">
        <f>IF(AND('Mapa final'!$Y$61="Baja",'Mapa final'!$AA$61="Leve"),CONCATENATE("R9C",'Mapa final'!$O$61),"")</f>
        <v/>
      </c>
      <c r="N44" s="281" t="str">
        <f>IF(AND('Mapa final'!$Y$62="Baja",'Mapa final'!$AA$62="Leve"),CONCATENATE("R9C",'Mapa final'!$O$62),"")</f>
        <v/>
      </c>
      <c r="O44" s="282" t="str">
        <f>IF(AND('Mapa final'!$Y$63="Baja",'Mapa final'!$AA$63="Leve"),CONCATENATE("R9C",'Mapa final'!$O$63),"")</f>
        <v/>
      </c>
      <c r="P44" s="271" t="str">
        <f>IF(AND('Mapa final'!$Y$58="Baja",'Mapa final'!$AA$58="Menor"),CONCATENATE("R9C",'Mapa final'!$O$58),"")</f>
        <v/>
      </c>
      <c r="Q44" s="272" t="str">
        <f>IF(AND('Mapa final'!$Y$59="Baja",'Mapa final'!$AA$59="Menor"),CONCATENATE("R9C",'Mapa final'!$O$59),"")</f>
        <v/>
      </c>
      <c r="R44" s="272" t="str">
        <f>IF(AND('Mapa final'!$Y$60="Baja",'Mapa final'!$AA$60="Menor"),CONCATENATE("R9C",'Mapa final'!$O$60),"")</f>
        <v/>
      </c>
      <c r="S44" s="272" t="str">
        <f>IF(AND('Mapa final'!$Y$61="Baja",'Mapa final'!$AA$61="Menor"),CONCATENATE("R9C",'Mapa final'!$O$61),"")</f>
        <v/>
      </c>
      <c r="T44" s="272" t="str">
        <f>IF(AND('Mapa final'!$Y$62="Baja",'Mapa final'!$AA$62="Menor"),CONCATENATE("R9C",'Mapa final'!$O$62),"")</f>
        <v/>
      </c>
      <c r="U44" s="273" t="str">
        <f>IF(AND('Mapa final'!$Y$63="Baja",'Mapa final'!$AA$63="Menor"),CONCATENATE("R9C",'Mapa final'!$O$63),"")</f>
        <v/>
      </c>
      <c r="V44" s="271" t="str">
        <f>IF(AND('Mapa final'!$Y$58="Baja",'Mapa final'!$AA$58="Moderado"),CONCATENATE("R9C",'Mapa final'!$O$58),"")</f>
        <v/>
      </c>
      <c r="W44" s="272" t="str">
        <f>IF(AND('Mapa final'!$Y$59="Baja",'Mapa final'!$AA$59="Moderado"),CONCATENATE("R9C",'Mapa final'!$O$59),"")</f>
        <v/>
      </c>
      <c r="X44" s="272" t="str">
        <f>IF(AND('Mapa final'!$Y$60="Baja",'Mapa final'!$AA$60="Moderado"),CONCATENATE("R9C",'Mapa final'!$O$60),"")</f>
        <v/>
      </c>
      <c r="Y44" s="272" t="str">
        <f>IF(AND('Mapa final'!$Y$61="Baja",'Mapa final'!$AA$61="Moderado"),CONCATENATE("R9C",'Mapa final'!$O$61),"")</f>
        <v/>
      </c>
      <c r="Z44" s="272" t="str">
        <f>IF(AND('Mapa final'!$Y$62="Baja",'Mapa final'!$AA$62="Moderado"),CONCATENATE("R9C",'Mapa final'!$O$62),"")</f>
        <v/>
      </c>
      <c r="AA44" s="273" t="str">
        <f>IF(AND('Mapa final'!$Y$63="Baja",'Mapa final'!$AA$63="Moderado"),CONCATENATE("R9C",'Mapa final'!$O$63),"")</f>
        <v/>
      </c>
      <c r="AB44" s="256" t="str">
        <f>IF(AND('Mapa final'!$Y$58="Baja",'Mapa final'!$AA$58="Mayor"),CONCATENATE("R9C",'Mapa final'!$O$58),"")</f>
        <v/>
      </c>
      <c r="AC44" s="257" t="str">
        <f>IF(AND('Mapa final'!$Y$59="Baja",'Mapa final'!$AA$59="Mayor"),CONCATENATE("R9C",'Mapa final'!$O$59),"")</f>
        <v/>
      </c>
      <c r="AD44" s="257" t="str">
        <f>IF(AND('Mapa final'!$Y$60="Baja",'Mapa final'!$AA$60="Mayor"),CONCATENATE("R9C",'Mapa final'!$O$60),"")</f>
        <v/>
      </c>
      <c r="AE44" s="257" t="str">
        <f>IF(AND('Mapa final'!$Y$61="Baja",'Mapa final'!$AA$61="Mayor"),CONCATENATE("R9C",'Mapa final'!$O$61),"")</f>
        <v/>
      </c>
      <c r="AF44" s="257" t="str">
        <f>IF(AND('Mapa final'!$Y$62="Baja",'Mapa final'!$AA$62="Mayor"),CONCATENATE("R9C",'Mapa final'!$O$62),"")</f>
        <v/>
      </c>
      <c r="AG44" s="258" t="str">
        <f>IF(AND('Mapa final'!$Y$63="Baja",'Mapa final'!$AA$63="Mayor"),CONCATENATE("R9C",'Mapa final'!$O$63),"")</f>
        <v/>
      </c>
      <c r="AH44" s="259" t="str">
        <f>IF(AND('Mapa final'!$Y$58="Baja",'Mapa final'!$AA$58="Catastrófico"),CONCATENATE("R9C",'Mapa final'!$O$58),"")</f>
        <v/>
      </c>
      <c r="AI44" s="260" t="str">
        <f>IF(AND('Mapa final'!$Y$59="Baja",'Mapa final'!$AA$59="Catastrófico"),CONCATENATE("R9C",'Mapa final'!$O$59),"")</f>
        <v/>
      </c>
      <c r="AJ44" s="260" t="str">
        <f>IF(AND('Mapa final'!$Y$60="Baja",'Mapa final'!$AA$60="Catastrófico"),CONCATENATE("R9C",'Mapa final'!$O$60),"")</f>
        <v/>
      </c>
      <c r="AK44" s="260" t="str">
        <f>IF(AND('Mapa final'!$Y$61="Baja",'Mapa final'!$AA$61="Catastrófico"),CONCATENATE("R9C",'Mapa final'!$O$61),"")</f>
        <v/>
      </c>
      <c r="AL44" s="260" t="str">
        <f>IF(AND('Mapa final'!$Y$62="Baja",'Mapa final'!$AA$62="Catastrófico"),CONCATENATE("R9C",'Mapa final'!$O$62),"")</f>
        <v/>
      </c>
      <c r="AM44" s="261" t="str">
        <f>IF(AND('Mapa final'!$Y$63="Baja",'Mapa final'!$AA$63="Catastrófico"),CONCATENATE("R9C",'Mapa final'!$O$63),"")</f>
        <v/>
      </c>
      <c r="AN44" s="15"/>
      <c r="AO44" s="704"/>
      <c r="AP44" s="705"/>
      <c r="AQ44" s="705"/>
      <c r="AR44" s="705"/>
      <c r="AS44" s="705"/>
      <c r="AT44" s="70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78"/>
      <c r="C45" s="578"/>
      <c r="D45" s="579"/>
      <c r="E45" s="670"/>
      <c r="F45" s="671"/>
      <c r="G45" s="671"/>
      <c r="H45" s="671"/>
      <c r="I45" s="671"/>
      <c r="J45" s="283" t="str">
        <f>IF(AND('Mapa final'!$Y$64="Baja",'Mapa final'!$AA$64="Leve"),CONCATENATE("R10C",'Mapa final'!$O$64),"")</f>
        <v/>
      </c>
      <c r="K45" s="284" t="str">
        <f>IF(AND('Mapa final'!$Y$65="Baja",'Mapa final'!$AA$65="Leve"),CONCATENATE("R10C",'Mapa final'!$O$65),"")</f>
        <v/>
      </c>
      <c r="L45" s="284" t="str">
        <f>IF(AND('Mapa final'!$Y$66="Baja",'Mapa final'!$AA$66="Leve"),CONCATENATE("R10C",'Mapa final'!$O$66),"")</f>
        <v/>
      </c>
      <c r="M45" s="284" t="str">
        <f>IF(AND('Mapa final'!$Y$67="Baja",'Mapa final'!$AA$67="Leve"),CONCATENATE("R10C",'Mapa final'!$O$67),"")</f>
        <v/>
      </c>
      <c r="N45" s="284" t="str">
        <f>IF(AND('Mapa final'!$Y$68="Baja",'Mapa final'!$AA$68="Leve"),CONCATENATE("R10C",'Mapa final'!$O$68),"")</f>
        <v/>
      </c>
      <c r="O45" s="285" t="str">
        <f>IF(AND('Mapa final'!$Y$69="Baja",'Mapa final'!$AA$69="Leve"),CONCATENATE("R10C",'Mapa final'!$O$69),"")</f>
        <v/>
      </c>
      <c r="P45" s="271" t="str">
        <f>IF(AND('Mapa final'!$Y$64="Baja",'Mapa final'!$AA$64="Menor"),CONCATENATE("R10C",'Mapa final'!$O$64),"")</f>
        <v/>
      </c>
      <c r="Q45" s="272" t="str">
        <f>IF(AND('Mapa final'!$Y$65="Baja",'Mapa final'!$AA$65="Menor"),CONCATENATE("R10C",'Mapa final'!$O$65),"")</f>
        <v/>
      </c>
      <c r="R45" s="272" t="str">
        <f>IF(AND('Mapa final'!$Y$66="Baja",'Mapa final'!$AA$66="Menor"),CONCATENATE("R10C",'Mapa final'!$O$66),"")</f>
        <v/>
      </c>
      <c r="S45" s="272" t="str">
        <f>IF(AND('Mapa final'!$Y$67="Baja",'Mapa final'!$AA$67="Menor"),CONCATENATE("R10C",'Mapa final'!$O$67),"")</f>
        <v/>
      </c>
      <c r="T45" s="272" t="str">
        <f>IF(AND('Mapa final'!$Y$68="Baja",'Mapa final'!$AA$68="Menor"),CONCATENATE("R10C",'Mapa final'!$O$68),"")</f>
        <v/>
      </c>
      <c r="U45" s="273" t="str">
        <f>IF(AND('Mapa final'!$Y$69="Baja",'Mapa final'!$AA$69="Menor"),CONCATENATE("R10C",'Mapa final'!$O$69),"")</f>
        <v/>
      </c>
      <c r="V45" s="274" t="str">
        <f>IF(AND('Mapa final'!$Y$64="Baja",'Mapa final'!$AA$64="Moderado"),CONCATENATE("R10C",'Mapa final'!$O$64),"")</f>
        <v/>
      </c>
      <c r="W45" s="275" t="str">
        <f>IF(AND('Mapa final'!$Y$65="Baja",'Mapa final'!$AA$65="Moderado"),CONCATENATE("R10C",'Mapa final'!$O$65),"")</f>
        <v/>
      </c>
      <c r="X45" s="275" t="str">
        <f>IF(AND('Mapa final'!$Y$66="Baja",'Mapa final'!$AA$66="Moderado"),CONCATENATE("R10C",'Mapa final'!$O$66),"")</f>
        <v/>
      </c>
      <c r="Y45" s="275" t="str">
        <f>IF(AND('Mapa final'!$Y$67="Baja",'Mapa final'!$AA$67="Moderado"),CONCATENATE("R10C",'Mapa final'!$O$67),"")</f>
        <v/>
      </c>
      <c r="Z45" s="275" t="str">
        <f>IF(AND('Mapa final'!$Y$68="Baja",'Mapa final'!$AA$68="Moderado"),CONCATENATE("R10C",'Mapa final'!$O$68),"")</f>
        <v/>
      </c>
      <c r="AA45" s="276" t="str">
        <f>IF(AND('Mapa final'!$Y$69="Baja",'Mapa final'!$AA$69="Moderado"),CONCATENATE("R10C",'Mapa final'!$O$69),"")</f>
        <v/>
      </c>
      <c r="AB45" s="262" t="str">
        <f>IF(AND('Mapa final'!$Y$64="Baja",'Mapa final'!$AA$64="Mayor"),CONCATENATE("R10C",'Mapa final'!$O$64),"")</f>
        <v/>
      </c>
      <c r="AC45" s="263" t="str">
        <f>IF(AND('Mapa final'!$Y$65="Baja",'Mapa final'!$AA$65="Mayor"),CONCATENATE("R10C",'Mapa final'!$O$65),"")</f>
        <v/>
      </c>
      <c r="AD45" s="263" t="str">
        <f>IF(AND('Mapa final'!$Y$66="Baja",'Mapa final'!$AA$66="Mayor"),CONCATENATE("R10C",'Mapa final'!$O$66),"")</f>
        <v/>
      </c>
      <c r="AE45" s="263" t="str">
        <f>IF(AND('Mapa final'!$Y$67="Baja",'Mapa final'!$AA$67="Mayor"),CONCATENATE("R10C",'Mapa final'!$O$67),"")</f>
        <v/>
      </c>
      <c r="AF45" s="263" t="str">
        <f>IF(AND('Mapa final'!$Y$68="Baja",'Mapa final'!$AA$68="Mayor"),CONCATENATE("R10C",'Mapa final'!$O$68),"")</f>
        <v/>
      </c>
      <c r="AG45" s="264" t="str">
        <f>IF(AND('Mapa final'!$Y$69="Baja",'Mapa final'!$AA$69="Mayor"),CONCATENATE("R10C",'Mapa final'!$O$69),"")</f>
        <v/>
      </c>
      <c r="AH45" s="265" t="str">
        <f>IF(AND('Mapa final'!$Y$64="Baja",'Mapa final'!$AA$64="Catastrófico"),CONCATENATE("R10C",'Mapa final'!$O$64),"")</f>
        <v/>
      </c>
      <c r="AI45" s="266" t="str">
        <f>IF(AND('Mapa final'!$Y$65="Baja",'Mapa final'!$AA$65="Catastrófico"),CONCATENATE("R10C",'Mapa final'!$O$65),"")</f>
        <v/>
      </c>
      <c r="AJ45" s="266" t="str">
        <f>IF(AND('Mapa final'!$Y$66="Baja",'Mapa final'!$AA$66="Catastrófico"),CONCATENATE("R10C",'Mapa final'!$O$66),"")</f>
        <v/>
      </c>
      <c r="AK45" s="266" t="str">
        <f>IF(AND('Mapa final'!$Y$67="Baja",'Mapa final'!$AA$67="Catastrófico"),CONCATENATE("R10C",'Mapa final'!$O$67),"")</f>
        <v/>
      </c>
      <c r="AL45" s="266" t="str">
        <f>IF(AND('Mapa final'!$Y$68="Baja",'Mapa final'!$AA$68="Catastrófico"),CONCATENATE("R10C",'Mapa final'!$O$68),"")</f>
        <v/>
      </c>
      <c r="AM45" s="267" t="str">
        <f>IF(AND('Mapa final'!$Y$69="Baja",'Mapa final'!$AA$69="Catastrófico"),CONCATENATE("R10C",'Mapa final'!$O$69),"")</f>
        <v/>
      </c>
      <c r="AN45" s="15"/>
      <c r="AO45" s="707"/>
      <c r="AP45" s="708"/>
      <c r="AQ45" s="708"/>
      <c r="AR45" s="708"/>
      <c r="AS45" s="708"/>
      <c r="AT45" s="709"/>
    </row>
    <row r="46" spans="1:80" ht="46.5" customHeight="1" x14ac:dyDescent="0.35">
      <c r="A46" s="15"/>
      <c r="B46" s="578"/>
      <c r="C46" s="578"/>
      <c r="D46" s="579"/>
      <c r="E46" s="664" t="s">
        <v>1061</v>
      </c>
      <c r="F46" s="665"/>
      <c r="G46" s="665"/>
      <c r="H46" s="665"/>
      <c r="I46" s="666"/>
      <c r="J46" s="277" t="str">
        <f>IF(AND('Mapa final'!$Y$10="Muy Baja",'Mapa final'!$AA$10="Leve"),CONCATENATE("R1C",'Mapa final'!$O$10),"")</f>
        <v/>
      </c>
      <c r="K46" s="278" t="str">
        <f>IF(AND('Mapa final'!$Y$11="Muy Baja",'Mapa final'!$AA$11="Leve"),CONCATENATE("R1C",'Mapa final'!$O$11),"")</f>
        <v/>
      </c>
      <c r="L46" s="278" t="str">
        <f>IF(AND('Mapa final'!$Y$12="Muy Baja",'Mapa final'!$AA$12="Leve"),CONCATENATE("R1C",'Mapa final'!$O$12),"")</f>
        <v>R1C3</v>
      </c>
      <c r="M46" s="278" t="str">
        <f>IF(AND('Mapa final'!$Y$13="Muy Baja",'Mapa final'!$AA$13="Leve"),CONCATENATE("R1C",'Mapa final'!$O$13),"")</f>
        <v/>
      </c>
      <c r="N46" s="278" t="str">
        <f>IF(AND('Mapa final'!$Y$14="Muy Baja",'Mapa final'!$AA$14="Leve"),CONCATENATE("R1C",'Mapa final'!$O$14),"")</f>
        <v/>
      </c>
      <c r="O46" s="279" t="str">
        <f>IF(AND('Mapa final'!$Y$15="Muy Baja",'Mapa final'!$AA$15="Leve"),CONCATENATE("R1C",'Mapa final'!$O$15),"")</f>
        <v/>
      </c>
      <c r="P46" s="277" t="str">
        <f>IF(AND('Mapa final'!$Y$10="Muy Baja",'Mapa final'!$AA$10="Menor"),CONCATENATE("R1C",'Mapa final'!$O$10),"")</f>
        <v/>
      </c>
      <c r="Q46" s="278" t="str">
        <f>IF(AND('Mapa final'!$Y$11="Muy Baja",'Mapa final'!$AA$11="Menor"),CONCATENATE("R1C",'Mapa final'!$O$11),"")</f>
        <v/>
      </c>
      <c r="R46" s="278" t="str">
        <f>IF(AND('Mapa final'!$Y$12="Muy Baja",'Mapa final'!$AA$12="Menor"),CONCATENATE("R1C",'Mapa final'!$O$12),"")</f>
        <v/>
      </c>
      <c r="S46" s="278" t="str">
        <f>IF(AND('Mapa final'!$Y$13="Muy Baja",'Mapa final'!$AA$13="Menor"),CONCATENATE("R1C",'Mapa final'!$O$13),"")</f>
        <v/>
      </c>
      <c r="T46" s="278" t="str">
        <f>IF(AND('Mapa final'!$Y$14="Muy Baja",'Mapa final'!$AA$14="Menor"),CONCATENATE("R1C",'Mapa final'!$O$14),"")</f>
        <v/>
      </c>
      <c r="U46" s="279" t="str">
        <f>IF(AND('Mapa final'!$Y$15="Muy Baja",'Mapa final'!$AA$15="Menor"),CONCATENATE("R1C",'Mapa final'!$O$15),"")</f>
        <v/>
      </c>
      <c r="V46" s="268" t="str">
        <f>IF(AND('Mapa final'!$Y$10="Muy Baja",'Mapa final'!$AA$10="Moderado"),CONCATENATE("R1C",'Mapa final'!$O$10),"")</f>
        <v/>
      </c>
      <c r="W46" s="286" t="str">
        <f>IF(AND('Mapa final'!$Y$11="Muy Baja",'Mapa final'!$AA$11="Moderado"),CONCATENATE("R1C",'Mapa final'!$O$11),"")</f>
        <v/>
      </c>
      <c r="X46" s="269" t="str">
        <f>IF(AND('Mapa final'!$Y$12="Muy Baja",'Mapa final'!$AA$12="Moderado"),CONCATENATE("R1C",'Mapa final'!$O$12),"")</f>
        <v/>
      </c>
      <c r="Y46" s="269" t="str">
        <f>IF(AND('Mapa final'!$Y$13="Muy Baja",'Mapa final'!$AA$13="Moderado"),CONCATENATE("R1C",'Mapa final'!$O$13),"")</f>
        <v/>
      </c>
      <c r="Z46" s="269" t="str">
        <f>IF(AND('Mapa final'!$Y$14="Muy Baja",'Mapa final'!$AA$14="Moderado"),CONCATENATE("R1C",'Mapa final'!$O$14),"")</f>
        <v/>
      </c>
      <c r="AA46" s="270" t="str">
        <f>IF(AND('Mapa final'!$Y$15="Muy Baja",'Mapa final'!$AA$15="Moderado"),CONCATENATE("R1C",'Mapa final'!$O$15),"")</f>
        <v/>
      </c>
      <c r="AB46" s="250" t="str">
        <f>IF(AND('Mapa final'!$Y$10="Muy Baja",'Mapa final'!$AA$10="Mayor"),CONCATENATE("R1C",'Mapa final'!$O$10),"")</f>
        <v/>
      </c>
      <c r="AC46" s="251" t="str">
        <f>IF(AND('Mapa final'!$Y$11="Muy Baja",'Mapa final'!$AA$11="Mayor"),CONCATENATE("R1C",'Mapa final'!$O$11),"")</f>
        <v/>
      </c>
      <c r="AD46" s="251" t="str">
        <f>IF(AND('Mapa final'!$Y$12="Muy Baja",'Mapa final'!$AA$12="Mayor"),CONCATENATE("R1C",'Mapa final'!$O$12),"")</f>
        <v/>
      </c>
      <c r="AE46" s="251" t="str">
        <f>IF(AND('Mapa final'!$Y$13="Muy Baja",'Mapa final'!$AA$13="Mayor"),CONCATENATE("R1C",'Mapa final'!$O$13),"")</f>
        <v/>
      </c>
      <c r="AF46" s="251" t="str">
        <f>IF(AND('Mapa final'!$Y$14="Muy Baja",'Mapa final'!$AA$14="Mayor"),CONCATENATE("R1C",'Mapa final'!$O$14),"")</f>
        <v/>
      </c>
      <c r="AG46" s="252" t="str">
        <f>IF(AND('Mapa final'!$Y$15="Muy Baja",'Mapa final'!$AA$15="Mayor"),CONCATENATE("R1C",'Mapa final'!$O$15),"")</f>
        <v/>
      </c>
      <c r="AH46" s="253" t="str">
        <f>IF(AND('Mapa final'!$Y$10="Muy Baja",'Mapa final'!$AA$10="Catastrófico"),CONCATENATE("R1C",'Mapa final'!$O$10),"")</f>
        <v/>
      </c>
      <c r="AI46" s="254" t="str">
        <f>IF(AND('Mapa final'!$Y$11="Muy Baja",'Mapa final'!$AA$11="Catastrófico"),CONCATENATE("R1C",'Mapa final'!$O$11),"")</f>
        <v/>
      </c>
      <c r="AJ46" s="254" t="str">
        <f>IF(AND('Mapa final'!$Y$12="Muy Baja",'Mapa final'!$AA$12="Catastrófico"),CONCATENATE("R1C",'Mapa final'!$O$12),"")</f>
        <v/>
      </c>
      <c r="AK46" s="254" t="str">
        <f>IF(AND('Mapa final'!$Y$13="Muy Baja",'Mapa final'!$AA$13="Catastrófico"),CONCATENATE("R1C",'Mapa final'!$O$13),"")</f>
        <v/>
      </c>
      <c r="AL46" s="254" t="str">
        <f>IF(AND('Mapa final'!$Y$14="Muy Baja",'Mapa final'!$AA$14="Catastrófico"),CONCATENATE("R1C",'Mapa final'!$O$14),"")</f>
        <v/>
      </c>
      <c r="AM46" s="25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78"/>
      <c r="C47" s="578"/>
      <c r="D47" s="579"/>
      <c r="E47" s="682"/>
      <c r="F47" s="668"/>
      <c r="G47" s="668"/>
      <c r="H47" s="668"/>
      <c r="I47" s="669"/>
      <c r="J47" s="280" t="str">
        <f>IF(AND('Mapa final'!$Y$16="Muy Baja",'Mapa final'!$AA$16="Leve"),CONCATENATE("R2C",'Mapa final'!$O$16),"")</f>
        <v/>
      </c>
      <c r="K47" s="281" t="str">
        <f>IF(AND('Mapa final'!$Y$17="Muy Baja",'Mapa final'!$AA$17="Leve"),CONCATENATE("R2C",'Mapa final'!$O$17),"")</f>
        <v>R2C2</v>
      </c>
      <c r="L47" s="281" t="str">
        <f>IF(AND('Mapa final'!$Y$18="Muy Baja",'Mapa final'!$AA$18="Leve"),CONCATENATE("R2C",'Mapa final'!$O$18),"")</f>
        <v>R2C3</v>
      </c>
      <c r="M47" s="281" t="str">
        <f>IF(AND('Mapa final'!$Y$19="Muy Baja",'Mapa final'!$AA$19="Leve"),CONCATENATE("R2C",'Mapa final'!$O$19),"")</f>
        <v/>
      </c>
      <c r="N47" s="281" t="str">
        <f>IF(AND('Mapa final'!$Y$20="Muy Baja",'Mapa final'!$AA$20="Leve"),CONCATENATE("R2C",'Mapa final'!$O$20),"")</f>
        <v/>
      </c>
      <c r="O47" s="282" t="str">
        <f>IF(AND('Mapa final'!$Y$21="Muy Baja",'Mapa final'!$AA$21="Leve"),CONCATENATE("R2C",'Mapa final'!$O$21),"")</f>
        <v/>
      </c>
      <c r="P47" s="280" t="str">
        <f>IF(AND('Mapa final'!$Y$16="Muy Baja",'Mapa final'!$AA$16="Menor"),CONCATENATE("R2C",'Mapa final'!$O$16),"")</f>
        <v/>
      </c>
      <c r="Q47" s="281" t="str">
        <f>IF(AND('Mapa final'!$Y$17="Muy Baja",'Mapa final'!$AA$17="Menor"),CONCATENATE("R2C",'Mapa final'!$O$17),"")</f>
        <v/>
      </c>
      <c r="R47" s="281" t="str">
        <f>IF(AND('Mapa final'!$Y$18="Muy Baja",'Mapa final'!$AA$18="Menor"),CONCATENATE("R2C",'Mapa final'!$O$18),"")</f>
        <v/>
      </c>
      <c r="S47" s="281" t="str">
        <f>IF(AND('Mapa final'!$Y$19="Muy Baja",'Mapa final'!$AA$19="Menor"),CONCATENATE("R2C",'Mapa final'!$O$19),"")</f>
        <v/>
      </c>
      <c r="T47" s="281" t="str">
        <f>IF(AND('Mapa final'!$Y$20="Muy Baja",'Mapa final'!$AA$20="Menor"),CONCATENATE("R2C",'Mapa final'!$O$20),"")</f>
        <v/>
      </c>
      <c r="U47" s="282" t="str">
        <f>IF(AND('Mapa final'!$Y$21="Muy Baja",'Mapa final'!$AA$21="Menor"),CONCATENATE("R2C",'Mapa final'!$O$21),"")</f>
        <v/>
      </c>
      <c r="V47" s="271" t="str">
        <f>IF(AND('Mapa final'!$Y$16="Muy Baja",'Mapa final'!$AA$16="Moderado"),CONCATENATE("R2C",'Mapa final'!$O$16),"")</f>
        <v/>
      </c>
      <c r="W47" s="272" t="str">
        <f>IF(AND('Mapa final'!$Y$17="Muy Baja",'Mapa final'!$AA$17="Moderado"),CONCATENATE("R2C",'Mapa final'!$O$17),"")</f>
        <v/>
      </c>
      <c r="X47" s="272" t="str">
        <f>IF(AND('Mapa final'!$Y$18="Muy Baja",'Mapa final'!$AA$18="Moderado"),CONCATENATE("R2C",'Mapa final'!$O$18),"")</f>
        <v/>
      </c>
      <c r="Y47" s="272" t="str">
        <f>IF(AND('Mapa final'!$Y$19="Muy Baja",'Mapa final'!$AA$19="Moderado"),CONCATENATE("R2C",'Mapa final'!$O$19),"")</f>
        <v/>
      </c>
      <c r="Z47" s="272" t="str">
        <f>IF(AND('Mapa final'!$Y$20="Muy Baja",'Mapa final'!$AA$20="Moderado"),CONCATENATE("R2C",'Mapa final'!$O$20),"")</f>
        <v/>
      </c>
      <c r="AA47" s="273" t="str">
        <f>IF(AND('Mapa final'!$Y$21="Muy Baja",'Mapa final'!$AA$21="Moderado"),CONCATENATE("R2C",'Mapa final'!$O$21),"")</f>
        <v/>
      </c>
      <c r="AB47" s="256" t="str">
        <f>IF(AND('Mapa final'!$Y$16="Muy Baja",'Mapa final'!$AA$16="Mayor"),CONCATENATE("R2C",'Mapa final'!$O$16),"")</f>
        <v/>
      </c>
      <c r="AC47" s="257" t="str">
        <f>IF(AND('Mapa final'!$Y$17="Muy Baja",'Mapa final'!$AA$17="Mayor"),CONCATENATE("R2C",'Mapa final'!$O$17),"")</f>
        <v/>
      </c>
      <c r="AD47" s="257" t="str">
        <f>IF(AND('Mapa final'!$Y$18="Muy Baja",'Mapa final'!$AA$18="Mayor"),CONCATENATE("R2C",'Mapa final'!$O$18),"")</f>
        <v/>
      </c>
      <c r="AE47" s="257" t="str">
        <f>IF(AND('Mapa final'!$Y$19="Muy Baja",'Mapa final'!$AA$19="Mayor"),CONCATENATE("R2C",'Mapa final'!$O$19),"")</f>
        <v/>
      </c>
      <c r="AF47" s="257" t="str">
        <f>IF(AND('Mapa final'!$Y$20="Muy Baja",'Mapa final'!$AA$20="Mayor"),CONCATENATE("R2C",'Mapa final'!$O$20),"")</f>
        <v/>
      </c>
      <c r="AG47" s="258" t="str">
        <f>IF(AND('Mapa final'!$Y$21="Muy Baja",'Mapa final'!$AA$21="Mayor"),CONCATENATE("R2C",'Mapa final'!$O$21),"")</f>
        <v/>
      </c>
      <c r="AH47" s="259" t="str">
        <f>IF(AND('Mapa final'!$Y$16="Muy Baja",'Mapa final'!$AA$16="Catastrófico"),CONCATENATE("R2C",'Mapa final'!$O$16),"")</f>
        <v/>
      </c>
      <c r="AI47" s="260" t="str">
        <f>IF(AND('Mapa final'!$Y$17="Muy Baja",'Mapa final'!$AA$17="Catastrófico"),CONCATENATE("R2C",'Mapa final'!$O$17),"")</f>
        <v/>
      </c>
      <c r="AJ47" s="260" t="str">
        <f>IF(AND('Mapa final'!$Y$18="Muy Baja",'Mapa final'!$AA$18="Catastrófico"),CONCATENATE("R2C",'Mapa final'!$O$18),"")</f>
        <v/>
      </c>
      <c r="AK47" s="260" t="str">
        <f>IF(AND('Mapa final'!$Y$19="Muy Baja",'Mapa final'!$AA$19="Catastrófico"),CONCATENATE("R2C",'Mapa final'!$O$19),"")</f>
        <v/>
      </c>
      <c r="AL47" s="260" t="str">
        <f>IF(AND('Mapa final'!$Y$20="Muy Baja",'Mapa final'!$AA$20="Catastrófico"),CONCATENATE("R2C",'Mapa final'!$O$20),"")</f>
        <v/>
      </c>
      <c r="AM47" s="26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78"/>
      <c r="C48" s="578"/>
      <c r="D48" s="579"/>
      <c r="E48" s="682"/>
      <c r="F48" s="668"/>
      <c r="G48" s="668"/>
      <c r="H48" s="668"/>
      <c r="I48" s="669"/>
      <c r="J48" s="280" t="str">
        <f>IF(AND('Mapa final'!$Y$22="Muy Baja",'Mapa final'!$AA$22="Leve"),CONCATENATE("R3C",'Mapa final'!$O$22),"")</f>
        <v>R3C1</v>
      </c>
      <c r="K48" s="281" t="str">
        <f>IF(AND('Mapa final'!$Y$23="Muy Baja",'Mapa final'!$AA$23="Leve"),CONCATENATE("R3C",'Mapa final'!$O$23),"")</f>
        <v>R3C2</v>
      </c>
      <c r="L48" s="281" t="str">
        <f>IF(AND('Mapa final'!$Y$24="Muy Baja",'Mapa final'!$AA$24="Leve"),CONCATENATE("R3C",'Mapa final'!$O$24),"")</f>
        <v/>
      </c>
      <c r="M48" s="281" t="str">
        <f>IF(AND('Mapa final'!$Y$25="Muy Baja",'Mapa final'!$AA$25="Leve"),CONCATENATE("R3C",'Mapa final'!$O$25),"")</f>
        <v/>
      </c>
      <c r="N48" s="281" t="str">
        <f>IF(AND('Mapa final'!$Y$26="Muy Baja",'Mapa final'!$AA$26="Leve"),CONCATENATE("R3C",'Mapa final'!$O$26),"")</f>
        <v/>
      </c>
      <c r="O48" s="282" t="str">
        <f>IF(AND('Mapa final'!$Y$27="Muy Baja",'Mapa final'!$AA$27="Leve"),CONCATENATE("R3C",'Mapa final'!$O$27),"")</f>
        <v/>
      </c>
      <c r="P48" s="280" t="str">
        <f>IF(AND('Mapa final'!$Y$22="Muy Baja",'Mapa final'!$AA$22="Menor"),CONCATENATE("R3C",'Mapa final'!$O$22),"")</f>
        <v/>
      </c>
      <c r="Q48" s="281" t="str">
        <f>IF(AND('Mapa final'!$Y$23="Muy Baja",'Mapa final'!$AA$23="Menor"),CONCATENATE("R3C",'Mapa final'!$O$23),"")</f>
        <v/>
      </c>
      <c r="R48" s="281" t="str">
        <f>IF(AND('Mapa final'!$Y$24="Muy Baja",'Mapa final'!$AA$24="Menor"),CONCATENATE("R3C",'Mapa final'!$O$24),"")</f>
        <v/>
      </c>
      <c r="S48" s="281" t="str">
        <f>IF(AND('Mapa final'!$Y$25="Muy Baja",'Mapa final'!$AA$25="Menor"),CONCATENATE("R3C",'Mapa final'!$O$25),"")</f>
        <v/>
      </c>
      <c r="T48" s="281" t="str">
        <f>IF(AND('Mapa final'!$Y$26="Muy Baja",'Mapa final'!$AA$26="Menor"),CONCATENATE("R3C",'Mapa final'!$O$26),"")</f>
        <v/>
      </c>
      <c r="U48" s="282" t="str">
        <f>IF(AND('Mapa final'!$Y$27="Muy Baja",'Mapa final'!$AA$27="Menor"),CONCATENATE("R3C",'Mapa final'!$O$27),"")</f>
        <v/>
      </c>
      <c r="V48" s="271" t="str">
        <f>IF(AND('Mapa final'!$Y$22="Muy Baja",'Mapa final'!$AA$22="Moderado"),CONCATENATE("R3C",'Mapa final'!$O$22),"")</f>
        <v/>
      </c>
      <c r="W48" s="272" t="str">
        <f>IF(AND('Mapa final'!$Y$23="Muy Baja",'Mapa final'!$AA$23="Moderado"),CONCATENATE("R3C",'Mapa final'!$O$23),"")</f>
        <v/>
      </c>
      <c r="X48" s="272" t="str">
        <f>IF(AND('Mapa final'!$Y$24="Muy Baja",'Mapa final'!$AA$24="Moderado"),CONCATENATE("R3C",'Mapa final'!$O$24),"")</f>
        <v/>
      </c>
      <c r="Y48" s="272" t="str">
        <f>IF(AND('Mapa final'!$Y$25="Muy Baja",'Mapa final'!$AA$25="Moderado"),CONCATENATE("R3C",'Mapa final'!$O$25),"")</f>
        <v/>
      </c>
      <c r="Z48" s="272" t="str">
        <f>IF(AND('Mapa final'!$Y$26="Muy Baja",'Mapa final'!$AA$26="Moderado"),CONCATENATE("R3C",'Mapa final'!$O$26),"")</f>
        <v/>
      </c>
      <c r="AA48" s="273" t="str">
        <f>IF(AND('Mapa final'!$Y$27="Muy Baja",'Mapa final'!$AA$27="Moderado"),CONCATENATE("R3C",'Mapa final'!$O$27),"")</f>
        <v/>
      </c>
      <c r="AB48" s="256" t="str">
        <f>IF(AND('Mapa final'!$Y$22="Muy Baja",'Mapa final'!$AA$22="Mayor"),CONCATENATE("R3C",'Mapa final'!$O$22),"")</f>
        <v/>
      </c>
      <c r="AC48" s="257" t="str">
        <f>IF(AND('Mapa final'!$Y$23="Muy Baja",'Mapa final'!$AA$23="Mayor"),CONCATENATE("R3C",'Mapa final'!$O$23),"")</f>
        <v/>
      </c>
      <c r="AD48" s="257" t="str">
        <f>IF(AND('Mapa final'!$Y$24="Muy Baja",'Mapa final'!$AA$24="Mayor"),CONCATENATE("R3C",'Mapa final'!$O$24),"")</f>
        <v/>
      </c>
      <c r="AE48" s="257" t="str">
        <f>IF(AND('Mapa final'!$Y$25="Muy Baja",'Mapa final'!$AA$25="Mayor"),CONCATENATE("R3C",'Mapa final'!$O$25),"")</f>
        <v/>
      </c>
      <c r="AF48" s="257" t="str">
        <f>IF(AND('Mapa final'!$Y$26="Muy Baja",'Mapa final'!$AA$26="Mayor"),CONCATENATE("R3C",'Mapa final'!$O$26),"")</f>
        <v/>
      </c>
      <c r="AG48" s="258" t="str">
        <f>IF(AND('Mapa final'!$Y$27="Muy Baja",'Mapa final'!$AA$27="Mayor"),CONCATENATE("R3C",'Mapa final'!$O$27),"")</f>
        <v/>
      </c>
      <c r="AH48" s="259" t="str">
        <f>IF(AND('Mapa final'!$Y$22="Muy Baja",'Mapa final'!$AA$22="Catastrófico"),CONCATENATE("R3C",'Mapa final'!$O$22),"")</f>
        <v/>
      </c>
      <c r="AI48" s="260" t="str">
        <f>IF(AND('Mapa final'!$Y$23="Muy Baja",'Mapa final'!$AA$23="Catastrófico"),CONCATENATE("R3C",'Mapa final'!$O$23),"")</f>
        <v/>
      </c>
      <c r="AJ48" s="260" t="str">
        <f>IF(AND('Mapa final'!$Y$24="Muy Baja",'Mapa final'!$AA$24="Catastrófico"),CONCATENATE("R3C",'Mapa final'!$O$24),"")</f>
        <v/>
      </c>
      <c r="AK48" s="260" t="str">
        <f>IF(AND('Mapa final'!$Y$25="Muy Baja",'Mapa final'!$AA$25="Catastrófico"),CONCATENATE("R3C",'Mapa final'!$O$25),"")</f>
        <v/>
      </c>
      <c r="AL48" s="260" t="str">
        <f>IF(AND('Mapa final'!$Y$26="Muy Baja",'Mapa final'!$AA$26="Catastrófico"),CONCATENATE("R3C",'Mapa final'!$O$26),"")</f>
        <v/>
      </c>
      <c r="AM48" s="26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78"/>
      <c r="C49" s="578"/>
      <c r="D49" s="579"/>
      <c r="E49" s="667"/>
      <c r="F49" s="668"/>
      <c r="G49" s="668"/>
      <c r="H49" s="668"/>
      <c r="I49" s="669"/>
      <c r="J49" s="280" t="str">
        <f>IF(AND('Mapa final'!$Y$28="Muy Baja",'Mapa final'!$AA$28="Leve"),CONCATENATE("R4C",'Mapa final'!$O$28),"")</f>
        <v/>
      </c>
      <c r="K49" s="281" t="str">
        <f>IF(AND('Mapa final'!$Y$29="Muy Baja",'Mapa final'!$AA$29="Leve"),CONCATENATE("R4C",'Mapa final'!$O$29),"")</f>
        <v>R4C2</v>
      </c>
      <c r="L49" s="281" t="str">
        <f>IF(AND('Mapa final'!$Y$30="Muy Baja",'Mapa final'!$AA$30="Leve"),CONCATENATE("R4C",'Mapa final'!$O$30),"")</f>
        <v/>
      </c>
      <c r="M49" s="281" t="str">
        <f>IF(AND('Mapa final'!$Y$31="Muy Baja",'Mapa final'!$AA$31="Leve"),CONCATENATE("R4C",'Mapa final'!$O$31),"")</f>
        <v/>
      </c>
      <c r="N49" s="281" t="str">
        <f>IF(AND('Mapa final'!$Y$32="Muy Baja",'Mapa final'!$AA$32="Leve"),CONCATENATE("R4C",'Mapa final'!$O$32),"")</f>
        <v/>
      </c>
      <c r="O49" s="282" t="str">
        <f>IF(AND('Mapa final'!$Y$33="Muy Baja",'Mapa final'!$AA$33="Leve"),CONCATENATE("R4C",'Mapa final'!$O$33),"")</f>
        <v/>
      </c>
      <c r="P49" s="280" t="str">
        <f>IF(AND('Mapa final'!$Y$28="Muy Baja",'Mapa final'!$AA$28="Menor"),CONCATENATE("R4C",'Mapa final'!$O$28),"")</f>
        <v/>
      </c>
      <c r="Q49" s="281" t="str">
        <f>IF(AND('Mapa final'!$Y$29="Muy Baja",'Mapa final'!$AA$29="Menor"),CONCATENATE("R4C",'Mapa final'!$O$29),"")</f>
        <v/>
      </c>
      <c r="R49" s="281" t="str">
        <f>IF(AND('Mapa final'!$Y$30="Muy Baja",'Mapa final'!$AA$30="Menor"),CONCATENATE("R4C",'Mapa final'!$O$30),"")</f>
        <v/>
      </c>
      <c r="S49" s="281" t="str">
        <f>IF(AND('Mapa final'!$Y$31="Muy Baja",'Mapa final'!$AA$31="Menor"),CONCATENATE("R4C",'Mapa final'!$O$31),"")</f>
        <v/>
      </c>
      <c r="T49" s="281" t="str">
        <f>IF(AND('Mapa final'!$Y$32="Muy Baja",'Mapa final'!$AA$32="Menor"),CONCATENATE("R4C",'Mapa final'!$O$32),"")</f>
        <v/>
      </c>
      <c r="U49" s="282" t="str">
        <f>IF(AND('Mapa final'!$Y$33="Muy Baja",'Mapa final'!$AA$33="Menor"),CONCATENATE("R4C",'Mapa final'!$O$33),"")</f>
        <v/>
      </c>
      <c r="V49" s="271" t="str">
        <f>IF(AND('Mapa final'!$Y$28="Muy Baja",'Mapa final'!$AA$28="Moderado"),CONCATENATE("R4C",'Mapa final'!$O$28),"")</f>
        <v/>
      </c>
      <c r="W49" s="272" t="str">
        <f>IF(AND('Mapa final'!$Y$29="Muy Baja",'Mapa final'!$AA$29="Moderado"),CONCATENATE("R4C",'Mapa final'!$O$29),"")</f>
        <v/>
      </c>
      <c r="X49" s="272" t="str">
        <f>IF(AND('Mapa final'!$Y$30="Muy Baja",'Mapa final'!$AA$30="Moderado"),CONCATENATE("R4C",'Mapa final'!$O$30),"")</f>
        <v/>
      </c>
      <c r="Y49" s="272" t="str">
        <f>IF(AND('Mapa final'!$Y$31="Muy Baja",'Mapa final'!$AA$31="Moderado"),CONCATENATE("R4C",'Mapa final'!$O$31),"")</f>
        <v/>
      </c>
      <c r="Z49" s="272" t="str">
        <f>IF(AND('Mapa final'!$Y$32="Muy Baja",'Mapa final'!$AA$32="Moderado"),CONCATENATE("R4C",'Mapa final'!$O$32),"")</f>
        <v/>
      </c>
      <c r="AA49" s="273" t="str">
        <f>IF(AND('Mapa final'!$Y$33="Muy Baja",'Mapa final'!$AA$33="Moderado"),CONCATENATE("R4C",'Mapa final'!$O$33),"")</f>
        <v/>
      </c>
      <c r="AB49" s="256" t="str">
        <f>IF(AND('Mapa final'!$Y$28="Muy Baja",'Mapa final'!$AA$28="Mayor"),CONCATENATE("R4C",'Mapa final'!$O$28),"")</f>
        <v/>
      </c>
      <c r="AC49" s="257" t="str">
        <f>IF(AND('Mapa final'!$Y$29="Muy Baja",'Mapa final'!$AA$29="Mayor"),CONCATENATE("R4C",'Mapa final'!$O$29),"")</f>
        <v/>
      </c>
      <c r="AD49" s="257" t="str">
        <f>IF(AND('Mapa final'!$Y$30="Muy Baja",'Mapa final'!$AA$30="Mayor"),CONCATENATE("R4C",'Mapa final'!$O$30),"")</f>
        <v/>
      </c>
      <c r="AE49" s="257" t="str">
        <f>IF(AND('Mapa final'!$Y$31="Muy Baja",'Mapa final'!$AA$31="Mayor"),CONCATENATE("R4C",'Mapa final'!$O$31),"")</f>
        <v/>
      </c>
      <c r="AF49" s="257" t="str">
        <f>IF(AND('Mapa final'!$Y$32="Muy Baja",'Mapa final'!$AA$32="Mayor"),CONCATENATE("R4C",'Mapa final'!$O$32),"")</f>
        <v/>
      </c>
      <c r="AG49" s="258" t="str">
        <f>IF(AND('Mapa final'!$Y$33="Muy Baja",'Mapa final'!$AA$33="Mayor"),CONCATENATE("R4C",'Mapa final'!$O$33),"")</f>
        <v/>
      </c>
      <c r="AH49" s="259" t="str">
        <f>IF(AND('Mapa final'!$Y$28="Muy Baja",'Mapa final'!$AA$28="Catastrófico"),CONCATENATE("R4C",'Mapa final'!$O$28),"")</f>
        <v/>
      </c>
      <c r="AI49" s="260" t="str">
        <f>IF(AND('Mapa final'!$Y$29="Muy Baja",'Mapa final'!$AA$29="Catastrófico"),CONCATENATE("R4C",'Mapa final'!$O$29),"")</f>
        <v/>
      </c>
      <c r="AJ49" s="260" t="str">
        <f>IF(AND('Mapa final'!$Y$30="Muy Baja",'Mapa final'!$AA$30="Catastrófico"),CONCATENATE("R4C",'Mapa final'!$O$30),"")</f>
        <v/>
      </c>
      <c r="AK49" s="260" t="str">
        <f>IF(AND('Mapa final'!$Y$31="Muy Baja",'Mapa final'!$AA$31="Catastrófico"),CONCATENATE("R4C",'Mapa final'!$O$31),"")</f>
        <v/>
      </c>
      <c r="AL49" s="260" t="str">
        <f>IF(AND('Mapa final'!$Y$32="Muy Baja",'Mapa final'!$AA$32="Catastrófico"),CONCATENATE("R4C",'Mapa final'!$O$32),"")</f>
        <v/>
      </c>
      <c r="AM49" s="26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78"/>
      <c r="C50" s="578"/>
      <c r="D50" s="579"/>
      <c r="E50" s="667"/>
      <c r="F50" s="668"/>
      <c r="G50" s="668"/>
      <c r="H50" s="668"/>
      <c r="I50" s="669"/>
      <c r="J50" s="280" t="str">
        <f>IF(AND('Mapa final'!$Y$34="Muy Baja",'Mapa final'!$AA$34="Leve"),CONCATENATE("R5C",'Mapa final'!$O$34),"")</f>
        <v/>
      </c>
      <c r="K50" s="281" t="str">
        <f>IF(AND('Mapa final'!$Y$35="Muy Baja",'Mapa final'!$AA$35="Leve"),CONCATENATE("R5C",'Mapa final'!$O$35),"")</f>
        <v/>
      </c>
      <c r="L50" s="281" t="str">
        <f>IF(AND('Mapa final'!$Y$36="Muy Baja",'Mapa final'!$AA$36="Leve"),CONCATENATE("R5C",'Mapa final'!$O$36),"")</f>
        <v/>
      </c>
      <c r="M50" s="281" t="str">
        <f>IF(AND('Mapa final'!$Y$37="Muy Baja",'Mapa final'!$AA$37="Leve"),CONCATENATE("R5C",'Mapa final'!$O$37),"")</f>
        <v/>
      </c>
      <c r="N50" s="281" t="str">
        <f>IF(AND('Mapa final'!$Y$38="Muy Baja",'Mapa final'!$AA$38="Leve"),CONCATENATE("R5C",'Mapa final'!$O$38),"")</f>
        <v/>
      </c>
      <c r="O50" s="282" t="str">
        <f>IF(AND('Mapa final'!$Y$39="Muy Baja",'Mapa final'!$AA$39="Leve"),CONCATENATE("R5C",'Mapa final'!$O$39),"")</f>
        <v/>
      </c>
      <c r="P50" s="280" t="str">
        <f>IF(AND('Mapa final'!$Y$34="Muy Baja",'Mapa final'!$AA$34="Menor"),CONCATENATE("R5C",'Mapa final'!$O$34),"")</f>
        <v/>
      </c>
      <c r="Q50" s="281" t="str">
        <f>IF(AND('Mapa final'!$Y$35="Muy Baja",'Mapa final'!$AA$35="Menor"),CONCATENATE("R5C",'Mapa final'!$O$35),"")</f>
        <v/>
      </c>
      <c r="R50" s="281" t="str">
        <f>IF(AND('Mapa final'!$Y$36="Muy Baja",'Mapa final'!$AA$36="Menor"),CONCATENATE("R5C",'Mapa final'!$O$36),"")</f>
        <v/>
      </c>
      <c r="S50" s="281" t="str">
        <f>IF(AND('Mapa final'!$Y$37="Muy Baja",'Mapa final'!$AA$37="Menor"),CONCATENATE("R5C",'Mapa final'!$O$37),"")</f>
        <v/>
      </c>
      <c r="T50" s="281" t="str">
        <f>IF(AND('Mapa final'!$Y$38="Muy Baja",'Mapa final'!$AA$38="Menor"),CONCATENATE("R5C",'Mapa final'!$O$38),"")</f>
        <v/>
      </c>
      <c r="U50" s="282" t="str">
        <f>IF(AND('Mapa final'!$Y$39="Muy Baja",'Mapa final'!$AA$39="Menor"),CONCATENATE("R5C",'Mapa final'!$O$39),"")</f>
        <v/>
      </c>
      <c r="V50" s="271" t="str">
        <f>IF(AND('Mapa final'!$Y$34="Muy Baja",'Mapa final'!$AA$34="Moderado"),CONCATENATE("R5C",'Mapa final'!$O$34),"")</f>
        <v/>
      </c>
      <c r="W50" s="272" t="str">
        <f>IF(AND('Mapa final'!$Y$35="Muy Baja",'Mapa final'!$AA$35="Moderado"),CONCATENATE("R5C",'Mapa final'!$O$35),"")</f>
        <v/>
      </c>
      <c r="X50" s="272" t="str">
        <f>IF(AND('Mapa final'!$Y$36="Muy Baja",'Mapa final'!$AA$36="Moderado"),CONCATENATE("R5C",'Mapa final'!$O$36),"")</f>
        <v/>
      </c>
      <c r="Y50" s="272" t="str">
        <f>IF(AND('Mapa final'!$Y$37="Muy Baja",'Mapa final'!$AA$37="Moderado"),CONCATENATE("R5C",'Mapa final'!$O$37),"")</f>
        <v/>
      </c>
      <c r="Z50" s="272" t="str">
        <f>IF(AND('Mapa final'!$Y$38="Muy Baja",'Mapa final'!$AA$38="Moderado"),CONCATENATE("R5C",'Mapa final'!$O$38),"")</f>
        <v/>
      </c>
      <c r="AA50" s="273" t="str">
        <f>IF(AND('Mapa final'!$Y$39="Muy Baja",'Mapa final'!$AA$39="Moderado"),CONCATENATE("R5C",'Mapa final'!$O$39),"")</f>
        <v/>
      </c>
      <c r="AB50" s="256" t="str">
        <f>IF(AND('Mapa final'!$Y$34="Muy Baja",'Mapa final'!$AA$34="Mayor"),CONCATENATE("R5C",'Mapa final'!$O$34),"")</f>
        <v/>
      </c>
      <c r="AC50" s="257" t="str">
        <f>IF(AND('Mapa final'!$Y$35="Muy Baja",'Mapa final'!$AA$35="Mayor"),CONCATENATE("R5C",'Mapa final'!$O$35),"")</f>
        <v/>
      </c>
      <c r="AD50" s="257" t="str">
        <f>IF(AND('Mapa final'!$Y$36="Muy Baja",'Mapa final'!$AA$36="Mayor"),CONCATENATE("R5C",'Mapa final'!$O$36),"")</f>
        <v/>
      </c>
      <c r="AE50" s="257" t="str">
        <f>IF(AND('Mapa final'!$Y$37="Muy Baja",'Mapa final'!$AA$37="Mayor"),CONCATENATE("R5C",'Mapa final'!$O$37),"")</f>
        <v/>
      </c>
      <c r="AF50" s="257" t="str">
        <f>IF(AND('Mapa final'!$Y$38="Muy Baja",'Mapa final'!$AA$38="Mayor"),CONCATENATE("R5C",'Mapa final'!$O$38),"")</f>
        <v/>
      </c>
      <c r="AG50" s="258" t="str">
        <f>IF(AND('Mapa final'!$Y$39="Muy Baja",'Mapa final'!$AA$39="Mayor"),CONCATENATE("R5C",'Mapa final'!$O$39),"")</f>
        <v/>
      </c>
      <c r="AH50" s="259" t="str">
        <f>IF(AND('Mapa final'!$Y$34="Muy Baja",'Mapa final'!$AA$34="Catastrófico"),CONCATENATE("R5C",'Mapa final'!$O$34),"")</f>
        <v/>
      </c>
      <c r="AI50" s="260" t="str">
        <f>IF(AND('Mapa final'!$Y$35="Muy Baja",'Mapa final'!$AA$35="Catastrófico"),CONCATENATE("R5C",'Mapa final'!$O$35),"")</f>
        <v/>
      </c>
      <c r="AJ50" s="260" t="str">
        <f>IF(AND('Mapa final'!$Y$36="Muy Baja",'Mapa final'!$AA$36="Catastrófico"),CONCATENATE("R5C",'Mapa final'!$O$36),"")</f>
        <v/>
      </c>
      <c r="AK50" s="260" t="str">
        <f>IF(AND('Mapa final'!$Y$37="Muy Baja",'Mapa final'!$AA$37="Catastrófico"),CONCATENATE("R5C",'Mapa final'!$O$37),"")</f>
        <v/>
      </c>
      <c r="AL50" s="260" t="str">
        <f>IF(AND('Mapa final'!$Y$38="Muy Baja",'Mapa final'!$AA$38="Catastrófico"),CONCATENATE("R5C",'Mapa final'!$O$38),"")</f>
        <v/>
      </c>
      <c r="AM50" s="26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78"/>
      <c r="C51" s="578"/>
      <c r="D51" s="579"/>
      <c r="E51" s="667"/>
      <c r="F51" s="668"/>
      <c r="G51" s="668"/>
      <c r="H51" s="668"/>
      <c r="I51" s="669"/>
      <c r="J51" s="280" t="str">
        <f>IF(AND('Mapa final'!$Y$40="Muy Baja",'Mapa final'!$AA$40="Leve"),CONCATENATE("R6C",'Mapa final'!$O$40),"")</f>
        <v/>
      </c>
      <c r="K51" s="281" t="str">
        <f>IF(AND('Mapa final'!$Y$41="Muy Baja",'Mapa final'!$AA$41="Leve"),CONCATENATE("R6C",'Mapa final'!$O$41),"")</f>
        <v/>
      </c>
      <c r="L51" s="281" t="str">
        <f>IF(AND('Mapa final'!$Y$42="Muy Baja",'Mapa final'!$AA$42="Leve"),CONCATENATE("R6C",'Mapa final'!$O$42),"")</f>
        <v/>
      </c>
      <c r="M51" s="281" t="str">
        <f>IF(AND('Mapa final'!$Y$43="Muy Baja",'Mapa final'!$AA$43="Leve"),CONCATENATE("R6C",'Mapa final'!$O$43),"")</f>
        <v/>
      </c>
      <c r="N51" s="281" t="str">
        <f>IF(AND('Mapa final'!$Y$44="Muy Baja",'Mapa final'!$AA$44="Leve"),CONCATENATE("R6C",'Mapa final'!$O$44),"")</f>
        <v/>
      </c>
      <c r="O51" s="282" t="str">
        <f>IF(AND('Mapa final'!$Y$45="Muy Baja",'Mapa final'!$AA$45="Leve"),CONCATENATE("R6C",'Mapa final'!$O$45),"")</f>
        <v/>
      </c>
      <c r="P51" s="280" t="str">
        <f>IF(AND('Mapa final'!$Y$40="Muy Baja",'Mapa final'!$AA$40="Menor"),CONCATENATE("R6C",'Mapa final'!$O$40),"")</f>
        <v/>
      </c>
      <c r="Q51" s="281" t="str">
        <f>IF(AND('Mapa final'!$Y$41="Muy Baja",'Mapa final'!$AA$41="Menor"),CONCATENATE("R6C",'Mapa final'!$O$41),"")</f>
        <v/>
      </c>
      <c r="R51" s="281" t="str">
        <f>IF(AND('Mapa final'!$Y$42="Muy Baja",'Mapa final'!$AA$42="Menor"),CONCATENATE("R6C",'Mapa final'!$O$42),"")</f>
        <v/>
      </c>
      <c r="S51" s="281" t="str">
        <f>IF(AND('Mapa final'!$Y$43="Muy Baja",'Mapa final'!$AA$43="Menor"),CONCATENATE("R6C",'Mapa final'!$O$43),"")</f>
        <v/>
      </c>
      <c r="T51" s="281" t="str">
        <f>IF(AND('Mapa final'!$Y$44="Muy Baja",'Mapa final'!$AA$44="Menor"),CONCATENATE("R6C",'Mapa final'!$O$44),"")</f>
        <v/>
      </c>
      <c r="U51" s="282" t="str">
        <f>IF(AND('Mapa final'!$Y$45="Muy Baja",'Mapa final'!$AA$45="Menor"),CONCATENATE("R6C",'Mapa final'!$O$45),"")</f>
        <v/>
      </c>
      <c r="V51" s="271" t="str">
        <f>IF(AND('Mapa final'!$Y$40="Muy Baja",'Mapa final'!$AA$40="Moderado"),CONCATENATE("R6C",'Mapa final'!$O$40),"")</f>
        <v/>
      </c>
      <c r="W51" s="272" t="str">
        <f>IF(AND('Mapa final'!$Y$41="Muy Baja",'Mapa final'!$AA$41="Moderado"),CONCATENATE("R6C",'Mapa final'!$O$41),"")</f>
        <v/>
      </c>
      <c r="X51" s="272" t="str">
        <f>IF(AND('Mapa final'!$Y$42="Muy Baja",'Mapa final'!$AA$42="Moderado"),CONCATENATE("R6C",'Mapa final'!$O$42),"")</f>
        <v/>
      </c>
      <c r="Y51" s="272" t="str">
        <f>IF(AND('Mapa final'!$Y$43="Muy Baja",'Mapa final'!$AA$43="Moderado"),CONCATENATE("R6C",'Mapa final'!$O$43),"")</f>
        <v/>
      </c>
      <c r="Z51" s="272" t="str">
        <f>IF(AND('Mapa final'!$Y$44="Muy Baja",'Mapa final'!$AA$44="Moderado"),CONCATENATE("R6C",'Mapa final'!$O$44),"")</f>
        <v/>
      </c>
      <c r="AA51" s="273" t="str">
        <f>IF(AND('Mapa final'!$Y$45="Muy Baja",'Mapa final'!$AA$45="Moderado"),CONCATENATE("R6C",'Mapa final'!$O$45),"")</f>
        <v/>
      </c>
      <c r="AB51" s="256" t="str">
        <f>IF(AND('Mapa final'!$Y$40="Muy Baja",'Mapa final'!$AA$40="Mayor"),CONCATENATE("R6C",'Mapa final'!$O$40),"")</f>
        <v/>
      </c>
      <c r="AC51" s="257" t="str">
        <f>IF(AND('Mapa final'!$Y$41="Muy Baja",'Mapa final'!$AA$41="Mayor"),CONCATENATE("R6C",'Mapa final'!$O$41),"")</f>
        <v/>
      </c>
      <c r="AD51" s="257" t="str">
        <f>IF(AND('Mapa final'!$Y$42="Muy Baja",'Mapa final'!$AA$42="Mayor"),CONCATENATE("R6C",'Mapa final'!$O$42),"")</f>
        <v/>
      </c>
      <c r="AE51" s="257" t="str">
        <f>IF(AND('Mapa final'!$Y$43="Muy Baja",'Mapa final'!$AA$43="Mayor"),CONCATENATE("R6C",'Mapa final'!$O$43),"")</f>
        <v/>
      </c>
      <c r="AF51" s="257" t="str">
        <f>IF(AND('Mapa final'!$Y$44="Muy Baja",'Mapa final'!$AA$44="Mayor"),CONCATENATE("R6C",'Mapa final'!$O$44),"")</f>
        <v/>
      </c>
      <c r="AG51" s="258" t="str">
        <f>IF(AND('Mapa final'!$Y$45="Muy Baja",'Mapa final'!$AA$45="Mayor"),CONCATENATE("R6C",'Mapa final'!$O$45),"")</f>
        <v/>
      </c>
      <c r="AH51" s="259" t="str">
        <f>IF(AND('Mapa final'!$Y$40="Muy Baja",'Mapa final'!$AA$40="Catastrófico"),CONCATENATE("R6C",'Mapa final'!$O$40),"")</f>
        <v/>
      </c>
      <c r="AI51" s="260" t="str">
        <f>IF(AND('Mapa final'!$Y$41="Muy Baja",'Mapa final'!$AA$41="Catastrófico"),CONCATENATE("R6C",'Mapa final'!$O$41),"")</f>
        <v/>
      </c>
      <c r="AJ51" s="260" t="str">
        <f>IF(AND('Mapa final'!$Y$42="Muy Baja",'Mapa final'!$AA$42="Catastrófico"),CONCATENATE("R6C",'Mapa final'!$O$42),"")</f>
        <v/>
      </c>
      <c r="AK51" s="260" t="str">
        <f>IF(AND('Mapa final'!$Y$43="Muy Baja",'Mapa final'!$AA$43="Catastrófico"),CONCATENATE("R6C",'Mapa final'!$O$43),"")</f>
        <v/>
      </c>
      <c r="AL51" s="260" t="str">
        <f>IF(AND('Mapa final'!$Y$44="Muy Baja",'Mapa final'!$AA$44="Catastrófico"),CONCATENATE("R6C",'Mapa final'!$O$44),"")</f>
        <v/>
      </c>
      <c r="AM51" s="26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78"/>
      <c r="C52" s="578"/>
      <c r="D52" s="579"/>
      <c r="E52" s="667"/>
      <c r="F52" s="668"/>
      <c r="G52" s="668"/>
      <c r="H52" s="668"/>
      <c r="I52" s="669"/>
      <c r="J52" s="280" t="str">
        <f>IF(AND('Mapa final'!$Y$46="Muy Baja",'Mapa final'!$AA$46="Leve"),CONCATENATE("R7C",'Mapa final'!$O$46),"")</f>
        <v/>
      </c>
      <c r="K52" s="281" t="str">
        <f>IF(AND('Mapa final'!$Y$47="Muy Baja",'Mapa final'!$AA$47="Leve"),CONCATENATE("R7C",'Mapa final'!$O$47),"")</f>
        <v/>
      </c>
      <c r="L52" s="281" t="str">
        <f>IF(AND('Mapa final'!$Y$48="Muy Baja",'Mapa final'!$AA$48="Leve"),CONCATENATE("R7C",'Mapa final'!$O$48),"")</f>
        <v/>
      </c>
      <c r="M52" s="281" t="str">
        <f>IF(AND('Mapa final'!$Y$49="Muy Baja",'Mapa final'!$AA$49="Leve"),CONCATENATE("R7C",'Mapa final'!$O$49),"")</f>
        <v/>
      </c>
      <c r="N52" s="281" t="str">
        <f>IF(AND('Mapa final'!$Y$50="Muy Baja",'Mapa final'!$AA$50="Leve"),CONCATENATE("R7C",'Mapa final'!$O$50),"")</f>
        <v/>
      </c>
      <c r="O52" s="282" t="str">
        <f>IF(AND('Mapa final'!$Y$51="Muy Baja",'Mapa final'!$AA$51="Leve"),CONCATENATE("R7C",'Mapa final'!$O$51),"")</f>
        <v/>
      </c>
      <c r="P52" s="280" t="str">
        <f>IF(AND('Mapa final'!$Y$46="Muy Baja",'Mapa final'!$AA$46="Menor"),CONCATENATE("R7C",'Mapa final'!$O$46),"")</f>
        <v/>
      </c>
      <c r="Q52" s="281" t="str">
        <f>IF(AND('Mapa final'!$Y$47="Muy Baja",'Mapa final'!$AA$47="Menor"),CONCATENATE("R7C",'Mapa final'!$O$47),"")</f>
        <v/>
      </c>
      <c r="R52" s="281" t="str">
        <f>IF(AND('Mapa final'!$Y$48="Muy Baja",'Mapa final'!$AA$48="Menor"),CONCATENATE("R7C",'Mapa final'!$O$48),"")</f>
        <v/>
      </c>
      <c r="S52" s="281" t="str">
        <f>IF(AND('Mapa final'!$Y$49="Muy Baja",'Mapa final'!$AA$49="Menor"),CONCATENATE("R7C",'Mapa final'!$O$49),"")</f>
        <v/>
      </c>
      <c r="T52" s="281" t="str">
        <f>IF(AND('Mapa final'!$Y$50="Muy Baja",'Mapa final'!$AA$50="Menor"),CONCATENATE("R7C",'Mapa final'!$O$50),"")</f>
        <v/>
      </c>
      <c r="U52" s="282" t="str">
        <f>IF(AND('Mapa final'!$Y$51="Muy Baja",'Mapa final'!$AA$51="Menor"),CONCATENATE("R7C",'Mapa final'!$O$51),"")</f>
        <v/>
      </c>
      <c r="V52" s="271" t="str">
        <f>IF(AND('Mapa final'!$Y$46="Muy Baja",'Mapa final'!$AA$46="Moderado"),CONCATENATE("R7C",'Mapa final'!$O$46),"")</f>
        <v/>
      </c>
      <c r="W52" s="272" t="str">
        <f>IF(AND('Mapa final'!$Y$47="Muy Baja",'Mapa final'!$AA$47="Moderado"),CONCATENATE("R7C",'Mapa final'!$O$47),"")</f>
        <v/>
      </c>
      <c r="X52" s="272" t="str">
        <f>IF(AND('Mapa final'!$Y$48="Muy Baja",'Mapa final'!$AA$48="Moderado"),CONCATENATE("R7C",'Mapa final'!$O$48),"")</f>
        <v/>
      </c>
      <c r="Y52" s="272" t="str">
        <f>IF(AND('Mapa final'!$Y$49="Muy Baja",'Mapa final'!$AA$49="Moderado"),CONCATENATE("R7C",'Mapa final'!$O$49),"")</f>
        <v/>
      </c>
      <c r="Z52" s="272" t="str">
        <f>IF(AND('Mapa final'!$Y$50="Muy Baja",'Mapa final'!$AA$50="Moderado"),CONCATENATE("R7C",'Mapa final'!$O$50),"")</f>
        <v/>
      </c>
      <c r="AA52" s="273" t="str">
        <f>IF(AND('Mapa final'!$Y$51="Muy Baja",'Mapa final'!$AA$51="Moderado"),CONCATENATE("R7C",'Mapa final'!$O$51),"")</f>
        <v/>
      </c>
      <c r="AB52" s="256" t="str">
        <f>IF(AND('Mapa final'!$Y$46="Muy Baja",'Mapa final'!$AA$46="Mayor"),CONCATENATE("R7C",'Mapa final'!$O$46),"")</f>
        <v/>
      </c>
      <c r="AC52" s="257" t="str">
        <f>IF(AND('Mapa final'!$Y$47="Muy Baja",'Mapa final'!$AA$47="Mayor"),CONCATENATE("R7C",'Mapa final'!$O$47),"")</f>
        <v/>
      </c>
      <c r="AD52" s="257" t="str">
        <f>IF(AND('Mapa final'!$Y$48="Muy Baja",'Mapa final'!$AA$48="Mayor"),CONCATENATE("R7C",'Mapa final'!$O$48),"")</f>
        <v/>
      </c>
      <c r="AE52" s="257" t="str">
        <f>IF(AND('Mapa final'!$Y$49="Muy Baja",'Mapa final'!$AA$49="Mayor"),CONCATENATE("R7C",'Mapa final'!$O$49),"")</f>
        <v/>
      </c>
      <c r="AF52" s="257" t="str">
        <f>IF(AND('Mapa final'!$Y$50="Muy Baja",'Mapa final'!$AA$50="Mayor"),CONCATENATE("R7C",'Mapa final'!$O$50),"")</f>
        <v/>
      </c>
      <c r="AG52" s="258" t="str">
        <f>IF(AND('Mapa final'!$Y$51="Muy Baja",'Mapa final'!$AA$51="Mayor"),CONCATENATE("R7C",'Mapa final'!$O$51),"")</f>
        <v/>
      </c>
      <c r="AH52" s="259" t="str">
        <f>IF(AND('Mapa final'!$Y$46="Muy Baja",'Mapa final'!$AA$46="Catastrófico"),CONCATENATE("R7C",'Mapa final'!$O$46),"")</f>
        <v/>
      </c>
      <c r="AI52" s="260" t="str">
        <f>IF(AND('Mapa final'!$Y$47="Muy Baja",'Mapa final'!$AA$47="Catastrófico"),CONCATENATE("R7C",'Mapa final'!$O$47),"")</f>
        <v/>
      </c>
      <c r="AJ52" s="260" t="str">
        <f>IF(AND('Mapa final'!$Y$48="Muy Baja",'Mapa final'!$AA$48="Catastrófico"),CONCATENATE("R7C",'Mapa final'!$O$48),"")</f>
        <v/>
      </c>
      <c r="AK52" s="260" t="str">
        <f>IF(AND('Mapa final'!$Y$49="Muy Baja",'Mapa final'!$AA$49="Catastrófico"),CONCATENATE("R7C",'Mapa final'!$O$49),"")</f>
        <v/>
      </c>
      <c r="AL52" s="260" t="str">
        <f>IF(AND('Mapa final'!$Y$50="Muy Baja",'Mapa final'!$AA$50="Catastrófico"),CONCATENATE("R7C",'Mapa final'!$O$50),"")</f>
        <v/>
      </c>
      <c r="AM52" s="26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78"/>
      <c r="C53" s="578"/>
      <c r="D53" s="579"/>
      <c r="E53" s="667"/>
      <c r="F53" s="668"/>
      <c r="G53" s="668"/>
      <c r="H53" s="668"/>
      <c r="I53" s="669"/>
      <c r="J53" s="280" t="str">
        <f>IF(AND('Mapa final'!$Y$52="Muy Baja",'Mapa final'!$AA$52="Leve"),CONCATENATE("R8C",'Mapa final'!$O$52),"")</f>
        <v/>
      </c>
      <c r="K53" s="281" t="str">
        <f>IF(AND('Mapa final'!$Y$53="Muy Baja",'Mapa final'!$AA$53="Leve"),CONCATENATE("R8C",'Mapa final'!$O$53),"")</f>
        <v/>
      </c>
      <c r="L53" s="281" t="str">
        <f>IF(AND('Mapa final'!$Y$54="Muy Baja",'Mapa final'!$AA$54="Leve"),CONCATENATE("R8C",'Mapa final'!$O$54),"")</f>
        <v/>
      </c>
      <c r="M53" s="281" t="str">
        <f>IF(AND('Mapa final'!$Y$55="Muy Baja",'Mapa final'!$AA$55="Leve"),CONCATENATE("R8C",'Mapa final'!$O$55),"")</f>
        <v/>
      </c>
      <c r="N53" s="281" t="str">
        <f>IF(AND('Mapa final'!$Y$56="Muy Baja",'Mapa final'!$AA$56="Leve"),CONCATENATE("R8C",'Mapa final'!$O$56),"")</f>
        <v/>
      </c>
      <c r="O53" s="282" t="str">
        <f>IF(AND('Mapa final'!$Y$57="Muy Baja",'Mapa final'!$AA$57="Leve"),CONCATENATE("R8C",'Mapa final'!$O$57),"")</f>
        <v/>
      </c>
      <c r="P53" s="280" t="str">
        <f>IF(AND('Mapa final'!$Y$52="Muy Baja",'Mapa final'!$AA$52="Menor"),CONCATENATE("R8C",'Mapa final'!$O$52),"")</f>
        <v/>
      </c>
      <c r="Q53" s="281" t="str">
        <f>IF(AND('Mapa final'!$Y$53="Muy Baja",'Mapa final'!$AA$53="Menor"),CONCATENATE("R8C",'Mapa final'!$O$53),"")</f>
        <v/>
      </c>
      <c r="R53" s="281" t="str">
        <f>IF(AND('Mapa final'!$Y$54="Muy Baja",'Mapa final'!$AA$54="Menor"),CONCATENATE("R8C",'Mapa final'!$O$54),"")</f>
        <v/>
      </c>
      <c r="S53" s="281" t="str">
        <f>IF(AND('Mapa final'!$Y$55="Muy Baja",'Mapa final'!$AA$55="Menor"),CONCATENATE("R8C",'Mapa final'!$O$55),"")</f>
        <v/>
      </c>
      <c r="T53" s="281" t="str">
        <f>IF(AND('Mapa final'!$Y$56="Muy Baja",'Mapa final'!$AA$56="Menor"),CONCATENATE("R8C",'Mapa final'!$O$56),"")</f>
        <v/>
      </c>
      <c r="U53" s="282" t="str">
        <f>IF(AND('Mapa final'!$Y$57="Muy Baja",'Mapa final'!$AA$57="Menor"),CONCATENATE("R8C",'Mapa final'!$O$57),"")</f>
        <v/>
      </c>
      <c r="V53" s="271" t="str">
        <f>IF(AND('Mapa final'!$Y$52="Muy Baja",'Mapa final'!$AA$52="Moderado"),CONCATENATE("R8C",'Mapa final'!$O$52),"")</f>
        <v/>
      </c>
      <c r="W53" s="272" t="str">
        <f>IF(AND('Mapa final'!$Y$53="Muy Baja",'Mapa final'!$AA$53="Moderado"),CONCATENATE("R8C",'Mapa final'!$O$53),"")</f>
        <v/>
      </c>
      <c r="X53" s="272" t="str">
        <f>IF(AND('Mapa final'!$Y$54="Muy Baja",'Mapa final'!$AA$54="Moderado"),CONCATENATE("R8C",'Mapa final'!$O$54),"")</f>
        <v/>
      </c>
      <c r="Y53" s="272" t="str">
        <f>IF(AND('Mapa final'!$Y$55="Muy Baja",'Mapa final'!$AA$55="Moderado"),CONCATENATE("R8C",'Mapa final'!$O$55),"")</f>
        <v/>
      </c>
      <c r="Z53" s="272" t="str">
        <f>IF(AND('Mapa final'!$Y$56="Muy Baja",'Mapa final'!$AA$56="Moderado"),CONCATENATE("R8C",'Mapa final'!$O$56),"")</f>
        <v/>
      </c>
      <c r="AA53" s="273" t="str">
        <f>IF(AND('Mapa final'!$Y$57="Muy Baja",'Mapa final'!$AA$57="Moderado"),CONCATENATE("R8C",'Mapa final'!$O$57),"")</f>
        <v/>
      </c>
      <c r="AB53" s="256" t="str">
        <f>IF(AND('Mapa final'!$Y$52="Muy Baja",'Mapa final'!$AA$52="Mayor"),CONCATENATE("R8C",'Mapa final'!$O$52),"")</f>
        <v/>
      </c>
      <c r="AC53" s="257" t="str">
        <f>IF(AND('Mapa final'!$Y$53="Muy Baja",'Mapa final'!$AA$53="Mayor"),CONCATENATE("R8C",'Mapa final'!$O$53),"")</f>
        <v/>
      </c>
      <c r="AD53" s="257" t="str">
        <f>IF(AND('Mapa final'!$Y$54="Muy Baja",'Mapa final'!$AA$54="Mayor"),CONCATENATE("R8C",'Mapa final'!$O$54),"")</f>
        <v/>
      </c>
      <c r="AE53" s="257" t="str">
        <f>IF(AND('Mapa final'!$Y$55="Muy Baja",'Mapa final'!$AA$55="Mayor"),CONCATENATE("R8C",'Mapa final'!$O$55),"")</f>
        <v/>
      </c>
      <c r="AF53" s="257" t="str">
        <f>IF(AND('Mapa final'!$Y$56="Muy Baja",'Mapa final'!$AA$56="Mayor"),CONCATENATE("R8C",'Mapa final'!$O$56),"")</f>
        <v/>
      </c>
      <c r="AG53" s="258" t="str">
        <f>IF(AND('Mapa final'!$Y$57="Muy Baja",'Mapa final'!$AA$57="Mayor"),CONCATENATE("R8C",'Mapa final'!$O$57),"")</f>
        <v/>
      </c>
      <c r="AH53" s="259" t="str">
        <f>IF(AND('Mapa final'!$Y$52="Muy Baja",'Mapa final'!$AA$52="Catastrófico"),CONCATENATE("R8C",'Mapa final'!$O$52),"")</f>
        <v/>
      </c>
      <c r="AI53" s="260" t="str">
        <f>IF(AND('Mapa final'!$Y$53="Muy Baja",'Mapa final'!$AA$53="Catastrófico"),CONCATENATE("R8C",'Mapa final'!$O$53),"")</f>
        <v/>
      </c>
      <c r="AJ53" s="260" t="str">
        <f>IF(AND('Mapa final'!$Y$54="Muy Baja",'Mapa final'!$AA$54="Catastrófico"),CONCATENATE("R8C",'Mapa final'!$O$54),"")</f>
        <v/>
      </c>
      <c r="AK53" s="260" t="str">
        <f>IF(AND('Mapa final'!$Y$55="Muy Baja",'Mapa final'!$AA$55="Catastrófico"),CONCATENATE("R8C",'Mapa final'!$O$55),"")</f>
        <v/>
      </c>
      <c r="AL53" s="260" t="str">
        <f>IF(AND('Mapa final'!$Y$56="Muy Baja",'Mapa final'!$AA$56="Catastrófico"),CONCATENATE("R8C",'Mapa final'!$O$56),"")</f>
        <v/>
      </c>
      <c r="AM53" s="26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78"/>
      <c r="C54" s="578"/>
      <c r="D54" s="579"/>
      <c r="E54" s="667"/>
      <c r="F54" s="668"/>
      <c r="G54" s="668"/>
      <c r="H54" s="668"/>
      <c r="I54" s="669"/>
      <c r="J54" s="280" t="str">
        <f>IF(AND('Mapa final'!$Y$58="Muy Baja",'Mapa final'!$AA$58="Leve"),CONCATENATE("R9C",'Mapa final'!$O$58),"")</f>
        <v/>
      </c>
      <c r="K54" s="281" t="str">
        <f>IF(AND('Mapa final'!$Y$59="Muy Baja",'Mapa final'!$AA$59="Leve"),CONCATENATE("R9C",'Mapa final'!$O$59),"")</f>
        <v/>
      </c>
      <c r="L54" s="281" t="str">
        <f>IF(AND('Mapa final'!$Y$60="Muy Baja",'Mapa final'!$AA$60="Leve"),CONCATENATE("R9C",'Mapa final'!$O$60),"")</f>
        <v/>
      </c>
      <c r="M54" s="281" t="str">
        <f>IF(AND('Mapa final'!$Y$61="Muy Baja",'Mapa final'!$AA$61="Leve"),CONCATENATE("R9C",'Mapa final'!$O$61),"")</f>
        <v/>
      </c>
      <c r="N54" s="281" t="str">
        <f>IF(AND('Mapa final'!$Y$62="Muy Baja",'Mapa final'!$AA$62="Leve"),CONCATENATE("R9C",'Mapa final'!$O$62),"")</f>
        <v/>
      </c>
      <c r="O54" s="282" t="str">
        <f>IF(AND('Mapa final'!$Y$63="Muy Baja",'Mapa final'!$AA$63="Leve"),CONCATENATE("R9C",'Mapa final'!$O$63),"")</f>
        <v/>
      </c>
      <c r="P54" s="280" t="str">
        <f>IF(AND('Mapa final'!$Y$58="Muy Baja",'Mapa final'!$AA$58="Menor"),CONCATENATE("R9C",'Mapa final'!$O$58),"")</f>
        <v/>
      </c>
      <c r="Q54" s="281" t="str">
        <f>IF(AND('Mapa final'!$Y$59="Muy Baja",'Mapa final'!$AA$59="Menor"),CONCATENATE("R9C",'Mapa final'!$O$59),"")</f>
        <v/>
      </c>
      <c r="R54" s="281" t="str">
        <f>IF(AND('Mapa final'!$Y$60="Muy Baja",'Mapa final'!$AA$60="Menor"),CONCATENATE("R9C",'Mapa final'!$O$60),"")</f>
        <v/>
      </c>
      <c r="S54" s="281" t="str">
        <f>IF(AND('Mapa final'!$Y$61="Muy Baja",'Mapa final'!$AA$61="Menor"),CONCATENATE("R9C",'Mapa final'!$O$61),"")</f>
        <v/>
      </c>
      <c r="T54" s="281" t="str">
        <f>IF(AND('Mapa final'!$Y$62="Muy Baja",'Mapa final'!$AA$62="Menor"),CONCATENATE("R9C",'Mapa final'!$O$62),"")</f>
        <v/>
      </c>
      <c r="U54" s="282" t="str">
        <f>IF(AND('Mapa final'!$Y$63="Muy Baja",'Mapa final'!$AA$63="Menor"),CONCATENATE("R9C",'Mapa final'!$O$63),"")</f>
        <v/>
      </c>
      <c r="V54" s="271" t="str">
        <f>IF(AND('Mapa final'!$Y$58="Muy Baja",'Mapa final'!$AA$58="Moderado"),CONCATENATE("R9C",'Mapa final'!$O$58),"")</f>
        <v/>
      </c>
      <c r="W54" s="272" t="str">
        <f>IF(AND('Mapa final'!$Y$59="Muy Baja",'Mapa final'!$AA$59="Moderado"),CONCATENATE("R9C",'Mapa final'!$O$59),"")</f>
        <v/>
      </c>
      <c r="X54" s="272" t="str">
        <f>IF(AND('Mapa final'!$Y$60="Muy Baja",'Mapa final'!$AA$60="Moderado"),CONCATENATE("R9C",'Mapa final'!$O$60),"")</f>
        <v/>
      </c>
      <c r="Y54" s="272" t="str">
        <f>IF(AND('Mapa final'!$Y$61="Muy Baja",'Mapa final'!$AA$61="Moderado"),CONCATENATE("R9C",'Mapa final'!$O$61),"")</f>
        <v/>
      </c>
      <c r="Z54" s="272" t="str">
        <f>IF(AND('Mapa final'!$Y$62="Muy Baja",'Mapa final'!$AA$62="Moderado"),CONCATENATE("R9C",'Mapa final'!$O$62),"")</f>
        <v/>
      </c>
      <c r="AA54" s="273" t="str">
        <f>IF(AND('Mapa final'!$Y$63="Muy Baja",'Mapa final'!$AA$63="Moderado"),CONCATENATE("R9C",'Mapa final'!$O$63),"")</f>
        <v/>
      </c>
      <c r="AB54" s="256" t="str">
        <f>IF(AND('Mapa final'!$Y$58="Muy Baja",'Mapa final'!$AA$58="Mayor"),CONCATENATE("R9C",'Mapa final'!$O$58),"")</f>
        <v/>
      </c>
      <c r="AC54" s="257" t="str">
        <f>IF(AND('Mapa final'!$Y$59="Muy Baja",'Mapa final'!$AA$59="Mayor"),CONCATENATE("R9C",'Mapa final'!$O$59),"")</f>
        <v/>
      </c>
      <c r="AD54" s="257" t="str">
        <f>IF(AND('Mapa final'!$Y$60="Muy Baja",'Mapa final'!$AA$60="Mayor"),CONCATENATE("R9C",'Mapa final'!$O$60),"")</f>
        <v/>
      </c>
      <c r="AE54" s="257" t="str">
        <f>IF(AND('Mapa final'!$Y$61="Muy Baja",'Mapa final'!$AA$61="Mayor"),CONCATENATE("R9C",'Mapa final'!$O$61),"")</f>
        <v/>
      </c>
      <c r="AF54" s="257" t="str">
        <f>IF(AND('Mapa final'!$Y$62="Muy Baja",'Mapa final'!$AA$62="Mayor"),CONCATENATE("R9C",'Mapa final'!$O$62),"")</f>
        <v/>
      </c>
      <c r="AG54" s="258" t="str">
        <f>IF(AND('Mapa final'!$Y$63="Muy Baja",'Mapa final'!$AA$63="Mayor"),CONCATENATE("R9C",'Mapa final'!$O$63),"")</f>
        <v/>
      </c>
      <c r="AH54" s="259" t="str">
        <f>IF(AND('Mapa final'!$Y$58="Muy Baja",'Mapa final'!$AA$58="Catastrófico"),CONCATENATE("R9C",'Mapa final'!$O$58),"")</f>
        <v/>
      </c>
      <c r="AI54" s="260" t="str">
        <f>IF(AND('Mapa final'!$Y$59="Muy Baja",'Mapa final'!$AA$59="Catastrófico"),CONCATENATE("R9C",'Mapa final'!$O$59),"")</f>
        <v/>
      </c>
      <c r="AJ54" s="260" t="str">
        <f>IF(AND('Mapa final'!$Y$60="Muy Baja",'Mapa final'!$AA$60="Catastrófico"),CONCATENATE("R9C",'Mapa final'!$O$60),"")</f>
        <v/>
      </c>
      <c r="AK54" s="260" t="str">
        <f>IF(AND('Mapa final'!$Y$61="Muy Baja",'Mapa final'!$AA$61="Catastrófico"),CONCATENATE("R9C",'Mapa final'!$O$61),"")</f>
        <v/>
      </c>
      <c r="AL54" s="260" t="str">
        <f>IF(AND('Mapa final'!$Y$62="Muy Baja",'Mapa final'!$AA$62="Catastrófico"),CONCATENATE("R9C",'Mapa final'!$O$62),"")</f>
        <v/>
      </c>
      <c r="AM54" s="26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78"/>
      <c r="C55" s="578"/>
      <c r="D55" s="579"/>
      <c r="E55" s="670"/>
      <c r="F55" s="671"/>
      <c r="G55" s="671"/>
      <c r="H55" s="671"/>
      <c r="I55" s="672"/>
      <c r="J55" s="283" t="str">
        <f>IF(AND('Mapa final'!$Y$64="Muy Baja",'Mapa final'!$AA$64="Leve"),CONCATENATE("R10C",'Mapa final'!$O$64),"")</f>
        <v/>
      </c>
      <c r="K55" s="284" t="str">
        <f>IF(AND('Mapa final'!$Y$65="Muy Baja",'Mapa final'!$AA$65="Leve"),CONCATENATE("R10C",'Mapa final'!$O$65),"")</f>
        <v/>
      </c>
      <c r="L55" s="284" t="str">
        <f>IF(AND('Mapa final'!$Y$66="Muy Baja",'Mapa final'!$AA$66="Leve"),CONCATENATE("R10C",'Mapa final'!$O$66),"")</f>
        <v/>
      </c>
      <c r="M55" s="284" t="str">
        <f>IF(AND('Mapa final'!$Y$67="Muy Baja",'Mapa final'!$AA$67="Leve"),CONCATENATE("R10C",'Mapa final'!$O$67),"")</f>
        <v/>
      </c>
      <c r="N55" s="284" t="str">
        <f>IF(AND('Mapa final'!$Y$68="Muy Baja",'Mapa final'!$AA$68="Leve"),CONCATENATE("R10C",'Mapa final'!$O$68),"")</f>
        <v/>
      </c>
      <c r="O55" s="285" t="str">
        <f>IF(AND('Mapa final'!$Y$69="Muy Baja",'Mapa final'!$AA$69="Leve"),CONCATENATE("R10C",'Mapa final'!$O$69),"")</f>
        <v/>
      </c>
      <c r="P55" s="283" t="str">
        <f>IF(AND('Mapa final'!$Y$64="Muy Baja",'Mapa final'!$AA$64="Menor"),CONCATENATE("R10C",'Mapa final'!$O$64),"")</f>
        <v/>
      </c>
      <c r="Q55" s="284" t="str">
        <f>IF(AND('Mapa final'!$Y$65="Muy Baja",'Mapa final'!$AA$65="Menor"),CONCATENATE("R10C",'Mapa final'!$O$65),"")</f>
        <v/>
      </c>
      <c r="R55" s="284" t="str">
        <f>IF(AND('Mapa final'!$Y$66="Muy Baja",'Mapa final'!$AA$66="Menor"),CONCATENATE("R10C",'Mapa final'!$O$66),"")</f>
        <v/>
      </c>
      <c r="S55" s="284" t="str">
        <f>IF(AND('Mapa final'!$Y$67="Muy Baja",'Mapa final'!$AA$67="Menor"),CONCATENATE("R10C",'Mapa final'!$O$67),"")</f>
        <v/>
      </c>
      <c r="T55" s="284" t="str">
        <f>IF(AND('Mapa final'!$Y$68="Muy Baja",'Mapa final'!$AA$68="Menor"),CONCATENATE("R10C",'Mapa final'!$O$68),"")</f>
        <v/>
      </c>
      <c r="U55" s="285" t="str">
        <f>IF(AND('Mapa final'!$Y$69="Muy Baja",'Mapa final'!$AA$69="Menor"),CONCATENATE("R10C",'Mapa final'!$O$69),"")</f>
        <v/>
      </c>
      <c r="V55" s="274" t="str">
        <f>IF(AND('Mapa final'!$Y$64="Muy Baja",'Mapa final'!$AA$64="Moderado"),CONCATENATE("R10C",'Mapa final'!$O$64),"")</f>
        <v/>
      </c>
      <c r="W55" s="275" t="str">
        <f>IF(AND('Mapa final'!$Y$65="Muy Baja",'Mapa final'!$AA$65="Moderado"),CONCATENATE("R10C",'Mapa final'!$O$65),"")</f>
        <v/>
      </c>
      <c r="X55" s="275" t="str">
        <f>IF(AND('Mapa final'!$Y$66="Muy Baja",'Mapa final'!$AA$66="Moderado"),CONCATENATE("R10C",'Mapa final'!$O$66),"")</f>
        <v/>
      </c>
      <c r="Y55" s="275" t="str">
        <f>IF(AND('Mapa final'!$Y$67="Muy Baja",'Mapa final'!$AA$67="Moderado"),CONCATENATE("R10C",'Mapa final'!$O$67),"")</f>
        <v/>
      </c>
      <c r="Z55" s="275" t="str">
        <f>IF(AND('Mapa final'!$Y$68="Muy Baja",'Mapa final'!$AA$68="Moderado"),CONCATENATE("R10C",'Mapa final'!$O$68),"")</f>
        <v/>
      </c>
      <c r="AA55" s="276" t="str">
        <f>IF(AND('Mapa final'!$Y$69="Muy Baja",'Mapa final'!$AA$69="Moderado"),CONCATENATE("R10C",'Mapa final'!$O$69),"")</f>
        <v/>
      </c>
      <c r="AB55" s="262" t="str">
        <f>IF(AND('Mapa final'!$Y$64="Muy Baja",'Mapa final'!$AA$64="Mayor"),CONCATENATE("R10C",'Mapa final'!$O$64),"")</f>
        <v/>
      </c>
      <c r="AC55" s="263" t="str">
        <f>IF(AND('Mapa final'!$Y$65="Muy Baja",'Mapa final'!$AA$65="Mayor"),CONCATENATE("R10C",'Mapa final'!$O$65),"")</f>
        <v/>
      </c>
      <c r="AD55" s="263" t="str">
        <f>IF(AND('Mapa final'!$Y$66="Muy Baja",'Mapa final'!$AA$66="Mayor"),CONCATENATE("R10C",'Mapa final'!$O$66),"")</f>
        <v/>
      </c>
      <c r="AE55" s="263" t="str">
        <f>IF(AND('Mapa final'!$Y$67="Muy Baja",'Mapa final'!$AA$67="Mayor"),CONCATENATE("R10C",'Mapa final'!$O$67),"")</f>
        <v/>
      </c>
      <c r="AF55" s="263" t="str">
        <f>IF(AND('Mapa final'!$Y$68="Muy Baja",'Mapa final'!$AA$68="Mayor"),CONCATENATE("R10C",'Mapa final'!$O$68),"")</f>
        <v/>
      </c>
      <c r="AG55" s="264" t="str">
        <f>IF(AND('Mapa final'!$Y$69="Muy Baja",'Mapa final'!$AA$69="Mayor"),CONCATENATE("R10C",'Mapa final'!$O$69),"")</f>
        <v/>
      </c>
      <c r="AH55" s="265" t="str">
        <f>IF(AND('Mapa final'!$Y$64="Muy Baja",'Mapa final'!$AA$64="Catastrófico"),CONCATENATE("R10C",'Mapa final'!$O$64),"")</f>
        <v/>
      </c>
      <c r="AI55" s="266" t="str">
        <f>IF(AND('Mapa final'!$Y$65="Muy Baja",'Mapa final'!$AA$65="Catastrófico"),CONCATENATE("R10C",'Mapa final'!$O$65),"")</f>
        <v/>
      </c>
      <c r="AJ55" s="266" t="str">
        <f>IF(AND('Mapa final'!$Y$66="Muy Baja",'Mapa final'!$AA$66="Catastrófico"),CONCATENATE("R10C",'Mapa final'!$O$66),"")</f>
        <v/>
      </c>
      <c r="AK55" s="266" t="str">
        <f>IF(AND('Mapa final'!$Y$67="Muy Baja",'Mapa final'!$AA$67="Catastrófico"),CONCATENATE("R10C",'Mapa final'!$O$67),"")</f>
        <v/>
      </c>
      <c r="AL55" s="266" t="str">
        <f>IF(AND('Mapa final'!$Y$68="Muy Baja",'Mapa final'!$AA$68="Catastrófico"),CONCATENATE("R10C",'Mapa final'!$O$68),"")</f>
        <v/>
      </c>
      <c r="AM55" s="26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4" t="s">
        <v>1062</v>
      </c>
      <c r="K56" s="665"/>
      <c r="L56" s="665"/>
      <c r="M56" s="665"/>
      <c r="N56" s="665"/>
      <c r="O56" s="666"/>
      <c r="P56" s="664" t="s">
        <v>1063</v>
      </c>
      <c r="Q56" s="665"/>
      <c r="R56" s="665"/>
      <c r="S56" s="665"/>
      <c r="T56" s="665"/>
      <c r="U56" s="666"/>
      <c r="V56" s="664" t="s">
        <v>1064</v>
      </c>
      <c r="W56" s="665"/>
      <c r="X56" s="665"/>
      <c r="Y56" s="665"/>
      <c r="Z56" s="665"/>
      <c r="AA56" s="666"/>
      <c r="AB56" s="664" t="s">
        <v>1065</v>
      </c>
      <c r="AC56" s="710"/>
      <c r="AD56" s="665"/>
      <c r="AE56" s="665"/>
      <c r="AF56" s="665"/>
      <c r="AG56" s="666"/>
      <c r="AH56" s="664" t="s">
        <v>1066</v>
      </c>
      <c r="AI56" s="665"/>
      <c r="AJ56" s="665"/>
      <c r="AK56" s="665"/>
      <c r="AL56" s="665"/>
      <c r="AM56" s="66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67"/>
      <c r="K57" s="668"/>
      <c r="L57" s="668"/>
      <c r="M57" s="668"/>
      <c r="N57" s="668"/>
      <c r="O57" s="669"/>
      <c r="P57" s="667"/>
      <c r="Q57" s="668"/>
      <c r="R57" s="668"/>
      <c r="S57" s="668"/>
      <c r="T57" s="668"/>
      <c r="U57" s="669"/>
      <c r="V57" s="667"/>
      <c r="W57" s="668"/>
      <c r="X57" s="668"/>
      <c r="Y57" s="668"/>
      <c r="Z57" s="668"/>
      <c r="AA57" s="669"/>
      <c r="AB57" s="667"/>
      <c r="AC57" s="668"/>
      <c r="AD57" s="668"/>
      <c r="AE57" s="668"/>
      <c r="AF57" s="668"/>
      <c r="AG57" s="669"/>
      <c r="AH57" s="667"/>
      <c r="AI57" s="668"/>
      <c r="AJ57" s="668"/>
      <c r="AK57" s="668"/>
      <c r="AL57" s="668"/>
      <c r="AM57" s="66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67"/>
      <c r="K58" s="668"/>
      <c r="L58" s="668"/>
      <c r="M58" s="668"/>
      <c r="N58" s="668"/>
      <c r="O58" s="669"/>
      <c r="P58" s="667"/>
      <c r="Q58" s="668"/>
      <c r="R58" s="668"/>
      <c r="S58" s="668"/>
      <c r="T58" s="668"/>
      <c r="U58" s="669"/>
      <c r="V58" s="667"/>
      <c r="W58" s="668"/>
      <c r="X58" s="668"/>
      <c r="Y58" s="668"/>
      <c r="Z58" s="668"/>
      <c r="AA58" s="669"/>
      <c r="AB58" s="667"/>
      <c r="AC58" s="668"/>
      <c r="AD58" s="668"/>
      <c r="AE58" s="668"/>
      <c r="AF58" s="668"/>
      <c r="AG58" s="669"/>
      <c r="AH58" s="667"/>
      <c r="AI58" s="668"/>
      <c r="AJ58" s="668"/>
      <c r="AK58" s="668"/>
      <c r="AL58" s="668"/>
      <c r="AM58" s="66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67"/>
      <c r="K59" s="668"/>
      <c r="L59" s="668"/>
      <c r="M59" s="668"/>
      <c r="N59" s="668"/>
      <c r="O59" s="669"/>
      <c r="P59" s="667"/>
      <c r="Q59" s="668"/>
      <c r="R59" s="668"/>
      <c r="S59" s="668"/>
      <c r="T59" s="668"/>
      <c r="U59" s="669"/>
      <c r="V59" s="667"/>
      <c r="W59" s="668"/>
      <c r="X59" s="668"/>
      <c r="Y59" s="668"/>
      <c r="Z59" s="668"/>
      <c r="AA59" s="669"/>
      <c r="AB59" s="667"/>
      <c r="AC59" s="668"/>
      <c r="AD59" s="668"/>
      <c r="AE59" s="668"/>
      <c r="AF59" s="668"/>
      <c r="AG59" s="669"/>
      <c r="AH59" s="667"/>
      <c r="AI59" s="668"/>
      <c r="AJ59" s="668"/>
      <c r="AK59" s="668"/>
      <c r="AL59" s="668"/>
      <c r="AM59" s="66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67"/>
      <c r="K60" s="668"/>
      <c r="L60" s="668"/>
      <c r="M60" s="668"/>
      <c r="N60" s="668"/>
      <c r="O60" s="669"/>
      <c r="P60" s="667"/>
      <c r="Q60" s="668"/>
      <c r="R60" s="668"/>
      <c r="S60" s="668"/>
      <c r="T60" s="668"/>
      <c r="U60" s="669"/>
      <c r="V60" s="667"/>
      <c r="W60" s="668"/>
      <c r="X60" s="668"/>
      <c r="Y60" s="668"/>
      <c r="Z60" s="668"/>
      <c r="AA60" s="669"/>
      <c r="AB60" s="667"/>
      <c r="AC60" s="668"/>
      <c r="AD60" s="668"/>
      <c r="AE60" s="668"/>
      <c r="AF60" s="668"/>
      <c r="AG60" s="669"/>
      <c r="AH60" s="667"/>
      <c r="AI60" s="668"/>
      <c r="AJ60" s="668"/>
      <c r="AK60" s="668"/>
      <c r="AL60" s="668"/>
      <c r="AM60" s="66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0"/>
      <c r="K61" s="671"/>
      <c r="L61" s="671"/>
      <c r="M61" s="671"/>
      <c r="N61" s="671"/>
      <c r="O61" s="672"/>
      <c r="P61" s="670"/>
      <c r="Q61" s="671"/>
      <c r="R61" s="671"/>
      <c r="S61" s="671"/>
      <c r="T61" s="671"/>
      <c r="U61" s="672"/>
      <c r="V61" s="670"/>
      <c r="W61" s="671"/>
      <c r="X61" s="671"/>
      <c r="Y61" s="671"/>
      <c r="Z61" s="671"/>
      <c r="AA61" s="672"/>
      <c r="AB61" s="670"/>
      <c r="AC61" s="671"/>
      <c r="AD61" s="671"/>
      <c r="AE61" s="671"/>
      <c r="AF61" s="671"/>
      <c r="AG61" s="672"/>
      <c r="AH61" s="670"/>
      <c r="AI61" s="671"/>
      <c r="AJ61" s="671"/>
      <c r="AK61" s="671"/>
      <c r="AL61" s="671"/>
      <c r="AM61" s="67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Szbtwt2e+IdAZ0F0a0tGywJe/8LoE6S0uswtZyUeHCt46i9oO8jemwS2yTwuKAXKas5tVQMEr+AAw7GcnLiEvA==" saltValue="eIkqdeZEGJfsy5rU9s4Y0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5" zoomScaleNormal="90" workbookViewId="0">
      <pane xSplit="4" ySplit="6" topLeftCell="E8" activePane="bottomRight" state="frozen"/>
      <selection activeCell="E6" sqref="E6:I15"/>
      <selection pane="topRight" activeCell="E6" sqref="E6:I15"/>
      <selection pane="bottomLeft" activeCell="E6" sqref="E6:I15"/>
      <selection pane="bottomRight" activeCell="L13" sqref="L13"/>
    </sheetView>
  </sheetViews>
  <sheetFormatPr baseColWidth="10" defaultRowHeight="15" x14ac:dyDescent="0.25"/>
  <cols>
    <col min="1" max="1" width="4.140625" style="117" customWidth="1"/>
    <col min="2" max="2" width="26" style="43" customWidth="1"/>
    <col min="3" max="3" width="40.42578125" style="43" customWidth="1"/>
    <col min="4" max="4" width="23.7109375" style="43" customWidth="1"/>
    <col min="5" max="5" width="38.5703125" style="43" customWidth="1"/>
    <col min="6" max="6" width="11.7109375" style="86" customWidth="1"/>
    <col min="7" max="9" width="10.28515625" style="86" customWidth="1"/>
    <col min="10" max="10" width="7.28515625" style="86" customWidth="1"/>
    <col min="11" max="11" width="10.28515625" style="86" customWidth="1"/>
    <col min="12" max="12" width="8.7109375" style="86" customWidth="1"/>
    <col min="13" max="13" width="61.85546875" style="43" customWidth="1"/>
    <col min="14" max="14" width="27.28515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6"/>
      <c r="C1" s="148"/>
      <c r="D1" s="721" t="s">
        <v>469</v>
      </c>
      <c r="E1" s="723" t="s">
        <v>1233</v>
      </c>
      <c r="F1" s="724"/>
      <c r="G1" s="724"/>
      <c r="H1" s="724"/>
      <c r="I1" s="724"/>
      <c r="J1" s="724"/>
      <c r="K1" s="724"/>
      <c r="L1" s="724"/>
      <c r="M1" s="724"/>
      <c r="N1" s="724"/>
      <c r="O1" s="724"/>
      <c r="P1" s="153" t="s">
        <v>963</v>
      </c>
      <c r="Q1" s="15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5" t="s">
        <v>13</v>
      </c>
      <c r="CL1" s="726"/>
    </row>
    <row r="2" spans="1:90" ht="24" customHeight="1" thickBot="1" x14ac:dyDescent="0.3">
      <c r="A2" s="116"/>
      <c r="B2" s="145"/>
      <c r="C2" s="149"/>
      <c r="D2" s="722"/>
      <c r="E2" s="723"/>
      <c r="F2" s="724"/>
      <c r="G2" s="724"/>
      <c r="H2" s="724"/>
      <c r="I2" s="724"/>
      <c r="J2" s="724"/>
      <c r="K2" s="724"/>
      <c r="L2" s="724"/>
      <c r="M2" s="724"/>
      <c r="N2" s="724"/>
      <c r="O2" s="724"/>
      <c r="P2" s="153" t="s">
        <v>964</v>
      </c>
      <c r="Q2" s="153" t="s">
        <v>1235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5" t="s">
        <v>12</v>
      </c>
      <c r="CL2" s="726"/>
    </row>
    <row r="3" spans="1:90" s="110" customFormat="1" ht="36.75" customHeight="1" thickBot="1" x14ac:dyDescent="0.3">
      <c r="A3" s="116"/>
      <c r="B3" s="145"/>
      <c r="C3" s="150"/>
      <c r="D3" s="155" t="s">
        <v>962</v>
      </c>
      <c r="E3" s="727" t="s">
        <v>1298</v>
      </c>
      <c r="F3" s="727"/>
      <c r="G3" s="727"/>
      <c r="H3" s="727"/>
      <c r="I3" s="727"/>
      <c r="J3" s="727"/>
      <c r="K3" s="727"/>
      <c r="L3" s="727"/>
      <c r="M3" s="727"/>
      <c r="N3" s="727"/>
      <c r="O3" s="723"/>
      <c r="P3" s="153" t="s">
        <v>965</v>
      </c>
      <c r="Q3" s="15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8" t="s">
        <v>156</v>
      </c>
      <c r="CL3" s="729"/>
    </row>
    <row r="4" spans="1:90" ht="27" customHeight="1" x14ac:dyDescent="0.25">
      <c r="A4" s="116"/>
      <c r="B4" s="408"/>
      <c r="C4" s="409"/>
      <c r="D4" s="410"/>
      <c r="E4" s="413" t="s">
        <v>961</v>
      </c>
      <c r="F4" s="413"/>
      <c r="G4" s="413"/>
      <c r="H4" s="413"/>
      <c r="I4" s="413"/>
      <c r="J4" s="413"/>
      <c r="K4" s="413"/>
      <c r="L4" s="413"/>
      <c r="M4" s="413"/>
      <c r="N4" s="413"/>
      <c r="O4" s="413"/>
      <c r="P4" s="411"/>
      <c r="Q4" s="412"/>
    </row>
    <row r="5" spans="1:90" ht="41.25" customHeight="1" thickBot="1" x14ac:dyDescent="0.3">
      <c r="B5" s="63" t="s">
        <v>473</v>
      </c>
      <c r="C5" s="202" t="str">
        <f>IF('Mapa final'!C4="","",'Mapa final'!C4)</f>
        <v xml:space="preserve">Gestión Administrativa </v>
      </c>
      <c r="D5" s="65"/>
      <c r="F5" s="43"/>
      <c r="G5" s="43"/>
      <c r="H5" s="43"/>
      <c r="I5" s="43"/>
      <c r="J5" s="43"/>
      <c r="K5" s="43"/>
      <c r="L5" s="43"/>
      <c r="Q5" s="111"/>
    </row>
    <row r="6" spans="1:90" s="114" customFormat="1" ht="38.25" customHeight="1" thickBot="1" x14ac:dyDescent="0.3">
      <c r="A6" s="118" t="s">
        <v>462</v>
      </c>
      <c r="B6" s="431" t="s">
        <v>159</v>
      </c>
      <c r="C6" s="432" t="s">
        <v>25</v>
      </c>
      <c r="D6" s="433" t="s">
        <v>27</v>
      </c>
      <c r="E6" s="112" t="s">
        <v>2</v>
      </c>
      <c r="F6" s="434" t="s">
        <v>3</v>
      </c>
      <c r="G6" s="434" t="s">
        <v>5</v>
      </c>
      <c r="H6" s="434" t="s">
        <v>185</v>
      </c>
      <c r="I6" s="434" t="s">
        <v>3</v>
      </c>
      <c r="J6" s="434" t="s">
        <v>5</v>
      </c>
      <c r="K6" s="434" t="s">
        <v>160</v>
      </c>
      <c r="L6" s="434" t="s">
        <v>161</v>
      </c>
      <c r="M6" s="432" t="s">
        <v>88</v>
      </c>
      <c r="N6" s="432" t="s">
        <v>162</v>
      </c>
      <c r="O6" s="432" t="s">
        <v>0</v>
      </c>
      <c r="P6" s="432" t="s">
        <v>163</v>
      </c>
      <c r="Q6" s="432" t="s">
        <v>164</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86" customHeight="1" x14ac:dyDescent="0.25">
      <c r="A7" s="119" t="s">
        <v>545</v>
      </c>
      <c r="B7" s="712" t="s">
        <v>188</v>
      </c>
      <c r="C7" s="714" t="str">
        <f>IF('Mapa final'!E10="","",'Mapa final'!E10)</f>
        <v xml:space="preserve">Posibilidad de afectación económica por pérdida, extravío, hurto, robo o declaratoria de bienes faltantes pertenecientes a la entidad, debido a la falta de actualización de asignación de los mismos cuando hay retiro de personal o rotación entre las dependencias de la entidad. </v>
      </c>
      <c r="D7" s="730" t="s">
        <v>209</v>
      </c>
      <c r="E7" s="714" t="str">
        <f>IF('Mapa final'!D10="","",'Mapa final'!D10)</f>
        <v xml:space="preserve">Falta de actualización de asignación de los mismos cuando hay retiro de personal o rotación entre las dependencias de la entidad. </v>
      </c>
      <c r="F7" s="720" t="str">
        <f>IF('Mapa final'!H10="","",'Mapa final'!H10)</f>
        <v>Media</v>
      </c>
      <c r="G7" s="720" t="str">
        <f>IF('Mapa final'!L10="","",'Mapa final'!L10)</f>
        <v>Menor</v>
      </c>
      <c r="H7" s="71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25" t="str">
        <f>IF('Mapa final'!Y10="","",'Mapa final'!Y10)</f>
        <v>Baja</v>
      </c>
      <c r="J7" s="425" t="str">
        <f>IF('Mapa final'!AA10="","",'Mapa final'!AA10)</f>
        <v>Leve</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25" t="str">
        <f>IF('Mapa final'!AD10="","",'Mapa final'!AD10)</f>
        <v/>
      </c>
      <c r="M7" s="345" t="str">
        <f>IF('Mapa final'!P10="","",'Mapa final'!P10)</f>
        <v>El(la) funcionario(a) encargado(a) del área de Almacén e Inventarios del Grupo de Gestión de Bienes e Inventarios coordina trimestralmente una socialización del Procedimiento de Gestión de Bienes, y el Manual Administración de Bienes a las dependencias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 electrónico o Listas de asistencia, memorandos.</v>
      </c>
      <c r="N7" s="426" t="s">
        <v>1288</v>
      </c>
      <c r="O7" s="428" t="s">
        <v>1243</v>
      </c>
      <c r="P7" s="428" t="s">
        <v>1320</v>
      </c>
      <c r="Q7" s="457" t="s">
        <v>1268</v>
      </c>
      <c r="R7" s="43" t="s">
        <v>1299</v>
      </c>
    </row>
    <row r="8" spans="1:90" ht="150" customHeight="1" x14ac:dyDescent="0.25">
      <c r="A8" s="119" t="s">
        <v>546</v>
      </c>
      <c r="B8" s="713"/>
      <c r="C8" s="715"/>
      <c r="D8" s="717"/>
      <c r="E8" s="715"/>
      <c r="F8" s="718"/>
      <c r="G8" s="718"/>
      <c r="H8" s="711"/>
      <c r="I8" s="425" t="str">
        <f>IF('Mapa final'!Y11="","",'Mapa final'!Y11)</f>
        <v>Baja</v>
      </c>
      <c r="J8" s="425" t="str">
        <f>IF('Mapa final'!AA11="","",'Mapa final'!AA11)</f>
        <v>Leve</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25" t="str">
        <f>IF('Mapa final'!AD11="","",'Mapa final'!AD11)</f>
        <v/>
      </c>
      <c r="M8" s="345" t="str">
        <f>IF('Mapa final'!P11="","",'Mapa final'!P11)</f>
        <v>El (la) funcionario(a) encargado(a) del área de Almacén e Inventarios del Grupo de Gestión de Bienes e Inventarios coordina con su grupo de trabajo la realización de tomas físicas semestrales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 de la misma, listados de toma física.</v>
      </c>
      <c r="N8" s="426" t="s">
        <v>1290</v>
      </c>
      <c r="O8" s="428" t="s">
        <v>1243</v>
      </c>
      <c r="P8" s="428" t="s">
        <v>1244</v>
      </c>
      <c r="Q8" s="427" t="s">
        <v>1267</v>
      </c>
    </row>
    <row r="9" spans="1:90" ht="184.5" customHeight="1" x14ac:dyDescent="0.25">
      <c r="A9" s="119" t="s">
        <v>547</v>
      </c>
      <c r="B9" s="713"/>
      <c r="C9" s="715"/>
      <c r="D9" s="717"/>
      <c r="E9" s="715"/>
      <c r="F9" s="718"/>
      <c r="G9" s="718"/>
      <c r="H9" s="711"/>
      <c r="I9" s="425" t="str">
        <f>IF('Mapa final'!Y12="","",'Mapa final'!Y12)</f>
        <v>Muy Baja</v>
      </c>
      <c r="J9" s="425" t="str">
        <f>IF('Mapa final'!AA12="","",'Mapa final'!AA12)</f>
        <v>Leve</v>
      </c>
      <c r="K9" s="425" t="str">
        <f t="shared" si="0"/>
        <v>Bajo</v>
      </c>
      <c r="L9" s="425" t="str">
        <f>IF('Mapa final'!AD12="","",'Mapa final'!AD12)</f>
        <v>Aceptar</v>
      </c>
      <c r="M9" s="345" t="str">
        <f>IF('Mapa final'!P12="","",'Mapa final'!P12)</f>
        <v>El (la) funcionario(a) encargado(a) del área de Almacén e Inventarios del Grupo de Gestión de Bienes e Inventarios coordina con su grupo de trabajo para que ningún elemento salga del almacén sin la nota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sistema de gestión PCT.</v>
      </c>
      <c r="N9" s="426" t="s">
        <v>1291</v>
      </c>
      <c r="O9" s="428" t="s">
        <v>1248</v>
      </c>
      <c r="P9" s="428" t="s">
        <v>1244</v>
      </c>
      <c r="Q9" s="427" t="s">
        <v>1292</v>
      </c>
    </row>
    <row r="10" spans="1:90" ht="50.25" customHeight="1" x14ac:dyDescent="0.25">
      <c r="A10" s="119" t="s">
        <v>548</v>
      </c>
      <c r="B10" s="713"/>
      <c r="C10" s="715"/>
      <c r="D10" s="717"/>
      <c r="E10" s="715"/>
      <c r="F10" s="718"/>
      <c r="G10" s="718"/>
      <c r="H10" s="711"/>
      <c r="I10" s="425" t="str">
        <f>IF('Mapa final'!Y13="","",'Mapa final'!Y13)</f>
        <v/>
      </c>
      <c r="J10" s="425" t="str">
        <f>IF('Mapa final'!AA13="","",'Mapa final'!AA13)</f>
        <v/>
      </c>
      <c r="K10" s="425" t="str">
        <f t="shared" si="0"/>
        <v/>
      </c>
      <c r="L10" s="425" t="str">
        <f>IF('Mapa final'!AD13="","",'Mapa final'!AD13)</f>
        <v/>
      </c>
      <c r="M10" s="345" t="str">
        <f>IF('Mapa final'!P13="","",'Mapa final'!P13)</f>
        <v/>
      </c>
      <c r="N10" s="70"/>
      <c r="O10" s="70"/>
      <c r="P10" s="70"/>
      <c r="Q10" s="177"/>
    </row>
    <row r="11" spans="1:90" ht="50.25" customHeight="1" x14ac:dyDescent="0.25">
      <c r="A11" s="119" t="s">
        <v>549</v>
      </c>
      <c r="B11" s="713"/>
      <c r="C11" s="715"/>
      <c r="D11" s="717"/>
      <c r="E11" s="715"/>
      <c r="F11" s="718"/>
      <c r="G11" s="718"/>
      <c r="H11" s="711"/>
      <c r="I11" s="425" t="str">
        <f>IF('Mapa final'!Y14="","",'Mapa final'!Y14)</f>
        <v/>
      </c>
      <c r="J11" s="425" t="str">
        <f>IF('Mapa final'!AA14="","",'Mapa final'!AA14)</f>
        <v/>
      </c>
      <c r="K11" s="425" t="str">
        <f t="shared" si="0"/>
        <v/>
      </c>
      <c r="L11" s="425" t="str">
        <f>IF('Mapa final'!AD14="","",'Mapa final'!AD14)</f>
        <v/>
      </c>
      <c r="M11" s="345" t="str">
        <f>IF('Mapa final'!P14="","",'Mapa final'!P14)</f>
        <v/>
      </c>
      <c r="N11" s="70"/>
      <c r="O11" s="70"/>
      <c r="P11" s="70"/>
      <c r="Q11" s="177"/>
    </row>
    <row r="12" spans="1:90" ht="50.25" customHeight="1" x14ac:dyDescent="0.25">
      <c r="A12" s="119" t="s">
        <v>550</v>
      </c>
      <c r="B12" s="713"/>
      <c r="C12" s="715"/>
      <c r="D12" s="717"/>
      <c r="E12" s="715"/>
      <c r="F12" s="718"/>
      <c r="G12" s="718"/>
      <c r="H12" s="711"/>
      <c r="I12" s="425" t="str">
        <f>IF('Mapa final'!Y15="","",'Mapa final'!Y15)</f>
        <v/>
      </c>
      <c r="J12" s="425" t="str">
        <f>IF('Mapa final'!AA15="","",'Mapa final'!AA15)</f>
        <v/>
      </c>
      <c r="K12" s="425" t="str">
        <f t="shared" si="0"/>
        <v/>
      </c>
      <c r="L12" s="425" t="str">
        <f>IF('Mapa final'!AD15="","",'Mapa final'!AD15)</f>
        <v/>
      </c>
      <c r="M12" s="345" t="str">
        <f>IF('Mapa final'!P15="","",'Mapa final'!P15)</f>
        <v/>
      </c>
      <c r="N12" s="70"/>
      <c r="O12" s="70"/>
      <c r="P12" s="70"/>
      <c r="Q12" s="177"/>
    </row>
    <row r="13" spans="1:90" ht="166.5" customHeight="1" x14ac:dyDescent="0.25">
      <c r="A13" s="119" t="s">
        <v>551</v>
      </c>
      <c r="B13" s="712" t="s">
        <v>189</v>
      </c>
      <c r="C13" s="714" t="str">
        <f>IF('Mapa final'!E16="","",'Mapa final'!E16)</f>
        <v xml:space="preserve">Posibilidad de afectación económica, por no incluir en el contrato de seguros – amparo de bienes de la entidad- todos los bienes muebles e inmuebles de la entidad, debido a la desarticulación entre el grupo de Gestión Administrativa y el Grupo de Gestión de Bienes e Inventarios. </v>
      </c>
      <c r="D13" s="717" t="s">
        <v>209</v>
      </c>
      <c r="E13" s="714" t="str">
        <f>IF('Mapa final'!D16="","",'Mapa final'!D16)</f>
        <v xml:space="preserve">Desarticulación entre el grupo de Gestión Administrativa y el Grupo de Gestión de Bienes e Inventarios. </v>
      </c>
      <c r="F13" s="720" t="str">
        <f>IF('Mapa final'!H16="","",'Mapa final'!H16)</f>
        <v>Media</v>
      </c>
      <c r="G13" s="720" t="str">
        <f>IF('Mapa final'!L16="","",'Mapa final'!L16)</f>
        <v>Menor</v>
      </c>
      <c r="H13" s="71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5" t="str">
        <f>IF('Mapa final'!Y16="","",'Mapa final'!Y16)</f>
        <v>Baja</v>
      </c>
      <c r="J13" s="425" t="str">
        <f>IF('Mapa final'!AA16="","",'Mapa final'!AA16)</f>
        <v>Leve</v>
      </c>
      <c r="K13" s="344" t="str">
        <f t="shared" si="0"/>
        <v>Bajo</v>
      </c>
      <c r="L13" s="425" t="str">
        <f>IF('Mapa final'!AD16="","",'Mapa final'!AD16)</f>
        <v/>
      </c>
      <c r="M13" s="345" t="str">
        <f>IF('Mapa final'!P16="","",'Mapa final'!P16)</f>
        <v>El (la) funcionario(a) encargado(a) del Grupo de Gestión  Administrativa, coordina con su grupo de trabajo incluir dentro del plan anual de adquisiciones la inclusión de la contratación del corredor de seguros que garantice la asesoría para la adquisición del programa de seguros que contiene las  pólizas de aseguramiento de los activos de la entidad, teniendo en cuenta las posibles inclusiones de bienes durante la vigencia. Las evidencias de la ejecución de este control son: Manual de Administración de Bienes, soportes de correos electrónicos o Listas de asistencia, memorandos.</v>
      </c>
      <c r="N13" s="426" t="s">
        <v>1245</v>
      </c>
      <c r="O13" s="428" t="s">
        <v>1246</v>
      </c>
      <c r="P13" s="428" t="s">
        <v>1247</v>
      </c>
      <c r="Q13" s="457" t="s">
        <v>1269</v>
      </c>
    </row>
    <row r="14" spans="1:90" ht="102" customHeight="1" x14ac:dyDescent="0.25">
      <c r="A14" s="119" t="s">
        <v>552</v>
      </c>
      <c r="B14" s="713"/>
      <c r="C14" s="715"/>
      <c r="D14" s="717"/>
      <c r="E14" s="715"/>
      <c r="F14" s="718"/>
      <c r="G14" s="718"/>
      <c r="H14" s="711"/>
      <c r="I14" s="425" t="str">
        <f>IF('Mapa final'!Y17="","",'Mapa final'!Y17)</f>
        <v>Muy Baja</v>
      </c>
      <c r="J14" s="425" t="str">
        <f>IF('Mapa final'!AA17="","",'Mapa final'!AA17)</f>
        <v>Leve</v>
      </c>
      <c r="K14" s="344" t="str">
        <f t="shared" si="0"/>
        <v>Bajo</v>
      </c>
      <c r="L14" s="425" t="str">
        <f>IF('Mapa final'!AD17="","",'Mapa final'!AD17)</f>
        <v/>
      </c>
      <c r="M14" s="345" t="str">
        <f>IF('Mapa final'!P17="","",'Mapa final'!P17)</f>
        <v xml:space="preserve">El (la) funcionario(a) encargado(a) del Grupo de Gestión Administrativa, realiza la inclusión a la póliza respectiva, de los bienes ingresados reportados desde el Grupo de Gestión de Bienes e Inventarios. Las evidencias de la ejecución de este control son: listados de planes aprobados y cuadros de control y ejecución. </v>
      </c>
      <c r="N14" s="426" t="s">
        <v>1272</v>
      </c>
      <c r="O14" s="428" t="s">
        <v>1248</v>
      </c>
      <c r="P14" s="428" t="s">
        <v>1249</v>
      </c>
      <c r="Q14" s="427" t="s">
        <v>1275</v>
      </c>
    </row>
    <row r="15" spans="1:90" ht="81" customHeight="1" x14ac:dyDescent="0.25">
      <c r="A15" s="119" t="s">
        <v>553</v>
      </c>
      <c r="B15" s="713"/>
      <c r="C15" s="715"/>
      <c r="D15" s="717"/>
      <c r="E15" s="715"/>
      <c r="F15" s="718"/>
      <c r="G15" s="718"/>
      <c r="H15" s="711"/>
      <c r="I15" s="425" t="str">
        <f>IF('Mapa final'!Y18="","",'Mapa final'!Y18)</f>
        <v>Muy Baja</v>
      </c>
      <c r="J15" s="425" t="str">
        <f>IF('Mapa final'!AA18="","",'Mapa final'!AA18)</f>
        <v>Leve</v>
      </c>
      <c r="K15" s="344" t="str">
        <f t="shared" si="0"/>
        <v>Bajo</v>
      </c>
      <c r="L15" s="425" t="str">
        <f>IF('Mapa final'!AD18="","",'Mapa final'!AD18)</f>
        <v>Aceptar</v>
      </c>
      <c r="M15" s="345" t="str">
        <f>IF('Mapa final'!P18="","",'Mapa final'!P18)</f>
        <v>El (la) funcionario(a) encargado(a) del Grupo de Gestión Administrativa, realiza la solicitud de reposición por los siniestros reportados por los funcionarios responsables de los bienes de la Entidad. Las evidencias de la ejecución de este control son: comprobantes de ingreso y salida, memorandos y/o correos electrónicos.</v>
      </c>
      <c r="N15" s="426" t="s">
        <v>1250</v>
      </c>
      <c r="O15" s="428" t="s">
        <v>1248</v>
      </c>
      <c r="P15" s="428" t="s">
        <v>1251</v>
      </c>
      <c r="Q15" s="457" t="s">
        <v>1271</v>
      </c>
    </row>
    <row r="16" spans="1:90" ht="50.25" customHeight="1" x14ac:dyDescent="0.25">
      <c r="A16" s="119" t="s">
        <v>554</v>
      </c>
      <c r="B16" s="713"/>
      <c r="C16" s="715"/>
      <c r="D16" s="717"/>
      <c r="E16" s="715"/>
      <c r="F16" s="718"/>
      <c r="G16" s="718"/>
      <c r="H16" s="711"/>
      <c r="I16" s="425" t="str">
        <f>IF('Mapa final'!Y19="","",'Mapa final'!Y19)</f>
        <v/>
      </c>
      <c r="J16" s="425" t="str">
        <f>IF('Mapa final'!AA19="","",'Mapa final'!AA19)</f>
        <v/>
      </c>
      <c r="K16" s="344" t="str">
        <f t="shared" si="0"/>
        <v/>
      </c>
      <c r="L16" s="425" t="str">
        <f>IF('Mapa final'!AD19="","",'Mapa final'!AD19)</f>
        <v/>
      </c>
      <c r="M16" s="345" t="str">
        <f>IF('Mapa final'!P19="","",'Mapa final'!P19)</f>
        <v/>
      </c>
      <c r="N16" s="70"/>
      <c r="O16" s="70"/>
      <c r="P16" s="70"/>
      <c r="Q16" s="177"/>
    </row>
    <row r="17" spans="1:17" ht="50.25" customHeight="1" x14ac:dyDescent="0.25">
      <c r="A17" s="119" t="s">
        <v>555</v>
      </c>
      <c r="B17" s="713"/>
      <c r="C17" s="715"/>
      <c r="D17" s="717"/>
      <c r="E17" s="715"/>
      <c r="F17" s="718"/>
      <c r="G17" s="718"/>
      <c r="H17" s="711"/>
      <c r="I17" s="425" t="str">
        <f>IF('Mapa final'!Y20="","",'Mapa final'!Y20)</f>
        <v/>
      </c>
      <c r="J17" s="425" t="str">
        <f>IF('Mapa final'!AA20="","",'Mapa final'!AA20)</f>
        <v/>
      </c>
      <c r="K17" s="344" t="str">
        <f t="shared" si="0"/>
        <v/>
      </c>
      <c r="L17" s="425" t="str">
        <f>IF('Mapa final'!AD20="","",'Mapa final'!AD20)</f>
        <v/>
      </c>
      <c r="M17" s="345" t="str">
        <f>IF('Mapa final'!P20="","",'Mapa final'!P20)</f>
        <v/>
      </c>
      <c r="N17" s="70"/>
      <c r="O17" s="70"/>
      <c r="P17" s="70"/>
      <c r="Q17" s="177"/>
    </row>
    <row r="18" spans="1:17" ht="50.25" customHeight="1" x14ac:dyDescent="0.25">
      <c r="A18" s="119" t="s">
        <v>556</v>
      </c>
      <c r="B18" s="713"/>
      <c r="C18" s="715"/>
      <c r="D18" s="717"/>
      <c r="E18" s="715"/>
      <c r="F18" s="718"/>
      <c r="G18" s="718"/>
      <c r="H18" s="711"/>
      <c r="I18" s="425" t="str">
        <f>IF('Mapa final'!Y21="","",'Mapa final'!Y21)</f>
        <v/>
      </c>
      <c r="J18" s="425" t="str">
        <f>IF('Mapa final'!AA21="","",'Mapa final'!AA21)</f>
        <v/>
      </c>
      <c r="K18" s="344" t="str">
        <f t="shared" si="0"/>
        <v/>
      </c>
      <c r="L18" s="425" t="str">
        <f>IF('Mapa final'!AD21="","",'Mapa final'!AD21)</f>
        <v/>
      </c>
      <c r="M18" s="345" t="str">
        <f>IF('Mapa final'!P21="","",'Mapa final'!P21)</f>
        <v/>
      </c>
      <c r="N18" s="70"/>
      <c r="O18" s="70"/>
      <c r="P18" s="70"/>
      <c r="Q18" s="177"/>
    </row>
    <row r="19" spans="1:17" ht="132.75" customHeight="1" x14ac:dyDescent="0.25">
      <c r="A19" s="119" t="s">
        <v>557</v>
      </c>
      <c r="B19" s="712" t="s">
        <v>210</v>
      </c>
      <c r="C19" s="714" t="str">
        <f>IF('Mapa final'!E22="","",'Mapa final'!E22)</f>
        <v xml:space="preserve">Posibilidad de afectación económica, por pago de multa impuesta por la entidad competente, debido a las obligaciones e impuestos no obligados  y no pagados  dentro de las fechas correspondientes. </v>
      </c>
      <c r="D19" s="717" t="s">
        <v>209</v>
      </c>
      <c r="E19" s="714" t="str">
        <f>IF('Mapa final'!D22="","",'Mapa final'!D22)</f>
        <v xml:space="preserve">Obligaciones e impuestos no obligados y no pagados dentro de las fechas correspondientes
</v>
      </c>
      <c r="F19" s="720" t="str">
        <f>IF('Mapa final'!H22="","",'Mapa final'!H22)</f>
        <v>Muy Baja</v>
      </c>
      <c r="G19" s="720" t="str">
        <f>IF('Mapa final'!L22="","",'Mapa final'!L22)</f>
        <v>Menor</v>
      </c>
      <c r="H19" s="71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425" t="str">
        <f>IF('Mapa final'!Y22="","",'Mapa final'!Y22)</f>
        <v>Muy Baja</v>
      </c>
      <c r="J19" s="425" t="str">
        <f>IF('Mapa final'!AA22="","",'Mapa final'!AA22)</f>
        <v>Leve</v>
      </c>
      <c r="K19" s="344" t="str">
        <f t="shared" si="0"/>
        <v>Bajo</v>
      </c>
      <c r="L19" s="425" t="str">
        <f>IF('Mapa final'!AD22="","",'Mapa final'!AD22)</f>
        <v/>
      </c>
      <c r="M19" s="345" t="str">
        <f>IF('Mapa final'!P22="","",'Mapa final'!P22)</f>
        <v>El (la) funcionario(a) encargado(a) del Grupo de Gestión Administrativa solicita dentro del primer trimestre del año la liquidación de pago de impuestos y remite para pago los respectivos documentos al Grupo de Gestión Financiera. Las evidencias de este control son: Recibos de pago y memorandos de solicitud de recursos.</v>
      </c>
      <c r="N19" s="426" t="s">
        <v>1252</v>
      </c>
      <c r="O19" s="428" t="s">
        <v>1248</v>
      </c>
      <c r="P19" s="428" t="s">
        <v>1253</v>
      </c>
      <c r="Q19" s="427" t="s">
        <v>1254</v>
      </c>
    </row>
    <row r="20" spans="1:17" ht="119.25" customHeight="1" x14ac:dyDescent="0.25">
      <c r="A20" s="119" t="s">
        <v>558</v>
      </c>
      <c r="B20" s="713"/>
      <c r="C20" s="715"/>
      <c r="D20" s="717"/>
      <c r="E20" s="715"/>
      <c r="F20" s="718"/>
      <c r="G20" s="718"/>
      <c r="H20" s="711"/>
      <c r="I20" s="425" t="str">
        <f>IF('Mapa final'!Y23="","",'Mapa final'!Y23)</f>
        <v>Muy Baja</v>
      </c>
      <c r="J20" s="425" t="str">
        <f>IF('Mapa final'!AA23="","",'Mapa final'!AA23)</f>
        <v>Leve</v>
      </c>
      <c r="K20" s="344" t="str">
        <f t="shared" si="0"/>
        <v>Bajo</v>
      </c>
      <c r="L20" s="425" t="str">
        <f>IF('Mapa final'!AD23="","",'Mapa final'!AD23)</f>
        <v>Aceptar</v>
      </c>
      <c r="M20" s="345" t="str">
        <f>IF('Mapa final'!P23="","",'Mapa final'!P23)</f>
        <v>El (la) funcionario(a) encargado(a) del Grupo de Gestión Administrativa solicita anualmente a través del proyecto de presupuesto los recursos necesarios para cubrir el pago de impuestos y servicios públicos incrementándolos en el porcentaje del IPC establecido para la respectiva vigencia. Las evidencias de este control son: memorando justificación anteproyecto y cuando los recursos son insuficientes, se tramita adición y/o traslado presupuestal para cumplir con las obligaciones.</v>
      </c>
      <c r="N20" s="426" t="s">
        <v>1255</v>
      </c>
      <c r="O20" s="428" t="s">
        <v>1248</v>
      </c>
      <c r="P20" s="428" t="s">
        <v>1256</v>
      </c>
      <c r="Q20" s="457" t="s">
        <v>1270</v>
      </c>
    </row>
    <row r="21" spans="1:17" ht="43.5" customHeight="1" x14ac:dyDescent="0.25">
      <c r="A21" s="119" t="s">
        <v>559</v>
      </c>
      <c r="B21" s="713"/>
      <c r="C21" s="715"/>
      <c r="D21" s="717"/>
      <c r="E21" s="715"/>
      <c r="F21" s="718"/>
      <c r="G21" s="718"/>
      <c r="H21" s="711"/>
      <c r="I21" s="425" t="str">
        <f>IF('Mapa final'!Y24="","",'Mapa final'!Y24)</f>
        <v/>
      </c>
      <c r="J21" s="425" t="str">
        <f>IF('Mapa final'!AA24="","",'Mapa final'!AA24)</f>
        <v/>
      </c>
      <c r="K21" s="344" t="str">
        <f t="shared" si="0"/>
        <v/>
      </c>
      <c r="L21" s="425" t="str">
        <f>IF('Mapa final'!AD24="","",'Mapa final'!AD24)</f>
        <v/>
      </c>
      <c r="M21" s="345" t="str">
        <f>IF('Mapa final'!P24="","",'Mapa final'!P24)</f>
        <v/>
      </c>
      <c r="N21" s="70"/>
      <c r="O21" s="70"/>
      <c r="P21" s="70"/>
      <c r="Q21" s="177"/>
    </row>
    <row r="22" spans="1:17" ht="43.5" customHeight="1" x14ac:dyDescent="0.25">
      <c r="A22" s="119" t="s">
        <v>560</v>
      </c>
      <c r="B22" s="713"/>
      <c r="C22" s="715"/>
      <c r="D22" s="717"/>
      <c r="E22" s="715"/>
      <c r="F22" s="718"/>
      <c r="G22" s="718"/>
      <c r="H22" s="711"/>
      <c r="I22" s="425" t="str">
        <f>IF('Mapa final'!Y25="","",'Mapa final'!Y25)</f>
        <v/>
      </c>
      <c r="J22" s="425" t="str">
        <f>IF('Mapa final'!AA25="","",'Mapa final'!AA25)</f>
        <v/>
      </c>
      <c r="K22" s="344" t="str">
        <f t="shared" si="0"/>
        <v/>
      </c>
      <c r="L22" s="425" t="str">
        <f>IF('Mapa final'!AD25="","",'Mapa final'!AD25)</f>
        <v/>
      </c>
      <c r="M22" s="345" t="str">
        <f>IF('Mapa final'!P25="","",'Mapa final'!P25)</f>
        <v/>
      </c>
      <c r="N22" s="70"/>
      <c r="O22" s="70"/>
      <c r="P22" s="70"/>
      <c r="Q22" s="177"/>
    </row>
    <row r="23" spans="1:17" ht="43.5" customHeight="1" x14ac:dyDescent="0.25">
      <c r="A23" s="119" t="s">
        <v>561</v>
      </c>
      <c r="B23" s="713"/>
      <c r="C23" s="715"/>
      <c r="D23" s="717"/>
      <c r="E23" s="715"/>
      <c r="F23" s="718"/>
      <c r="G23" s="718"/>
      <c r="H23" s="711"/>
      <c r="I23" s="425" t="str">
        <f>IF('Mapa final'!Y26="","",'Mapa final'!Y26)</f>
        <v/>
      </c>
      <c r="J23" s="425" t="str">
        <f>IF('Mapa final'!AA26="","",'Mapa final'!AA26)</f>
        <v/>
      </c>
      <c r="K23" s="344" t="str">
        <f t="shared" si="0"/>
        <v/>
      </c>
      <c r="L23" s="425" t="str">
        <f>IF('Mapa final'!AD26="","",'Mapa final'!AD26)</f>
        <v/>
      </c>
      <c r="M23" s="345" t="str">
        <f>IF('Mapa final'!P26="","",'Mapa final'!P26)</f>
        <v/>
      </c>
      <c r="N23" s="70"/>
      <c r="O23" s="70"/>
      <c r="P23" s="70"/>
      <c r="Q23" s="177"/>
    </row>
    <row r="24" spans="1:17" ht="43.5" customHeight="1" x14ac:dyDescent="0.25">
      <c r="A24" s="119" t="s">
        <v>562</v>
      </c>
      <c r="B24" s="713"/>
      <c r="C24" s="715"/>
      <c r="D24" s="717"/>
      <c r="E24" s="715"/>
      <c r="F24" s="718"/>
      <c r="G24" s="718"/>
      <c r="H24" s="711"/>
      <c r="I24" s="425" t="str">
        <f>IF('Mapa final'!Y27="","",'Mapa final'!Y27)</f>
        <v/>
      </c>
      <c r="J24" s="425" t="str">
        <f>IF('Mapa final'!AA27="","",'Mapa final'!AA27)</f>
        <v/>
      </c>
      <c r="K24" s="344" t="str">
        <f t="shared" si="0"/>
        <v/>
      </c>
      <c r="L24" s="425" t="str">
        <f>IF('Mapa final'!AD27="","",'Mapa final'!AD27)</f>
        <v/>
      </c>
      <c r="M24" s="345" t="str">
        <f>IF('Mapa final'!P27="","",'Mapa final'!P27)</f>
        <v/>
      </c>
      <c r="N24" s="70"/>
      <c r="O24" s="70"/>
      <c r="P24" s="70"/>
      <c r="Q24" s="177"/>
    </row>
    <row r="25" spans="1:17" ht="123.75" customHeight="1" x14ac:dyDescent="0.25">
      <c r="A25" s="119" t="s">
        <v>563</v>
      </c>
      <c r="B25" s="712" t="s">
        <v>211</v>
      </c>
      <c r="C25" s="714" t="str">
        <f>IF('Mapa final'!E28="","",'Mapa final'!E28)</f>
        <v>Posibilidad de afectación económica, por deterioro de bienes, debido a la falta de recursos asignados al plan de mantenimiento de la entidad para atender oportunamente las solicitudes de mantenimiento requeridas.</v>
      </c>
      <c r="D25" s="717" t="s">
        <v>209</v>
      </c>
      <c r="E25" s="714" t="str">
        <f>IF('Mapa final'!D28="","",'Mapa final'!D28)</f>
        <v>Falta de recursos asignados al plan de mantenimiento de la entidad para atender oportunamente las solicitudes de mantenimiento requeridas.</v>
      </c>
      <c r="F25" s="720" t="str">
        <f>IF('Mapa final'!H28="","",'Mapa final'!H28)</f>
        <v>Media</v>
      </c>
      <c r="G25" s="720" t="str">
        <f>IF('Mapa final'!L28="","",'Mapa final'!L28)</f>
        <v>Menor</v>
      </c>
      <c r="H25" s="71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5" t="str">
        <f>IF('Mapa final'!Y28="","",'Mapa final'!Y28)</f>
        <v>Baja</v>
      </c>
      <c r="J25" s="425" t="str">
        <f>IF('Mapa final'!AA28="","",'Mapa final'!AA28)</f>
        <v>Leve</v>
      </c>
      <c r="K25" s="344" t="str">
        <f t="shared" si="0"/>
        <v>Bajo</v>
      </c>
      <c r="L25" s="425" t="str">
        <f>IF('Mapa final'!AD28="","",'Mapa final'!AD28)</f>
        <v/>
      </c>
      <c r="M25" s="345" t="str">
        <f>IF('Mapa final'!P28="","",'Mapa final'!P28)</f>
        <v>El (la) funcionario(a) encargado(a) del Grupo de Gestión Administrativa elabora anualmente un plan de mantenimiento para los bienes de la entidad, el cual sirve como base para la solicitud de recursos que cumplan con las necesidades allí establecidas, una vez se tiene el presupuesto se procede con la contratación de insumos y servicio para cumplir con el mantenimiento de los bienes de la entidad. Las evidencias de este control son: Informe con el documento plan de mantenimiento.</v>
      </c>
      <c r="N25" s="428" t="s">
        <v>1257</v>
      </c>
      <c r="O25" s="428" t="s">
        <v>1248</v>
      </c>
      <c r="P25" s="426" t="s">
        <v>1258</v>
      </c>
      <c r="Q25" s="429" t="s">
        <v>1259</v>
      </c>
    </row>
    <row r="26" spans="1:17" ht="123.75" customHeight="1" x14ac:dyDescent="0.25">
      <c r="A26" s="119" t="s">
        <v>564</v>
      </c>
      <c r="B26" s="713"/>
      <c r="C26" s="715"/>
      <c r="D26" s="717"/>
      <c r="E26" s="715"/>
      <c r="F26" s="718"/>
      <c r="G26" s="718"/>
      <c r="H26" s="711"/>
      <c r="I26" s="425" t="str">
        <f>IF('Mapa final'!Y29="","",'Mapa final'!Y29)</f>
        <v>Muy Baja</v>
      </c>
      <c r="J26" s="425" t="str">
        <f>IF('Mapa final'!AA29="","",'Mapa final'!AA29)</f>
        <v>Leve</v>
      </c>
      <c r="K26" s="344" t="str">
        <f t="shared" si="0"/>
        <v>Bajo</v>
      </c>
      <c r="L26" s="425" t="str">
        <f>IF('Mapa final'!AD29="","",'Mapa final'!AD29)</f>
        <v>Aceptar</v>
      </c>
      <c r="M26" s="345" t="str">
        <f>IF('Mapa final'!P29="","",'Mapa final'!P29)</f>
        <v>El (la) funcionario(a) encargado(a) del Grupo de Gestión Administrativa atiende las solicitudes de mantenimiento dando cumplimiento al correspondiente procedimiento y a través de la mesa de ayuda creada para este fin. Las evidencias de este control son: Contratos de mantenimiento locativo y parque automotor, e informes de ejecución.</v>
      </c>
      <c r="N26" s="426" t="s">
        <v>1260</v>
      </c>
      <c r="O26" s="428" t="s">
        <v>1248</v>
      </c>
      <c r="P26" s="426" t="s">
        <v>1258</v>
      </c>
      <c r="Q26" s="427" t="s">
        <v>1289</v>
      </c>
    </row>
    <row r="27" spans="1:17" ht="43.5" customHeight="1" x14ac:dyDescent="0.25">
      <c r="A27" s="119" t="s">
        <v>565</v>
      </c>
      <c r="B27" s="713"/>
      <c r="C27" s="715"/>
      <c r="D27" s="717"/>
      <c r="E27" s="715"/>
      <c r="F27" s="718"/>
      <c r="G27" s="718"/>
      <c r="H27" s="711"/>
      <c r="I27" s="425" t="str">
        <f>IF('Mapa final'!Y30="","",'Mapa final'!Y30)</f>
        <v/>
      </c>
      <c r="J27" s="425" t="str">
        <f>IF('Mapa final'!AA30="","",'Mapa final'!AA30)</f>
        <v/>
      </c>
      <c r="K27" s="344" t="str">
        <f t="shared" si="0"/>
        <v/>
      </c>
      <c r="L27" s="425" t="str">
        <f>IF('Mapa final'!AD30="","",'Mapa final'!AD30)</f>
        <v/>
      </c>
      <c r="M27" s="345" t="str">
        <f>IF('Mapa final'!P30="","",'Mapa final'!P30)</f>
        <v/>
      </c>
      <c r="N27" s="70"/>
      <c r="O27" s="70"/>
      <c r="P27" s="70"/>
      <c r="Q27" s="177"/>
    </row>
    <row r="28" spans="1:17" ht="43.5" customHeight="1" x14ac:dyDescent="0.25">
      <c r="A28" s="119" t="s">
        <v>566</v>
      </c>
      <c r="B28" s="713"/>
      <c r="C28" s="715"/>
      <c r="D28" s="717"/>
      <c r="E28" s="715"/>
      <c r="F28" s="718"/>
      <c r="G28" s="718"/>
      <c r="H28" s="711"/>
      <c r="I28" s="425" t="str">
        <f>IF('Mapa final'!Y31="","",'Mapa final'!Y31)</f>
        <v/>
      </c>
      <c r="J28" s="425" t="str">
        <f>IF('Mapa final'!AA31="","",'Mapa final'!AA31)</f>
        <v/>
      </c>
      <c r="K28" s="344" t="str">
        <f t="shared" si="0"/>
        <v/>
      </c>
      <c r="L28" s="425" t="str">
        <f>IF('Mapa final'!AD31="","",'Mapa final'!AD31)</f>
        <v/>
      </c>
      <c r="M28" s="345" t="str">
        <f>IF('Mapa final'!P31="","",'Mapa final'!P31)</f>
        <v/>
      </c>
      <c r="N28" s="70"/>
      <c r="O28" s="70"/>
      <c r="P28" s="70"/>
      <c r="Q28" s="177"/>
    </row>
    <row r="29" spans="1:17" ht="43.5" customHeight="1" x14ac:dyDescent="0.25">
      <c r="A29" s="119" t="s">
        <v>567</v>
      </c>
      <c r="B29" s="713"/>
      <c r="C29" s="715"/>
      <c r="D29" s="717"/>
      <c r="E29" s="715"/>
      <c r="F29" s="718"/>
      <c r="G29" s="718"/>
      <c r="H29" s="711"/>
      <c r="I29" s="425" t="str">
        <f>IF('Mapa final'!Y32="","",'Mapa final'!Y32)</f>
        <v/>
      </c>
      <c r="J29" s="425" t="str">
        <f>IF('Mapa final'!AA32="","",'Mapa final'!AA32)</f>
        <v/>
      </c>
      <c r="K29" s="344" t="str">
        <f t="shared" si="0"/>
        <v/>
      </c>
      <c r="L29" s="425" t="str">
        <f>IF('Mapa final'!AD32="","",'Mapa final'!AD32)</f>
        <v/>
      </c>
      <c r="M29" s="345" t="str">
        <f>IF('Mapa final'!P32="","",'Mapa final'!P32)</f>
        <v/>
      </c>
      <c r="N29" s="70"/>
      <c r="O29" s="70"/>
      <c r="P29" s="70"/>
      <c r="Q29" s="177"/>
    </row>
    <row r="30" spans="1:17" ht="43.5" customHeight="1" x14ac:dyDescent="0.25">
      <c r="A30" s="119" t="s">
        <v>568</v>
      </c>
      <c r="B30" s="713"/>
      <c r="C30" s="715"/>
      <c r="D30" s="717"/>
      <c r="E30" s="715"/>
      <c r="F30" s="718"/>
      <c r="G30" s="718"/>
      <c r="H30" s="711"/>
      <c r="I30" s="425" t="str">
        <f>IF('Mapa final'!Y33="","",'Mapa final'!Y33)</f>
        <v/>
      </c>
      <c r="J30" s="425" t="str">
        <f>IF('Mapa final'!AA33="","",'Mapa final'!AA33)</f>
        <v/>
      </c>
      <c r="K30" s="344" t="str">
        <f t="shared" si="0"/>
        <v/>
      </c>
      <c r="L30" s="425" t="str">
        <f>IF('Mapa final'!AD33="","",'Mapa final'!AD33)</f>
        <v/>
      </c>
      <c r="M30" s="345" t="str">
        <f>IF('Mapa final'!P33="","",'Mapa final'!P33)</f>
        <v/>
      </c>
      <c r="N30" s="70"/>
      <c r="O30" s="70"/>
      <c r="P30" s="70"/>
      <c r="Q30" s="177"/>
    </row>
    <row r="31" spans="1:17" ht="43.5" customHeight="1" x14ac:dyDescent="0.25">
      <c r="A31" s="119" t="s">
        <v>569</v>
      </c>
      <c r="B31" s="712"/>
      <c r="C31" s="714" t="str">
        <f>IF('Mapa final'!E34="","",'Mapa final'!E34)</f>
        <v/>
      </c>
      <c r="D31" s="717"/>
      <c r="E31" s="714" t="str">
        <f>IF('Mapa final'!D34="","",'Mapa final'!D34)</f>
        <v/>
      </c>
      <c r="F31" s="720" t="str">
        <f>IF('Mapa final'!H34="","",'Mapa final'!H34)</f>
        <v/>
      </c>
      <c r="G31" s="720" t="str">
        <f>IF('Mapa final'!L34="","",'Mapa final'!L34)</f>
        <v/>
      </c>
      <c r="H31" s="71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final'!Y34="","",'Mapa final'!Y34)</f>
        <v/>
      </c>
      <c r="J31" s="425" t="str">
        <f>IF('Mapa final'!AA34="","",'Mapa final'!AA34)</f>
        <v/>
      </c>
      <c r="K31" s="344" t="str">
        <f t="shared" si="0"/>
        <v/>
      </c>
      <c r="L31" s="425" t="str">
        <f>IF('Mapa final'!AD34="","",'Mapa final'!AD34)</f>
        <v/>
      </c>
      <c r="M31" s="345" t="str">
        <f>IF('Mapa final'!P34="","",'Mapa final'!P34)</f>
        <v/>
      </c>
      <c r="N31" s="70"/>
      <c r="O31" s="70"/>
      <c r="P31" s="70"/>
      <c r="Q31" s="177"/>
    </row>
    <row r="32" spans="1:17" ht="43.5" customHeight="1" x14ac:dyDescent="0.25">
      <c r="A32" s="119" t="s">
        <v>570</v>
      </c>
      <c r="B32" s="713"/>
      <c r="C32" s="715"/>
      <c r="D32" s="717"/>
      <c r="E32" s="715"/>
      <c r="F32" s="718"/>
      <c r="G32" s="718"/>
      <c r="H32" s="711"/>
      <c r="I32" s="425" t="str">
        <f>IF('Mapa final'!Y35="","",'Mapa final'!Y35)</f>
        <v/>
      </c>
      <c r="J32" s="425" t="str">
        <f>IF('Mapa final'!AA35="","",'Mapa final'!AA35)</f>
        <v/>
      </c>
      <c r="K32" s="344" t="str">
        <f t="shared" si="0"/>
        <v/>
      </c>
      <c r="L32" s="425" t="str">
        <f>IF('Mapa final'!AD35="","",'Mapa final'!AD35)</f>
        <v/>
      </c>
      <c r="M32" s="345" t="str">
        <f>IF('Mapa final'!P35="","",'Mapa final'!P35)</f>
        <v/>
      </c>
      <c r="N32" s="70"/>
      <c r="O32" s="70"/>
      <c r="P32" s="70"/>
      <c r="Q32" s="177"/>
    </row>
    <row r="33" spans="1:17" ht="43.5" customHeight="1" x14ac:dyDescent="0.25">
      <c r="A33" s="119" t="s">
        <v>571</v>
      </c>
      <c r="B33" s="713"/>
      <c r="C33" s="715"/>
      <c r="D33" s="717"/>
      <c r="E33" s="715"/>
      <c r="F33" s="718"/>
      <c r="G33" s="718"/>
      <c r="H33" s="711"/>
      <c r="I33" s="425" t="str">
        <f>IF('Mapa final'!Y36="","",'Mapa final'!Y36)</f>
        <v/>
      </c>
      <c r="J33" s="425" t="str">
        <f>IF('Mapa final'!AA36="","",'Mapa final'!AA36)</f>
        <v/>
      </c>
      <c r="K33" s="344" t="str">
        <f t="shared" si="0"/>
        <v/>
      </c>
      <c r="L33" s="425" t="str">
        <f>IF('Mapa final'!AD36="","",'Mapa final'!AD36)</f>
        <v/>
      </c>
      <c r="M33" s="345" t="str">
        <f>IF('Mapa final'!P36="","",'Mapa final'!P36)</f>
        <v/>
      </c>
      <c r="N33" s="70"/>
      <c r="O33" s="70"/>
      <c r="P33" s="70"/>
      <c r="Q33" s="177"/>
    </row>
    <row r="34" spans="1:17" ht="43.5" customHeight="1" x14ac:dyDescent="0.25">
      <c r="A34" s="119" t="s">
        <v>572</v>
      </c>
      <c r="B34" s="713"/>
      <c r="C34" s="715"/>
      <c r="D34" s="717"/>
      <c r="E34" s="715"/>
      <c r="F34" s="718"/>
      <c r="G34" s="718"/>
      <c r="H34" s="711"/>
      <c r="I34" s="425" t="str">
        <f>IF('Mapa final'!Y37="","",'Mapa final'!Y37)</f>
        <v/>
      </c>
      <c r="J34" s="425" t="str">
        <f>IF('Mapa final'!AA37="","",'Mapa final'!AA37)</f>
        <v/>
      </c>
      <c r="K34" s="344" t="str">
        <f t="shared" si="0"/>
        <v/>
      </c>
      <c r="L34" s="425" t="str">
        <f>IF('Mapa final'!AD37="","",'Mapa final'!AD37)</f>
        <v/>
      </c>
      <c r="M34" s="345" t="str">
        <f>IF('Mapa final'!P37="","",'Mapa final'!P37)</f>
        <v/>
      </c>
      <c r="N34" s="70"/>
      <c r="O34" s="70"/>
      <c r="P34" s="70"/>
      <c r="Q34" s="177"/>
    </row>
    <row r="35" spans="1:17" ht="43.5" customHeight="1" x14ac:dyDescent="0.25">
      <c r="A35" s="119" t="s">
        <v>573</v>
      </c>
      <c r="B35" s="713"/>
      <c r="C35" s="715"/>
      <c r="D35" s="717"/>
      <c r="E35" s="715"/>
      <c r="F35" s="718"/>
      <c r="G35" s="718"/>
      <c r="H35" s="711"/>
      <c r="I35" s="425" t="str">
        <f>IF('Mapa final'!Y38="","",'Mapa final'!Y38)</f>
        <v/>
      </c>
      <c r="J35" s="425" t="str">
        <f>IF('Mapa final'!AA38="","",'Mapa final'!AA38)</f>
        <v/>
      </c>
      <c r="K35" s="344" t="str">
        <f t="shared" si="0"/>
        <v/>
      </c>
      <c r="L35" s="425" t="str">
        <f>IF('Mapa final'!AD38="","",'Mapa final'!AD38)</f>
        <v/>
      </c>
      <c r="M35" s="345" t="str">
        <f>IF('Mapa final'!P38="","",'Mapa final'!P38)</f>
        <v/>
      </c>
      <c r="N35" s="70"/>
      <c r="O35" s="70"/>
      <c r="P35" s="70"/>
      <c r="Q35" s="177"/>
    </row>
    <row r="36" spans="1:17" ht="43.5" customHeight="1" x14ac:dyDescent="0.25">
      <c r="A36" s="119" t="s">
        <v>574</v>
      </c>
      <c r="B36" s="713"/>
      <c r="C36" s="715"/>
      <c r="D36" s="717"/>
      <c r="E36" s="715"/>
      <c r="F36" s="718"/>
      <c r="G36" s="718"/>
      <c r="H36" s="711"/>
      <c r="I36" s="425" t="str">
        <f>IF('Mapa final'!Y39="","",'Mapa final'!Y39)</f>
        <v/>
      </c>
      <c r="J36" s="425" t="str">
        <f>IF('Mapa final'!AA39="","",'Mapa final'!AA39)</f>
        <v/>
      </c>
      <c r="K36" s="344" t="str">
        <f t="shared" si="0"/>
        <v/>
      </c>
      <c r="L36" s="425" t="str">
        <f>IF('Mapa final'!AD39="","",'Mapa final'!AD39)</f>
        <v/>
      </c>
      <c r="M36" s="345" t="str">
        <f>IF('Mapa final'!P39="","",'Mapa final'!P39)</f>
        <v/>
      </c>
      <c r="N36" s="70"/>
      <c r="O36" s="70"/>
      <c r="P36" s="70"/>
      <c r="Q36" s="177"/>
    </row>
    <row r="37" spans="1:17" ht="43.5" customHeight="1" x14ac:dyDescent="0.25">
      <c r="A37" s="119" t="s">
        <v>967</v>
      </c>
      <c r="B37" s="712"/>
      <c r="C37" s="714" t="str">
        <f>IF('Mapa final'!E40="","",'Mapa final'!E40)</f>
        <v/>
      </c>
      <c r="D37" s="717"/>
      <c r="E37" s="714" t="str">
        <f>IF('Mapa final'!D40="","",'Mapa final'!D40)</f>
        <v/>
      </c>
      <c r="F37" s="720" t="str">
        <f>IF('Mapa final'!H40="","",'Mapa final'!H40)</f>
        <v/>
      </c>
      <c r="G37" s="720" t="str">
        <f>IF('Mapa final'!L40="","",'Mapa final'!L40)</f>
        <v/>
      </c>
      <c r="H37" s="71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final'!Y40="","",'Mapa final'!Y40)</f>
        <v/>
      </c>
      <c r="J37" s="425" t="str">
        <f>IF('Mapa final'!AA40="","",'Mapa final'!AA40)</f>
        <v/>
      </c>
      <c r="K37" s="344" t="str">
        <f t="shared" si="0"/>
        <v/>
      </c>
      <c r="L37" s="425" t="str">
        <f>IF('Mapa final'!AD40="","",'Mapa final'!AD40)</f>
        <v/>
      </c>
      <c r="M37" s="345" t="str">
        <f>IF('Mapa final'!P40="","",'Mapa final'!P40)</f>
        <v/>
      </c>
      <c r="N37" s="70"/>
      <c r="O37" s="70"/>
      <c r="P37" s="70"/>
      <c r="Q37" s="177"/>
    </row>
    <row r="38" spans="1:17" ht="43.5" customHeight="1" x14ac:dyDescent="0.25">
      <c r="A38" s="119" t="s">
        <v>968</v>
      </c>
      <c r="B38" s="713"/>
      <c r="C38" s="715"/>
      <c r="D38" s="717"/>
      <c r="E38" s="715"/>
      <c r="F38" s="718"/>
      <c r="G38" s="718"/>
      <c r="H38" s="711"/>
      <c r="I38" s="425" t="str">
        <f>IF('Mapa final'!Y41="","",'Mapa final'!Y41)</f>
        <v/>
      </c>
      <c r="J38" s="425" t="str">
        <f>IF('Mapa final'!AA41="","",'Mapa final'!AA41)</f>
        <v/>
      </c>
      <c r="K38" s="344" t="str">
        <f t="shared" si="0"/>
        <v/>
      </c>
      <c r="L38" s="425" t="str">
        <f>IF('Mapa final'!AD41="","",'Mapa final'!AD41)</f>
        <v/>
      </c>
      <c r="M38" s="345" t="str">
        <f>IF('Mapa final'!P41="","",'Mapa final'!P41)</f>
        <v/>
      </c>
      <c r="N38" s="70"/>
      <c r="O38" s="70"/>
      <c r="P38" s="70"/>
      <c r="Q38" s="177"/>
    </row>
    <row r="39" spans="1:17" ht="43.5" customHeight="1" x14ac:dyDescent="0.25">
      <c r="A39" s="119" t="s">
        <v>969</v>
      </c>
      <c r="B39" s="713"/>
      <c r="C39" s="715"/>
      <c r="D39" s="717"/>
      <c r="E39" s="715"/>
      <c r="F39" s="718"/>
      <c r="G39" s="718"/>
      <c r="H39" s="711"/>
      <c r="I39" s="425" t="str">
        <f>IF('Mapa final'!Y42="","",'Mapa final'!Y42)</f>
        <v/>
      </c>
      <c r="J39" s="425" t="str">
        <f>IF('Mapa final'!AA42="","",'Mapa final'!AA42)</f>
        <v/>
      </c>
      <c r="K39" s="344" t="str">
        <f t="shared" si="0"/>
        <v/>
      </c>
      <c r="L39" s="425" t="str">
        <f>IF('Mapa final'!AD42="","",'Mapa final'!AD42)</f>
        <v/>
      </c>
      <c r="M39" s="345" t="str">
        <f>IF('Mapa final'!P42="","",'Mapa final'!P42)</f>
        <v/>
      </c>
      <c r="N39" s="70"/>
      <c r="O39" s="70"/>
      <c r="P39" s="70"/>
      <c r="Q39" s="177"/>
    </row>
    <row r="40" spans="1:17" ht="43.5" customHeight="1" x14ac:dyDescent="0.25">
      <c r="A40" s="119" t="s">
        <v>970</v>
      </c>
      <c r="B40" s="713"/>
      <c r="C40" s="715"/>
      <c r="D40" s="717"/>
      <c r="E40" s="715"/>
      <c r="F40" s="718"/>
      <c r="G40" s="718"/>
      <c r="H40" s="711"/>
      <c r="I40" s="425" t="str">
        <f>IF('Mapa final'!Y43="","",'Mapa final'!Y43)</f>
        <v/>
      </c>
      <c r="J40" s="425" t="str">
        <f>IF('Mapa final'!AA43="","",'Mapa final'!AA43)</f>
        <v/>
      </c>
      <c r="K40" s="344" t="str">
        <f t="shared" si="0"/>
        <v/>
      </c>
      <c r="L40" s="425" t="str">
        <f>IF('Mapa final'!AD43="","",'Mapa final'!AD43)</f>
        <v/>
      </c>
      <c r="M40" s="345" t="str">
        <f>IF('Mapa final'!P43="","",'Mapa final'!P43)</f>
        <v/>
      </c>
      <c r="N40" s="70"/>
      <c r="O40" s="70"/>
      <c r="P40" s="70"/>
      <c r="Q40" s="177"/>
    </row>
    <row r="41" spans="1:17" ht="43.5" customHeight="1" x14ac:dyDescent="0.25">
      <c r="A41" s="119" t="s">
        <v>971</v>
      </c>
      <c r="B41" s="713"/>
      <c r="C41" s="715"/>
      <c r="D41" s="717"/>
      <c r="E41" s="715"/>
      <c r="F41" s="718"/>
      <c r="G41" s="718"/>
      <c r="H41" s="711"/>
      <c r="I41" s="425" t="str">
        <f>IF('Mapa final'!Y44="","",'Mapa final'!Y44)</f>
        <v/>
      </c>
      <c r="J41" s="425" t="str">
        <f>IF('Mapa final'!AA44="","",'Mapa final'!AA44)</f>
        <v/>
      </c>
      <c r="K41" s="344" t="str">
        <f t="shared" si="0"/>
        <v/>
      </c>
      <c r="L41" s="425" t="str">
        <f>IF('Mapa final'!AD44="","",'Mapa final'!AD44)</f>
        <v/>
      </c>
      <c r="M41" s="345" t="str">
        <f>IF('Mapa final'!P44="","",'Mapa final'!P44)</f>
        <v/>
      </c>
      <c r="N41" s="70"/>
      <c r="O41" s="70"/>
      <c r="P41" s="70"/>
      <c r="Q41" s="177"/>
    </row>
    <row r="42" spans="1:17" ht="43.5" customHeight="1" x14ac:dyDescent="0.25">
      <c r="A42" s="119" t="s">
        <v>972</v>
      </c>
      <c r="B42" s="713"/>
      <c r="C42" s="715"/>
      <c r="D42" s="717"/>
      <c r="E42" s="715"/>
      <c r="F42" s="718"/>
      <c r="G42" s="718"/>
      <c r="H42" s="711"/>
      <c r="I42" s="425" t="str">
        <f>IF('Mapa final'!Y45="","",'Mapa final'!Y45)</f>
        <v/>
      </c>
      <c r="J42" s="425" t="str">
        <f>IF('Mapa final'!AA45="","",'Mapa final'!AA45)</f>
        <v/>
      </c>
      <c r="K42" s="344" t="str">
        <f t="shared" si="0"/>
        <v/>
      </c>
      <c r="L42" s="425" t="str">
        <f>IF('Mapa final'!AD45="","",'Mapa final'!AD45)</f>
        <v/>
      </c>
      <c r="M42" s="345" t="str">
        <f>IF('Mapa final'!P45="","",'Mapa final'!P45)</f>
        <v/>
      </c>
      <c r="N42" s="70"/>
      <c r="O42" s="70"/>
      <c r="P42" s="70"/>
      <c r="Q42" s="177"/>
    </row>
    <row r="43" spans="1:17" ht="43.5" customHeight="1" x14ac:dyDescent="0.25">
      <c r="A43" s="119" t="s">
        <v>575</v>
      </c>
      <c r="B43" s="712"/>
      <c r="C43" s="714" t="str">
        <f>IF('Mapa final'!E46="","",'Mapa final'!E46)</f>
        <v/>
      </c>
      <c r="D43" s="717"/>
      <c r="E43" s="714" t="str">
        <f>IF('Mapa final'!D46="","",'Mapa final'!D46)</f>
        <v/>
      </c>
      <c r="F43" s="720" t="str">
        <f>IF('Mapa final'!H46="","",'Mapa final'!H46)</f>
        <v/>
      </c>
      <c r="G43" s="720" t="str">
        <f>IF('Mapa final'!L46="","",'Mapa final'!L46)</f>
        <v/>
      </c>
      <c r="H43" s="71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final'!Y46="","",'Mapa final'!Y46)</f>
        <v/>
      </c>
      <c r="J43" s="425" t="str">
        <f>IF('Mapa final'!AA46="","",'Mapa final'!AA46)</f>
        <v/>
      </c>
      <c r="K43" s="344" t="str">
        <f t="shared" si="0"/>
        <v/>
      </c>
      <c r="L43" s="425" t="str">
        <f>IF('Mapa final'!AD46="","",'Mapa final'!AD46)</f>
        <v/>
      </c>
      <c r="M43" s="345" t="str">
        <f>IF('Mapa final'!P46="","",'Mapa final'!P46)</f>
        <v/>
      </c>
      <c r="N43" s="70"/>
      <c r="O43" s="70"/>
      <c r="P43" s="70"/>
      <c r="Q43" s="177"/>
    </row>
    <row r="44" spans="1:17" ht="43.5" customHeight="1" x14ac:dyDescent="0.25">
      <c r="A44" s="119" t="s">
        <v>576</v>
      </c>
      <c r="B44" s="713"/>
      <c r="C44" s="715"/>
      <c r="D44" s="717"/>
      <c r="E44" s="715"/>
      <c r="F44" s="718"/>
      <c r="G44" s="718"/>
      <c r="H44" s="711"/>
      <c r="I44" s="425" t="str">
        <f>IF('Mapa final'!Y47="","",'Mapa final'!Y47)</f>
        <v/>
      </c>
      <c r="J44" s="425" t="str">
        <f>IF('Mapa final'!AA47="","",'Mapa final'!AA47)</f>
        <v/>
      </c>
      <c r="K44" s="344" t="str">
        <f t="shared" si="0"/>
        <v/>
      </c>
      <c r="L44" s="425" t="str">
        <f>IF('Mapa final'!AD47="","",'Mapa final'!AD47)</f>
        <v/>
      </c>
      <c r="M44" s="345" t="str">
        <f>IF('Mapa final'!P47="","",'Mapa final'!P47)</f>
        <v/>
      </c>
      <c r="N44" s="70"/>
      <c r="O44" s="70"/>
      <c r="P44" s="70"/>
      <c r="Q44" s="177"/>
    </row>
    <row r="45" spans="1:17" ht="43.5" customHeight="1" x14ac:dyDescent="0.25">
      <c r="A45" s="119" t="s">
        <v>577</v>
      </c>
      <c r="B45" s="713"/>
      <c r="C45" s="715"/>
      <c r="D45" s="717"/>
      <c r="E45" s="715"/>
      <c r="F45" s="718"/>
      <c r="G45" s="718"/>
      <c r="H45" s="711"/>
      <c r="I45" s="425" t="str">
        <f>IF('Mapa final'!Y48="","",'Mapa final'!Y48)</f>
        <v/>
      </c>
      <c r="J45" s="425" t="str">
        <f>IF('Mapa final'!AA48="","",'Mapa final'!AA48)</f>
        <v/>
      </c>
      <c r="K45" s="344" t="str">
        <f t="shared" si="0"/>
        <v/>
      </c>
      <c r="L45" s="425" t="str">
        <f>IF('Mapa final'!AD48="","",'Mapa final'!AD48)</f>
        <v/>
      </c>
      <c r="M45" s="345" t="str">
        <f>IF('Mapa final'!P48="","",'Mapa final'!P48)</f>
        <v/>
      </c>
      <c r="N45" s="70"/>
      <c r="O45" s="70"/>
      <c r="P45" s="70"/>
      <c r="Q45" s="177"/>
    </row>
    <row r="46" spans="1:17" ht="43.5" customHeight="1" x14ac:dyDescent="0.25">
      <c r="A46" s="119" t="s">
        <v>578</v>
      </c>
      <c r="B46" s="713"/>
      <c r="C46" s="715"/>
      <c r="D46" s="717"/>
      <c r="E46" s="715"/>
      <c r="F46" s="718"/>
      <c r="G46" s="718"/>
      <c r="H46" s="711"/>
      <c r="I46" s="425" t="str">
        <f>IF('Mapa final'!Y49="","",'Mapa final'!Y49)</f>
        <v/>
      </c>
      <c r="J46" s="425" t="str">
        <f>IF('Mapa final'!AA49="","",'Mapa final'!AA49)</f>
        <v/>
      </c>
      <c r="K46" s="344" t="str">
        <f t="shared" si="0"/>
        <v/>
      </c>
      <c r="L46" s="425" t="str">
        <f>IF('Mapa final'!AD49="","",'Mapa final'!AD49)</f>
        <v/>
      </c>
      <c r="M46" s="345" t="str">
        <f>IF('Mapa final'!P49="","",'Mapa final'!P49)</f>
        <v/>
      </c>
      <c r="N46" s="70"/>
      <c r="O46" s="70"/>
      <c r="P46" s="70"/>
      <c r="Q46" s="177"/>
    </row>
    <row r="47" spans="1:17" ht="43.5" customHeight="1" x14ac:dyDescent="0.25">
      <c r="A47" s="119" t="s">
        <v>579</v>
      </c>
      <c r="B47" s="713"/>
      <c r="C47" s="715"/>
      <c r="D47" s="717"/>
      <c r="E47" s="715"/>
      <c r="F47" s="718"/>
      <c r="G47" s="718"/>
      <c r="H47" s="711"/>
      <c r="I47" s="425" t="str">
        <f>IF('Mapa final'!Y50="","",'Mapa final'!Y50)</f>
        <v/>
      </c>
      <c r="J47" s="425" t="str">
        <f>IF('Mapa final'!AA50="","",'Mapa final'!AA50)</f>
        <v/>
      </c>
      <c r="K47" s="344" t="str">
        <f t="shared" si="0"/>
        <v/>
      </c>
      <c r="L47" s="425" t="str">
        <f>IF('Mapa final'!AD50="","",'Mapa final'!AD50)</f>
        <v/>
      </c>
      <c r="M47" s="345" t="str">
        <f>IF('Mapa final'!P50="","",'Mapa final'!P50)</f>
        <v/>
      </c>
      <c r="N47" s="70"/>
      <c r="O47" s="70"/>
      <c r="P47" s="70"/>
      <c r="Q47" s="177"/>
    </row>
    <row r="48" spans="1:17" ht="43.5" customHeight="1" x14ac:dyDescent="0.25">
      <c r="A48" s="119" t="s">
        <v>580</v>
      </c>
      <c r="B48" s="713"/>
      <c r="C48" s="715"/>
      <c r="D48" s="717"/>
      <c r="E48" s="715"/>
      <c r="F48" s="718"/>
      <c r="G48" s="718"/>
      <c r="H48" s="711"/>
      <c r="I48" s="425" t="str">
        <f>IF('Mapa final'!Y51="","",'Mapa final'!Y51)</f>
        <v/>
      </c>
      <c r="J48" s="425" t="str">
        <f>IF('Mapa final'!AA51="","",'Mapa final'!AA51)</f>
        <v/>
      </c>
      <c r="K48" s="344" t="str">
        <f t="shared" si="0"/>
        <v/>
      </c>
      <c r="L48" s="425" t="str">
        <f>IF('Mapa final'!AD51="","",'Mapa final'!AD51)</f>
        <v/>
      </c>
      <c r="M48" s="345" t="str">
        <f>IF('Mapa final'!P51="","",'Mapa final'!P51)</f>
        <v/>
      </c>
      <c r="N48" s="70"/>
      <c r="O48" s="70"/>
      <c r="P48" s="70"/>
      <c r="Q48" s="177"/>
    </row>
    <row r="49" spans="1:17" ht="43.5" customHeight="1" x14ac:dyDescent="0.25">
      <c r="A49" s="119" t="s">
        <v>581</v>
      </c>
      <c r="B49" s="712"/>
      <c r="C49" s="714" t="str">
        <f>IF('Mapa final'!E52="","",'Mapa final'!E52)</f>
        <v/>
      </c>
      <c r="D49" s="717"/>
      <c r="E49" s="714" t="str">
        <f>IF('Mapa final'!D52="","",'Mapa final'!D52)</f>
        <v/>
      </c>
      <c r="F49" s="720" t="str">
        <f>IF('Mapa final'!H52="","",'Mapa final'!H52)</f>
        <v/>
      </c>
      <c r="G49" s="720" t="str">
        <f>IF('Mapa final'!L52="","",'Mapa final'!L52)</f>
        <v/>
      </c>
      <c r="H49" s="71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final'!Y52="","",'Mapa final'!Y52)</f>
        <v/>
      </c>
      <c r="J49" s="425" t="str">
        <f>IF('Mapa final'!AA52="","",'Mapa final'!AA52)</f>
        <v/>
      </c>
      <c r="K49" s="344" t="str">
        <f t="shared" si="0"/>
        <v/>
      </c>
      <c r="L49" s="425" t="str">
        <f>IF('Mapa final'!AD52="","",'Mapa final'!AD52)</f>
        <v/>
      </c>
      <c r="M49" s="345" t="str">
        <f>IF('Mapa final'!P52="","",'Mapa final'!P52)</f>
        <v/>
      </c>
      <c r="N49" s="70"/>
      <c r="O49" s="70"/>
      <c r="P49" s="70"/>
      <c r="Q49" s="177"/>
    </row>
    <row r="50" spans="1:17" ht="43.5" customHeight="1" x14ac:dyDescent="0.25">
      <c r="A50" s="119" t="s">
        <v>582</v>
      </c>
      <c r="B50" s="713"/>
      <c r="C50" s="715"/>
      <c r="D50" s="717"/>
      <c r="E50" s="715"/>
      <c r="F50" s="718"/>
      <c r="G50" s="718"/>
      <c r="H50" s="711"/>
      <c r="I50" s="425" t="str">
        <f>IF('Mapa final'!Y53="","",'Mapa final'!Y53)</f>
        <v/>
      </c>
      <c r="J50" s="425" t="str">
        <f>IF('Mapa final'!AA53="","",'Mapa final'!AA53)</f>
        <v/>
      </c>
      <c r="K50" s="344" t="str">
        <f t="shared" si="0"/>
        <v/>
      </c>
      <c r="L50" s="425" t="str">
        <f>IF('Mapa final'!AD53="","",'Mapa final'!AD53)</f>
        <v/>
      </c>
      <c r="M50" s="345" t="str">
        <f>IF('Mapa final'!P53="","",'Mapa final'!P53)</f>
        <v/>
      </c>
      <c r="N50" s="70"/>
      <c r="O50" s="70"/>
      <c r="P50" s="70"/>
      <c r="Q50" s="177"/>
    </row>
    <row r="51" spans="1:17" ht="43.5" customHeight="1" x14ac:dyDescent="0.25">
      <c r="A51" s="119" t="s">
        <v>583</v>
      </c>
      <c r="B51" s="713"/>
      <c r="C51" s="715"/>
      <c r="D51" s="717"/>
      <c r="E51" s="715"/>
      <c r="F51" s="718"/>
      <c r="G51" s="718"/>
      <c r="H51" s="711"/>
      <c r="I51" s="425" t="str">
        <f>IF('Mapa final'!Y54="","",'Mapa final'!Y54)</f>
        <v/>
      </c>
      <c r="J51" s="425" t="str">
        <f>IF('Mapa final'!AA54="","",'Mapa final'!AA54)</f>
        <v/>
      </c>
      <c r="K51" s="344" t="str">
        <f t="shared" si="0"/>
        <v/>
      </c>
      <c r="L51" s="425" t="str">
        <f>IF('Mapa final'!AD54="","",'Mapa final'!AD54)</f>
        <v/>
      </c>
      <c r="M51" s="345" t="str">
        <f>IF('Mapa final'!P54="","",'Mapa final'!P54)</f>
        <v/>
      </c>
      <c r="N51" s="70"/>
      <c r="O51" s="70"/>
      <c r="P51" s="70"/>
      <c r="Q51" s="177"/>
    </row>
    <row r="52" spans="1:17" ht="43.5" customHeight="1" x14ac:dyDescent="0.25">
      <c r="A52" s="119" t="s">
        <v>584</v>
      </c>
      <c r="B52" s="713"/>
      <c r="C52" s="715"/>
      <c r="D52" s="717"/>
      <c r="E52" s="715"/>
      <c r="F52" s="718"/>
      <c r="G52" s="718"/>
      <c r="H52" s="711"/>
      <c r="I52" s="425" t="str">
        <f>IF('Mapa final'!Y55="","",'Mapa final'!Y55)</f>
        <v/>
      </c>
      <c r="J52" s="425" t="str">
        <f>IF('Mapa final'!AA55="","",'Mapa final'!AA55)</f>
        <v/>
      </c>
      <c r="K52" s="344" t="str">
        <f t="shared" si="0"/>
        <v/>
      </c>
      <c r="L52" s="425" t="str">
        <f>IF('Mapa final'!AD55="","",'Mapa final'!AD55)</f>
        <v/>
      </c>
      <c r="M52" s="345" t="str">
        <f>IF('Mapa final'!P55="","",'Mapa final'!P55)</f>
        <v/>
      </c>
      <c r="N52" s="70"/>
      <c r="O52" s="70"/>
      <c r="P52" s="70"/>
      <c r="Q52" s="177"/>
    </row>
    <row r="53" spans="1:17" ht="43.5" customHeight="1" x14ac:dyDescent="0.25">
      <c r="A53" s="119" t="s">
        <v>585</v>
      </c>
      <c r="B53" s="713"/>
      <c r="C53" s="715"/>
      <c r="D53" s="717"/>
      <c r="E53" s="715"/>
      <c r="F53" s="718"/>
      <c r="G53" s="718"/>
      <c r="H53" s="711"/>
      <c r="I53" s="425" t="str">
        <f>IF('Mapa final'!Y56="","",'Mapa final'!Y56)</f>
        <v/>
      </c>
      <c r="J53" s="425" t="str">
        <f>IF('Mapa final'!AA56="","",'Mapa final'!AA56)</f>
        <v/>
      </c>
      <c r="K53" s="344" t="str">
        <f t="shared" si="0"/>
        <v/>
      </c>
      <c r="L53" s="425" t="str">
        <f>IF('Mapa final'!AD56="","",'Mapa final'!AD56)</f>
        <v/>
      </c>
      <c r="M53" s="345" t="str">
        <f>IF('Mapa final'!P56="","",'Mapa final'!P56)</f>
        <v/>
      </c>
      <c r="N53" s="70"/>
      <c r="O53" s="70"/>
      <c r="P53" s="70"/>
      <c r="Q53" s="177"/>
    </row>
    <row r="54" spans="1:17" ht="43.5" customHeight="1" x14ac:dyDescent="0.25">
      <c r="A54" s="119" t="s">
        <v>586</v>
      </c>
      <c r="B54" s="713"/>
      <c r="C54" s="715"/>
      <c r="D54" s="717"/>
      <c r="E54" s="715"/>
      <c r="F54" s="718"/>
      <c r="G54" s="718"/>
      <c r="H54" s="711"/>
      <c r="I54" s="425" t="str">
        <f>IF('Mapa final'!Y57="","",'Mapa final'!Y57)</f>
        <v/>
      </c>
      <c r="J54" s="425" t="str">
        <f>IF('Mapa final'!AA57="","",'Mapa final'!AA57)</f>
        <v/>
      </c>
      <c r="K54" s="344" t="str">
        <f t="shared" si="0"/>
        <v/>
      </c>
      <c r="L54" s="425" t="str">
        <f>IF('Mapa final'!AD57="","",'Mapa final'!AD57)</f>
        <v/>
      </c>
      <c r="M54" s="345" t="str">
        <f>IF('Mapa final'!P57="","",'Mapa final'!P57)</f>
        <v/>
      </c>
      <c r="N54" s="70"/>
      <c r="O54" s="70"/>
      <c r="P54" s="70"/>
      <c r="Q54" s="177"/>
    </row>
    <row r="55" spans="1:17" ht="43.5" customHeight="1" x14ac:dyDescent="0.25">
      <c r="A55" s="119" t="s">
        <v>587</v>
      </c>
      <c r="B55" s="712"/>
      <c r="C55" s="714" t="str">
        <f>IF('Mapa final'!E58="","",'Mapa final'!E58)</f>
        <v/>
      </c>
      <c r="D55" s="717"/>
      <c r="E55" s="714" t="str">
        <f>IF('Mapa final'!D58="","",'Mapa final'!D58)</f>
        <v/>
      </c>
      <c r="F55" s="720" t="str">
        <f>IF('Mapa final'!H58="","",'Mapa final'!H58)</f>
        <v/>
      </c>
      <c r="G55" s="720" t="str">
        <f>IF('Mapa final'!L58="","",'Mapa final'!L58)</f>
        <v/>
      </c>
      <c r="H55" s="71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final'!Y58="","",'Mapa final'!Y58)</f>
        <v/>
      </c>
      <c r="J55" s="425" t="str">
        <f>IF('Mapa final'!AA58="","",'Mapa final'!AA58)</f>
        <v/>
      </c>
      <c r="K55" s="344" t="str">
        <f t="shared" si="0"/>
        <v/>
      </c>
      <c r="L55" s="425" t="str">
        <f>IF('Mapa final'!AD58="","",'Mapa final'!AD58)</f>
        <v/>
      </c>
      <c r="M55" s="345" t="str">
        <f>IF('Mapa final'!P58="","",'Mapa final'!P58)</f>
        <v/>
      </c>
      <c r="N55" s="70"/>
      <c r="O55" s="70"/>
      <c r="P55" s="70"/>
      <c r="Q55" s="177"/>
    </row>
    <row r="56" spans="1:17" ht="43.5" customHeight="1" x14ac:dyDescent="0.25">
      <c r="A56" s="119" t="s">
        <v>588</v>
      </c>
      <c r="B56" s="713"/>
      <c r="C56" s="715"/>
      <c r="D56" s="717"/>
      <c r="E56" s="715"/>
      <c r="F56" s="718"/>
      <c r="G56" s="718"/>
      <c r="H56" s="711"/>
      <c r="I56" s="425" t="str">
        <f>IF('Mapa final'!Y59="","",'Mapa final'!Y59)</f>
        <v/>
      </c>
      <c r="J56" s="425" t="str">
        <f>IF('Mapa final'!AA59="","",'Mapa final'!AA59)</f>
        <v/>
      </c>
      <c r="K56" s="344" t="str">
        <f t="shared" si="0"/>
        <v/>
      </c>
      <c r="L56" s="425" t="str">
        <f>IF('Mapa final'!AD59="","",'Mapa final'!AD59)</f>
        <v/>
      </c>
      <c r="M56" s="345" t="str">
        <f>IF('Mapa final'!P59="","",'Mapa final'!P59)</f>
        <v/>
      </c>
      <c r="N56" s="70"/>
      <c r="O56" s="70"/>
      <c r="P56" s="70"/>
      <c r="Q56" s="177"/>
    </row>
    <row r="57" spans="1:17" ht="43.5" customHeight="1" x14ac:dyDescent="0.25">
      <c r="A57" s="119" t="s">
        <v>589</v>
      </c>
      <c r="B57" s="713"/>
      <c r="C57" s="715"/>
      <c r="D57" s="717"/>
      <c r="E57" s="715"/>
      <c r="F57" s="718"/>
      <c r="G57" s="718"/>
      <c r="H57" s="711"/>
      <c r="I57" s="425" t="str">
        <f>IF('Mapa final'!Y60="","",'Mapa final'!Y60)</f>
        <v/>
      </c>
      <c r="J57" s="425" t="str">
        <f>IF('Mapa final'!AA60="","",'Mapa final'!AA60)</f>
        <v/>
      </c>
      <c r="K57" s="344" t="str">
        <f t="shared" si="0"/>
        <v/>
      </c>
      <c r="L57" s="425" t="str">
        <f>IF('Mapa final'!AD60="","",'Mapa final'!AD60)</f>
        <v/>
      </c>
      <c r="M57" s="345" t="str">
        <f>IF('Mapa final'!P60="","",'Mapa final'!P60)</f>
        <v/>
      </c>
      <c r="N57" s="70"/>
      <c r="O57" s="70"/>
      <c r="P57" s="70"/>
      <c r="Q57" s="177"/>
    </row>
    <row r="58" spans="1:17" ht="43.5" customHeight="1" x14ac:dyDescent="0.25">
      <c r="A58" s="119" t="s">
        <v>590</v>
      </c>
      <c r="B58" s="713"/>
      <c r="C58" s="715"/>
      <c r="D58" s="717"/>
      <c r="E58" s="715"/>
      <c r="F58" s="718"/>
      <c r="G58" s="718"/>
      <c r="H58" s="711"/>
      <c r="I58" s="425" t="str">
        <f>IF('Mapa final'!Y61="","",'Mapa final'!Y61)</f>
        <v/>
      </c>
      <c r="J58" s="425" t="str">
        <f>IF('Mapa final'!AA61="","",'Mapa final'!AA61)</f>
        <v/>
      </c>
      <c r="K58" s="344" t="str">
        <f t="shared" si="0"/>
        <v/>
      </c>
      <c r="L58" s="425" t="str">
        <f>IF('Mapa final'!AD61="","",'Mapa final'!AD61)</f>
        <v/>
      </c>
      <c r="M58" s="345" t="str">
        <f>IF('Mapa final'!P61="","",'Mapa final'!P61)</f>
        <v/>
      </c>
      <c r="N58" s="70"/>
      <c r="O58" s="70"/>
      <c r="P58" s="70"/>
      <c r="Q58" s="177"/>
    </row>
    <row r="59" spans="1:17" ht="43.5" customHeight="1" x14ac:dyDescent="0.25">
      <c r="A59" s="119" t="s">
        <v>591</v>
      </c>
      <c r="B59" s="713"/>
      <c r="C59" s="715"/>
      <c r="D59" s="717"/>
      <c r="E59" s="715"/>
      <c r="F59" s="718"/>
      <c r="G59" s="718"/>
      <c r="H59" s="711"/>
      <c r="I59" s="425" t="str">
        <f>IF('Mapa final'!Y62="","",'Mapa final'!Y62)</f>
        <v/>
      </c>
      <c r="J59" s="425" t="str">
        <f>IF('Mapa final'!AA62="","",'Mapa final'!AA62)</f>
        <v/>
      </c>
      <c r="K59" s="344" t="str">
        <f t="shared" si="0"/>
        <v/>
      </c>
      <c r="L59" s="425" t="str">
        <f>IF('Mapa final'!AD62="","",'Mapa final'!AD62)</f>
        <v/>
      </c>
      <c r="M59" s="345" t="str">
        <f>IF('Mapa final'!P62="","",'Mapa final'!P62)</f>
        <v/>
      </c>
      <c r="N59" s="70"/>
      <c r="O59" s="70"/>
      <c r="P59" s="70"/>
      <c r="Q59" s="177"/>
    </row>
    <row r="60" spans="1:17" ht="43.5" customHeight="1" x14ac:dyDescent="0.25">
      <c r="A60" s="119" t="s">
        <v>592</v>
      </c>
      <c r="B60" s="713"/>
      <c r="C60" s="715"/>
      <c r="D60" s="717"/>
      <c r="E60" s="715"/>
      <c r="F60" s="718"/>
      <c r="G60" s="718"/>
      <c r="H60" s="711"/>
      <c r="I60" s="425" t="str">
        <f>IF('Mapa final'!Y63="","",'Mapa final'!Y63)</f>
        <v/>
      </c>
      <c r="J60" s="425" t="str">
        <f>IF('Mapa final'!AA63="","",'Mapa final'!AA63)</f>
        <v/>
      </c>
      <c r="K60" s="344" t="str">
        <f t="shared" si="0"/>
        <v/>
      </c>
      <c r="L60" s="425" t="str">
        <f>IF('Mapa final'!AD63="","",'Mapa final'!AD63)</f>
        <v/>
      </c>
      <c r="M60" s="345" t="str">
        <f>IF('Mapa final'!P63="","",'Mapa final'!P63)</f>
        <v/>
      </c>
      <c r="N60" s="70"/>
      <c r="O60" s="70"/>
      <c r="P60" s="70"/>
      <c r="Q60" s="177"/>
    </row>
    <row r="61" spans="1:17" ht="43.5" customHeight="1" x14ac:dyDescent="0.25">
      <c r="A61" s="119" t="s">
        <v>593</v>
      </c>
      <c r="B61" s="712"/>
      <c r="C61" s="714" t="str">
        <f>IF('Mapa final'!E64="","",'Mapa final'!E64)</f>
        <v/>
      </c>
      <c r="D61" s="716"/>
      <c r="E61" s="714" t="str">
        <f>IF('Mapa final'!D64="","",'Mapa final'!D64)</f>
        <v/>
      </c>
      <c r="F61" s="720" t="str">
        <f>IF('Mapa final'!H64="","",'Mapa final'!H64)</f>
        <v/>
      </c>
      <c r="G61" s="720" t="str">
        <f>IF('Mapa final'!L64="","",'Mapa final'!L64)</f>
        <v/>
      </c>
      <c r="H61" s="71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final'!Y64="","",'Mapa final'!Y64)</f>
        <v/>
      </c>
      <c r="J61" s="425" t="str">
        <f>IF('Mapa final'!AA64="","",'Mapa final'!AA64)</f>
        <v/>
      </c>
      <c r="K61" s="344" t="str">
        <f t="shared" si="0"/>
        <v/>
      </c>
      <c r="L61" s="425" t="str">
        <f>IF('Mapa final'!AD64="","",'Mapa final'!AD64)</f>
        <v/>
      </c>
      <c r="M61" s="345" t="str">
        <f>IF('Mapa final'!P64="","",'Mapa final'!P64)</f>
        <v/>
      </c>
      <c r="N61" s="70"/>
      <c r="O61" s="70"/>
      <c r="P61" s="70"/>
      <c r="Q61" s="177"/>
    </row>
    <row r="62" spans="1:17" ht="43.5" customHeight="1" x14ac:dyDescent="0.25">
      <c r="A62" s="119" t="s">
        <v>594</v>
      </c>
      <c r="B62" s="713"/>
      <c r="C62" s="715"/>
      <c r="D62" s="717"/>
      <c r="E62" s="715"/>
      <c r="F62" s="718"/>
      <c r="G62" s="718"/>
      <c r="H62" s="711"/>
      <c r="I62" s="425" t="str">
        <f>IF('Mapa final'!Y65="","",'Mapa final'!Y65)</f>
        <v/>
      </c>
      <c r="J62" s="425" t="str">
        <f>IF('Mapa final'!AA65="","",'Mapa final'!AA65)</f>
        <v/>
      </c>
      <c r="K62" s="344" t="str">
        <f t="shared" si="0"/>
        <v/>
      </c>
      <c r="L62" s="425" t="str">
        <f>IF('Mapa final'!AD65="","",'Mapa final'!AD65)</f>
        <v/>
      </c>
      <c r="M62" s="345" t="str">
        <f>IF('Mapa final'!P65="","",'Mapa final'!P65)</f>
        <v/>
      </c>
      <c r="N62" s="70"/>
      <c r="O62" s="70"/>
      <c r="P62" s="70"/>
      <c r="Q62" s="177"/>
    </row>
    <row r="63" spans="1:17" ht="43.5" customHeight="1" x14ac:dyDescent="0.25">
      <c r="A63" s="119" t="s">
        <v>595</v>
      </c>
      <c r="B63" s="713"/>
      <c r="C63" s="715"/>
      <c r="D63" s="717"/>
      <c r="E63" s="715"/>
      <c r="F63" s="718"/>
      <c r="G63" s="718"/>
      <c r="H63" s="711"/>
      <c r="I63" s="425" t="str">
        <f>IF('Mapa final'!Y66="","",'Mapa final'!Y66)</f>
        <v/>
      </c>
      <c r="J63" s="425" t="str">
        <f>IF('Mapa final'!AA66="","",'Mapa final'!AA66)</f>
        <v/>
      </c>
      <c r="K63" s="344" t="str">
        <f t="shared" si="0"/>
        <v/>
      </c>
      <c r="L63" s="425" t="str">
        <f>IF('Mapa final'!AD66="","",'Mapa final'!AD66)</f>
        <v/>
      </c>
      <c r="M63" s="345" t="str">
        <f>IF('Mapa final'!P66="","",'Mapa final'!P66)</f>
        <v/>
      </c>
      <c r="N63" s="70"/>
      <c r="O63" s="70"/>
      <c r="P63" s="70"/>
      <c r="Q63" s="177"/>
    </row>
    <row r="64" spans="1:17" ht="43.5" customHeight="1" x14ac:dyDescent="0.25">
      <c r="A64" s="119" t="s">
        <v>596</v>
      </c>
      <c r="B64" s="713"/>
      <c r="C64" s="715"/>
      <c r="D64" s="717"/>
      <c r="E64" s="715"/>
      <c r="F64" s="718"/>
      <c r="G64" s="718"/>
      <c r="H64" s="711"/>
      <c r="I64" s="425" t="str">
        <f>IF('Mapa final'!Y67="","",'Mapa final'!Y67)</f>
        <v/>
      </c>
      <c r="J64" s="425" t="str">
        <f>IF('Mapa final'!AA67="","",'Mapa final'!AA67)</f>
        <v/>
      </c>
      <c r="K64" s="344" t="str">
        <f t="shared" si="0"/>
        <v/>
      </c>
      <c r="L64" s="425" t="str">
        <f>IF('Mapa final'!AD67="","",'Mapa final'!AD67)</f>
        <v/>
      </c>
      <c r="M64" s="345" t="str">
        <f>IF('Mapa final'!P67="","",'Mapa final'!P67)</f>
        <v/>
      </c>
      <c r="N64" s="70"/>
      <c r="O64" s="70"/>
      <c r="P64" s="70"/>
      <c r="Q64" s="177"/>
    </row>
    <row r="65" spans="1:17" ht="43.5" customHeight="1" x14ac:dyDescent="0.25">
      <c r="A65" s="119" t="s">
        <v>597</v>
      </c>
      <c r="B65" s="713"/>
      <c r="C65" s="715"/>
      <c r="D65" s="717"/>
      <c r="E65" s="715"/>
      <c r="F65" s="718"/>
      <c r="G65" s="718"/>
      <c r="H65" s="711"/>
      <c r="I65" s="425" t="str">
        <f>IF('Mapa final'!Y68="","",'Mapa final'!Y68)</f>
        <v/>
      </c>
      <c r="J65" s="425" t="str">
        <f>IF('Mapa final'!AA68="","",'Mapa final'!AA68)</f>
        <v/>
      </c>
      <c r="K65" s="344" t="str">
        <f t="shared" si="0"/>
        <v/>
      </c>
      <c r="L65" s="425" t="str">
        <f>IF('Mapa final'!AD68="","",'Mapa final'!AD68)</f>
        <v/>
      </c>
      <c r="M65" s="345" t="str">
        <f>IF('Mapa final'!P68="","",'Mapa final'!P68)</f>
        <v/>
      </c>
      <c r="N65" s="70"/>
      <c r="O65" s="70"/>
      <c r="P65" s="70"/>
      <c r="Q65" s="177"/>
    </row>
    <row r="66" spans="1:17" ht="43.5" customHeight="1" x14ac:dyDescent="0.25">
      <c r="A66" s="119" t="s">
        <v>598</v>
      </c>
      <c r="B66" s="713"/>
      <c r="C66" s="715"/>
      <c r="D66" s="717"/>
      <c r="E66" s="715"/>
      <c r="F66" s="718"/>
      <c r="G66" s="718"/>
      <c r="H66" s="711"/>
      <c r="I66" s="425" t="str">
        <f>IF('Mapa final'!Y69="","",'Mapa final'!Y69)</f>
        <v/>
      </c>
      <c r="J66" s="425" t="str">
        <f>IF('Mapa final'!AA69="","",'Mapa final'!AA69)</f>
        <v/>
      </c>
      <c r="K66" s="344" t="str">
        <f t="shared" si="0"/>
        <v/>
      </c>
      <c r="L66" s="425" t="str">
        <f>IF('Mapa final'!AD69="","",'Mapa final'!AD69)</f>
        <v/>
      </c>
      <c r="M66" s="345" t="str">
        <f>IF('Mapa final'!P69="","",'Mapa final'!P69)</f>
        <v/>
      </c>
      <c r="N66" s="70"/>
      <c r="O66" s="70"/>
      <c r="P66" s="70"/>
      <c r="Q66" s="177"/>
    </row>
    <row r="67" spans="1:17" ht="43.5" customHeight="1" x14ac:dyDescent="0.25">
      <c r="A67" s="119" t="s">
        <v>599</v>
      </c>
      <c r="B67" s="712"/>
      <c r="C67" s="714" t="str">
        <f>IF('Mapa final'!E70="","",'Mapa final'!E70)</f>
        <v/>
      </c>
      <c r="D67" s="716"/>
      <c r="E67" s="714" t="str">
        <f>IF('Mapa final'!D70="","",'Mapa final'!D70)</f>
        <v/>
      </c>
      <c r="F67" s="718" t="s">
        <v>1266</v>
      </c>
      <c r="G67" s="718" t="s">
        <v>1266</v>
      </c>
      <c r="H67" s="71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final'!Y70="","",'Mapa final'!Y70)</f>
        <v/>
      </c>
      <c r="J67" s="425" t="str">
        <f>IF('Mapa final'!AA70="","",'Mapa final'!AA70)</f>
        <v/>
      </c>
      <c r="K67" s="344" t="str">
        <f t="shared" si="0"/>
        <v/>
      </c>
      <c r="L67" s="425" t="str">
        <f>IF('Mapa final'!AD70="","",'Mapa final'!AD70)</f>
        <v/>
      </c>
      <c r="M67" s="345" t="str">
        <f>IF('Mapa final'!P70="","",'Mapa final'!P70)</f>
        <v/>
      </c>
      <c r="N67" s="70"/>
      <c r="O67" s="70"/>
      <c r="P67" s="70"/>
      <c r="Q67" s="177"/>
    </row>
    <row r="68" spans="1:17" ht="43.5" customHeight="1" x14ac:dyDescent="0.25">
      <c r="A68" s="119" t="s">
        <v>600</v>
      </c>
      <c r="B68" s="713"/>
      <c r="C68" s="715"/>
      <c r="D68" s="717"/>
      <c r="E68" s="715"/>
      <c r="F68" s="718"/>
      <c r="G68" s="718"/>
      <c r="H68" s="711"/>
      <c r="I68" s="425" t="str">
        <f>IF('Mapa final'!Y71="","",'Mapa final'!Y71)</f>
        <v/>
      </c>
      <c r="J68" s="425" t="str">
        <f>IF('Mapa final'!AA71="","",'Mapa final'!AA71)</f>
        <v/>
      </c>
      <c r="K68" s="344" t="str">
        <f t="shared" si="0"/>
        <v/>
      </c>
      <c r="L68" s="425" t="str">
        <f>IF('Mapa final'!AD71="","",'Mapa final'!AD71)</f>
        <v/>
      </c>
      <c r="M68" s="345" t="str">
        <f>IF('Mapa final'!P71="","",'Mapa final'!P71)</f>
        <v/>
      </c>
      <c r="N68" s="70"/>
      <c r="O68" s="70"/>
      <c r="P68" s="70"/>
      <c r="Q68" s="177"/>
    </row>
    <row r="69" spans="1:17" ht="43.5" customHeight="1" x14ac:dyDescent="0.25">
      <c r="A69" s="119" t="s">
        <v>601</v>
      </c>
      <c r="B69" s="713"/>
      <c r="C69" s="715"/>
      <c r="D69" s="717"/>
      <c r="E69" s="715"/>
      <c r="F69" s="718"/>
      <c r="G69" s="718"/>
      <c r="H69" s="711"/>
      <c r="I69" s="425" t="str">
        <f>IF('Mapa final'!Y72="","",'Mapa final'!Y72)</f>
        <v/>
      </c>
      <c r="J69" s="425" t="str">
        <f>IF('Mapa final'!AA72="","",'Mapa final'!AA72)</f>
        <v/>
      </c>
      <c r="K69" s="344" t="str">
        <f t="shared" si="0"/>
        <v/>
      </c>
      <c r="L69" s="425" t="str">
        <f>IF('Mapa final'!AD72="","",'Mapa final'!AD72)</f>
        <v/>
      </c>
      <c r="M69" s="345" t="str">
        <f>IF('Mapa final'!P72="","",'Mapa final'!P72)</f>
        <v/>
      </c>
      <c r="N69" s="70"/>
      <c r="O69" s="70"/>
      <c r="P69" s="70"/>
      <c r="Q69" s="177"/>
    </row>
    <row r="70" spans="1:17" ht="43.5" customHeight="1" x14ac:dyDescent="0.25">
      <c r="A70" s="119" t="s">
        <v>602</v>
      </c>
      <c r="B70" s="713"/>
      <c r="C70" s="715"/>
      <c r="D70" s="717"/>
      <c r="E70" s="715"/>
      <c r="F70" s="718"/>
      <c r="G70" s="718"/>
      <c r="H70" s="711"/>
      <c r="I70" s="425" t="str">
        <f>IF('Mapa final'!Y73="","",'Mapa final'!Y73)</f>
        <v/>
      </c>
      <c r="J70" s="425" t="str">
        <f>IF('Mapa final'!AA73="","",'Mapa final'!AA73)</f>
        <v/>
      </c>
      <c r="K70" s="344" t="str">
        <f t="shared" si="0"/>
        <v/>
      </c>
      <c r="L70" s="425" t="str">
        <f>IF('Mapa final'!AD73="","",'Mapa final'!AD73)</f>
        <v/>
      </c>
      <c r="M70" s="345" t="str">
        <f>IF('Mapa final'!P73="","",'Mapa final'!P73)</f>
        <v/>
      </c>
      <c r="N70" s="70"/>
      <c r="O70" s="70"/>
      <c r="P70" s="70"/>
      <c r="Q70" s="177"/>
    </row>
    <row r="71" spans="1:17" ht="43.5" customHeight="1" x14ac:dyDescent="0.25">
      <c r="A71" s="119" t="s">
        <v>603</v>
      </c>
      <c r="B71" s="713"/>
      <c r="C71" s="715"/>
      <c r="D71" s="717"/>
      <c r="E71" s="715"/>
      <c r="F71" s="718"/>
      <c r="G71" s="718"/>
      <c r="H71" s="711"/>
      <c r="I71" s="425" t="str">
        <f>IF('Mapa final'!Y74="","",'Mapa final'!Y74)</f>
        <v/>
      </c>
      <c r="J71" s="425" t="str">
        <f>IF('Mapa final'!AA74="","",'Mapa final'!AA74)</f>
        <v/>
      </c>
      <c r="K71" s="344" t="str">
        <f t="shared" si="0"/>
        <v/>
      </c>
      <c r="L71" s="425" t="str">
        <f>IF('Mapa final'!AD74="","",'Mapa final'!AD74)</f>
        <v/>
      </c>
      <c r="M71" s="345" t="str">
        <f>IF('Mapa final'!P74="","",'Mapa final'!P74)</f>
        <v/>
      </c>
      <c r="N71" s="70"/>
      <c r="O71" s="70"/>
      <c r="P71" s="70"/>
      <c r="Q71" s="177"/>
    </row>
    <row r="72" spans="1:17" ht="43.5" customHeight="1" x14ac:dyDescent="0.25">
      <c r="A72" s="119" t="s">
        <v>604</v>
      </c>
      <c r="B72" s="713"/>
      <c r="C72" s="715"/>
      <c r="D72" s="717"/>
      <c r="E72" s="715"/>
      <c r="F72" s="718"/>
      <c r="G72" s="718"/>
      <c r="H72" s="711"/>
      <c r="I72" s="425" t="str">
        <f>IF('Mapa final'!Y75="","",'Mapa final'!Y75)</f>
        <v/>
      </c>
      <c r="J72" s="425" t="str">
        <f>IF('Mapa final'!AA75="","",'Mapa final'!AA75)</f>
        <v/>
      </c>
      <c r="K72" s="34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final'!AD75="","",'Mapa final'!AD75)</f>
        <v/>
      </c>
      <c r="M72" s="345" t="str">
        <f>IF('Mapa final'!P75="","",'Mapa final'!P75)</f>
        <v/>
      </c>
      <c r="N72" s="70"/>
      <c r="O72" s="70"/>
      <c r="P72" s="70"/>
      <c r="Q72" s="177"/>
    </row>
    <row r="73" spans="1:17" ht="43.5" customHeight="1" x14ac:dyDescent="0.25">
      <c r="A73" s="119" t="s">
        <v>605</v>
      </c>
      <c r="B73" s="712"/>
      <c r="C73" s="714" t="str">
        <f>IF('Mapa final'!E76="","",'Mapa final'!E76)</f>
        <v/>
      </c>
      <c r="D73" s="716"/>
      <c r="E73" s="714" t="str">
        <f>IF('Mapa final'!D76="","",'Mapa final'!D76)</f>
        <v/>
      </c>
      <c r="F73" s="718" t="s">
        <v>1266</v>
      </c>
      <c r="G73" s="718" t="s">
        <v>1266</v>
      </c>
      <c r="H73" s="71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final'!Y76="","",'Mapa final'!Y76)</f>
        <v/>
      </c>
      <c r="J73" s="425" t="str">
        <f>IF('Mapa final'!AA76="","",'Mapa final'!AA76)</f>
        <v/>
      </c>
      <c r="K73" s="344" t="str">
        <f t="shared" si="1"/>
        <v/>
      </c>
      <c r="L73" s="425" t="str">
        <f>IF('Mapa final'!AD76="","",'Mapa final'!AD76)</f>
        <v/>
      </c>
      <c r="M73" s="345" t="str">
        <f>IF('Mapa final'!P76="","",'Mapa final'!P76)</f>
        <v/>
      </c>
      <c r="N73" s="70"/>
      <c r="O73" s="70"/>
      <c r="P73" s="70"/>
      <c r="Q73" s="177"/>
    </row>
    <row r="74" spans="1:17" ht="43.5" customHeight="1" x14ac:dyDescent="0.25">
      <c r="A74" s="119" t="s">
        <v>606</v>
      </c>
      <c r="B74" s="713"/>
      <c r="C74" s="715"/>
      <c r="D74" s="717"/>
      <c r="E74" s="715"/>
      <c r="F74" s="718"/>
      <c r="G74" s="718"/>
      <c r="H74" s="711"/>
      <c r="I74" s="425" t="str">
        <f>IF('Mapa final'!Y77="","",'Mapa final'!Y77)</f>
        <v/>
      </c>
      <c r="J74" s="425" t="str">
        <f>IF('Mapa final'!AA77="","",'Mapa final'!AA77)</f>
        <v/>
      </c>
      <c r="K74" s="344" t="str">
        <f t="shared" si="1"/>
        <v/>
      </c>
      <c r="L74" s="425" t="str">
        <f>IF('Mapa final'!AD77="","",'Mapa final'!AD77)</f>
        <v/>
      </c>
      <c r="M74" s="345" t="str">
        <f>IF('Mapa final'!P77="","",'Mapa final'!P77)</f>
        <v/>
      </c>
      <c r="N74" s="70"/>
      <c r="O74" s="70"/>
      <c r="P74" s="70"/>
      <c r="Q74" s="177"/>
    </row>
    <row r="75" spans="1:17" ht="43.5" customHeight="1" x14ac:dyDescent="0.25">
      <c r="A75" s="119" t="s">
        <v>607</v>
      </c>
      <c r="B75" s="713"/>
      <c r="C75" s="715"/>
      <c r="D75" s="717"/>
      <c r="E75" s="715"/>
      <c r="F75" s="718"/>
      <c r="G75" s="718"/>
      <c r="H75" s="711"/>
      <c r="I75" s="425" t="str">
        <f>IF('Mapa final'!Y78="","",'Mapa final'!Y78)</f>
        <v/>
      </c>
      <c r="J75" s="425" t="str">
        <f>IF('Mapa final'!AA78="","",'Mapa final'!AA78)</f>
        <v/>
      </c>
      <c r="K75" s="344" t="str">
        <f t="shared" si="1"/>
        <v/>
      </c>
      <c r="L75" s="425" t="str">
        <f>IF('Mapa final'!AD78="","",'Mapa final'!AD78)</f>
        <v/>
      </c>
      <c r="M75" s="345" t="str">
        <f>IF('Mapa final'!P78="","",'Mapa final'!P78)</f>
        <v/>
      </c>
      <c r="N75" s="70"/>
      <c r="O75" s="70"/>
      <c r="P75" s="70"/>
      <c r="Q75" s="177"/>
    </row>
    <row r="76" spans="1:17" ht="43.5" customHeight="1" x14ac:dyDescent="0.25">
      <c r="A76" s="119" t="s">
        <v>608</v>
      </c>
      <c r="B76" s="713"/>
      <c r="C76" s="715"/>
      <c r="D76" s="717"/>
      <c r="E76" s="715"/>
      <c r="F76" s="718"/>
      <c r="G76" s="718"/>
      <c r="H76" s="711"/>
      <c r="I76" s="425" t="str">
        <f>IF('Mapa final'!Y79="","",'Mapa final'!Y79)</f>
        <v/>
      </c>
      <c r="J76" s="425" t="str">
        <f>IF('Mapa final'!AA79="","",'Mapa final'!AA79)</f>
        <v/>
      </c>
      <c r="K76" s="344" t="str">
        <f t="shared" si="1"/>
        <v/>
      </c>
      <c r="L76" s="425" t="str">
        <f>IF('Mapa final'!AD79="","",'Mapa final'!AD79)</f>
        <v/>
      </c>
      <c r="M76" s="345" t="str">
        <f>IF('Mapa final'!P79="","",'Mapa final'!P79)</f>
        <v/>
      </c>
      <c r="N76" s="70"/>
      <c r="O76" s="70"/>
      <c r="P76" s="70"/>
      <c r="Q76" s="177"/>
    </row>
    <row r="77" spans="1:17" ht="43.5" customHeight="1" x14ac:dyDescent="0.25">
      <c r="A77" s="119" t="s">
        <v>609</v>
      </c>
      <c r="B77" s="713"/>
      <c r="C77" s="715"/>
      <c r="D77" s="717"/>
      <c r="E77" s="715"/>
      <c r="F77" s="718"/>
      <c r="G77" s="718"/>
      <c r="H77" s="711"/>
      <c r="I77" s="425" t="str">
        <f>IF('Mapa final'!Y80="","",'Mapa final'!Y80)</f>
        <v/>
      </c>
      <c r="J77" s="425" t="str">
        <f>IF('Mapa final'!AA80="","",'Mapa final'!AA80)</f>
        <v/>
      </c>
      <c r="K77" s="344" t="str">
        <f t="shared" si="1"/>
        <v/>
      </c>
      <c r="L77" s="425" t="str">
        <f>IF('Mapa final'!AD80="","",'Mapa final'!AD80)</f>
        <v/>
      </c>
      <c r="M77" s="345" t="str">
        <f>IF('Mapa final'!P80="","",'Mapa final'!P80)</f>
        <v/>
      </c>
      <c r="N77" s="70"/>
      <c r="O77" s="70"/>
      <c r="P77" s="70"/>
      <c r="Q77" s="177"/>
    </row>
    <row r="78" spans="1:17" ht="43.5" customHeight="1" x14ac:dyDescent="0.25">
      <c r="A78" s="119" t="s">
        <v>610</v>
      </c>
      <c r="B78" s="713"/>
      <c r="C78" s="715"/>
      <c r="D78" s="717"/>
      <c r="E78" s="715"/>
      <c r="F78" s="718"/>
      <c r="G78" s="718"/>
      <c r="H78" s="711"/>
      <c r="I78" s="425" t="str">
        <f>IF('Mapa final'!Y81="","",'Mapa final'!Y81)</f>
        <v/>
      </c>
      <c r="J78" s="425" t="str">
        <f>IF('Mapa final'!AA81="","",'Mapa final'!AA81)</f>
        <v/>
      </c>
      <c r="K78" s="344" t="str">
        <f t="shared" si="1"/>
        <v/>
      </c>
      <c r="L78" s="425" t="str">
        <f>IF('Mapa final'!AD81="","",'Mapa final'!AD81)</f>
        <v/>
      </c>
      <c r="M78" s="345" t="str">
        <f>IF('Mapa final'!P81="","",'Mapa final'!P81)</f>
        <v/>
      </c>
      <c r="N78" s="70"/>
      <c r="O78" s="70"/>
      <c r="P78" s="70"/>
      <c r="Q78" s="177"/>
    </row>
    <row r="79" spans="1:17" ht="43.5" customHeight="1" x14ac:dyDescent="0.25">
      <c r="A79" s="119" t="s">
        <v>611</v>
      </c>
      <c r="B79" s="712"/>
      <c r="C79" s="714" t="str">
        <f>IF('Mapa final'!E82="","",'Mapa final'!E82)</f>
        <v/>
      </c>
      <c r="D79" s="716"/>
      <c r="E79" s="714" t="str">
        <f>IF('Mapa final'!D82="","",'Mapa final'!D82)</f>
        <v/>
      </c>
      <c r="F79" s="718" t="s">
        <v>1266</v>
      </c>
      <c r="G79" s="718" t="s">
        <v>1266</v>
      </c>
      <c r="H79" s="71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final'!Y82="","",'Mapa final'!Y82)</f>
        <v/>
      </c>
      <c r="J79" s="425" t="str">
        <f>IF('Mapa final'!AA82="","",'Mapa final'!AA82)</f>
        <v/>
      </c>
      <c r="K79" s="344" t="str">
        <f t="shared" si="1"/>
        <v/>
      </c>
      <c r="L79" s="425" t="str">
        <f>IF('Mapa final'!AD82="","",'Mapa final'!AD82)</f>
        <v/>
      </c>
      <c r="M79" s="345" t="str">
        <f>IF('Mapa final'!P82="","",'Mapa final'!P82)</f>
        <v/>
      </c>
      <c r="N79" s="70"/>
      <c r="O79" s="70"/>
      <c r="P79" s="70"/>
      <c r="Q79" s="177"/>
    </row>
    <row r="80" spans="1:17" ht="43.5" customHeight="1" x14ac:dyDescent="0.25">
      <c r="A80" s="119" t="s">
        <v>612</v>
      </c>
      <c r="B80" s="713"/>
      <c r="C80" s="715"/>
      <c r="D80" s="717"/>
      <c r="E80" s="715"/>
      <c r="F80" s="718"/>
      <c r="G80" s="718"/>
      <c r="H80" s="711"/>
      <c r="I80" s="425" t="str">
        <f>IF('Mapa final'!Y83="","",'Mapa final'!Y83)</f>
        <v/>
      </c>
      <c r="J80" s="425" t="str">
        <f>IF('Mapa final'!AA83="","",'Mapa final'!AA83)</f>
        <v/>
      </c>
      <c r="K80" s="344" t="str">
        <f t="shared" si="1"/>
        <v/>
      </c>
      <c r="L80" s="425" t="str">
        <f>IF('Mapa final'!AD83="","",'Mapa final'!AD83)</f>
        <v/>
      </c>
      <c r="M80" s="345" t="str">
        <f>IF('Mapa final'!P83="","",'Mapa final'!P83)</f>
        <v/>
      </c>
      <c r="N80" s="70"/>
      <c r="O80" s="70"/>
      <c r="P80" s="70"/>
      <c r="Q80" s="177"/>
    </row>
    <row r="81" spans="1:17" ht="43.5" customHeight="1" x14ac:dyDescent="0.25">
      <c r="A81" s="119" t="s">
        <v>613</v>
      </c>
      <c r="B81" s="713"/>
      <c r="C81" s="715"/>
      <c r="D81" s="717"/>
      <c r="E81" s="715"/>
      <c r="F81" s="718"/>
      <c r="G81" s="718"/>
      <c r="H81" s="711"/>
      <c r="I81" s="425" t="str">
        <f>IF('Mapa final'!Y84="","",'Mapa final'!Y84)</f>
        <v/>
      </c>
      <c r="J81" s="425" t="str">
        <f>IF('Mapa final'!AA84="","",'Mapa final'!AA84)</f>
        <v/>
      </c>
      <c r="K81" s="344" t="str">
        <f t="shared" si="1"/>
        <v/>
      </c>
      <c r="L81" s="425" t="str">
        <f>IF('Mapa final'!AD84="","",'Mapa final'!AD84)</f>
        <v/>
      </c>
      <c r="M81" s="345" t="str">
        <f>IF('Mapa final'!P84="","",'Mapa final'!P84)</f>
        <v/>
      </c>
      <c r="N81" s="70"/>
      <c r="O81" s="70"/>
      <c r="P81" s="70"/>
      <c r="Q81" s="177"/>
    </row>
    <row r="82" spans="1:17" ht="43.5" customHeight="1" x14ac:dyDescent="0.25">
      <c r="A82" s="119" t="s">
        <v>614</v>
      </c>
      <c r="B82" s="713"/>
      <c r="C82" s="715"/>
      <c r="D82" s="717"/>
      <c r="E82" s="715"/>
      <c r="F82" s="718"/>
      <c r="G82" s="718"/>
      <c r="H82" s="711"/>
      <c r="I82" s="425" t="str">
        <f>IF('Mapa final'!Y85="","",'Mapa final'!Y85)</f>
        <v/>
      </c>
      <c r="J82" s="425" t="str">
        <f>IF('Mapa final'!AA85="","",'Mapa final'!AA85)</f>
        <v/>
      </c>
      <c r="K82" s="344" t="str">
        <f t="shared" si="1"/>
        <v/>
      </c>
      <c r="L82" s="425" t="str">
        <f>IF('Mapa final'!AD85="","",'Mapa final'!AD85)</f>
        <v/>
      </c>
      <c r="M82" s="345" t="str">
        <f>IF('Mapa final'!P85="","",'Mapa final'!P85)</f>
        <v/>
      </c>
      <c r="N82" s="70"/>
      <c r="O82" s="70"/>
      <c r="P82" s="70"/>
      <c r="Q82" s="177"/>
    </row>
    <row r="83" spans="1:17" ht="43.5" customHeight="1" x14ac:dyDescent="0.25">
      <c r="A83" s="119" t="s">
        <v>615</v>
      </c>
      <c r="B83" s="713"/>
      <c r="C83" s="715"/>
      <c r="D83" s="717"/>
      <c r="E83" s="715"/>
      <c r="F83" s="718"/>
      <c r="G83" s="718"/>
      <c r="H83" s="711"/>
      <c r="I83" s="425" t="str">
        <f>IF('Mapa final'!Y86="","",'Mapa final'!Y86)</f>
        <v/>
      </c>
      <c r="J83" s="425" t="str">
        <f>IF('Mapa final'!AA86="","",'Mapa final'!AA86)</f>
        <v/>
      </c>
      <c r="K83" s="344" t="str">
        <f t="shared" si="1"/>
        <v/>
      </c>
      <c r="L83" s="425" t="str">
        <f>IF('Mapa final'!AD86="","",'Mapa final'!AD86)</f>
        <v/>
      </c>
      <c r="M83" s="345" t="str">
        <f>IF('Mapa final'!P86="","",'Mapa final'!P86)</f>
        <v/>
      </c>
      <c r="N83" s="70"/>
      <c r="O83" s="70"/>
      <c r="P83" s="70"/>
      <c r="Q83" s="177"/>
    </row>
    <row r="84" spans="1:17" ht="43.5" customHeight="1" x14ac:dyDescent="0.25">
      <c r="A84" s="119" t="s">
        <v>616</v>
      </c>
      <c r="B84" s="713"/>
      <c r="C84" s="715"/>
      <c r="D84" s="717"/>
      <c r="E84" s="715"/>
      <c r="F84" s="718"/>
      <c r="G84" s="718"/>
      <c r="H84" s="711"/>
      <c r="I84" s="425" t="str">
        <f>IF('Mapa final'!Y87="","",'Mapa final'!Y87)</f>
        <v/>
      </c>
      <c r="J84" s="425" t="str">
        <f>IF('Mapa final'!AA87="","",'Mapa final'!AA87)</f>
        <v/>
      </c>
      <c r="K84" s="344" t="str">
        <f t="shared" si="1"/>
        <v/>
      </c>
      <c r="L84" s="425" t="str">
        <f>IF('Mapa final'!AD87="","",'Mapa final'!AD87)</f>
        <v/>
      </c>
      <c r="M84" s="345" t="str">
        <f>IF('Mapa final'!P87="","",'Mapa final'!P87)</f>
        <v/>
      </c>
      <c r="N84" s="70"/>
      <c r="O84" s="70"/>
      <c r="P84" s="70"/>
      <c r="Q84" s="177"/>
    </row>
    <row r="85" spans="1:17" ht="43.5" customHeight="1" x14ac:dyDescent="0.25">
      <c r="A85" s="119" t="s">
        <v>617</v>
      </c>
      <c r="B85" s="712"/>
      <c r="C85" s="714" t="str">
        <f>IF('Mapa final'!E88="","",'Mapa final'!E88)</f>
        <v/>
      </c>
      <c r="D85" s="716"/>
      <c r="E85" s="714" t="str">
        <f>IF('Mapa final'!D88="","",'Mapa final'!D88)</f>
        <v/>
      </c>
      <c r="F85" s="718" t="s">
        <v>1266</v>
      </c>
      <c r="G85" s="718" t="s">
        <v>1266</v>
      </c>
      <c r="H85" s="71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final'!Y88="","",'Mapa final'!Y88)</f>
        <v/>
      </c>
      <c r="J85" s="425" t="str">
        <f>IF('Mapa final'!AA88="","",'Mapa final'!AA88)</f>
        <v/>
      </c>
      <c r="K85" s="344" t="str">
        <f t="shared" si="1"/>
        <v/>
      </c>
      <c r="L85" s="425" t="str">
        <f>IF('Mapa final'!AD88="","",'Mapa final'!AD88)</f>
        <v/>
      </c>
      <c r="M85" s="345" t="str">
        <f>IF('Mapa final'!P88="","",'Mapa final'!P88)</f>
        <v/>
      </c>
      <c r="N85" s="70"/>
      <c r="O85" s="70"/>
      <c r="P85" s="70"/>
      <c r="Q85" s="177"/>
    </row>
    <row r="86" spans="1:17" ht="43.5" customHeight="1" x14ac:dyDescent="0.25">
      <c r="A86" s="119" t="s">
        <v>618</v>
      </c>
      <c r="B86" s="713"/>
      <c r="C86" s="715"/>
      <c r="D86" s="717"/>
      <c r="E86" s="715"/>
      <c r="F86" s="718"/>
      <c r="G86" s="718"/>
      <c r="H86" s="711"/>
      <c r="I86" s="425" t="str">
        <f>IF('Mapa final'!Y89="","",'Mapa final'!Y89)</f>
        <v/>
      </c>
      <c r="J86" s="425" t="str">
        <f>IF('Mapa final'!AA89="","",'Mapa final'!AA89)</f>
        <v/>
      </c>
      <c r="K86" s="344" t="str">
        <f t="shared" si="1"/>
        <v/>
      </c>
      <c r="L86" s="425" t="str">
        <f>IF('Mapa final'!AD89="","",'Mapa final'!AD89)</f>
        <v/>
      </c>
      <c r="M86" s="345" t="str">
        <f>IF('Mapa final'!P89="","",'Mapa final'!P89)</f>
        <v/>
      </c>
      <c r="N86" s="70"/>
      <c r="O86" s="70"/>
      <c r="P86" s="70"/>
      <c r="Q86" s="177"/>
    </row>
    <row r="87" spans="1:17" ht="43.5" customHeight="1" x14ac:dyDescent="0.25">
      <c r="A87" s="119" t="s">
        <v>619</v>
      </c>
      <c r="B87" s="713"/>
      <c r="C87" s="715"/>
      <c r="D87" s="717"/>
      <c r="E87" s="715"/>
      <c r="F87" s="718"/>
      <c r="G87" s="718"/>
      <c r="H87" s="711"/>
      <c r="I87" s="425" t="str">
        <f>IF('Mapa final'!Y90="","",'Mapa final'!Y90)</f>
        <v/>
      </c>
      <c r="J87" s="425" t="str">
        <f>IF('Mapa final'!AA90="","",'Mapa final'!AA90)</f>
        <v/>
      </c>
      <c r="K87" s="344" t="str">
        <f t="shared" si="1"/>
        <v/>
      </c>
      <c r="L87" s="425" t="str">
        <f>IF('Mapa final'!AD90="","",'Mapa final'!AD90)</f>
        <v/>
      </c>
      <c r="M87" s="345" t="str">
        <f>IF('Mapa final'!P90="","",'Mapa final'!P90)</f>
        <v/>
      </c>
      <c r="N87" s="70"/>
      <c r="O87" s="70"/>
      <c r="P87" s="70"/>
      <c r="Q87" s="177"/>
    </row>
    <row r="88" spans="1:17" ht="43.5" customHeight="1" x14ac:dyDescent="0.25">
      <c r="A88" s="119" t="s">
        <v>620</v>
      </c>
      <c r="B88" s="713"/>
      <c r="C88" s="715"/>
      <c r="D88" s="717"/>
      <c r="E88" s="715"/>
      <c r="F88" s="718"/>
      <c r="G88" s="718"/>
      <c r="H88" s="711"/>
      <c r="I88" s="425" t="str">
        <f>IF('Mapa final'!Y91="","",'Mapa final'!Y91)</f>
        <v/>
      </c>
      <c r="J88" s="425" t="str">
        <f>IF('Mapa final'!AA91="","",'Mapa final'!AA91)</f>
        <v/>
      </c>
      <c r="K88" s="344" t="str">
        <f t="shared" si="1"/>
        <v/>
      </c>
      <c r="L88" s="425" t="str">
        <f>IF('Mapa final'!AD91="","",'Mapa final'!AD91)</f>
        <v/>
      </c>
      <c r="M88" s="345" t="str">
        <f>IF('Mapa final'!P91="","",'Mapa final'!P91)</f>
        <v/>
      </c>
      <c r="N88" s="70"/>
      <c r="O88" s="70"/>
      <c r="P88" s="70"/>
      <c r="Q88" s="177"/>
    </row>
    <row r="89" spans="1:17" ht="43.5" customHeight="1" x14ac:dyDescent="0.25">
      <c r="A89" s="119" t="s">
        <v>621</v>
      </c>
      <c r="B89" s="713"/>
      <c r="C89" s="715"/>
      <c r="D89" s="717"/>
      <c r="E89" s="715"/>
      <c r="F89" s="718"/>
      <c r="G89" s="718"/>
      <c r="H89" s="711"/>
      <c r="I89" s="425" t="str">
        <f>IF('Mapa final'!Y92="","",'Mapa final'!Y92)</f>
        <v/>
      </c>
      <c r="J89" s="425" t="str">
        <f>IF('Mapa final'!AA92="","",'Mapa final'!AA92)</f>
        <v/>
      </c>
      <c r="K89" s="344" t="str">
        <f t="shared" si="1"/>
        <v/>
      </c>
      <c r="L89" s="425" t="str">
        <f>IF('Mapa final'!AD92="","",'Mapa final'!AD92)</f>
        <v/>
      </c>
      <c r="M89" s="345" t="str">
        <f>IF('Mapa final'!P92="","",'Mapa final'!P92)</f>
        <v/>
      </c>
      <c r="N89" s="70"/>
      <c r="O89" s="70"/>
      <c r="P89" s="70"/>
      <c r="Q89" s="177"/>
    </row>
    <row r="90" spans="1:17" ht="43.5" customHeight="1" x14ac:dyDescent="0.25">
      <c r="A90" s="119" t="s">
        <v>622</v>
      </c>
      <c r="B90" s="713"/>
      <c r="C90" s="715"/>
      <c r="D90" s="717"/>
      <c r="E90" s="715"/>
      <c r="F90" s="718"/>
      <c r="G90" s="718"/>
      <c r="H90" s="711"/>
      <c r="I90" s="425" t="str">
        <f>IF('Mapa final'!Y93="","",'Mapa final'!Y93)</f>
        <v/>
      </c>
      <c r="J90" s="425" t="str">
        <f>IF('Mapa final'!AA93="","",'Mapa final'!AA93)</f>
        <v/>
      </c>
      <c r="K90" s="344" t="str">
        <f t="shared" si="1"/>
        <v/>
      </c>
      <c r="L90" s="425" t="str">
        <f>IF('Mapa final'!AD93="","",'Mapa final'!AD93)</f>
        <v/>
      </c>
      <c r="M90" s="345" t="str">
        <f>IF('Mapa final'!P93="","",'Mapa final'!P93)</f>
        <v/>
      </c>
      <c r="N90" s="70"/>
      <c r="O90" s="70"/>
      <c r="P90" s="70"/>
      <c r="Q90" s="177"/>
    </row>
    <row r="91" spans="1:17" ht="43.5" customHeight="1" x14ac:dyDescent="0.25">
      <c r="A91" s="119" t="s">
        <v>623</v>
      </c>
      <c r="B91" s="712"/>
      <c r="C91" s="714" t="str">
        <f>IF('Mapa final'!E94="","",'Mapa final'!E94)</f>
        <v/>
      </c>
      <c r="D91" s="716"/>
      <c r="E91" s="714" t="str">
        <f>IF('Mapa final'!D94="","",'Mapa final'!D94)</f>
        <v/>
      </c>
      <c r="F91" s="718" t="s">
        <v>1266</v>
      </c>
      <c r="G91" s="718" t="s">
        <v>1266</v>
      </c>
      <c r="H91" s="71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final'!Y94="","",'Mapa final'!Y94)</f>
        <v/>
      </c>
      <c r="J91" s="425" t="str">
        <f>IF('Mapa final'!AA94="","",'Mapa final'!AA94)</f>
        <v/>
      </c>
      <c r="K91" s="344" t="str">
        <f t="shared" si="1"/>
        <v/>
      </c>
      <c r="L91" s="425" t="str">
        <f>IF('Mapa final'!AD94="","",'Mapa final'!AD94)</f>
        <v/>
      </c>
      <c r="M91" s="345" t="str">
        <f>IF('Mapa final'!P94="","",'Mapa final'!P94)</f>
        <v/>
      </c>
      <c r="N91" s="70"/>
      <c r="O91" s="70"/>
      <c r="P91" s="70"/>
      <c r="Q91" s="177"/>
    </row>
    <row r="92" spans="1:17" ht="43.5" customHeight="1" x14ac:dyDescent="0.25">
      <c r="A92" s="119" t="s">
        <v>624</v>
      </c>
      <c r="B92" s="713"/>
      <c r="C92" s="715"/>
      <c r="D92" s="717"/>
      <c r="E92" s="715"/>
      <c r="F92" s="718"/>
      <c r="G92" s="718"/>
      <c r="H92" s="711"/>
      <c r="I92" s="425" t="str">
        <f>IF('Mapa final'!Y95="","",'Mapa final'!Y95)</f>
        <v/>
      </c>
      <c r="J92" s="425" t="str">
        <f>IF('Mapa final'!AA95="","",'Mapa final'!AA95)</f>
        <v/>
      </c>
      <c r="K92" s="344" t="str">
        <f t="shared" si="1"/>
        <v/>
      </c>
      <c r="L92" s="425" t="str">
        <f>IF('Mapa final'!AD95="","",'Mapa final'!AD95)</f>
        <v/>
      </c>
      <c r="M92" s="345" t="str">
        <f>IF('Mapa final'!P95="","",'Mapa final'!P95)</f>
        <v/>
      </c>
      <c r="N92" s="70"/>
      <c r="O92" s="70"/>
      <c r="P92" s="70"/>
      <c r="Q92" s="177"/>
    </row>
    <row r="93" spans="1:17" ht="43.5" customHeight="1" x14ac:dyDescent="0.25">
      <c r="A93" s="119" t="s">
        <v>625</v>
      </c>
      <c r="B93" s="713"/>
      <c r="C93" s="715"/>
      <c r="D93" s="717"/>
      <c r="E93" s="715"/>
      <c r="F93" s="718"/>
      <c r="G93" s="718"/>
      <c r="H93" s="711"/>
      <c r="I93" s="425" t="str">
        <f>IF('Mapa final'!Y96="","",'Mapa final'!Y96)</f>
        <v/>
      </c>
      <c r="J93" s="425" t="str">
        <f>IF('Mapa final'!AA96="","",'Mapa final'!AA96)</f>
        <v/>
      </c>
      <c r="K93" s="344" t="str">
        <f t="shared" si="1"/>
        <v/>
      </c>
      <c r="L93" s="425" t="str">
        <f>IF('Mapa final'!AD96="","",'Mapa final'!AD96)</f>
        <v/>
      </c>
      <c r="M93" s="345" t="str">
        <f>IF('Mapa final'!P96="","",'Mapa final'!P96)</f>
        <v/>
      </c>
      <c r="N93" s="70"/>
      <c r="O93" s="70"/>
      <c r="P93" s="70"/>
      <c r="Q93" s="177"/>
    </row>
    <row r="94" spans="1:17" ht="43.5" customHeight="1" x14ac:dyDescent="0.25">
      <c r="A94" s="119" t="s">
        <v>626</v>
      </c>
      <c r="B94" s="713"/>
      <c r="C94" s="715"/>
      <c r="D94" s="717"/>
      <c r="E94" s="715"/>
      <c r="F94" s="718"/>
      <c r="G94" s="718"/>
      <c r="H94" s="711"/>
      <c r="I94" s="425" t="str">
        <f>IF('Mapa final'!Y97="","",'Mapa final'!Y97)</f>
        <v/>
      </c>
      <c r="J94" s="425" t="str">
        <f>IF('Mapa final'!AA97="","",'Mapa final'!AA97)</f>
        <v/>
      </c>
      <c r="K94" s="344" t="str">
        <f t="shared" si="1"/>
        <v/>
      </c>
      <c r="L94" s="425" t="str">
        <f>IF('Mapa final'!AD97="","",'Mapa final'!AD97)</f>
        <v/>
      </c>
      <c r="M94" s="345" t="str">
        <f>IF('Mapa final'!P97="","",'Mapa final'!P97)</f>
        <v/>
      </c>
      <c r="N94" s="70"/>
      <c r="O94" s="70"/>
      <c r="P94" s="70"/>
      <c r="Q94" s="177"/>
    </row>
    <row r="95" spans="1:17" ht="43.5" customHeight="1" x14ac:dyDescent="0.25">
      <c r="A95" s="119" t="s">
        <v>627</v>
      </c>
      <c r="B95" s="713"/>
      <c r="C95" s="715"/>
      <c r="D95" s="717"/>
      <c r="E95" s="715"/>
      <c r="F95" s="718"/>
      <c r="G95" s="718"/>
      <c r="H95" s="711"/>
      <c r="I95" s="425" t="str">
        <f>IF('Mapa final'!Y98="","",'Mapa final'!Y98)</f>
        <v/>
      </c>
      <c r="J95" s="425" t="str">
        <f>IF('Mapa final'!AA98="","",'Mapa final'!AA98)</f>
        <v/>
      </c>
      <c r="K95" s="344" t="str">
        <f t="shared" si="1"/>
        <v/>
      </c>
      <c r="L95" s="425" t="str">
        <f>IF('Mapa final'!AD98="","",'Mapa final'!AD98)</f>
        <v/>
      </c>
      <c r="M95" s="345" t="str">
        <f>IF('Mapa final'!P98="","",'Mapa final'!P98)</f>
        <v/>
      </c>
      <c r="N95" s="70"/>
      <c r="O95" s="70"/>
      <c r="P95" s="70"/>
      <c r="Q95" s="177"/>
    </row>
    <row r="96" spans="1:17" ht="43.5" customHeight="1" x14ac:dyDescent="0.25">
      <c r="A96" s="119" t="s">
        <v>628</v>
      </c>
      <c r="B96" s="713"/>
      <c r="C96" s="715"/>
      <c r="D96" s="717"/>
      <c r="E96" s="715"/>
      <c r="F96" s="718"/>
      <c r="G96" s="718"/>
      <c r="H96" s="711"/>
      <c r="I96" s="425" t="str">
        <f>IF('Mapa final'!Y99="","",'Mapa final'!Y99)</f>
        <v/>
      </c>
      <c r="J96" s="425" t="str">
        <f>IF('Mapa final'!AA99="","",'Mapa final'!AA99)</f>
        <v/>
      </c>
      <c r="K96" s="344" t="str">
        <f t="shared" si="1"/>
        <v/>
      </c>
      <c r="L96" s="425" t="str">
        <f>IF('Mapa final'!AD99="","",'Mapa final'!AD99)</f>
        <v/>
      </c>
      <c r="M96" s="345" t="str">
        <f>IF('Mapa final'!P99="","",'Mapa final'!P99)</f>
        <v/>
      </c>
      <c r="N96" s="70"/>
      <c r="O96" s="70"/>
      <c r="P96" s="70"/>
      <c r="Q96" s="177"/>
    </row>
    <row r="97" spans="1:17" ht="43.5" customHeight="1" x14ac:dyDescent="0.25">
      <c r="A97" s="119" t="s">
        <v>629</v>
      </c>
      <c r="B97" s="712"/>
      <c r="C97" s="714" t="str">
        <f>IF('Mapa final'!E100="","",'Mapa final'!E100)</f>
        <v/>
      </c>
      <c r="D97" s="716"/>
      <c r="E97" s="714" t="str">
        <f>IF('Mapa final'!D100="","",'Mapa final'!D100)</f>
        <v/>
      </c>
      <c r="F97" s="718" t="s">
        <v>1266</v>
      </c>
      <c r="G97" s="718" t="s">
        <v>1266</v>
      </c>
      <c r="H97" s="71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final'!Y100="","",'Mapa final'!Y100)</f>
        <v/>
      </c>
      <c r="J97" s="425" t="str">
        <f>IF('Mapa final'!AA100="","",'Mapa final'!AA100)</f>
        <v/>
      </c>
      <c r="K97" s="344" t="str">
        <f t="shared" si="1"/>
        <v/>
      </c>
      <c r="L97" s="425" t="str">
        <f>IF('Mapa final'!AD100="","",'Mapa final'!AD100)</f>
        <v/>
      </c>
      <c r="M97" s="345" t="str">
        <f>IF('Mapa final'!P100="","",'Mapa final'!P100)</f>
        <v/>
      </c>
      <c r="N97" s="70"/>
      <c r="O97" s="70"/>
      <c r="P97" s="70"/>
      <c r="Q97" s="177"/>
    </row>
    <row r="98" spans="1:17" ht="43.5" customHeight="1" x14ac:dyDescent="0.25">
      <c r="A98" s="119" t="s">
        <v>630</v>
      </c>
      <c r="B98" s="713"/>
      <c r="C98" s="715"/>
      <c r="D98" s="717"/>
      <c r="E98" s="715"/>
      <c r="F98" s="718"/>
      <c r="G98" s="718"/>
      <c r="H98" s="711"/>
      <c r="I98" s="425" t="str">
        <f>IF('Mapa final'!Y101="","",'Mapa final'!Y101)</f>
        <v/>
      </c>
      <c r="J98" s="425" t="str">
        <f>IF('Mapa final'!AA101="","",'Mapa final'!AA101)</f>
        <v/>
      </c>
      <c r="K98" s="344" t="str">
        <f t="shared" si="1"/>
        <v/>
      </c>
      <c r="L98" s="425" t="str">
        <f>IF('Mapa final'!AD101="","",'Mapa final'!AD101)</f>
        <v/>
      </c>
      <c r="M98" s="345" t="str">
        <f>IF('Mapa final'!P101="","",'Mapa final'!P101)</f>
        <v/>
      </c>
      <c r="N98" s="70"/>
      <c r="O98" s="70"/>
      <c r="P98" s="70"/>
      <c r="Q98" s="177"/>
    </row>
    <row r="99" spans="1:17" ht="43.5" customHeight="1" x14ac:dyDescent="0.25">
      <c r="A99" s="119" t="s">
        <v>631</v>
      </c>
      <c r="B99" s="713"/>
      <c r="C99" s="715"/>
      <c r="D99" s="717"/>
      <c r="E99" s="715"/>
      <c r="F99" s="718"/>
      <c r="G99" s="718"/>
      <c r="H99" s="711"/>
      <c r="I99" s="425" t="str">
        <f>IF('Mapa final'!Y102="","",'Mapa final'!Y102)</f>
        <v/>
      </c>
      <c r="J99" s="425" t="str">
        <f>IF('Mapa final'!AA102="","",'Mapa final'!AA102)</f>
        <v/>
      </c>
      <c r="K99" s="344" t="str">
        <f t="shared" si="1"/>
        <v/>
      </c>
      <c r="L99" s="425" t="str">
        <f>IF('Mapa final'!AD102="","",'Mapa final'!AD102)</f>
        <v/>
      </c>
      <c r="M99" s="345" t="str">
        <f>IF('Mapa final'!P102="","",'Mapa final'!P102)</f>
        <v/>
      </c>
      <c r="N99" s="70"/>
      <c r="O99" s="70"/>
      <c r="P99" s="70"/>
      <c r="Q99" s="177"/>
    </row>
    <row r="100" spans="1:17" ht="43.5" customHeight="1" x14ac:dyDescent="0.25">
      <c r="A100" s="119" t="s">
        <v>632</v>
      </c>
      <c r="B100" s="713"/>
      <c r="C100" s="715"/>
      <c r="D100" s="717"/>
      <c r="E100" s="715"/>
      <c r="F100" s="718"/>
      <c r="G100" s="718"/>
      <c r="H100" s="711"/>
      <c r="I100" s="425" t="str">
        <f>IF('Mapa final'!Y103="","",'Mapa final'!Y103)</f>
        <v/>
      </c>
      <c r="J100" s="425" t="str">
        <f>IF('Mapa final'!AA103="","",'Mapa final'!AA103)</f>
        <v/>
      </c>
      <c r="K100" s="344" t="str">
        <f t="shared" si="1"/>
        <v/>
      </c>
      <c r="L100" s="425" t="str">
        <f>IF('Mapa final'!AD103="","",'Mapa final'!AD103)</f>
        <v/>
      </c>
      <c r="M100" s="345" t="str">
        <f>IF('Mapa final'!P103="","",'Mapa final'!P103)</f>
        <v/>
      </c>
      <c r="N100" s="70"/>
      <c r="O100" s="70"/>
      <c r="P100" s="70"/>
      <c r="Q100" s="177"/>
    </row>
    <row r="101" spans="1:17" ht="43.5" customHeight="1" x14ac:dyDescent="0.25">
      <c r="A101" s="119" t="s">
        <v>633</v>
      </c>
      <c r="B101" s="713"/>
      <c r="C101" s="715"/>
      <c r="D101" s="717"/>
      <c r="E101" s="715"/>
      <c r="F101" s="718"/>
      <c r="G101" s="718"/>
      <c r="H101" s="711"/>
      <c r="I101" s="425" t="str">
        <f>IF('Mapa final'!Y104="","",'Mapa final'!Y104)</f>
        <v/>
      </c>
      <c r="J101" s="425" t="str">
        <f>IF('Mapa final'!AA104="","",'Mapa final'!AA104)</f>
        <v/>
      </c>
      <c r="K101" s="344" t="str">
        <f t="shared" si="1"/>
        <v/>
      </c>
      <c r="L101" s="425" t="str">
        <f>IF('Mapa final'!AD104="","",'Mapa final'!AD104)</f>
        <v/>
      </c>
      <c r="M101" s="345" t="str">
        <f>IF('Mapa final'!P104="","",'Mapa final'!P104)</f>
        <v/>
      </c>
      <c r="N101" s="70"/>
      <c r="O101" s="70"/>
      <c r="P101" s="70"/>
      <c r="Q101" s="177"/>
    </row>
    <row r="102" spans="1:17" ht="43.5" customHeight="1" x14ac:dyDescent="0.25">
      <c r="A102" s="119" t="s">
        <v>634</v>
      </c>
      <c r="B102" s="713"/>
      <c r="C102" s="715"/>
      <c r="D102" s="717"/>
      <c r="E102" s="715"/>
      <c r="F102" s="718"/>
      <c r="G102" s="718"/>
      <c r="H102" s="711"/>
      <c r="I102" s="425" t="str">
        <f>IF('Mapa final'!Y105="","",'Mapa final'!Y105)</f>
        <v/>
      </c>
      <c r="J102" s="425" t="str">
        <f>IF('Mapa final'!AA105="","",'Mapa final'!AA105)</f>
        <v/>
      </c>
      <c r="K102" s="344" t="str">
        <f t="shared" si="1"/>
        <v/>
      </c>
      <c r="L102" s="425" t="str">
        <f>IF('Mapa final'!AD105="","",'Mapa final'!AD105)</f>
        <v/>
      </c>
      <c r="M102" s="345" t="str">
        <f>IF('Mapa final'!P105="","",'Mapa final'!P105)</f>
        <v/>
      </c>
      <c r="N102" s="70"/>
      <c r="O102" s="70"/>
      <c r="P102" s="70"/>
      <c r="Q102" s="177"/>
    </row>
    <row r="103" spans="1:17" ht="43.5" customHeight="1" x14ac:dyDescent="0.25">
      <c r="A103" s="119" t="s">
        <v>635</v>
      </c>
      <c r="B103" s="712"/>
      <c r="C103" s="714" t="str">
        <f>IF('Mapa final'!E106="","",'Mapa final'!E106)</f>
        <v/>
      </c>
      <c r="D103" s="716"/>
      <c r="E103" s="714" t="str">
        <f>IF('Mapa final'!D106="","",'Mapa final'!D106)</f>
        <v/>
      </c>
      <c r="F103" s="718" t="s">
        <v>1266</v>
      </c>
      <c r="G103" s="718" t="s">
        <v>1266</v>
      </c>
      <c r="H103" s="71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final'!Y106="","",'Mapa final'!Y106)</f>
        <v/>
      </c>
      <c r="J103" s="425" t="str">
        <f>IF('Mapa final'!AA106="","",'Mapa final'!AA106)</f>
        <v/>
      </c>
      <c r="K103" s="344" t="str">
        <f t="shared" si="1"/>
        <v/>
      </c>
      <c r="L103" s="425" t="str">
        <f>IF('Mapa final'!AD106="","",'Mapa final'!AD106)</f>
        <v/>
      </c>
      <c r="M103" s="345" t="str">
        <f>IF('Mapa final'!P106="","",'Mapa final'!P106)</f>
        <v/>
      </c>
      <c r="N103" s="70"/>
      <c r="O103" s="70"/>
      <c r="P103" s="70"/>
      <c r="Q103" s="177"/>
    </row>
    <row r="104" spans="1:17" ht="43.5" customHeight="1" x14ac:dyDescent="0.25">
      <c r="A104" s="119" t="s">
        <v>636</v>
      </c>
      <c r="B104" s="713"/>
      <c r="C104" s="715"/>
      <c r="D104" s="717"/>
      <c r="E104" s="715"/>
      <c r="F104" s="718"/>
      <c r="G104" s="718"/>
      <c r="H104" s="711"/>
      <c r="I104" s="425" t="str">
        <f>IF('Mapa final'!Y107="","",'Mapa final'!Y107)</f>
        <v/>
      </c>
      <c r="J104" s="425" t="str">
        <f>IF('Mapa final'!AA107="","",'Mapa final'!AA107)</f>
        <v/>
      </c>
      <c r="K104" s="344" t="str">
        <f t="shared" si="1"/>
        <v/>
      </c>
      <c r="L104" s="425" t="str">
        <f>IF('Mapa final'!AD107="","",'Mapa final'!AD107)</f>
        <v/>
      </c>
      <c r="M104" s="345" t="str">
        <f>IF('Mapa final'!P107="","",'Mapa final'!P107)</f>
        <v/>
      </c>
      <c r="N104" s="70"/>
      <c r="O104" s="70"/>
      <c r="P104" s="70"/>
      <c r="Q104" s="177"/>
    </row>
    <row r="105" spans="1:17" ht="43.5" customHeight="1" x14ac:dyDescent="0.25">
      <c r="A105" s="119" t="s">
        <v>637</v>
      </c>
      <c r="B105" s="713"/>
      <c r="C105" s="715"/>
      <c r="D105" s="717"/>
      <c r="E105" s="715"/>
      <c r="F105" s="718"/>
      <c r="G105" s="718"/>
      <c r="H105" s="711"/>
      <c r="I105" s="425" t="str">
        <f>IF('Mapa final'!Y108="","",'Mapa final'!Y108)</f>
        <v/>
      </c>
      <c r="J105" s="425" t="str">
        <f>IF('Mapa final'!AA108="","",'Mapa final'!AA108)</f>
        <v/>
      </c>
      <c r="K105" s="344" t="str">
        <f t="shared" si="1"/>
        <v/>
      </c>
      <c r="L105" s="425" t="str">
        <f>IF('Mapa final'!AD108="","",'Mapa final'!AD108)</f>
        <v/>
      </c>
      <c r="M105" s="345" t="str">
        <f>IF('Mapa final'!P108="","",'Mapa final'!P108)</f>
        <v/>
      </c>
      <c r="N105" s="70"/>
      <c r="O105" s="70"/>
      <c r="P105" s="70"/>
      <c r="Q105" s="177"/>
    </row>
    <row r="106" spans="1:17" ht="43.5" customHeight="1" x14ac:dyDescent="0.25">
      <c r="A106" s="119" t="s">
        <v>638</v>
      </c>
      <c r="B106" s="713"/>
      <c r="C106" s="715"/>
      <c r="D106" s="717"/>
      <c r="E106" s="715"/>
      <c r="F106" s="718"/>
      <c r="G106" s="718"/>
      <c r="H106" s="711"/>
      <c r="I106" s="425" t="str">
        <f>IF('Mapa final'!Y109="","",'Mapa final'!Y109)</f>
        <v/>
      </c>
      <c r="J106" s="425" t="str">
        <f>IF('Mapa final'!AA109="","",'Mapa final'!AA109)</f>
        <v/>
      </c>
      <c r="K106" s="344" t="str">
        <f t="shared" si="1"/>
        <v/>
      </c>
      <c r="L106" s="425" t="str">
        <f>IF('Mapa final'!AD109="","",'Mapa final'!AD109)</f>
        <v/>
      </c>
      <c r="M106" s="345" t="str">
        <f>IF('Mapa final'!P109="","",'Mapa final'!P109)</f>
        <v/>
      </c>
      <c r="N106" s="70"/>
      <c r="O106" s="70"/>
      <c r="P106" s="70"/>
      <c r="Q106" s="177"/>
    </row>
    <row r="107" spans="1:17" ht="43.5" customHeight="1" x14ac:dyDescent="0.25">
      <c r="A107" s="119" t="s">
        <v>639</v>
      </c>
      <c r="B107" s="713"/>
      <c r="C107" s="715"/>
      <c r="D107" s="717"/>
      <c r="E107" s="715"/>
      <c r="F107" s="718"/>
      <c r="G107" s="718"/>
      <c r="H107" s="711"/>
      <c r="I107" s="425" t="str">
        <f>IF('Mapa final'!Y110="","",'Mapa final'!Y110)</f>
        <v/>
      </c>
      <c r="J107" s="425" t="str">
        <f>IF('Mapa final'!AA110="","",'Mapa final'!AA110)</f>
        <v/>
      </c>
      <c r="K107" s="344" t="str">
        <f t="shared" si="1"/>
        <v/>
      </c>
      <c r="L107" s="425" t="str">
        <f>IF('Mapa final'!AD110="","",'Mapa final'!AD110)</f>
        <v/>
      </c>
      <c r="M107" s="345" t="str">
        <f>IF('Mapa final'!P110="","",'Mapa final'!P110)</f>
        <v/>
      </c>
      <c r="N107" s="70"/>
      <c r="O107" s="70"/>
      <c r="P107" s="70"/>
      <c r="Q107" s="177"/>
    </row>
    <row r="108" spans="1:17" ht="43.5" customHeight="1" x14ac:dyDescent="0.25">
      <c r="A108" s="119" t="s">
        <v>640</v>
      </c>
      <c r="B108" s="713"/>
      <c r="C108" s="715"/>
      <c r="D108" s="717"/>
      <c r="E108" s="715"/>
      <c r="F108" s="718"/>
      <c r="G108" s="718"/>
      <c r="H108" s="711"/>
      <c r="I108" s="425" t="str">
        <f>IF('Mapa final'!Y111="","",'Mapa final'!Y111)</f>
        <v/>
      </c>
      <c r="J108" s="425" t="str">
        <f>IF('Mapa final'!AA111="","",'Mapa final'!AA111)</f>
        <v/>
      </c>
      <c r="K108" s="344" t="str">
        <f t="shared" si="1"/>
        <v/>
      </c>
      <c r="L108" s="425" t="str">
        <f>IF('Mapa final'!AD111="","",'Mapa final'!AD111)</f>
        <v/>
      </c>
      <c r="M108" s="345" t="str">
        <f>IF('Mapa final'!P111="","",'Mapa final'!P111)</f>
        <v/>
      </c>
      <c r="N108" s="70"/>
      <c r="O108" s="70"/>
      <c r="P108" s="70"/>
      <c r="Q108" s="177"/>
    </row>
    <row r="109" spans="1:17" ht="43.5" customHeight="1" x14ac:dyDescent="0.25">
      <c r="A109" s="119" t="s">
        <v>641</v>
      </c>
      <c r="B109" s="712"/>
      <c r="C109" s="714" t="str">
        <f>IF('Mapa final'!E112="","",'Mapa final'!E112)</f>
        <v/>
      </c>
      <c r="D109" s="716"/>
      <c r="E109" s="714" t="str">
        <f>IF('Mapa final'!D112="","",'Mapa final'!D112)</f>
        <v/>
      </c>
      <c r="F109" s="718" t="s">
        <v>1266</v>
      </c>
      <c r="G109" s="718" t="s">
        <v>1266</v>
      </c>
      <c r="H109" s="71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final'!Y112="","",'Mapa final'!Y112)</f>
        <v/>
      </c>
      <c r="J109" s="425" t="str">
        <f>IF('Mapa final'!AA112="","",'Mapa final'!AA112)</f>
        <v/>
      </c>
      <c r="K109" s="344" t="str">
        <f t="shared" si="1"/>
        <v/>
      </c>
      <c r="L109" s="425" t="str">
        <f>IF('Mapa final'!AD112="","",'Mapa final'!AD112)</f>
        <v/>
      </c>
      <c r="M109" s="345" t="str">
        <f>IF('Mapa final'!P112="","",'Mapa final'!P112)</f>
        <v/>
      </c>
      <c r="N109" s="70"/>
      <c r="O109" s="70"/>
      <c r="P109" s="70"/>
      <c r="Q109" s="177"/>
    </row>
    <row r="110" spans="1:17" ht="43.5" customHeight="1" x14ac:dyDescent="0.25">
      <c r="A110" s="119" t="s">
        <v>642</v>
      </c>
      <c r="B110" s="713"/>
      <c r="C110" s="715"/>
      <c r="D110" s="717"/>
      <c r="E110" s="715"/>
      <c r="F110" s="718"/>
      <c r="G110" s="718"/>
      <c r="H110" s="711"/>
      <c r="I110" s="425" t="str">
        <f>IF('Mapa final'!Y113="","",'Mapa final'!Y113)</f>
        <v/>
      </c>
      <c r="J110" s="425" t="str">
        <f>IF('Mapa final'!AA113="","",'Mapa final'!AA113)</f>
        <v/>
      </c>
      <c r="K110" s="344" t="str">
        <f t="shared" si="1"/>
        <v/>
      </c>
      <c r="L110" s="425" t="str">
        <f>IF('Mapa final'!AD113="","",'Mapa final'!AD113)</f>
        <v/>
      </c>
      <c r="M110" s="345" t="str">
        <f>IF('Mapa final'!P113="","",'Mapa final'!P113)</f>
        <v/>
      </c>
      <c r="N110" s="70"/>
      <c r="O110" s="70"/>
      <c r="P110" s="70"/>
      <c r="Q110" s="177"/>
    </row>
    <row r="111" spans="1:17" ht="43.5" customHeight="1" x14ac:dyDescent="0.25">
      <c r="A111" s="119" t="s">
        <v>643</v>
      </c>
      <c r="B111" s="713"/>
      <c r="C111" s="715"/>
      <c r="D111" s="717"/>
      <c r="E111" s="715"/>
      <c r="F111" s="718"/>
      <c r="G111" s="718"/>
      <c r="H111" s="711"/>
      <c r="I111" s="425" t="str">
        <f>IF('Mapa final'!Y114="","",'Mapa final'!Y114)</f>
        <v/>
      </c>
      <c r="J111" s="425" t="str">
        <f>IF('Mapa final'!AA114="","",'Mapa final'!AA114)</f>
        <v/>
      </c>
      <c r="K111" s="344" t="str">
        <f t="shared" si="1"/>
        <v/>
      </c>
      <c r="L111" s="425" t="str">
        <f>IF('Mapa final'!AD114="","",'Mapa final'!AD114)</f>
        <v/>
      </c>
      <c r="M111" s="345" t="str">
        <f>IF('Mapa final'!P114="","",'Mapa final'!P114)</f>
        <v/>
      </c>
      <c r="N111" s="70"/>
      <c r="O111" s="70"/>
      <c r="P111" s="70"/>
      <c r="Q111" s="177"/>
    </row>
    <row r="112" spans="1:17" ht="43.5" customHeight="1" x14ac:dyDescent="0.25">
      <c r="A112" s="119" t="s">
        <v>644</v>
      </c>
      <c r="B112" s="713"/>
      <c r="C112" s="715"/>
      <c r="D112" s="717"/>
      <c r="E112" s="715"/>
      <c r="F112" s="718"/>
      <c r="G112" s="718"/>
      <c r="H112" s="711"/>
      <c r="I112" s="425" t="str">
        <f>IF('Mapa final'!Y115="","",'Mapa final'!Y115)</f>
        <v/>
      </c>
      <c r="J112" s="425" t="str">
        <f>IF('Mapa final'!AA115="","",'Mapa final'!AA115)</f>
        <v/>
      </c>
      <c r="K112" s="344" t="str">
        <f t="shared" si="1"/>
        <v/>
      </c>
      <c r="L112" s="425" t="str">
        <f>IF('Mapa final'!AD115="","",'Mapa final'!AD115)</f>
        <v/>
      </c>
      <c r="M112" s="345" t="str">
        <f>IF('Mapa final'!P115="","",'Mapa final'!P115)</f>
        <v/>
      </c>
      <c r="N112" s="70"/>
      <c r="O112" s="70"/>
      <c r="P112" s="70"/>
      <c r="Q112" s="177"/>
    </row>
    <row r="113" spans="1:17" ht="43.5" customHeight="1" x14ac:dyDescent="0.25">
      <c r="A113" s="119" t="s">
        <v>645</v>
      </c>
      <c r="B113" s="713"/>
      <c r="C113" s="715"/>
      <c r="D113" s="717"/>
      <c r="E113" s="715"/>
      <c r="F113" s="718"/>
      <c r="G113" s="718"/>
      <c r="H113" s="711"/>
      <c r="I113" s="425" t="str">
        <f>IF('Mapa final'!Y116="","",'Mapa final'!Y116)</f>
        <v/>
      </c>
      <c r="J113" s="425" t="str">
        <f>IF('Mapa final'!AA116="","",'Mapa final'!AA116)</f>
        <v/>
      </c>
      <c r="K113" s="344" t="str">
        <f t="shared" si="1"/>
        <v/>
      </c>
      <c r="L113" s="425" t="str">
        <f>IF('Mapa final'!AD116="","",'Mapa final'!AD116)</f>
        <v/>
      </c>
      <c r="M113" s="345" t="str">
        <f>IF('Mapa final'!P116="","",'Mapa final'!P116)</f>
        <v/>
      </c>
      <c r="N113" s="70"/>
      <c r="O113" s="70"/>
      <c r="P113" s="70"/>
      <c r="Q113" s="177"/>
    </row>
    <row r="114" spans="1:17" ht="43.5" customHeight="1" x14ac:dyDescent="0.25">
      <c r="A114" s="119" t="s">
        <v>646</v>
      </c>
      <c r="B114" s="713"/>
      <c r="C114" s="715"/>
      <c r="D114" s="717"/>
      <c r="E114" s="715"/>
      <c r="F114" s="718"/>
      <c r="G114" s="718"/>
      <c r="H114" s="711"/>
      <c r="I114" s="425" t="str">
        <f>IF('Mapa final'!Y117="","",'Mapa final'!Y117)</f>
        <v/>
      </c>
      <c r="J114" s="425" t="str">
        <f>IF('Mapa final'!AA117="","",'Mapa final'!AA117)</f>
        <v/>
      </c>
      <c r="K114" s="344" t="str">
        <f t="shared" si="1"/>
        <v/>
      </c>
      <c r="L114" s="425" t="str">
        <f>IF('Mapa final'!AD117="","",'Mapa final'!AD117)</f>
        <v/>
      </c>
      <c r="M114" s="345" t="str">
        <f>IF('Mapa final'!P117="","",'Mapa final'!P117)</f>
        <v/>
      </c>
      <c r="N114" s="70"/>
      <c r="O114" s="70"/>
      <c r="P114" s="70"/>
      <c r="Q114" s="177"/>
    </row>
    <row r="115" spans="1:17" ht="43.5" customHeight="1" x14ac:dyDescent="0.25">
      <c r="A115" s="119" t="s">
        <v>647</v>
      </c>
      <c r="B115" s="712"/>
      <c r="C115" s="714" t="str">
        <f>IF('Mapa final'!E118="","",'Mapa final'!E118)</f>
        <v/>
      </c>
      <c r="D115" s="716"/>
      <c r="E115" s="714" t="str">
        <f>IF('Mapa final'!D118="","",'Mapa final'!D118)</f>
        <v/>
      </c>
      <c r="F115" s="718" t="s">
        <v>1266</v>
      </c>
      <c r="G115" s="718" t="s">
        <v>1266</v>
      </c>
      <c r="H115" s="71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final'!Y118="","",'Mapa final'!Y118)</f>
        <v/>
      </c>
      <c r="J115" s="425" t="str">
        <f>IF('Mapa final'!AA118="","",'Mapa final'!AA118)</f>
        <v/>
      </c>
      <c r="K115" s="344" t="str">
        <f t="shared" si="1"/>
        <v/>
      </c>
      <c r="L115" s="425" t="str">
        <f>IF('Mapa final'!AD118="","",'Mapa final'!AD118)</f>
        <v/>
      </c>
      <c r="M115" s="345" t="str">
        <f>IF('Mapa final'!P118="","",'Mapa final'!P118)</f>
        <v/>
      </c>
      <c r="N115" s="70"/>
      <c r="O115" s="70"/>
      <c r="P115" s="70"/>
      <c r="Q115" s="177"/>
    </row>
    <row r="116" spans="1:17" ht="43.5" customHeight="1" x14ac:dyDescent="0.25">
      <c r="A116" s="119" t="s">
        <v>648</v>
      </c>
      <c r="B116" s="713"/>
      <c r="C116" s="715"/>
      <c r="D116" s="717"/>
      <c r="E116" s="715"/>
      <c r="F116" s="718"/>
      <c r="G116" s="718"/>
      <c r="H116" s="711"/>
      <c r="I116" s="425" t="str">
        <f>IF('Mapa final'!Y119="","",'Mapa final'!Y119)</f>
        <v/>
      </c>
      <c r="J116" s="425" t="str">
        <f>IF('Mapa final'!AA119="","",'Mapa final'!AA119)</f>
        <v/>
      </c>
      <c r="K116" s="344" t="str">
        <f t="shared" si="1"/>
        <v/>
      </c>
      <c r="L116" s="425" t="str">
        <f>IF('Mapa final'!AD119="","",'Mapa final'!AD119)</f>
        <v/>
      </c>
      <c r="M116" s="345" t="str">
        <f>IF('Mapa final'!P119="","",'Mapa final'!P119)</f>
        <v/>
      </c>
      <c r="N116" s="70"/>
      <c r="O116" s="70"/>
      <c r="P116" s="70"/>
      <c r="Q116" s="177"/>
    </row>
    <row r="117" spans="1:17" ht="43.5" customHeight="1" x14ac:dyDescent="0.25">
      <c r="A117" s="119" t="s">
        <v>649</v>
      </c>
      <c r="B117" s="713"/>
      <c r="C117" s="715"/>
      <c r="D117" s="717"/>
      <c r="E117" s="715"/>
      <c r="F117" s="718"/>
      <c r="G117" s="718"/>
      <c r="H117" s="711"/>
      <c r="I117" s="425" t="str">
        <f>IF('Mapa final'!Y120="","",'Mapa final'!Y120)</f>
        <v/>
      </c>
      <c r="J117" s="425" t="str">
        <f>IF('Mapa final'!AA120="","",'Mapa final'!AA120)</f>
        <v/>
      </c>
      <c r="K117" s="344" t="str">
        <f t="shared" si="1"/>
        <v/>
      </c>
      <c r="L117" s="425" t="str">
        <f>IF('Mapa final'!AD120="","",'Mapa final'!AD120)</f>
        <v/>
      </c>
      <c r="M117" s="345" t="str">
        <f>IF('Mapa final'!P120="","",'Mapa final'!P120)</f>
        <v/>
      </c>
      <c r="N117" s="70"/>
      <c r="O117" s="70"/>
      <c r="P117" s="70"/>
      <c r="Q117" s="177"/>
    </row>
    <row r="118" spans="1:17" ht="43.5" customHeight="1" x14ac:dyDescent="0.25">
      <c r="A118" s="119" t="s">
        <v>650</v>
      </c>
      <c r="B118" s="713"/>
      <c r="C118" s="715"/>
      <c r="D118" s="717"/>
      <c r="E118" s="715"/>
      <c r="F118" s="718"/>
      <c r="G118" s="718"/>
      <c r="H118" s="711"/>
      <c r="I118" s="425" t="str">
        <f>IF('Mapa final'!Y121="","",'Mapa final'!Y121)</f>
        <v/>
      </c>
      <c r="J118" s="425" t="str">
        <f>IF('Mapa final'!AA121="","",'Mapa final'!AA121)</f>
        <v/>
      </c>
      <c r="K118" s="344" t="str">
        <f t="shared" si="1"/>
        <v/>
      </c>
      <c r="L118" s="425" t="str">
        <f>IF('Mapa final'!AD121="","",'Mapa final'!AD121)</f>
        <v/>
      </c>
      <c r="M118" s="345" t="str">
        <f>IF('Mapa final'!P121="","",'Mapa final'!P121)</f>
        <v/>
      </c>
      <c r="N118" s="70"/>
      <c r="O118" s="70"/>
      <c r="P118" s="70"/>
      <c r="Q118" s="177"/>
    </row>
    <row r="119" spans="1:17" ht="43.5" customHeight="1" x14ac:dyDescent="0.25">
      <c r="A119" s="119" t="s">
        <v>651</v>
      </c>
      <c r="B119" s="713"/>
      <c r="C119" s="715"/>
      <c r="D119" s="717"/>
      <c r="E119" s="715"/>
      <c r="F119" s="718"/>
      <c r="G119" s="718"/>
      <c r="H119" s="711"/>
      <c r="I119" s="425" t="str">
        <f>IF('Mapa final'!Y122="","",'Mapa final'!Y122)</f>
        <v/>
      </c>
      <c r="J119" s="425" t="str">
        <f>IF('Mapa final'!AA122="","",'Mapa final'!AA122)</f>
        <v/>
      </c>
      <c r="K119" s="344" t="str">
        <f t="shared" si="1"/>
        <v/>
      </c>
      <c r="L119" s="425" t="str">
        <f>IF('Mapa final'!AD122="","",'Mapa final'!AD122)</f>
        <v/>
      </c>
      <c r="M119" s="345" t="str">
        <f>IF('Mapa final'!P122="","",'Mapa final'!P122)</f>
        <v/>
      </c>
      <c r="N119" s="70"/>
      <c r="O119" s="70"/>
      <c r="P119" s="70"/>
      <c r="Q119" s="177"/>
    </row>
    <row r="120" spans="1:17" ht="43.5" customHeight="1" x14ac:dyDescent="0.25">
      <c r="A120" s="119" t="s">
        <v>652</v>
      </c>
      <c r="B120" s="713"/>
      <c r="C120" s="715"/>
      <c r="D120" s="717"/>
      <c r="E120" s="715"/>
      <c r="F120" s="718"/>
      <c r="G120" s="718"/>
      <c r="H120" s="711"/>
      <c r="I120" s="425" t="str">
        <f>IF('Mapa final'!Y123="","",'Mapa final'!Y123)</f>
        <v/>
      </c>
      <c r="J120" s="425" t="str">
        <f>IF('Mapa final'!AA123="","",'Mapa final'!AA123)</f>
        <v/>
      </c>
      <c r="K120" s="344" t="str">
        <f t="shared" si="1"/>
        <v/>
      </c>
      <c r="L120" s="425" t="str">
        <f>IF('Mapa final'!AD123="","",'Mapa final'!AD123)</f>
        <v/>
      </c>
      <c r="M120" s="345" t="str">
        <f>IF('Mapa final'!P123="","",'Mapa final'!P123)</f>
        <v/>
      </c>
      <c r="N120" s="70"/>
      <c r="O120" s="70"/>
      <c r="P120" s="70"/>
      <c r="Q120" s="177"/>
    </row>
    <row r="121" spans="1:17" ht="43.5" customHeight="1" x14ac:dyDescent="0.25">
      <c r="A121" s="119" t="s">
        <v>653</v>
      </c>
      <c r="B121" s="712"/>
      <c r="C121" s="714" t="str">
        <f>IF('Mapa final'!E124="","",'Mapa final'!E124)</f>
        <v/>
      </c>
      <c r="D121" s="716"/>
      <c r="E121" s="714" t="str">
        <f>IF('Mapa final'!D124="","",'Mapa final'!D124)</f>
        <v/>
      </c>
      <c r="F121" s="718" t="s">
        <v>1266</v>
      </c>
      <c r="G121" s="718" t="s">
        <v>1266</v>
      </c>
      <c r="H121" s="71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final'!Y124="","",'Mapa final'!Y124)</f>
        <v/>
      </c>
      <c r="J121" s="425" t="str">
        <f>IF('Mapa final'!AA124="","",'Mapa final'!AA124)</f>
        <v/>
      </c>
      <c r="K121" s="344" t="str">
        <f t="shared" si="1"/>
        <v/>
      </c>
      <c r="L121" s="425" t="str">
        <f>IF('Mapa final'!AD124="","",'Mapa final'!AD124)</f>
        <v/>
      </c>
      <c r="M121" s="345" t="str">
        <f>IF('Mapa final'!P124="","",'Mapa final'!P124)</f>
        <v/>
      </c>
      <c r="N121" s="70"/>
      <c r="O121" s="70"/>
      <c r="P121" s="70"/>
      <c r="Q121" s="177"/>
    </row>
    <row r="122" spans="1:17" ht="43.5" customHeight="1" x14ac:dyDescent="0.25">
      <c r="A122" s="119" t="s">
        <v>654</v>
      </c>
      <c r="B122" s="713"/>
      <c r="C122" s="715"/>
      <c r="D122" s="717"/>
      <c r="E122" s="715"/>
      <c r="F122" s="718"/>
      <c r="G122" s="718"/>
      <c r="H122" s="711"/>
      <c r="I122" s="425" t="str">
        <f>IF('Mapa final'!Y125="","",'Mapa final'!Y125)</f>
        <v/>
      </c>
      <c r="J122" s="425" t="str">
        <f>IF('Mapa final'!AA125="","",'Mapa final'!AA125)</f>
        <v/>
      </c>
      <c r="K122" s="344" t="str">
        <f t="shared" si="1"/>
        <v/>
      </c>
      <c r="L122" s="425" t="str">
        <f>IF('Mapa final'!AD125="","",'Mapa final'!AD125)</f>
        <v/>
      </c>
      <c r="M122" s="345" t="str">
        <f>IF('Mapa final'!P125="","",'Mapa final'!P125)</f>
        <v/>
      </c>
      <c r="N122" s="70"/>
      <c r="O122" s="70"/>
      <c r="P122" s="70"/>
      <c r="Q122" s="177"/>
    </row>
    <row r="123" spans="1:17" ht="43.5" customHeight="1" x14ac:dyDescent="0.25">
      <c r="A123" s="119" t="s">
        <v>655</v>
      </c>
      <c r="B123" s="713"/>
      <c r="C123" s="715"/>
      <c r="D123" s="717"/>
      <c r="E123" s="715"/>
      <c r="F123" s="718"/>
      <c r="G123" s="718"/>
      <c r="H123" s="711"/>
      <c r="I123" s="425" t="str">
        <f>IF('Mapa final'!Y126="","",'Mapa final'!Y126)</f>
        <v/>
      </c>
      <c r="J123" s="425" t="str">
        <f>IF('Mapa final'!AA126="","",'Mapa final'!AA126)</f>
        <v/>
      </c>
      <c r="K123" s="344" t="str">
        <f t="shared" si="1"/>
        <v/>
      </c>
      <c r="L123" s="425" t="str">
        <f>IF('Mapa final'!AD126="","",'Mapa final'!AD126)</f>
        <v/>
      </c>
      <c r="M123" s="345" t="str">
        <f>IF('Mapa final'!P126="","",'Mapa final'!P126)</f>
        <v/>
      </c>
      <c r="N123" s="70"/>
      <c r="O123" s="70"/>
      <c r="P123" s="70"/>
      <c r="Q123" s="177"/>
    </row>
    <row r="124" spans="1:17" ht="43.5" customHeight="1" x14ac:dyDescent="0.25">
      <c r="A124" s="119" t="s">
        <v>656</v>
      </c>
      <c r="B124" s="713"/>
      <c r="C124" s="715"/>
      <c r="D124" s="717"/>
      <c r="E124" s="715"/>
      <c r="F124" s="718"/>
      <c r="G124" s="718"/>
      <c r="H124" s="711"/>
      <c r="I124" s="425" t="str">
        <f>IF('Mapa final'!Y127="","",'Mapa final'!Y127)</f>
        <v/>
      </c>
      <c r="J124" s="425" t="str">
        <f>IF('Mapa final'!AA127="","",'Mapa final'!AA127)</f>
        <v/>
      </c>
      <c r="K124" s="344" t="str">
        <f t="shared" si="1"/>
        <v/>
      </c>
      <c r="L124" s="425" t="str">
        <f>IF('Mapa final'!AD127="","",'Mapa final'!AD127)</f>
        <v/>
      </c>
      <c r="M124" s="345" t="str">
        <f>IF('Mapa final'!P127="","",'Mapa final'!P127)</f>
        <v/>
      </c>
      <c r="N124" s="70"/>
      <c r="O124" s="70"/>
      <c r="P124" s="70"/>
      <c r="Q124" s="177"/>
    </row>
    <row r="125" spans="1:17" ht="43.5" customHeight="1" x14ac:dyDescent="0.25">
      <c r="A125" s="119" t="s">
        <v>657</v>
      </c>
      <c r="B125" s="713"/>
      <c r="C125" s="715"/>
      <c r="D125" s="717"/>
      <c r="E125" s="715"/>
      <c r="F125" s="718"/>
      <c r="G125" s="718"/>
      <c r="H125" s="711"/>
      <c r="I125" s="425" t="str">
        <f>IF('Mapa final'!Y128="","",'Mapa final'!Y128)</f>
        <v/>
      </c>
      <c r="J125" s="425" t="str">
        <f>IF('Mapa final'!AA128="","",'Mapa final'!AA128)</f>
        <v/>
      </c>
      <c r="K125" s="344" t="str">
        <f t="shared" si="1"/>
        <v/>
      </c>
      <c r="L125" s="425" t="str">
        <f>IF('Mapa final'!AD128="","",'Mapa final'!AD128)</f>
        <v/>
      </c>
      <c r="M125" s="345" t="str">
        <f>IF('Mapa final'!P128="","",'Mapa final'!P128)</f>
        <v/>
      </c>
      <c r="N125" s="70"/>
      <c r="O125" s="70"/>
      <c r="P125" s="70"/>
      <c r="Q125" s="177"/>
    </row>
    <row r="126" spans="1:17" ht="43.5" customHeight="1" x14ac:dyDescent="0.25">
      <c r="A126" s="119" t="s">
        <v>658</v>
      </c>
      <c r="B126" s="713"/>
      <c r="C126" s="715"/>
      <c r="D126" s="717"/>
      <c r="E126" s="715"/>
      <c r="F126" s="718"/>
      <c r="G126" s="718"/>
      <c r="H126" s="711"/>
      <c r="I126" s="425" t="str">
        <f>IF('Mapa final'!Y129="","",'Mapa final'!Y129)</f>
        <v/>
      </c>
      <c r="J126" s="425" t="str">
        <f>IF('Mapa final'!AA129="","",'Mapa final'!AA129)</f>
        <v/>
      </c>
      <c r="K126" s="344" t="str">
        <f t="shared" si="1"/>
        <v/>
      </c>
      <c r="L126" s="425" t="str">
        <f>IF('Mapa final'!AD129="","",'Mapa final'!AD129)</f>
        <v/>
      </c>
      <c r="M126" s="345" t="str">
        <f>IF('Mapa final'!P129="","",'Mapa final'!P129)</f>
        <v/>
      </c>
      <c r="N126" s="70"/>
      <c r="O126" s="70"/>
      <c r="P126" s="70"/>
      <c r="Q126" s="177"/>
    </row>
    <row r="127" spans="1:17" ht="43.5" customHeight="1" x14ac:dyDescent="0.25">
      <c r="A127" s="119" t="s">
        <v>659</v>
      </c>
      <c r="B127" s="712"/>
      <c r="C127" s="714" t="str">
        <f>IF('Mapa final'!E130="","",'Mapa final'!E130)</f>
        <v/>
      </c>
      <c r="D127" s="716"/>
      <c r="E127" s="714" t="str">
        <f>IF('Mapa final'!D130="","",'Mapa final'!D130)</f>
        <v/>
      </c>
      <c r="F127" s="718" t="s">
        <v>1266</v>
      </c>
      <c r="G127" s="718" t="s">
        <v>1266</v>
      </c>
      <c r="H127" s="71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final'!Y130="","",'Mapa final'!Y130)</f>
        <v/>
      </c>
      <c r="J127" s="425" t="str">
        <f>IF('Mapa final'!AA130="","",'Mapa final'!AA130)</f>
        <v/>
      </c>
      <c r="K127" s="344" t="str">
        <f t="shared" si="1"/>
        <v/>
      </c>
      <c r="L127" s="425" t="str">
        <f>IF('Mapa final'!AD130="","",'Mapa final'!AD130)</f>
        <v/>
      </c>
      <c r="M127" s="345" t="str">
        <f>IF('Mapa final'!P130="","",'Mapa final'!P130)</f>
        <v/>
      </c>
      <c r="N127" s="70"/>
      <c r="O127" s="70"/>
      <c r="P127" s="70"/>
      <c r="Q127" s="177"/>
    </row>
    <row r="128" spans="1:17" ht="43.5" customHeight="1" x14ac:dyDescent="0.25">
      <c r="A128" s="119" t="s">
        <v>660</v>
      </c>
      <c r="B128" s="713"/>
      <c r="C128" s="715"/>
      <c r="D128" s="717"/>
      <c r="E128" s="715"/>
      <c r="F128" s="718"/>
      <c r="G128" s="718"/>
      <c r="H128" s="711"/>
      <c r="I128" s="425" t="str">
        <f>IF('Mapa final'!Y131="","",'Mapa final'!Y131)</f>
        <v/>
      </c>
      <c r="J128" s="425" t="str">
        <f>IF('Mapa final'!AA131="","",'Mapa final'!AA131)</f>
        <v/>
      </c>
      <c r="K128" s="344" t="str">
        <f t="shared" si="1"/>
        <v/>
      </c>
      <c r="L128" s="425" t="str">
        <f>IF('Mapa final'!AD131="","",'Mapa final'!AD131)</f>
        <v/>
      </c>
      <c r="M128" s="345" t="str">
        <f>IF('Mapa final'!P131="","",'Mapa final'!P131)</f>
        <v/>
      </c>
      <c r="N128" s="70"/>
      <c r="O128" s="70"/>
      <c r="P128" s="70"/>
      <c r="Q128" s="177"/>
    </row>
    <row r="129" spans="1:17" ht="43.5" customHeight="1" x14ac:dyDescent="0.25">
      <c r="A129" s="119" t="s">
        <v>661</v>
      </c>
      <c r="B129" s="713"/>
      <c r="C129" s="715"/>
      <c r="D129" s="717"/>
      <c r="E129" s="715"/>
      <c r="F129" s="718"/>
      <c r="G129" s="718"/>
      <c r="H129" s="711"/>
      <c r="I129" s="425" t="str">
        <f>IF('Mapa final'!Y132="","",'Mapa final'!Y132)</f>
        <v/>
      </c>
      <c r="J129" s="425" t="str">
        <f>IF('Mapa final'!AA132="","",'Mapa final'!AA132)</f>
        <v/>
      </c>
      <c r="K129" s="344" t="str">
        <f t="shared" si="1"/>
        <v/>
      </c>
      <c r="L129" s="425" t="str">
        <f>IF('Mapa final'!AD132="","",'Mapa final'!AD132)</f>
        <v/>
      </c>
      <c r="M129" s="345" t="str">
        <f>IF('Mapa final'!P132="","",'Mapa final'!P132)</f>
        <v/>
      </c>
      <c r="N129" s="70"/>
      <c r="O129" s="70"/>
      <c r="P129" s="70"/>
      <c r="Q129" s="177"/>
    </row>
    <row r="130" spans="1:17" ht="43.5" customHeight="1" x14ac:dyDescent="0.25">
      <c r="A130" s="119" t="s">
        <v>662</v>
      </c>
      <c r="B130" s="713"/>
      <c r="C130" s="715"/>
      <c r="D130" s="717"/>
      <c r="E130" s="715"/>
      <c r="F130" s="718"/>
      <c r="G130" s="718"/>
      <c r="H130" s="711"/>
      <c r="I130" s="425" t="str">
        <f>IF('Mapa final'!Y133="","",'Mapa final'!Y133)</f>
        <v/>
      </c>
      <c r="J130" s="425" t="str">
        <f>IF('Mapa final'!AA133="","",'Mapa final'!AA133)</f>
        <v/>
      </c>
      <c r="K130" s="344" t="str">
        <f t="shared" si="1"/>
        <v/>
      </c>
      <c r="L130" s="425" t="str">
        <f>IF('Mapa final'!AD133="","",'Mapa final'!AD133)</f>
        <v/>
      </c>
      <c r="M130" s="345" t="str">
        <f>IF('Mapa final'!P133="","",'Mapa final'!P133)</f>
        <v/>
      </c>
      <c r="N130" s="70"/>
      <c r="O130" s="70"/>
      <c r="P130" s="70"/>
      <c r="Q130" s="177"/>
    </row>
    <row r="131" spans="1:17" ht="43.5" customHeight="1" x14ac:dyDescent="0.25">
      <c r="A131" s="119" t="s">
        <v>663</v>
      </c>
      <c r="B131" s="713"/>
      <c r="C131" s="715"/>
      <c r="D131" s="717"/>
      <c r="E131" s="715"/>
      <c r="F131" s="718"/>
      <c r="G131" s="718"/>
      <c r="H131" s="711"/>
      <c r="I131" s="425" t="str">
        <f>IF('Mapa final'!Y134="","",'Mapa final'!Y134)</f>
        <v/>
      </c>
      <c r="J131" s="425" t="str">
        <f>IF('Mapa final'!AA134="","",'Mapa final'!AA134)</f>
        <v/>
      </c>
      <c r="K131" s="344" t="str">
        <f t="shared" si="1"/>
        <v/>
      </c>
      <c r="L131" s="425" t="str">
        <f>IF('Mapa final'!AD134="","",'Mapa final'!AD134)</f>
        <v/>
      </c>
      <c r="M131" s="345" t="str">
        <f>IF('Mapa final'!P134="","",'Mapa final'!P134)</f>
        <v/>
      </c>
      <c r="N131" s="70"/>
      <c r="O131" s="70"/>
      <c r="P131" s="70"/>
      <c r="Q131" s="177"/>
    </row>
    <row r="132" spans="1:17" ht="43.5" customHeight="1" x14ac:dyDescent="0.25">
      <c r="A132" s="119" t="s">
        <v>664</v>
      </c>
      <c r="B132" s="713"/>
      <c r="C132" s="715"/>
      <c r="D132" s="717"/>
      <c r="E132" s="715"/>
      <c r="F132" s="718"/>
      <c r="G132" s="718"/>
      <c r="H132" s="711"/>
      <c r="I132" s="425" t="str">
        <f>IF('Mapa final'!Y135="","",'Mapa final'!Y135)</f>
        <v/>
      </c>
      <c r="J132" s="425" t="str">
        <f>IF('Mapa final'!AA135="","",'Mapa final'!AA135)</f>
        <v/>
      </c>
      <c r="K132" s="344" t="str">
        <f t="shared" si="1"/>
        <v/>
      </c>
      <c r="L132" s="425" t="str">
        <f>IF('Mapa final'!AD135="","",'Mapa final'!AD135)</f>
        <v/>
      </c>
      <c r="M132" s="345" t="str">
        <f>IF('Mapa final'!P135="","",'Mapa final'!P135)</f>
        <v/>
      </c>
      <c r="N132" s="70"/>
      <c r="O132" s="70"/>
      <c r="P132" s="70"/>
      <c r="Q132" s="177"/>
    </row>
    <row r="133" spans="1:17" ht="43.5" customHeight="1" x14ac:dyDescent="0.25">
      <c r="A133" s="119" t="s">
        <v>666</v>
      </c>
      <c r="B133" s="712"/>
      <c r="C133" s="714" t="str">
        <f>IF('Mapa final'!E136="","",'Mapa final'!E136)</f>
        <v/>
      </c>
      <c r="D133" s="716"/>
      <c r="E133" s="714" t="str">
        <f>IF('Mapa final'!D136="","",'Mapa final'!D136)</f>
        <v/>
      </c>
      <c r="F133" s="718" t="s">
        <v>1266</v>
      </c>
      <c r="G133" s="718" t="s">
        <v>1266</v>
      </c>
      <c r="H133" s="71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final'!Y136="","",'Mapa final'!Y136)</f>
        <v/>
      </c>
      <c r="J133" s="425" t="str">
        <f>IF('Mapa final'!AA136="","",'Mapa final'!AA136)</f>
        <v/>
      </c>
      <c r="K133" s="344" t="str">
        <f t="shared" si="1"/>
        <v/>
      </c>
      <c r="L133" s="425" t="str">
        <f>IF('Mapa final'!AD136="","",'Mapa final'!AD136)</f>
        <v/>
      </c>
      <c r="M133" s="345" t="str">
        <f>IF('Mapa final'!P136="","",'Mapa final'!P136)</f>
        <v/>
      </c>
      <c r="N133" s="70"/>
      <c r="O133" s="70"/>
      <c r="P133" s="70"/>
      <c r="Q133" s="177"/>
    </row>
    <row r="134" spans="1:17" ht="43.5" customHeight="1" x14ac:dyDescent="0.25">
      <c r="A134" s="119" t="s">
        <v>665</v>
      </c>
      <c r="B134" s="713"/>
      <c r="C134" s="715"/>
      <c r="D134" s="717"/>
      <c r="E134" s="715"/>
      <c r="F134" s="718"/>
      <c r="G134" s="718"/>
      <c r="H134" s="711"/>
      <c r="I134" s="425" t="str">
        <f>IF('Mapa final'!Y137="","",'Mapa final'!Y137)</f>
        <v/>
      </c>
      <c r="J134" s="425" t="str">
        <f>IF('Mapa final'!AA137="","",'Mapa final'!AA137)</f>
        <v/>
      </c>
      <c r="K134" s="344" t="str">
        <f t="shared" si="1"/>
        <v/>
      </c>
      <c r="L134" s="425" t="str">
        <f>IF('Mapa final'!AD137="","",'Mapa final'!AD137)</f>
        <v/>
      </c>
      <c r="M134" s="345" t="str">
        <f>IF('Mapa final'!P137="","",'Mapa final'!P137)</f>
        <v/>
      </c>
      <c r="N134" s="70"/>
      <c r="O134" s="70"/>
      <c r="P134" s="70"/>
      <c r="Q134" s="177"/>
    </row>
    <row r="135" spans="1:17" ht="43.5" customHeight="1" x14ac:dyDescent="0.25">
      <c r="A135" s="119" t="s">
        <v>667</v>
      </c>
      <c r="B135" s="713"/>
      <c r="C135" s="715"/>
      <c r="D135" s="717"/>
      <c r="E135" s="715"/>
      <c r="F135" s="718"/>
      <c r="G135" s="718"/>
      <c r="H135" s="711"/>
      <c r="I135" s="425" t="str">
        <f>IF('Mapa final'!Y138="","",'Mapa final'!Y138)</f>
        <v/>
      </c>
      <c r="J135" s="425" t="str">
        <f>IF('Mapa final'!AA138="","",'Mapa final'!AA138)</f>
        <v/>
      </c>
      <c r="K135" s="344" t="str">
        <f t="shared" si="1"/>
        <v/>
      </c>
      <c r="L135" s="425" t="str">
        <f>IF('Mapa final'!AD138="","",'Mapa final'!AD138)</f>
        <v/>
      </c>
      <c r="M135" s="345" t="str">
        <f>IF('Mapa final'!P138="","",'Mapa final'!P138)</f>
        <v/>
      </c>
      <c r="N135" s="70"/>
      <c r="O135" s="70"/>
      <c r="P135" s="70"/>
      <c r="Q135" s="177"/>
    </row>
    <row r="136" spans="1:17" ht="43.5" customHeight="1" x14ac:dyDescent="0.25">
      <c r="A136" s="119" t="s">
        <v>668</v>
      </c>
      <c r="B136" s="713"/>
      <c r="C136" s="715"/>
      <c r="D136" s="717"/>
      <c r="E136" s="715"/>
      <c r="F136" s="718"/>
      <c r="G136" s="718"/>
      <c r="H136" s="711"/>
      <c r="I136" s="425" t="str">
        <f>IF('Mapa final'!Y139="","",'Mapa final'!Y139)</f>
        <v/>
      </c>
      <c r="J136" s="425" t="str">
        <f>IF('Mapa final'!AA139="","",'Mapa final'!AA139)</f>
        <v/>
      </c>
      <c r="K136" s="34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final'!AD139="","",'Mapa final'!AD139)</f>
        <v/>
      </c>
      <c r="M136" s="345" t="str">
        <f>IF('Mapa final'!P139="","",'Mapa final'!P139)</f>
        <v/>
      </c>
      <c r="N136" s="70"/>
      <c r="O136" s="70"/>
      <c r="P136" s="70"/>
      <c r="Q136" s="177"/>
    </row>
    <row r="137" spans="1:17" ht="43.5" customHeight="1" x14ac:dyDescent="0.25">
      <c r="A137" s="119" t="s">
        <v>669</v>
      </c>
      <c r="B137" s="713"/>
      <c r="C137" s="715"/>
      <c r="D137" s="717"/>
      <c r="E137" s="715"/>
      <c r="F137" s="718"/>
      <c r="G137" s="718"/>
      <c r="H137" s="711"/>
      <c r="I137" s="425" t="str">
        <f>IF('Mapa final'!Y140="","",'Mapa final'!Y140)</f>
        <v/>
      </c>
      <c r="J137" s="425" t="str">
        <f>IF('Mapa final'!AA140="","",'Mapa final'!AA140)</f>
        <v/>
      </c>
      <c r="K137" s="344" t="str">
        <f t="shared" si="2"/>
        <v/>
      </c>
      <c r="L137" s="425" t="str">
        <f>IF('Mapa final'!AD140="","",'Mapa final'!AD140)</f>
        <v/>
      </c>
      <c r="M137" s="345" t="str">
        <f>IF('Mapa final'!P140="","",'Mapa final'!P140)</f>
        <v/>
      </c>
      <c r="N137" s="70"/>
      <c r="O137" s="70"/>
      <c r="P137" s="70"/>
      <c r="Q137" s="177"/>
    </row>
    <row r="138" spans="1:17" ht="43.5" customHeight="1" x14ac:dyDescent="0.25">
      <c r="A138" s="119" t="s">
        <v>670</v>
      </c>
      <c r="B138" s="713"/>
      <c r="C138" s="715"/>
      <c r="D138" s="717"/>
      <c r="E138" s="715"/>
      <c r="F138" s="718"/>
      <c r="G138" s="718"/>
      <c r="H138" s="711"/>
      <c r="I138" s="425" t="str">
        <f>IF('Mapa final'!Y141="","",'Mapa final'!Y141)</f>
        <v/>
      </c>
      <c r="J138" s="425" t="str">
        <f>IF('Mapa final'!AA141="","",'Mapa final'!AA141)</f>
        <v/>
      </c>
      <c r="K138" s="344" t="str">
        <f t="shared" si="2"/>
        <v/>
      </c>
      <c r="L138" s="425" t="str">
        <f>IF('Mapa final'!AD141="","",'Mapa final'!AD141)</f>
        <v/>
      </c>
      <c r="M138" s="345" t="str">
        <f>IF('Mapa final'!P141="","",'Mapa final'!P141)</f>
        <v/>
      </c>
      <c r="N138" s="70"/>
      <c r="O138" s="70"/>
      <c r="P138" s="70"/>
      <c r="Q138" s="177"/>
    </row>
    <row r="139" spans="1:17" ht="43.5" customHeight="1" x14ac:dyDescent="0.25">
      <c r="A139" s="119" t="s">
        <v>671</v>
      </c>
      <c r="B139" s="712"/>
      <c r="C139" s="714" t="str">
        <f>IF('Mapa final'!E142="","",'Mapa final'!E142)</f>
        <v/>
      </c>
      <c r="D139" s="716"/>
      <c r="E139" s="714" t="str">
        <f>IF('Mapa final'!D142="","",'Mapa final'!D142)</f>
        <v/>
      </c>
      <c r="F139" s="718" t="s">
        <v>1266</v>
      </c>
      <c r="G139" s="718" t="s">
        <v>1266</v>
      </c>
      <c r="H139" s="71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final'!Y142="","",'Mapa final'!Y142)</f>
        <v/>
      </c>
      <c r="J139" s="425" t="str">
        <f>IF('Mapa final'!AA142="","",'Mapa final'!AA142)</f>
        <v/>
      </c>
      <c r="K139" s="344" t="str">
        <f t="shared" si="2"/>
        <v/>
      </c>
      <c r="L139" s="425" t="str">
        <f>IF('Mapa final'!AD142="","",'Mapa final'!AD142)</f>
        <v/>
      </c>
      <c r="M139" s="345" t="str">
        <f>IF('Mapa final'!P142="","",'Mapa final'!P142)</f>
        <v/>
      </c>
      <c r="N139" s="70"/>
      <c r="O139" s="70"/>
      <c r="P139" s="70"/>
      <c r="Q139" s="177"/>
    </row>
    <row r="140" spans="1:17" ht="43.5" customHeight="1" x14ac:dyDescent="0.25">
      <c r="A140" s="119" t="s">
        <v>672</v>
      </c>
      <c r="B140" s="713"/>
      <c r="C140" s="715"/>
      <c r="D140" s="717"/>
      <c r="E140" s="715"/>
      <c r="F140" s="718"/>
      <c r="G140" s="718"/>
      <c r="H140" s="711"/>
      <c r="I140" s="425" t="str">
        <f>IF('Mapa final'!Y143="","",'Mapa final'!Y143)</f>
        <v/>
      </c>
      <c r="J140" s="425" t="str">
        <f>IF('Mapa final'!AA143="","",'Mapa final'!AA143)</f>
        <v/>
      </c>
      <c r="K140" s="344" t="str">
        <f t="shared" si="2"/>
        <v/>
      </c>
      <c r="L140" s="425" t="str">
        <f>IF('Mapa final'!AD143="","",'Mapa final'!AD143)</f>
        <v/>
      </c>
      <c r="M140" s="345" t="str">
        <f>IF('Mapa final'!P143="","",'Mapa final'!P143)</f>
        <v/>
      </c>
      <c r="N140" s="70"/>
      <c r="O140" s="70"/>
      <c r="P140" s="70"/>
      <c r="Q140" s="177"/>
    </row>
    <row r="141" spans="1:17" ht="43.5" customHeight="1" x14ac:dyDescent="0.25">
      <c r="A141" s="119" t="s">
        <v>673</v>
      </c>
      <c r="B141" s="713"/>
      <c r="C141" s="715"/>
      <c r="D141" s="717"/>
      <c r="E141" s="715"/>
      <c r="F141" s="718"/>
      <c r="G141" s="718"/>
      <c r="H141" s="711"/>
      <c r="I141" s="425" t="str">
        <f>IF('Mapa final'!Y144="","",'Mapa final'!Y144)</f>
        <v/>
      </c>
      <c r="J141" s="425" t="str">
        <f>IF('Mapa final'!AA144="","",'Mapa final'!AA144)</f>
        <v/>
      </c>
      <c r="K141" s="344" t="str">
        <f t="shared" si="2"/>
        <v/>
      </c>
      <c r="L141" s="425" t="str">
        <f>IF('Mapa final'!AD144="","",'Mapa final'!AD144)</f>
        <v/>
      </c>
      <c r="M141" s="345" t="str">
        <f>IF('Mapa final'!P144="","",'Mapa final'!P144)</f>
        <v/>
      </c>
      <c r="N141" s="70"/>
      <c r="O141" s="70"/>
      <c r="P141" s="70"/>
      <c r="Q141" s="177"/>
    </row>
    <row r="142" spans="1:17" ht="43.5" customHeight="1" x14ac:dyDescent="0.25">
      <c r="A142" s="119" t="s">
        <v>674</v>
      </c>
      <c r="B142" s="713"/>
      <c r="C142" s="715"/>
      <c r="D142" s="717"/>
      <c r="E142" s="715"/>
      <c r="F142" s="718"/>
      <c r="G142" s="718"/>
      <c r="H142" s="711"/>
      <c r="I142" s="425" t="str">
        <f>IF('Mapa final'!Y145="","",'Mapa final'!Y145)</f>
        <v/>
      </c>
      <c r="J142" s="425" t="str">
        <f>IF('Mapa final'!AA145="","",'Mapa final'!AA145)</f>
        <v/>
      </c>
      <c r="K142" s="344" t="str">
        <f t="shared" si="2"/>
        <v/>
      </c>
      <c r="L142" s="425" t="str">
        <f>IF('Mapa final'!AD145="","",'Mapa final'!AD145)</f>
        <v/>
      </c>
      <c r="M142" s="345" t="str">
        <f>IF('Mapa final'!P145="","",'Mapa final'!P145)</f>
        <v/>
      </c>
      <c r="N142" s="70"/>
      <c r="O142" s="70"/>
      <c r="P142" s="70"/>
      <c r="Q142" s="177"/>
    </row>
    <row r="143" spans="1:17" ht="43.5" customHeight="1" x14ac:dyDescent="0.25">
      <c r="A143" s="119" t="s">
        <v>675</v>
      </c>
      <c r="B143" s="713"/>
      <c r="C143" s="715"/>
      <c r="D143" s="717"/>
      <c r="E143" s="715"/>
      <c r="F143" s="718"/>
      <c r="G143" s="718"/>
      <c r="H143" s="711"/>
      <c r="I143" s="425" t="str">
        <f>IF('Mapa final'!Y146="","",'Mapa final'!Y146)</f>
        <v/>
      </c>
      <c r="J143" s="425" t="str">
        <f>IF('Mapa final'!AA146="","",'Mapa final'!AA146)</f>
        <v/>
      </c>
      <c r="K143" s="344" t="str">
        <f t="shared" si="2"/>
        <v/>
      </c>
      <c r="L143" s="425" t="str">
        <f>IF('Mapa final'!AD146="","",'Mapa final'!AD146)</f>
        <v/>
      </c>
      <c r="M143" s="345" t="str">
        <f>IF('Mapa final'!P146="","",'Mapa final'!P146)</f>
        <v/>
      </c>
      <c r="N143" s="70"/>
      <c r="O143" s="70"/>
      <c r="P143" s="70"/>
      <c r="Q143" s="177"/>
    </row>
    <row r="144" spans="1:17" ht="43.5" customHeight="1" x14ac:dyDescent="0.25">
      <c r="A144" s="119" t="s">
        <v>676</v>
      </c>
      <c r="B144" s="713"/>
      <c r="C144" s="715"/>
      <c r="D144" s="717"/>
      <c r="E144" s="715"/>
      <c r="F144" s="718"/>
      <c r="G144" s="718"/>
      <c r="H144" s="711"/>
      <c r="I144" s="425" t="str">
        <f>IF('Mapa final'!Y147="","",'Mapa final'!Y147)</f>
        <v/>
      </c>
      <c r="J144" s="425" t="str">
        <f>IF('Mapa final'!AA147="","",'Mapa final'!AA147)</f>
        <v/>
      </c>
      <c r="K144" s="344" t="str">
        <f t="shared" si="2"/>
        <v/>
      </c>
      <c r="L144" s="425" t="str">
        <f>IF('Mapa final'!AD147="","",'Mapa final'!AD147)</f>
        <v/>
      </c>
      <c r="M144" s="345" t="str">
        <f>IF('Mapa final'!P147="","",'Mapa final'!P147)</f>
        <v/>
      </c>
      <c r="N144" s="70"/>
      <c r="O144" s="70"/>
      <c r="P144" s="70"/>
      <c r="Q144" s="177"/>
    </row>
    <row r="145" spans="1:17" ht="43.5" customHeight="1" x14ac:dyDescent="0.25">
      <c r="A145" s="119" t="s">
        <v>677</v>
      </c>
      <c r="B145" s="712"/>
      <c r="C145" s="714" t="str">
        <f>IF('Mapa final'!E148="","",'Mapa final'!E148)</f>
        <v/>
      </c>
      <c r="D145" s="716"/>
      <c r="E145" s="714" t="str">
        <f>IF('Mapa final'!D148="","",'Mapa final'!D148)</f>
        <v/>
      </c>
      <c r="F145" s="718" t="s">
        <v>1266</v>
      </c>
      <c r="G145" s="718" t="s">
        <v>1266</v>
      </c>
      <c r="H145" s="71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final'!Y148="","",'Mapa final'!Y148)</f>
        <v/>
      </c>
      <c r="J145" s="425" t="str">
        <f>IF('Mapa final'!AA148="","",'Mapa final'!AA148)</f>
        <v/>
      </c>
      <c r="K145" s="344" t="str">
        <f t="shared" si="2"/>
        <v/>
      </c>
      <c r="L145" s="425" t="str">
        <f>IF('Mapa final'!AD148="","",'Mapa final'!AD148)</f>
        <v/>
      </c>
      <c r="M145" s="345" t="str">
        <f>IF('Mapa final'!P148="","",'Mapa final'!P148)</f>
        <v/>
      </c>
      <c r="N145" s="70"/>
      <c r="O145" s="70"/>
      <c r="P145" s="70"/>
      <c r="Q145" s="177"/>
    </row>
    <row r="146" spans="1:17" ht="43.5" customHeight="1" x14ac:dyDescent="0.25">
      <c r="A146" s="119" t="s">
        <v>678</v>
      </c>
      <c r="B146" s="713"/>
      <c r="C146" s="715"/>
      <c r="D146" s="717"/>
      <c r="E146" s="715"/>
      <c r="F146" s="718"/>
      <c r="G146" s="718"/>
      <c r="H146" s="711"/>
      <c r="I146" s="425" t="str">
        <f>IF('Mapa final'!Y149="","",'Mapa final'!Y149)</f>
        <v/>
      </c>
      <c r="J146" s="425" t="str">
        <f>IF('Mapa final'!AA149="","",'Mapa final'!AA149)</f>
        <v/>
      </c>
      <c r="K146" s="344" t="str">
        <f t="shared" si="2"/>
        <v/>
      </c>
      <c r="L146" s="425" t="str">
        <f>IF('Mapa final'!AD149="","",'Mapa final'!AD149)</f>
        <v/>
      </c>
      <c r="M146" s="345" t="str">
        <f>IF('Mapa final'!P149="","",'Mapa final'!P149)</f>
        <v/>
      </c>
      <c r="N146" s="70"/>
      <c r="O146" s="70"/>
      <c r="P146" s="70"/>
      <c r="Q146" s="177"/>
    </row>
    <row r="147" spans="1:17" ht="43.5" customHeight="1" x14ac:dyDescent="0.25">
      <c r="A147" s="119" t="s">
        <v>679</v>
      </c>
      <c r="B147" s="713"/>
      <c r="C147" s="715"/>
      <c r="D147" s="717"/>
      <c r="E147" s="715"/>
      <c r="F147" s="718"/>
      <c r="G147" s="718"/>
      <c r="H147" s="711"/>
      <c r="I147" s="425" t="str">
        <f>IF('Mapa final'!Y150="","",'Mapa final'!Y150)</f>
        <v/>
      </c>
      <c r="J147" s="425" t="str">
        <f>IF('Mapa final'!AA150="","",'Mapa final'!AA150)</f>
        <v/>
      </c>
      <c r="K147" s="344" t="str">
        <f t="shared" si="2"/>
        <v/>
      </c>
      <c r="L147" s="425" t="str">
        <f>IF('Mapa final'!AD150="","",'Mapa final'!AD150)</f>
        <v/>
      </c>
      <c r="M147" s="345" t="str">
        <f>IF('Mapa final'!P150="","",'Mapa final'!P150)</f>
        <v/>
      </c>
      <c r="N147" s="70"/>
      <c r="O147" s="70"/>
      <c r="P147" s="70"/>
      <c r="Q147" s="177"/>
    </row>
    <row r="148" spans="1:17" ht="43.5" customHeight="1" x14ac:dyDescent="0.25">
      <c r="A148" s="119" t="s">
        <v>680</v>
      </c>
      <c r="B148" s="713"/>
      <c r="C148" s="715"/>
      <c r="D148" s="717"/>
      <c r="E148" s="715"/>
      <c r="F148" s="718"/>
      <c r="G148" s="718"/>
      <c r="H148" s="711"/>
      <c r="I148" s="425" t="str">
        <f>IF('Mapa final'!Y151="","",'Mapa final'!Y151)</f>
        <v/>
      </c>
      <c r="J148" s="425" t="str">
        <f>IF('Mapa final'!AA151="","",'Mapa final'!AA151)</f>
        <v/>
      </c>
      <c r="K148" s="344" t="str">
        <f t="shared" si="2"/>
        <v/>
      </c>
      <c r="L148" s="425" t="str">
        <f>IF('Mapa final'!AD151="","",'Mapa final'!AD151)</f>
        <v/>
      </c>
      <c r="M148" s="345" t="str">
        <f>IF('Mapa final'!P151="","",'Mapa final'!P151)</f>
        <v/>
      </c>
      <c r="N148" s="70"/>
      <c r="O148" s="70"/>
      <c r="P148" s="70"/>
      <c r="Q148" s="177"/>
    </row>
    <row r="149" spans="1:17" ht="43.5" customHeight="1" x14ac:dyDescent="0.25">
      <c r="A149" s="119" t="s">
        <v>681</v>
      </c>
      <c r="B149" s="713"/>
      <c r="C149" s="715"/>
      <c r="D149" s="717"/>
      <c r="E149" s="715"/>
      <c r="F149" s="718"/>
      <c r="G149" s="718"/>
      <c r="H149" s="711"/>
      <c r="I149" s="425" t="str">
        <f>IF('Mapa final'!Y152="","",'Mapa final'!Y152)</f>
        <v/>
      </c>
      <c r="J149" s="425" t="str">
        <f>IF('Mapa final'!AA152="","",'Mapa final'!AA152)</f>
        <v/>
      </c>
      <c r="K149" s="344" t="str">
        <f t="shared" si="2"/>
        <v/>
      </c>
      <c r="L149" s="425" t="str">
        <f>IF('Mapa final'!AD152="","",'Mapa final'!AD152)</f>
        <v/>
      </c>
      <c r="M149" s="345" t="str">
        <f>IF('Mapa final'!P152="","",'Mapa final'!P152)</f>
        <v/>
      </c>
      <c r="N149" s="70"/>
      <c r="O149" s="70"/>
      <c r="P149" s="70"/>
      <c r="Q149" s="177"/>
    </row>
    <row r="150" spans="1:17" ht="43.5" customHeight="1" x14ac:dyDescent="0.25">
      <c r="A150" s="119" t="s">
        <v>682</v>
      </c>
      <c r="B150" s="713"/>
      <c r="C150" s="715"/>
      <c r="D150" s="717"/>
      <c r="E150" s="715"/>
      <c r="F150" s="718"/>
      <c r="G150" s="718"/>
      <c r="H150" s="711"/>
      <c r="I150" s="425" t="str">
        <f>IF('Mapa final'!Y153="","",'Mapa final'!Y153)</f>
        <v/>
      </c>
      <c r="J150" s="425" t="str">
        <f>IF('Mapa final'!AA153="","",'Mapa final'!AA153)</f>
        <v/>
      </c>
      <c r="K150" s="344" t="str">
        <f t="shared" si="2"/>
        <v/>
      </c>
      <c r="L150" s="425" t="str">
        <f>IF('Mapa final'!AD153="","",'Mapa final'!AD153)</f>
        <v/>
      </c>
      <c r="M150" s="345" t="str">
        <f>IF('Mapa final'!P153="","",'Mapa final'!P153)</f>
        <v/>
      </c>
      <c r="N150" s="70"/>
      <c r="O150" s="70"/>
      <c r="P150" s="70"/>
      <c r="Q150" s="177"/>
    </row>
    <row r="151" spans="1:17" ht="43.5" customHeight="1" x14ac:dyDescent="0.25">
      <c r="A151" s="119" t="s">
        <v>683</v>
      </c>
      <c r="B151" s="712"/>
      <c r="C151" s="714" t="str">
        <f>IF('Mapa final'!E154="","",'Mapa final'!E154)</f>
        <v/>
      </c>
      <c r="D151" s="716"/>
      <c r="E151" s="714" t="str">
        <f>IF('Mapa final'!D154="","",'Mapa final'!D154)</f>
        <v/>
      </c>
      <c r="F151" s="718" t="s">
        <v>1266</v>
      </c>
      <c r="G151" s="718" t="s">
        <v>1266</v>
      </c>
      <c r="H151" s="71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final'!Y154="","",'Mapa final'!Y154)</f>
        <v/>
      </c>
      <c r="J151" s="425" t="str">
        <f>IF('Mapa final'!AA154="","",'Mapa final'!AA154)</f>
        <v/>
      </c>
      <c r="K151" s="344" t="str">
        <f t="shared" si="2"/>
        <v/>
      </c>
      <c r="L151" s="425" t="str">
        <f>IF('Mapa final'!AD154="","",'Mapa final'!AD154)</f>
        <v/>
      </c>
      <c r="M151" s="345" t="str">
        <f>IF('Mapa final'!P154="","",'Mapa final'!P154)</f>
        <v/>
      </c>
      <c r="N151" s="70"/>
      <c r="O151" s="70"/>
      <c r="P151" s="70"/>
      <c r="Q151" s="177"/>
    </row>
    <row r="152" spans="1:17" ht="43.5" customHeight="1" x14ac:dyDescent="0.25">
      <c r="A152" s="119" t="s">
        <v>684</v>
      </c>
      <c r="B152" s="713"/>
      <c r="C152" s="715"/>
      <c r="D152" s="717"/>
      <c r="E152" s="715"/>
      <c r="F152" s="718"/>
      <c r="G152" s="718"/>
      <c r="H152" s="711"/>
      <c r="I152" s="425" t="str">
        <f>IF('Mapa final'!Y155="","",'Mapa final'!Y155)</f>
        <v/>
      </c>
      <c r="J152" s="425" t="str">
        <f>IF('Mapa final'!AA155="","",'Mapa final'!AA155)</f>
        <v/>
      </c>
      <c r="K152" s="344" t="str">
        <f t="shared" si="2"/>
        <v/>
      </c>
      <c r="L152" s="425" t="str">
        <f>IF('Mapa final'!AD155="","",'Mapa final'!AD155)</f>
        <v/>
      </c>
      <c r="M152" s="345" t="str">
        <f>IF('Mapa final'!P155="","",'Mapa final'!P155)</f>
        <v/>
      </c>
      <c r="N152" s="70"/>
      <c r="O152" s="70"/>
      <c r="P152" s="70"/>
      <c r="Q152" s="177"/>
    </row>
    <row r="153" spans="1:17" ht="43.5" customHeight="1" x14ac:dyDescent="0.25">
      <c r="A153" s="119" t="s">
        <v>685</v>
      </c>
      <c r="B153" s="713"/>
      <c r="C153" s="715"/>
      <c r="D153" s="717"/>
      <c r="E153" s="715"/>
      <c r="F153" s="718"/>
      <c r="G153" s="718"/>
      <c r="H153" s="711"/>
      <c r="I153" s="425" t="str">
        <f>IF('Mapa final'!Y156="","",'Mapa final'!Y156)</f>
        <v/>
      </c>
      <c r="J153" s="425" t="str">
        <f>IF('Mapa final'!AA156="","",'Mapa final'!AA156)</f>
        <v/>
      </c>
      <c r="K153" s="344" t="str">
        <f t="shared" si="2"/>
        <v/>
      </c>
      <c r="L153" s="425" t="str">
        <f>IF('Mapa final'!AD156="","",'Mapa final'!AD156)</f>
        <v/>
      </c>
      <c r="M153" s="345" t="str">
        <f>IF('Mapa final'!P156="","",'Mapa final'!P156)</f>
        <v/>
      </c>
      <c r="N153" s="70"/>
      <c r="O153" s="70"/>
      <c r="P153" s="70"/>
      <c r="Q153" s="177"/>
    </row>
    <row r="154" spans="1:17" ht="43.5" customHeight="1" x14ac:dyDescent="0.25">
      <c r="A154" s="119" t="s">
        <v>686</v>
      </c>
      <c r="B154" s="713"/>
      <c r="C154" s="715"/>
      <c r="D154" s="717"/>
      <c r="E154" s="715"/>
      <c r="F154" s="718"/>
      <c r="G154" s="718"/>
      <c r="H154" s="711"/>
      <c r="I154" s="425" t="str">
        <f>IF('Mapa final'!Y157="","",'Mapa final'!Y157)</f>
        <v/>
      </c>
      <c r="J154" s="425" t="str">
        <f>IF('Mapa final'!AA157="","",'Mapa final'!AA157)</f>
        <v/>
      </c>
      <c r="K154" s="344" t="str">
        <f t="shared" si="2"/>
        <v/>
      </c>
      <c r="L154" s="425" t="str">
        <f>IF('Mapa final'!AD157="","",'Mapa final'!AD157)</f>
        <v/>
      </c>
      <c r="M154" s="345" t="str">
        <f>IF('Mapa final'!P157="","",'Mapa final'!P157)</f>
        <v/>
      </c>
      <c r="N154" s="70"/>
      <c r="O154" s="70"/>
      <c r="P154" s="70"/>
      <c r="Q154" s="177"/>
    </row>
    <row r="155" spans="1:17" ht="43.5" customHeight="1" x14ac:dyDescent="0.25">
      <c r="A155" s="119" t="s">
        <v>687</v>
      </c>
      <c r="B155" s="713"/>
      <c r="C155" s="715"/>
      <c r="D155" s="717"/>
      <c r="E155" s="715"/>
      <c r="F155" s="718"/>
      <c r="G155" s="718"/>
      <c r="H155" s="711"/>
      <c r="I155" s="425" t="str">
        <f>IF('Mapa final'!Y158="","",'Mapa final'!Y158)</f>
        <v/>
      </c>
      <c r="J155" s="425" t="str">
        <f>IF('Mapa final'!AA158="","",'Mapa final'!AA158)</f>
        <v/>
      </c>
      <c r="K155" s="344" t="str">
        <f t="shared" si="2"/>
        <v/>
      </c>
      <c r="L155" s="425" t="str">
        <f>IF('Mapa final'!AD158="","",'Mapa final'!AD158)</f>
        <v/>
      </c>
      <c r="M155" s="345" t="str">
        <f>IF('Mapa final'!P158="","",'Mapa final'!P158)</f>
        <v/>
      </c>
      <c r="N155" s="70"/>
      <c r="O155" s="70"/>
      <c r="P155" s="70"/>
      <c r="Q155" s="177"/>
    </row>
    <row r="156" spans="1:17" ht="43.5" customHeight="1" x14ac:dyDescent="0.25">
      <c r="A156" s="119" t="s">
        <v>688</v>
      </c>
      <c r="B156" s="713"/>
      <c r="C156" s="715"/>
      <c r="D156" s="717"/>
      <c r="E156" s="715"/>
      <c r="F156" s="718"/>
      <c r="G156" s="718"/>
      <c r="H156" s="711"/>
      <c r="I156" s="425" t="str">
        <f>IF('Mapa final'!Y159="","",'Mapa final'!Y159)</f>
        <v/>
      </c>
      <c r="J156" s="425" t="str">
        <f>IF('Mapa final'!AA159="","",'Mapa final'!AA159)</f>
        <v/>
      </c>
      <c r="K156" s="344" t="str">
        <f t="shared" si="2"/>
        <v/>
      </c>
      <c r="L156" s="425" t="str">
        <f>IF('Mapa final'!AD159="","",'Mapa final'!AD159)</f>
        <v/>
      </c>
      <c r="M156" s="345" t="str">
        <f>IF('Mapa final'!P159="","",'Mapa final'!P159)</f>
        <v/>
      </c>
      <c r="N156" s="70"/>
      <c r="O156" s="70"/>
      <c r="P156" s="70"/>
      <c r="Q156" s="177"/>
    </row>
    <row r="157" spans="1:17" ht="43.5" customHeight="1" x14ac:dyDescent="0.25">
      <c r="A157" s="119" t="s">
        <v>689</v>
      </c>
      <c r="B157" s="712"/>
      <c r="C157" s="714" t="str">
        <f>IF('Mapa final'!E160="","",'Mapa final'!E160)</f>
        <v/>
      </c>
      <c r="D157" s="716"/>
      <c r="E157" s="714" t="str">
        <f>IF('Mapa final'!D160="","",'Mapa final'!D160)</f>
        <v/>
      </c>
      <c r="F157" s="718" t="s">
        <v>1266</v>
      </c>
      <c r="G157" s="718" t="s">
        <v>1266</v>
      </c>
      <c r="H157" s="71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final'!Y160="","",'Mapa final'!Y160)</f>
        <v/>
      </c>
      <c r="J157" s="425" t="str">
        <f>IF('Mapa final'!AA160="","",'Mapa final'!AA160)</f>
        <v/>
      </c>
      <c r="K157" s="344" t="str">
        <f t="shared" si="2"/>
        <v/>
      </c>
      <c r="L157" s="425" t="str">
        <f>IF('Mapa final'!AD160="","",'Mapa final'!AD160)</f>
        <v/>
      </c>
      <c r="M157" s="345" t="str">
        <f>IF('Mapa final'!P160="","",'Mapa final'!P160)</f>
        <v/>
      </c>
      <c r="N157" s="70"/>
      <c r="O157" s="70"/>
      <c r="P157" s="70"/>
      <c r="Q157" s="177"/>
    </row>
    <row r="158" spans="1:17" ht="43.5" customHeight="1" x14ac:dyDescent="0.25">
      <c r="A158" s="119" t="s">
        <v>690</v>
      </c>
      <c r="B158" s="713"/>
      <c r="C158" s="715"/>
      <c r="D158" s="717"/>
      <c r="E158" s="715"/>
      <c r="F158" s="718"/>
      <c r="G158" s="718"/>
      <c r="H158" s="711"/>
      <c r="I158" s="425" t="str">
        <f>IF('Mapa final'!Y161="","",'Mapa final'!Y161)</f>
        <v/>
      </c>
      <c r="J158" s="425" t="str">
        <f>IF('Mapa final'!AA161="","",'Mapa final'!AA161)</f>
        <v/>
      </c>
      <c r="K158" s="344" t="str">
        <f t="shared" si="2"/>
        <v/>
      </c>
      <c r="L158" s="425" t="str">
        <f>IF('Mapa final'!AD161="","",'Mapa final'!AD161)</f>
        <v/>
      </c>
      <c r="M158" s="345" t="str">
        <f>IF('Mapa final'!P161="","",'Mapa final'!P161)</f>
        <v/>
      </c>
      <c r="N158" s="70"/>
      <c r="O158" s="70"/>
      <c r="P158" s="70"/>
      <c r="Q158" s="177"/>
    </row>
    <row r="159" spans="1:17" ht="43.5" customHeight="1" x14ac:dyDescent="0.25">
      <c r="A159" s="119" t="s">
        <v>691</v>
      </c>
      <c r="B159" s="713"/>
      <c r="C159" s="715"/>
      <c r="D159" s="717"/>
      <c r="E159" s="715"/>
      <c r="F159" s="718"/>
      <c r="G159" s="718"/>
      <c r="H159" s="711"/>
      <c r="I159" s="425" t="str">
        <f>IF('Mapa final'!Y162="","",'Mapa final'!Y162)</f>
        <v/>
      </c>
      <c r="J159" s="425" t="str">
        <f>IF('Mapa final'!AA162="","",'Mapa final'!AA162)</f>
        <v/>
      </c>
      <c r="K159" s="344" t="str">
        <f t="shared" si="2"/>
        <v/>
      </c>
      <c r="L159" s="425" t="str">
        <f>IF('Mapa final'!AD162="","",'Mapa final'!AD162)</f>
        <v/>
      </c>
      <c r="M159" s="345" t="str">
        <f>IF('Mapa final'!P162="","",'Mapa final'!P162)</f>
        <v/>
      </c>
      <c r="N159" s="70"/>
      <c r="O159" s="70"/>
      <c r="P159" s="70"/>
      <c r="Q159" s="177"/>
    </row>
    <row r="160" spans="1:17" ht="43.5" customHeight="1" x14ac:dyDescent="0.25">
      <c r="A160" s="119" t="s">
        <v>692</v>
      </c>
      <c r="B160" s="713"/>
      <c r="C160" s="715"/>
      <c r="D160" s="717"/>
      <c r="E160" s="715"/>
      <c r="F160" s="718"/>
      <c r="G160" s="718"/>
      <c r="H160" s="711"/>
      <c r="I160" s="425" t="str">
        <f>IF('Mapa final'!Y163="","",'Mapa final'!Y163)</f>
        <v/>
      </c>
      <c r="J160" s="425" t="str">
        <f>IF('Mapa final'!AA163="","",'Mapa final'!AA163)</f>
        <v/>
      </c>
      <c r="K160" s="344" t="str">
        <f t="shared" si="2"/>
        <v/>
      </c>
      <c r="L160" s="425" t="str">
        <f>IF('Mapa final'!AD163="","",'Mapa final'!AD163)</f>
        <v/>
      </c>
      <c r="M160" s="345" t="str">
        <f>IF('Mapa final'!P163="","",'Mapa final'!P163)</f>
        <v/>
      </c>
      <c r="N160" s="70"/>
      <c r="O160" s="70"/>
      <c r="P160" s="70"/>
      <c r="Q160" s="177"/>
    </row>
    <row r="161" spans="1:17" ht="43.5" customHeight="1" x14ac:dyDescent="0.25">
      <c r="A161" s="119" t="s">
        <v>693</v>
      </c>
      <c r="B161" s="713"/>
      <c r="C161" s="715"/>
      <c r="D161" s="717"/>
      <c r="E161" s="715"/>
      <c r="F161" s="718"/>
      <c r="G161" s="718"/>
      <c r="H161" s="711"/>
      <c r="I161" s="425" t="str">
        <f>IF('Mapa final'!Y164="","",'Mapa final'!Y164)</f>
        <v/>
      </c>
      <c r="J161" s="425" t="str">
        <f>IF('Mapa final'!AA164="","",'Mapa final'!AA164)</f>
        <v/>
      </c>
      <c r="K161" s="344" t="str">
        <f t="shared" si="2"/>
        <v/>
      </c>
      <c r="L161" s="425" t="str">
        <f>IF('Mapa final'!AD164="","",'Mapa final'!AD164)</f>
        <v/>
      </c>
      <c r="M161" s="345" t="str">
        <f>IF('Mapa final'!P164="","",'Mapa final'!P164)</f>
        <v/>
      </c>
      <c r="N161" s="70"/>
      <c r="O161" s="70"/>
      <c r="P161" s="70"/>
      <c r="Q161" s="177"/>
    </row>
    <row r="162" spans="1:17" ht="43.5" customHeight="1" x14ac:dyDescent="0.25">
      <c r="A162" s="119" t="s">
        <v>694</v>
      </c>
      <c r="B162" s="713"/>
      <c r="C162" s="715"/>
      <c r="D162" s="717"/>
      <c r="E162" s="715"/>
      <c r="F162" s="718"/>
      <c r="G162" s="718"/>
      <c r="H162" s="711"/>
      <c r="I162" s="425" t="str">
        <f>IF('Mapa final'!Y165="","",'Mapa final'!Y165)</f>
        <v/>
      </c>
      <c r="J162" s="425" t="str">
        <f>IF('Mapa final'!AA165="","",'Mapa final'!AA165)</f>
        <v/>
      </c>
      <c r="K162" s="344" t="str">
        <f t="shared" si="2"/>
        <v/>
      </c>
      <c r="L162" s="425" t="str">
        <f>IF('Mapa final'!AD165="","",'Mapa final'!AD165)</f>
        <v/>
      </c>
      <c r="M162" s="345" t="str">
        <f>IF('Mapa final'!P165="","",'Mapa final'!P165)</f>
        <v/>
      </c>
      <c r="N162" s="70"/>
      <c r="O162" s="70"/>
      <c r="P162" s="70"/>
      <c r="Q162" s="177"/>
    </row>
    <row r="163" spans="1:17" ht="43.5" customHeight="1" x14ac:dyDescent="0.25">
      <c r="A163" s="119" t="s">
        <v>695</v>
      </c>
      <c r="B163" s="712"/>
      <c r="C163" s="714" t="str">
        <f>IF('Mapa final'!E166="","",'Mapa final'!E166)</f>
        <v/>
      </c>
      <c r="D163" s="716"/>
      <c r="E163" s="714" t="str">
        <f>IF('Mapa final'!D166="","",'Mapa final'!D166)</f>
        <v/>
      </c>
      <c r="F163" s="718" t="s">
        <v>1266</v>
      </c>
      <c r="G163" s="718" t="s">
        <v>1266</v>
      </c>
      <c r="H163" s="71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final'!Y166="","",'Mapa final'!Y166)</f>
        <v/>
      </c>
      <c r="J163" s="425" t="str">
        <f>IF('Mapa final'!AA166="","",'Mapa final'!AA166)</f>
        <v/>
      </c>
      <c r="K163" s="344" t="str">
        <f t="shared" si="2"/>
        <v/>
      </c>
      <c r="L163" s="425" t="str">
        <f>IF('Mapa final'!AD166="","",'Mapa final'!AD166)</f>
        <v/>
      </c>
      <c r="M163" s="345" t="str">
        <f>IF('Mapa final'!P166="","",'Mapa final'!P166)</f>
        <v/>
      </c>
      <c r="N163" s="70"/>
      <c r="O163" s="70"/>
      <c r="P163" s="70"/>
      <c r="Q163" s="177"/>
    </row>
    <row r="164" spans="1:17" ht="43.5" customHeight="1" x14ac:dyDescent="0.25">
      <c r="A164" s="119" t="s">
        <v>696</v>
      </c>
      <c r="B164" s="713"/>
      <c r="C164" s="715"/>
      <c r="D164" s="717"/>
      <c r="E164" s="715"/>
      <c r="F164" s="718"/>
      <c r="G164" s="718"/>
      <c r="H164" s="711"/>
      <c r="I164" s="425" t="str">
        <f>IF('Mapa final'!Y167="","",'Mapa final'!Y167)</f>
        <v/>
      </c>
      <c r="J164" s="425" t="str">
        <f>IF('Mapa final'!AA167="","",'Mapa final'!AA167)</f>
        <v/>
      </c>
      <c r="K164" s="344" t="str">
        <f t="shared" si="2"/>
        <v/>
      </c>
      <c r="L164" s="425" t="str">
        <f>IF('Mapa final'!AD167="","",'Mapa final'!AD167)</f>
        <v/>
      </c>
      <c r="M164" s="345" t="str">
        <f>IF('Mapa final'!P167="","",'Mapa final'!P167)</f>
        <v/>
      </c>
      <c r="N164" s="70"/>
      <c r="O164" s="70"/>
      <c r="P164" s="70"/>
      <c r="Q164" s="177"/>
    </row>
    <row r="165" spans="1:17" ht="43.5" customHeight="1" x14ac:dyDescent="0.25">
      <c r="A165" s="119" t="s">
        <v>697</v>
      </c>
      <c r="B165" s="713"/>
      <c r="C165" s="715"/>
      <c r="D165" s="717"/>
      <c r="E165" s="715"/>
      <c r="F165" s="718"/>
      <c r="G165" s="718"/>
      <c r="H165" s="711"/>
      <c r="I165" s="425" t="str">
        <f>IF('Mapa final'!Y168="","",'Mapa final'!Y168)</f>
        <v/>
      </c>
      <c r="J165" s="425" t="str">
        <f>IF('Mapa final'!AA168="","",'Mapa final'!AA168)</f>
        <v/>
      </c>
      <c r="K165" s="344" t="str">
        <f t="shared" si="2"/>
        <v/>
      </c>
      <c r="L165" s="425" t="str">
        <f>IF('Mapa final'!AD168="","",'Mapa final'!AD168)</f>
        <v/>
      </c>
      <c r="M165" s="345" t="str">
        <f>IF('Mapa final'!P168="","",'Mapa final'!P168)</f>
        <v/>
      </c>
      <c r="N165" s="70"/>
      <c r="O165" s="70"/>
      <c r="P165" s="70"/>
      <c r="Q165" s="177"/>
    </row>
    <row r="166" spans="1:17" ht="43.5" customHeight="1" x14ac:dyDescent="0.25">
      <c r="A166" s="119" t="s">
        <v>698</v>
      </c>
      <c r="B166" s="713"/>
      <c r="C166" s="715"/>
      <c r="D166" s="717"/>
      <c r="E166" s="715"/>
      <c r="F166" s="718"/>
      <c r="G166" s="718"/>
      <c r="H166" s="711"/>
      <c r="I166" s="425" t="str">
        <f>IF('Mapa final'!Y169="","",'Mapa final'!Y169)</f>
        <v/>
      </c>
      <c r="J166" s="425" t="str">
        <f>IF('Mapa final'!AA169="","",'Mapa final'!AA169)</f>
        <v/>
      </c>
      <c r="K166" s="344" t="str">
        <f t="shared" si="2"/>
        <v/>
      </c>
      <c r="L166" s="425" t="str">
        <f>IF('Mapa final'!AD169="","",'Mapa final'!AD169)</f>
        <v/>
      </c>
      <c r="M166" s="345" t="str">
        <f>IF('Mapa final'!P169="","",'Mapa final'!P169)</f>
        <v/>
      </c>
      <c r="N166" s="70"/>
      <c r="O166" s="70"/>
      <c r="P166" s="70"/>
      <c r="Q166" s="177"/>
    </row>
    <row r="167" spans="1:17" ht="43.5" customHeight="1" x14ac:dyDescent="0.25">
      <c r="A167" s="119" t="s">
        <v>699</v>
      </c>
      <c r="B167" s="713"/>
      <c r="C167" s="715"/>
      <c r="D167" s="717"/>
      <c r="E167" s="715"/>
      <c r="F167" s="718"/>
      <c r="G167" s="718"/>
      <c r="H167" s="711"/>
      <c r="I167" s="425" t="str">
        <f>IF('Mapa final'!Y170="","",'Mapa final'!Y170)</f>
        <v/>
      </c>
      <c r="J167" s="425" t="str">
        <f>IF('Mapa final'!AA170="","",'Mapa final'!AA170)</f>
        <v/>
      </c>
      <c r="K167" s="344" t="str">
        <f t="shared" si="2"/>
        <v/>
      </c>
      <c r="L167" s="425" t="str">
        <f>IF('Mapa final'!AD170="","",'Mapa final'!AD170)</f>
        <v/>
      </c>
      <c r="M167" s="345" t="str">
        <f>IF('Mapa final'!P170="","",'Mapa final'!P170)</f>
        <v/>
      </c>
      <c r="N167" s="70"/>
      <c r="O167" s="70"/>
      <c r="P167" s="70"/>
      <c r="Q167" s="177"/>
    </row>
    <row r="168" spans="1:17" ht="43.5" customHeight="1" x14ac:dyDescent="0.25">
      <c r="A168" s="119" t="s">
        <v>700</v>
      </c>
      <c r="B168" s="713"/>
      <c r="C168" s="715"/>
      <c r="D168" s="717"/>
      <c r="E168" s="715"/>
      <c r="F168" s="718"/>
      <c r="G168" s="718"/>
      <c r="H168" s="711"/>
      <c r="I168" s="425" t="str">
        <f>IF('Mapa final'!Y171="","",'Mapa final'!Y171)</f>
        <v/>
      </c>
      <c r="J168" s="425" t="str">
        <f>IF('Mapa final'!AA171="","",'Mapa final'!AA171)</f>
        <v/>
      </c>
      <c r="K168" s="344" t="str">
        <f t="shared" si="2"/>
        <v/>
      </c>
      <c r="L168" s="425" t="str">
        <f>IF('Mapa final'!AD171="","",'Mapa final'!AD171)</f>
        <v/>
      </c>
      <c r="M168" s="345" t="str">
        <f>IF('Mapa final'!P171="","",'Mapa final'!P171)</f>
        <v/>
      </c>
      <c r="N168" s="70"/>
      <c r="O168" s="70"/>
      <c r="P168" s="70"/>
      <c r="Q168" s="177"/>
    </row>
    <row r="169" spans="1:17" ht="43.5" customHeight="1" x14ac:dyDescent="0.25">
      <c r="A169" s="119" t="s">
        <v>701</v>
      </c>
      <c r="B169" s="712"/>
      <c r="C169" s="714" t="str">
        <f>IF('Mapa final'!E172="","",'Mapa final'!E172)</f>
        <v/>
      </c>
      <c r="D169" s="716"/>
      <c r="E169" s="714" t="str">
        <f>IF('Mapa final'!D172="","",'Mapa final'!D172)</f>
        <v/>
      </c>
      <c r="F169" s="718" t="s">
        <v>1266</v>
      </c>
      <c r="G169" s="718" t="s">
        <v>1266</v>
      </c>
      <c r="H169" s="71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final'!Y172="","",'Mapa final'!Y172)</f>
        <v/>
      </c>
      <c r="J169" s="425" t="str">
        <f>IF('Mapa final'!AA172="","",'Mapa final'!AA172)</f>
        <v/>
      </c>
      <c r="K169" s="344" t="str">
        <f t="shared" si="2"/>
        <v/>
      </c>
      <c r="L169" s="425" t="str">
        <f>IF('Mapa final'!AD172="","",'Mapa final'!AD172)</f>
        <v/>
      </c>
      <c r="M169" s="345" t="str">
        <f>IF('Mapa final'!P172="","",'Mapa final'!P172)</f>
        <v/>
      </c>
      <c r="N169" s="70"/>
      <c r="O169" s="70"/>
      <c r="P169" s="70"/>
      <c r="Q169" s="177"/>
    </row>
    <row r="170" spans="1:17" ht="43.5" customHeight="1" x14ac:dyDescent="0.25">
      <c r="A170" s="119" t="s">
        <v>702</v>
      </c>
      <c r="B170" s="713"/>
      <c r="C170" s="715"/>
      <c r="D170" s="717"/>
      <c r="E170" s="715"/>
      <c r="F170" s="718"/>
      <c r="G170" s="718"/>
      <c r="H170" s="711"/>
      <c r="I170" s="425" t="str">
        <f>IF('Mapa final'!Y173="","",'Mapa final'!Y173)</f>
        <v/>
      </c>
      <c r="J170" s="425" t="str">
        <f>IF('Mapa final'!AA173="","",'Mapa final'!AA173)</f>
        <v/>
      </c>
      <c r="K170" s="344" t="str">
        <f t="shared" si="2"/>
        <v/>
      </c>
      <c r="L170" s="425" t="str">
        <f>IF('Mapa final'!AD173="","",'Mapa final'!AD173)</f>
        <v/>
      </c>
      <c r="M170" s="345" t="str">
        <f>IF('Mapa final'!P173="","",'Mapa final'!P173)</f>
        <v/>
      </c>
      <c r="N170" s="70"/>
      <c r="O170" s="70"/>
      <c r="P170" s="70"/>
      <c r="Q170" s="177"/>
    </row>
    <row r="171" spans="1:17" ht="43.5" customHeight="1" x14ac:dyDescent="0.25">
      <c r="A171" s="119" t="s">
        <v>703</v>
      </c>
      <c r="B171" s="713"/>
      <c r="C171" s="715"/>
      <c r="D171" s="717"/>
      <c r="E171" s="715"/>
      <c r="F171" s="718"/>
      <c r="G171" s="718"/>
      <c r="H171" s="711"/>
      <c r="I171" s="425" t="str">
        <f>IF('Mapa final'!Y174="","",'Mapa final'!Y174)</f>
        <v/>
      </c>
      <c r="J171" s="425" t="str">
        <f>IF('Mapa final'!AA174="","",'Mapa final'!AA174)</f>
        <v/>
      </c>
      <c r="K171" s="344" t="str">
        <f t="shared" si="2"/>
        <v/>
      </c>
      <c r="L171" s="425" t="str">
        <f>IF('Mapa final'!AD174="","",'Mapa final'!AD174)</f>
        <v/>
      </c>
      <c r="M171" s="345" t="str">
        <f>IF('Mapa final'!P174="","",'Mapa final'!P174)</f>
        <v/>
      </c>
      <c r="N171" s="70"/>
      <c r="O171" s="70"/>
      <c r="P171" s="70"/>
      <c r="Q171" s="177"/>
    </row>
    <row r="172" spans="1:17" ht="43.5" customHeight="1" x14ac:dyDescent="0.25">
      <c r="A172" s="119" t="s">
        <v>704</v>
      </c>
      <c r="B172" s="713"/>
      <c r="C172" s="715"/>
      <c r="D172" s="717"/>
      <c r="E172" s="715"/>
      <c r="F172" s="718"/>
      <c r="G172" s="718"/>
      <c r="H172" s="711"/>
      <c r="I172" s="425" t="str">
        <f>IF('Mapa final'!Y175="","",'Mapa final'!Y175)</f>
        <v/>
      </c>
      <c r="J172" s="425" t="str">
        <f>IF('Mapa final'!AA175="","",'Mapa final'!AA175)</f>
        <v/>
      </c>
      <c r="K172" s="344" t="str">
        <f t="shared" si="2"/>
        <v/>
      </c>
      <c r="L172" s="425" t="str">
        <f>IF('Mapa final'!AD175="","",'Mapa final'!AD175)</f>
        <v/>
      </c>
      <c r="M172" s="345" t="str">
        <f>IF('Mapa final'!P175="","",'Mapa final'!P175)</f>
        <v/>
      </c>
      <c r="N172" s="70"/>
      <c r="O172" s="70"/>
      <c r="P172" s="70"/>
      <c r="Q172" s="177"/>
    </row>
    <row r="173" spans="1:17" ht="43.5" customHeight="1" x14ac:dyDescent="0.25">
      <c r="A173" s="119" t="s">
        <v>705</v>
      </c>
      <c r="B173" s="713"/>
      <c r="C173" s="715"/>
      <c r="D173" s="717"/>
      <c r="E173" s="715"/>
      <c r="F173" s="718"/>
      <c r="G173" s="718"/>
      <c r="H173" s="711"/>
      <c r="I173" s="425" t="str">
        <f>IF('Mapa final'!Y176="","",'Mapa final'!Y176)</f>
        <v/>
      </c>
      <c r="J173" s="425" t="str">
        <f>IF('Mapa final'!AA176="","",'Mapa final'!AA176)</f>
        <v/>
      </c>
      <c r="K173" s="344" t="str">
        <f t="shared" si="2"/>
        <v/>
      </c>
      <c r="L173" s="425" t="str">
        <f>IF('Mapa final'!AD176="","",'Mapa final'!AD176)</f>
        <v/>
      </c>
      <c r="M173" s="345" t="str">
        <f>IF('Mapa final'!P176="","",'Mapa final'!P176)</f>
        <v/>
      </c>
      <c r="N173" s="70"/>
      <c r="O173" s="70"/>
      <c r="P173" s="70"/>
      <c r="Q173" s="177"/>
    </row>
    <row r="174" spans="1:17" ht="43.5" customHeight="1" x14ac:dyDescent="0.25">
      <c r="A174" s="119" t="s">
        <v>706</v>
      </c>
      <c r="B174" s="713"/>
      <c r="C174" s="715"/>
      <c r="D174" s="717"/>
      <c r="E174" s="715"/>
      <c r="F174" s="718"/>
      <c r="G174" s="718"/>
      <c r="H174" s="711"/>
      <c r="I174" s="425" t="str">
        <f>IF('Mapa final'!Y177="","",'Mapa final'!Y177)</f>
        <v/>
      </c>
      <c r="J174" s="425" t="str">
        <f>IF('Mapa final'!AA177="","",'Mapa final'!AA177)</f>
        <v/>
      </c>
      <c r="K174" s="344" t="str">
        <f t="shared" si="2"/>
        <v/>
      </c>
      <c r="L174" s="425" t="str">
        <f>IF('Mapa final'!AD177="","",'Mapa final'!AD177)</f>
        <v/>
      </c>
      <c r="M174" s="345" t="str">
        <f>IF('Mapa final'!P177="","",'Mapa final'!P177)</f>
        <v/>
      </c>
      <c r="N174" s="70"/>
      <c r="O174" s="70"/>
      <c r="P174" s="70"/>
      <c r="Q174" s="177"/>
    </row>
    <row r="175" spans="1:17" ht="43.5" customHeight="1" x14ac:dyDescent="0.25">
      <c r="A175" s="119" t="s">
        <v>707</v>
      </c>
      <c r="B175" s="712"/>
      <c r="C175" s="714" t="str">
        <f>IF('Mapa final'!E178="","",'Mapa final'!E178)</f>
        <v/>
      </c>
      <c r="D175" s="716"/>
      <c r="E175" s="714" t="str">
        <f>IF('Mapa final'!D178="","",'Mapa final'!D178)</f>
        <v/>
      </c>
      <c r="F175" s="718" t="s">
        <v>1266</v>
      </c>
      <c r="G175" s="718" t="s">
        <v>1266</v>
      </c>
      <c r="H175" s="71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final'!Y178="","",'Mapa final'!Y178)</f>
        <v/>
      </c>
      <c r="J175" s="425" t="str">
        <f>IF('Mapa final'!AA178="","",'Mapa final'!AA178)</f>
        <v/>
      </c>
      <c r="K175" s="344" t="str">
        <f t="shared" si="2"/>
        <v/>
      </c>
      <c r="L175" s="425" t="str">
        <f>IF('Mapa final'!AD178="","",'Mapa final'!AD178)</f>
        <v/>
      </c>
      <c r="M175" s="345" t="str">
        <f>IF('Mapa final'!P178="","",'Mapa final'!P178)</f>
        <v/>
      </c>
      <c r="N175" s="70"/>
      <c r="O175" s="70"/>
      <c r="P175" s="70"/>
      <c r="Q175" s="177"/>
    </row>
    <row r="176" spans="1:17" ht="43.5" customHeight="1" x14ac:dyDescent="0.25">
      <c r="A176" s="119" t="s">
        <v>708</v>
      </c>
      <c r="B176" s="713"/>
      <c r="C176" s="715"/>
      <c r="D176" s="717"/>
      <c r="E176" s="715"/>
      <c r="F176" s="718"/>
      <c r="G176" s="718"/>
      <c r="H176" s="711"/>
      <c r="I176" s="425" t="str">
        <f>IF('Mapa final'!Y179="","",'Mapa final'!Y179)</f>
        <v/>
      </c>
      <c r="J176" s="425" t="str">
        <f>IF('Mapa final'!AA179="","",'Mapa final'!AA179)</f>
        <v/>
      </c>
      <c r="K176" s="344" t="str">
        <f t="shared" si="2"/>
        <v/>
      </c>
      <c r="L176" s="425" t="str">
        <f>IF('Mapa final'!AD179="","",'Mapa final'!AD179)</f>
        <v/>
      </c>
      <c r="M176" s="345" t="str">
        <f>IF('Mapa final'!P179="","",'Mapa final'!P179)</f>
        <v/>
      </c>
      <c r="N176" s="70"/>
      <c r="O176" s="70"/>
      <c r="P176" s="70"/>
      <c r="Q176" s="177"/>
    </row>
    <row r="177" spans="1:17" ht="43.5" customHeight="1" x14ac:dyDescent="0.25">
      <c r="A177" s="119" t="s">
        <v>709</v>
      </c>
      <c r="B177" s="713"/>
      <c r="C177" s="715"/>
      <c r="D177" s="717"/>
      <c r="E177" s="715"/>
      <c r="F177" s="718"/>
      <c r="G177" s="718"/>
      <c r="H177" s="711"/>
      <c r="I177" s="425" t="str">
        <f>IF('Mapa final'!Y180="","",'Mapa final'!Y180)</f>
        <v/>
      </c>
      <c r="J177" s="425" t="str">
        <f>IF('Mapa final'!AA180="","",'Mapa final'!AA180)</f>
        <v/>
      </c>
      <c r="K177" s="344" t="str">
        <f t="shared" si="2"/>
        <v/>
      </c>
      <c r="L177" s="425" t="str">
        <f>IF('Mapa final'!AD180="","",'Mapa final'!AD180)</f>
        <v/>
      </c>
      <c r="M177" s="345" t="str">
        <f>IF('Mapa final'!P180="","",'Mapa final'!P180)</f>
        <v/>
      </c>
      <c r="N177" s="70"/>
      <c r="O177" s="70"/>
      <c r="P177" s="70"/>
      <c r="Q177" s="177"/>
    </row>
    <row r="178" spans="1:17" ht="43.5" customHeight="1" x14ac:dyDescent="0.25">
      <c r="A178" s="119" t="s">
        <v>710</v>
      </c>
      <c r="B178" s="713"/>
      <c r="C178" s="715"/>
      <c r="D178" s="717"/>
      <c r="E178" s="715"/>
      <c r="F178" s="718"/>
      <c r="G178" s="718"/>
      <c r="H178" s="711"/>
      <c r="I178" s="425" t="str">
        <f>IF('Mapa final'!Y181="","",'Mapa final'!Y181)</f>
        <v/>
      </c>
      <c r="J178" s="425" t="str">
        <f>IF('Mapa final'!AA181="","",'Mapa final'!AA181)</f>
        <v/>
      </c>
      <c r="K178" s="344" t="str">
        <f t="shared" si="2"/>
        <v/>
      </c>
      <c r="L178" s="425" t="str">
        <f>IF('Mapa final'!AD181="","",'Mapa final'!AD181)</f>
        <v/>
      </c>
      <c r="M178" s="345" t="str">
        <f>IF('Mapa final'!P181="","",'Mapa final'!P181)</f>
        <v/>
      </c>
      <c r="N178" s="70"/>
      <c r="O178" s="70"/>
      <c r="P178" s="70"/>
      <c r="Q178" s="177"/>
    </row>
    <row r="179" spans="1:17" ht="43.5" customHeight="1" x14ac:dyDescent="0.25">
      <c r="A179" s="119" t="s">
        <v>711</v>
      </c>
      <c r="B179" s="713"/>
      <c r="C179" s="715"/>
      <c r="D179" s="717"/>
      <c r="E179" s="715"/>
      <c r="F179" s="718"/>
      <c r="G179" s="718"/>
      <c r="H179" s="711"/>
      <c r="I179" s="425" t="str">
        <f>IF('Mapa final'!Y182="","",'Mapa final'!Y182)</f>
        <v/>
      </c>
      <c r="J179" s="425" t="str">
        <f>IF('Mapa final'!AA182="","",'Mapa final'!AA182)</f>
        <v/>
      </c>
      <c r="K179" s="344" t="str">
        <f t="shared" si="2"/>
        <v/>
      </c>
      <c r="L179" s="425" t="str">
        <f>IF('Mapa final'!AD182="","",'Mapa final'!AD182)</f>
        <v/>
      </c>
      <c r="M179" s="345" t="str">
        <f>IF('Mapa final'!P182="","",'Mapa final'!P182)</f>
        <v/>
      </c>
      <c r="N179" s="70"/>
      <c r="O179" s="70"/>
      <c r="P179" s="70"/>
      <c r="Q179" s="177"/>
    </row>
    <row r="180" spans="1:17" ht="43.5" customHeight="1" x14ac:dyDescent="0.25">
      <c r="A180" s="119" t="s">
        <v>712</v>
      </c>
      <c r="B180" s="713"/>
      <c r="C180" s="715"/>
      <c r="D180" s="717"/>
      <c r="E180" s="715"/>
      <c r="F180" s="718"/>
      <c r="G180" s="718"/>
      <c r="H180" s="711"/>
      <c r="I180" s="425" t="str">
        <f>IF('Mapa final'!Y183="","",'Mapa final'!Y183)</f>
        <v/>
      </c>
      <c r="J180" s="425" t="str">
        <f>IF('Mapa final'!AA183="","",'Mapa final'!AA183)</f>
        <v/>
      </c>
      <c r="K180" s="344" t="str">
        <f t="shared" si="2"/>
        <v/>
      </c>
      <c r="L180" s="425" t="str">
        <f>IF('Mapa final'!AD183="","",'Mapa final'!AD183)</f>
        <v/>
      </c>
      <c r="M180" s="345" t="str">
        <f>IF('Mapa final'!P183="","",'Mapa final'!P183)</f>
        <v/>
      </c>
      <c r="N180" s="70"/>
      <c r="O180" s="70"/>
      <c r="P180" s="70"/>
      <c r="Q180" s="177"/>
    </row>
    <row r="181" spans="1:17" ht="43.5" customHeight="1" x14ac:dyDescent="0.25">
      <c r="A181" s="119" t="s">
        <v>713</v>
      </c>
      <c r="B181" s="712"/>
      <c r="C181" s="714" t="str">
        <f>IF('Mapa final'!E184="","",'Mapa final'!E184)</f>
        <v/>
      </c>
      <c r="D181" s="716"/>
      <c r="E181" s="714" t="str">
        <f>IF('Mapa final'!D184="","",'Mapa final'!D184)</f>
        <v/>
      </c>
      <c r="F181" s="718" t="s">
        <v>1266</v>
      </c>
      <c r="G181" s="718" t="s">
        <v>1266</v>
      </c>
      <c r="H181" s="71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final'!Y184="","",'Mapa final'!Y184)</f>
        <v/>
      </c>
      <c r="J181" s="425" t="str">
        <f>IF('Mapa final'!AA184="","",'Mapa final'!AA184)</f>
        <v/>
      </c>
      <c r="K181" s="344" t="str">
        <f t="shared" si="2"/>
        <v/>
      </c>
      <c r="L181" s="425" t="str">
        <f>IF('Mapa final'!AD184="","",'Mapa final'!AD184)</f>
        <v/>
      </c>
      <c r="M181" s="345" t="str">
        <f>IF('Mapa final'!P184="","",'Mapa final'!P184)</f>
        <v/>
      </c>
      <c r="N181" s="70"/>
      <c r="O181" s="70"/>
      <c r="P181" s="70"/>
      <c r="Q181" s="177"/>
    </row>
    <row r="182" spans="1:17" ht="43.5" customHeight="1" x14ac:dyDescent="0.25">
      <c r="A182" s="119" t="s">
        <v>714</v>
      </c>
      <c r="B182" s="713"/>
      <c r="C182" s="715"/>
      <c r="D182" s="717"/>
      <c r="E182" s="715"/>
      <c r="F182" s="718"/>
      <c r="G182" s="718"/>
      <c r="H182" s="711"/>
      <c r="I182" s="425" t="str">
        <f>IF('Mapa final'!Y185="","",'Mapa final'!Y185)</f>
        <v/>
      </c>
      <c r="J182" s="425" t="str">
        <f>IF('Mapa final'!AA185="","",'Mapa final'!AA185)</f>
        <v/>
      </c>
      <c r="K182" s="344" t="str">
        <f t="shared" si="2"/>
        <v/>
      </c>
      <c r="L182" s="425" t="str">
        <f>IF('Mapa final'!AD185="","",'Mapa final'!AD185)</f>
        <v/>
      </c>
      <c r="M182" s="345" t="str">
        <f>IF('Mapa final'!P185="","",'Mapa final'!P185)</f>
        <v/>
      </c>
      <c r="N182" s="70"/>
      <c r="O182" s="70"/>
      <c r="P182" s="70"/>
      <c r="Q182" s="177"/>
    </row>
    <row r="183" spans="1:17" ht="43.5" customHeight="1" x14ac:dyDescent="0.25">
      <c r="A183" s="119" t="s">
        <v>715</v>
      </c>
      <c r="B183" s="713"/>
      <c r="C183" s="715"/>
      <c r="D183" s="717"/>
      <c r="E183" s="715"/>
      <c r="F183" s="718"/>
      <c r="G183" s="718"/>
      <c r="H183" s="711"/>
      <c r="I183" s="425" t="str">
        <f>IF('Mapa final'!Y186="","",'Mapa final'!Y186)</f>
        <v/>
      </c>
      <c r="J183" s="425" t="str">
        <f>IF('Mapa final'!AA186="","",'Mapa final'!AA186)</f>
        <v/>
      </c>
      <c r="K183" s="344" t="str">
        <f t="shared" si="2"/>
        <v/>
      </c>
      <c r="L183" s="425" t="str">
        <f>IF('Mapa final'!AD186="","",'Mapa final'!AD186)</f>
        <v/>
      </c>
      <c r="M183" s="345" t="str">
        <f>IF('Mapa final'!P186="","",'Mapa final'!P186)</f>
        <v/>
      </c>
      <c r="N183" s="70"/>
      <c r="O183" s="70"/>
      <c r="P183" s="70"/>
      <c r="Q183" s="177"/>
    </row>
    <row r="184" spans="1:17" ht="43.5" customHeight="1" x14ac:dyDescent="0.25">
      <c r="A184" s="119" t="s">
        <v>716</v>
      </c>
      <c r="B184" s="713"/>
      <c r="C184" s="715"/>
      <c r="D184" s="717"/>
      <c r="E184" s="715"/>
      <c r="F184" s="718"/>
      <c r="G184" s="718"/>
      <c r="H184" s="711"/>
      <c r="I184" s="425" t="str">
        <f>IF('Mapa final'!Y187="","",'Mapa final'!Y187)</f>
        <v/>
      </c>
      <c r="J184" s="425" t="str">
        <f>IF('Mapa final'!AA187="","",'Mapa final'!AA187)</f>
        <v/>
      </c>
      <c r="K184" s="344" t="str">
        <f t="shared" si="2"/>
        <v/>
      </c>
      <c r="L184" s="425" t="str">
        <f>IF('Mapa final'!AD187="","",'Mapa final'!AD187)</f>
        <v/>
      </c>
      <c r="M184" s="345" t="str">
        <f>IF('Mapa final'!P187="","",'Mapa final'!P187)</f>
        <v/>
      </c>
      <c r="N184" s="70"/>
      <c r="O184" s="70"/>
      <c r="P184" s="70"/>
      <c r="Q184" s="177"/>
    </row>
    <row r="185" spans="1:17" ht="43.5" customHeight="1" x14ac:dyDescent="0.25">
      <c r="A185" s="119" t="s">
        <v>717</v>
      </c>
      <c r="B185" s="713"/>
      <c r="C185" s="715"/>
      <c r="D185" s="717"/>
      <c r="E185" s="715"/>
      <c r="F185" s="718"/>
      <c r="G185" s="718"/>
      <c r="H185" s="711"/>
      <c r="I185" s="425" t="str">
        <f>IF('Mapa final'!Y188="","",'Mapa final'!Y188)</f>
        <v/>
      </c>
      <c r="J185" s="425" t="str">
        <f>IF('Mapa final'!AA188="","",'Mapa final'!AA188)</f>
        <v/>
      </c>
      <c r="K185" s="344" t="str">
        <f t="shared" si="2"/>
        <v/>
      </c>
      <c r="L185" s="425" t="str">
        <f>IF('Mapa final'!AD188="","",'Mapa final'!AD188)</f>
        <v/>
      </c>
      <c r="M185" s="345" t="str">
        <f>IF('Mapa final'!P188="","",'Mapa final'!P188)</f>
        <v/>
      </c>
      <c r="N185" s="70"/>
      <c r="O185" s="70"/>
      <c r="P185" s="70"/>
      <c r="Q185" s="177"/>
    </row>
    <row r="186" spans="1:17" ht="43.5" customHeight="1" x14ac:dyDescent="0.25">
      <c r="A186" s="119" t="s">
        <v>718</v>
      </c>
      <c r="B186" s="713"/>
      <c r="C186" s="715"/>
      <c r="D186" s="717"/>
      <c r="E186" s="715"/>
      <c r="F186" s="718"/>
      <c r="G186" s="718"/>
      <c r="H186" s="711"/>
      <c r="I186" s="425" t="str">
        <f>IF('Mapa final'!Y189="","",'Mapa final'!Y189)</f>
        <v/>
      </c>
      <c r="J186" s="425" t="str">
        <f>IF('Mapa final'!AA189="","",'Mapa final'!AA189)</f>
        <v/>
      </c>
      <c r="K186" s="344" t="str">
        <f t="shared" si="2"/>
        <v/>
      </c>
      <c r="L186" s="425" t="str">
        <f>IF('Mapa final'!AD189="","",'Mapa final'!AD189)</f>
        <v/>
      </c>
      <c r="M186" s="345" t="str">
        <f>IF('Mapa final'!P189="","",'Mapa final'!P189)</f>
        <v/>
      </c>
      <c r="N186" s="70"/>
      <c r="O186" s="70"/>
      <c r="P186" s="70"/>
      <c r="Q186" s="177"/>
    </row>
    <row r="187" spans="1:17" ht="43.5" customHeight="1" x14ac:dyDescent="0.25">
      <c r="A187" s="119" t="s">
        <v>719</v>
      </c>
      <c r="B187" s="712"/>
      <c r="C187" s="714" t="str">
        <f>IF('Mapa final'!E190="","",'Mapa final'!E190)</f>
        <v/>
      </c>
      <c r="D187" s="716"/>
      <c r="E187" s="714" t="str">
        <f>IF('Mapa final'!D190="","",'Mapa final'!D190)</f>
        <v/>
      </c>
      <c r="F187" s="718" t="s">
        <v>1266</v>
      </c>
      <c r="G187" s="718" t="s">
        <v>1266</v>
      </c>
      <c r="H187" s="71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final'!Y190="","",'Mapa final'!Y190)</f>
        <v/>
      </c>
      <c r="J187" s="425" t="str">
        <f>IF('Mapa final'!AA190="","",'Mapa final'!AA190)</f>
        <v/>
      </c>
      <c r="K187" s="344" t="str">
        <f t="shared" si="2"/>
        <v/>
      </c>
      <c r="L187" s="425" t="str">
        <f>IF('Mapa final'!AD190="","",'Mapa final'!AD190)</f>
        <v/>
      </c>
      <c r="M187" s="345" t="str">
        <f>IF('Mapa final'!P190="","",'Mapa final'!P190)</f>
        <v/>
      </c>
      <c r="N187" s="70"/>
      <c r="O187" s="70"/>
      <c r="P187" s="70"/>
      <c r="Q187" s="177"/>
    </row>
    <row r="188" spans="1:17" ht="43.5" customHeight="1" x14ac:dyDescent="0.25">
      <c r="A188" s="119" t="s">
        <v>720</v>
      </c>
      <c r="B188" s="713"/>
      <c r="C188" s="715"/>
      <c r="D188" s="717"/>
      <c r="E188" s="715"/>
      <c r="F188" s="718"/>
      <c r="G188" s="718"/>
      <c r="H188" s="711"/>
      <c r="I188" s="425" t="str">
        <f>IF('Mapa final'!Y191="","",'Mapa final'!Y191)</f>
        <v/>
      </c>
      <c r="J188" s="425" t="str">
        <f>IF('Mapa final'!AA191="","",'Mapa final'!AA191)</f>
        <v/>
      </c>
      <c r="K188" s="344" t="str">
        <f t="shared" si="2"/>
        <v/>
      </c>
      <c r="L188" s="425" t="str">
        <f>IF('Mapa final'!AD191="","",'Mapa final'!AD191)</f>
        <v/>
      </c>
      <c r="M188" s="345" t="str">
        <f>IF('Mapa final'!P191="","",'Mapa final'!P191)</f>
        <v/>
      </c>
      <c r="N188" s="70"/>
      <c r="O188" s="70"/>
      <c r="P188" s="70"/>
      <c r="Q188" s="177"/>
    </row>
    <row r="189" spans="1:17" ht="43.5" customHeight="1" x14ac:dyDescent="0.25">
      <c r="A189" s="119" t="s">
        <v>721</v>
      </c>
      <c r="B189" s="713"/>
      <c r="C189" s="715"/>
      <c r="D189" s="717"/>
      <c r="E189" s="715"/>
      <c r="F189" s="718"/>
      <c r="G189" s="718"/>
      <c r="H189" s="711"/>
      <c r="I189" s="425" t="str">
        <f>IF('Mapa final'!Y192="","",'Mapa final'!Y192)</f>
        <v/>
      </c>
      <c r="J189" s="425" t="str">
        <f>IF('Mapa final'!AA192="","",'Mapa final'!AA192)</f>
        <v/>
      </c>
      <c r="K189" s="344" t="str">
        <f t="shared" si="2"/>
        <v/>
      </c>
      <c r="L189" s="425" t="str">
        <f>IF('Mapa final'!AD192="","",'Mapa final'!AD192)</f>
        <v/>
      </c>
      <c r="M189" s="345" t="str">
        <f>IF('Mapa final'!P192="","",'Mapa final'!P192)</f>
        <v/>
      </c>
      <c r="N189" s="70"/>
      <c r="O189" s="70"/>
      <c r="P189" s="70"/>
      <c r="Q189" s="177"/>
    </row>
    <row r="190" spans="1:17" ht="43.5" customHeight="1" x14ac:dyDescent="0.25">
      <c r="A190" s="119" t="s">
        <v>722</v>
      </c>
      <c r="B190" s="713"/>
      <c r="C190" s="715"/>
      <c r="D190" s="717"/>
      <c r="E190" s="715"/>
      <c r="F190" s="718"/>
      <c r="G190" s="718"/>
      <c r="H190" s="711"/>
      <c r="I190" s="425" t="str">
        <f>IF('Mapa final'!Y193="","",'Mapa final'!Y193)</f>
        <v/>
      </c>
      <c r="J190" s="425" t="str">
        <f>IF('Mapa final'!AA193="","",'Mapa final'!AA193)</f>
        <v/>
      </c>
      <c r="K190" s="344" t="str">
        <f t="shared" si="2"/>
        <v/>
      </c>
      <c r="L190" s="425" t="str">
        <f>IF('Mapa final'!AD193="","",'Mapa final'!AD193)</f>
        <v/>
      </c>
      <c r="M190" s="345" t="str">
        <f>IF('Mapa final'!P193="","",'Mapa final'!P193)</f>
        <v/>
      </c>
      <c r="N190" s="70"/>
      <c r="O190" s="70"/>
      <c r="P190" s="70"/>
      <c r="Q190" s="177"/>
    </row>
    <row r="191" spans="1:17" ht="43.5" customHeight="1" x14ac:dyDescent="0.25">
      <c r="A191" s="119" t="s">
        <v>723</v>
      </c>
      <c r="B191" s="713"/>
      <c r="C191" s="715"/>
      <c r="D191" s="717"/>
      <c r="E191" s="715"/>
      <c r="F191" s="718"/>
      <c r="G191" s="718"/>
      <c r="H191" s="711"/>
      <c r="I191" s="425" t="str">
        <f>IF('Mapa final'!Y194="","",'Mapa final'!Y194)</f>
        <v/>
      </c>
      <c r="J191" s="425" t="str">
        <f>IF('Mapa final'!AA194="","",'Mapa final'!AA194)</f>
        <v/>
      </c>
      <c r="K191" s="344" t="str">
        <f t="shared" si="2"/>
        <v/>
      </c>
      <c r="L191" s="425" t="str">
        <f>IF('Mapa final'!AD194="","",'Mapa final'!AD194)</f>
        <v/>
      </c>
      <c r="M191" s="345" t="str">
        <f>IF('Mapa final'!P194="","",'Mapa final'!P194)</f>
        <v/>
      </c>
      <c r="N191" s="70"/>
      <c r="O191" s="70"/>
      <c r="P191" s="70"/>
      <c r="Q191" s="177"/>
    </row>
    <row r="192" spans="1:17" ht="43.5" customHeight="1" x14ac:dyDescent="0.25">
      <c r="A192" s="119" t="s">
        <v>724</v>
      </c>
      <c r="B192" s="713"/>
      <c r="C192" s="715"/>
      <c r="D192" s="717"/>
      <c r="E192" s="715"/>
      <c r="F192" s="718"/>
      <c r="G192" s="718"/>
      <c r="H192" s="711"/>
      <c r="I192" s="425" t="str">
        <f>IF('Mapa final'!Y195="","",'Mapa final'!Y195)</f>
        <v/>
      </c>
      <c r="J192" s="425" t="str">
        <f>IF('Mapa final'!AA195="","",'Mapa final'!AA195)</f>
        <v/>
      </c>
      <c r="K192" s="344" t="str">
        <f t="shared" si="2"/>
        <v/>
      </c>
      <c r="L192" s="425" t="str">
        <f>IF('Mapa final'!AD195="","",'Mapa final'!AD195)</f>
        <v/>
      </c>
      <c r="M192" s="345" t="str">
        <f>IF('Mapa final'!P195="","",'Mapa final'!P195)</f>
        <v/>
      </c>
      <c r="N192" s="70"/>
      <c r="O192" s="70"/>
      <c r="P192" s="70"/>
      <c r="Q192" s="177"/>
    </row>
    <row r="193" spans="1:17" ht="43.5" customHeight="1" x14ac:dyDescent="0.25">
      <c r="A193" s="119" t="s">
        <v>725</v>
      </c>
      <c r="B193" s="712"/>
      <c r="C193" s="714" t="str">
        <f>IF('Mapa final'!E196="","",'Mapa final'!E196)</f>
        <v/>
      </c>
      <c r="D193" s="716"/>
      <c r="E193" s="714" t="str">
        <f>IF('Mapa final'!D196="","",'Mapa final'!D196)</f>
        <v/>
      </c>
      <c r="F193" s="718" t="s">
        <v>1266</v>
      </c>
      <c r="G193" s="718" t="s">
        <v>1266</v>
      </c>
      <c r="H193" s="71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final'!Y196="","",'Mapa final'!Y196)</f>
        <v/>
      </c>
      <c r="J193" s="425" t="str">
        <f>IF('Mapa final'!AA196="","",'Mapa final'!AA196)</f>
        <v/>
      </c>
      <c r="K193" s="344" t="str">
        <f t="shared" si="2"/>
        <v/>
      </c>
      <c r="L193" s="425" t="str">
        <f>IF('Mapa final'!AD196="","",'Mapa final'!AD196)</f>
        <v/>
      </c>
      <c r="M193" s="345" t="str">
        <f>IF('Mapa final'!P196="","",'Mapa final'!P196)</f>
        <v/>
      </c>
      <c r="N193" s="70"/>
      <c r="O193" s="70"/>
      <c r="P193" s="70"/>
      <c r="Q193" s="177"/>
    </row>
    <row r="194" spans="1:17" ht="43.5" customHeight="1" x14ac:dyDescent="0.25">
      <c r="A194" s="119" t="s">
        <v>726</v>
      </c>
      <c r="B194" s="713"/>
      <c r="C194" s="715"/>
      <c r="D194" s="717"/>
      <c r="E194" s="715"/>
      <c r="F194" s="718"/>
      <c r="G194" s="718"/>
      <c r="H194" s="711"/>
      <c r="I194" s="425" t="str">
        <f>IF('Mapa final'!Y197="","",'Mapa final'!Y197)</f>
        <v/>
      </c>
      <c r="J194" s="425" t="str">
        <f>IF('Mapa final'!AA197="","",'Mapa final'!AA197)</f>
        <v/>
      </c>
      <c r="K194" s="344" t="str">
        <f t="shared" si="2"/>
        <v/>
      </c>
      <c r="L194" s="425" t="str">
        <f>IF('Mapa final'!AD197="","",'Mapa final'!AD197)</f>
        <v/>
      </c>
      <c r="M194" s="345" t="str">
        <f>IF('Mapa final'!P197="","",'Mapa final'!P197)</f>
        <v/>
      </c>
      <c r="N194" s="70"/>
      <c r="O194" s="70"/>
      <c r="P194" s="70"/>
      <c r="Q194" s="177"/>
    </row>
    <row r="195" spans="1:17" ht="43.5" customHeight="1" x14ac:dyDescent="0.25">
      <c r="A195" s="119" t="s">
        <v>727</v>
      </c>
      <c r="B195" s="713"/>
      <c r="C195" s="715"/>
      <c r="D195" s="717"/>
      <c r="E195" s="715"/>
      <c r="F195" s="718"/>
      <c r="G195" s="718"/>
      <c r="H195" s="711"/>
      <c r="I195" s="425" t="str">
        <f>IF('Mapa final'!Y198="","",'Mapa final'!Y198)</f>
        <v/>
      </c>
      <c r="J195" s="425" t="str">
        <f>IF('Mapa final'!AA198="","",'Mapa final'!AA198)</f>
        <v/>
      </c>
      <c r="K195" s="344" t="str">
        <f t="shared" si="2"/>
        <v/>
      </c>
      <c r="L195" s="425" t="str">
        <f>IF('Mapa final'!AD198="","",'Mapa final'!AD198)</f>
        <v/>
      </c>
      <c r="M195" s="345" t="str">
        <f>IF('Mapa final'!P198="","",'Mapa final'!P198)</f>
        <v/>
      </c>
      <c r="N195" s="70"/>
      <c r="O195" s="70"/>
      <c r="P195" s="70"/>
      <c r="Q195" s="177"/>
    </row>
    <row r="196" spans="1:17" ht="43.5" customHeight="1" x14ac:dyDescent="0.25">
      <c r="A196" s="119" t="s">
        <v>728</v>
      </c>
      <c r="B196" s="713"/>
      <c r="C196" s="715"/>
      <c r="D196" s="717"/>
      <c r="E196" s="715"/>
      <c r="F196" s="718"/>
      <c r="G196" s="718"/>
      <c r="H196" s="711"/>
      <c r="I196" s="425" t="str">
        <f>IF('Mapa final'!Y199="","",'Mapa final'!Y199)</f>
        <v/>
      </c>
      <c r="J196" s="425" t="str">
        <f>IF('Mapa final'!AA199="","",'Mapa final'!AA199)</f>
        <v/>
      </c>
      <c r="K196" s="344" t="str">
        <f t="shared" si="2"/>
        <v/>
      </c>
      <c r="L196" s="425" t="str">
        <f>IF('Mapa final'!AD199="","",'Mapa final'!AD199)</f>
        <v/>
      </c>
      <c r="M196" s="345" t="str">
        <f>IF('Mapa final'!P199="","",'Mapa final'!P199)</f>
        <v/>
      </c>
      <c r="N196" s="70"/>
      <c r="O196" s="70"/>
      <c r="P196" s="70"/>
      <c r="Q196" s="177"/>
    </row>
    <row r="197" spans="1:17" ht="43.5" customHeight="1" x14ac:dyDescent="0.25">
      <c r="A197" s="119" t="s">
        <v>729</v>
      </c>
      <c r="B197" s="713"/>
      <c r="C197" s="715"/>
      <c r="D197" s="717"/>
      <c r="E197" s="715"/>
      <c r="F197" s="718"/>
      <c r="G197" s="718"/>
      <c r="H197" s="711"/>
      <c r="I197" s="425" t="str">
        <f>IF('Mapa final'!Y200="","",'Mapa final'!Y200)</f>
        <v/>
      </c>
      <c r="J197" s="425" t="str">
        <f>IF('Mapa final'!AA200="","",'Mapa final'!AA200)</f>
        <v/>
      </c>
      <c r="K197" s="344" t="str">
        <f t="shared" si="2"/>
        <v/>
      </c>
      <c r="L197" s="425" t="str">
        <f>IF('Mapa final'!AD200="","",'Mapa final'!AD200)</f>
        <v/>
      </c>
      <c r="M197" s="345" t="str">
        <f>IF('Mapa final'!P200="","",'Mapa final'!P200)</f>
        <v/>
      </c>
      <c r="N197" s="70"/>
      <c r="O197" s="70"/>
      <c r="P197" s="70"/>
      <c r="Q197" s="177"/>
    </row>
    <row r="198" spans="1:17" ht="43.5" customHeight="1" x14ac:dyDescent="0.25">
      <c r="A198" s="119" t="s">
        <v>730</v>
      </c>
      <c r="B198" s="713"/>
      <c r="C198" s="715"/>
      <c r="D198" s="717"/>
      <c r="E198" s="715"/>
      <c r="F198" s="718"/>
      <c r="G198" s="718"/>
      <c r="H198" s="711"/>
      <c r="I198" s="425" t="str">
        <f>IF('Mapa final'!Y201="","",'Mapa final'!Y201)</f>
        <v/>
      </c>
      <c r="J198" s="425" t="str">
        <f>IF('Mapa final'!AA201="","",'Mapa final'!AA201)</f>
        <v/>
      </c>
      <c r="K198" s="344" t="str">
        <f t="shared" si="2"/>
        <v/>
      </c>
      <c r="L198" s="425" t="str">
        <f>IF('Mapa final'!AD201="","",'Mapa final'!AD201)</f>
        <v/>
      </c>
      <c r="M198" s="345" t="str">
        <f>IF('Mapa final'!P201="","",'Mapa final'!P201)</f>
        <v/>
      </c>
      <c r="N198" s="70"/>
      <c r="O198" s="70"/>
      <c r="P198" s="70"/>
      <c r="Q198" s="177"/>
    </row>
    <row r="199" spans="1:17" ht="43.5" customHeight="1" x14ac:dyDescent="0.25">
      <c r="A199" s="119" t="s">
        <v>731</v>
      </c>
      <c r="B199" s="712"/>
      <c r="C199" s="714" t="str">
        <f>IF('Mapa final'!E202="","",'Mapa final'!E202)</f>
        <v/>
      </c>
      <c r="D199" s="716"/>
      <c r="E199" s="714" t="str">
        <f>IF('Mapa final'!D202="","",'Mapa final'!D202)</f>
        <v/>
      </c>
      <c r="F199" s="718" t="s">
        <v>1266</v>
      </c>
      <c r="G199" s="718" t="s">
        <v>1266</v>
      </c>
      <c r="H199" s="71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final'!Y202="","",'Mapa final'!Y202)</f>
        <v/>
      </c>
      <c r="J199" s="425" t="str">
        <f>IF('Mapa final'!AA202="","",'Mapa final'!AA202)</f>
        <v/>
      </c>
      <c r="K199" s="344" t="str">
        <f t="shared" si="2"/>
        <v/>
      </c>
      <c r="L199" s="425" t="str">
        <f>IF('Mapa final'!AD202="","",'Mapa final'!AD202)</f>
        <v/>
      </c>
      <c r="M199" s="345" t="str">
        <f>IF('Mapa final'!P202="","",'Mapa final'!P202)</f>
        <v/>
      </c>
      <c r="N199" s="70"/>
      <c r="O199" s="70"/>
      <c r="P199" s="70"/>
      <c r="Q199" s="177"/>
    </row>
    <row r="200" spans="1:17" ht="43.5" customHeight="1" x14ac:dyDescent="0.25">
      <c r="A200" s="119" t="s">
        <v>732</v>
      </c>
      <c r="B200" s="713"/>
      <c r="C200" s="715"/>
      <c r="D200" s="717"/>
      <c r="E200" s="715"/>
      <c r="F200" s="718"/>
      <c r="G200" s="718"/>
      <c r="H200" s="711"/>
      <c r="I200" s="425" t="str">
        <f>IF('Mapa final'!Y203="","",'Mapa final'!Y203)</f>
        <v/>
      </c>
      <c r="J200" s="425" t="str">
        <f>IF('Mapa final'!AA203="","",'Mapa final'!AA203)</f>
        <v/>
      </c>
      <c r="K200" s="34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final'!AD203="","",'Mapa final'!AD203)</f>
        <v/>
      </c>
      <c r="M200" s="345" t="str">
        <f>IF('Mapa final'!P203="","",'Mapa final'!P203)</f>
        <v/>
      </c>
      <c r="N200" s="70"/>
      <c r="O200" s="70"/>
      <c r="P200" s="70"/>
      <c r="Q200" s="177"/>
    </row>
    <row r="201" spans="1:17" ht="43.5" customHeight="1" x14ac:dyDescent="0.25">
      <c r="A201" s="119" t="s">
        <v>733</v>
      </c>
      <c r="B201" s="713"/>
      <c r="C201" s="715"/>
      <c r="D201" s="717"/>
      <c r="E201" s="715"/>
      <c r="F201" s="718"/>
      <c r="G201" s="718"/>
      <c r="H201" s="711"/>
      <c r="I201" s="425" t="str">
        <f>IF('Mapa final'!Y204="","",'Mapa final'!Y204)</f>
        <v/>
      </c>
      <c r="J201" s="425" t="str">
        <f>IF('Mapa final'!AA204="","",'Mapa final'!AA204)</f>
        <v/>
      </c>
      <c r="K201" s="344" t="str">
        <f t="shared" si="3"/>
        <v/>
      </c>
      <c r="L201" s="425" t="str">
        <f>IF('Mapa final'!AD204="","",'Mapa final'!AD204)</f>
        <v/>
      </c>
      <c r="M201" s="345" t="str">
        <f>IF('Mapa final'!P204="","",'Mapa final'!P204)</f>
        <v/>
      </c>
      <c r="N201" s="70"/>
      <c r="O201" s="70"/>
      <c r="P201" s="70"/>
      <c r="Q201" s="177"/>
    </row>
    <row r="202" spans="1:17" ht="43.5" customHeight="1" x14ac:dyDescent="0.25">
      <c r="A202" s="119" t="s">
        <v>734</v>
      </c>
      <c r="B202" s="713"/>
      <c r="C202" s="715"/>
      <c r="D202" s="717"/>
      <c r="E202" s="715"/>
      <c r="F202" s="718"/>
      <c r="G202" s="718"/>
      <c r="H202" s="711"/>
      <c r="I202" s="425" t="str">
        <f>IF('Mapa final'!Y205="","",'Mapa final'!Y205)</f>
        <v/>
      </c>
      <c r="J202" s="425" t="str">
        <f>IF('Mapa final'!AA205="","",'Mapa final'!AA205)</f>
        <v/>
      </c>
      <c r="K202" s="344" t="str">
        <f t="shared" si="3"/>
        <v/>
      </c>
      <c r="L202" s="425" t="str">
        <f>IF('Mapa final'!AD205="","",'Mapa final'!AD205)</f>
        <v/>
      </c>
      <c r="M202" s="345" t="str">
        <f>IF('Mapa final'!P205="","",'Mapa final'!P205)</f>
        <v/>
      </c>
      <c r="N202" s="70"/>
      <c r="O202" s="70"/>
      <c r="P202" s="70"/>
      <c r="Q202" s="177"/>
    </row>
    <row r="203" spans="1:17" ht="43.5" customHeight="1" x14ac:dyDescent="0.25">
      <c r="A203" s="119" t="s">
        <v>735</v>
      </c>
      <c r="B203" s="713"/>
      <c r="C203" s="715"/>
      <c r="D203" s="717"/>
      <c r="E203" s="715"/>
      <c r="F203" s="718"/>
      <c r="G203" s="718"/>
      <c r="H203" s="711"/>
      <c r="I203" s="425" t="str">
        <f>IF('Mapa final'!Y206="","",'Mapa final'!Y206)</f>
        <v/>
      </c>
      <c r="J203" s="425" t="str">
        <f>IF('Mapa final'!AA206="","",'Mapa final'!AA206)</f>
        <v/>
      </c>
      <c r="K203" s="344" t="str">
        <f t="shared" si="3"/>
        <v/>
      </c>
      <c r="L203" s="425" t="str">
        <f>IF('Mapa final'!AD206="","",'Mapa final'!AD206)</f>
        <v/>
      </c>
      <c r="M203" s="345" t="str">
        <f>IF('Mapa final'!P206="","",'Mapa final'!P206)</f>
        <v/>
      </c>
      <c r="N203" s="70"/>
      <c r="O203" s="70"/>
      <c r="P203" s="70"/>
      <c r="Q203" s="177"/>
    </row>
    <row r="204" spans="1:17" ht="43.5" customHeight="1" x14ac:dyDescent="0.25">
      <c r="A204" s="119" t="s">
        <v>736</v>
      </c>
      <c r="B204" s="713"/>
      <c r="C204" s="715"/>
      <c r="D204" s="717"/>
      <c r="E204" s="715"/>
      <c r="F204" s="718"/>
      <c r="G204" s="718"/>
      <c r="H204" s="711"/>
      <c r="I204" s="425" t="str">
        <f>IF('Mapa final'!Y207="","",'Mapa final'!Y207)</f>
        <v/>
      </c>
      <c r="J204" s="425" t="str">
        <f>IF('Mapa final'!AA207="","",'Mapa final'!AA207)</f>
        <v/>
      </c>
      <c r="K204" s="344" t="str">
        <f t="shared" si="3"/>
        <v/>
      </c>
      <c r="L204" s="425" t="str">
        <f>IF('Mapa final'!AD207="","",'Mapa final'!AD207)</f>
        <v/>
      </c>
      <c r="M204" s="345" t="str">
        <f>IF('Mapa final'!P207="","",'Mapa final'!P207)</f>
        <v/>
      </c>
      <c r="N204" s="70"/>
      <c r="O204" s="70"/>
      <c r="P204" s="70"/>
      <c r="Q204" s="177"/>
    </row>
    <row r="205" spans="1:17" ht="43.5" customHeight="1" x14ac:dyDescent="0.25">
      <c r="A205" s="119" t="s">
        <v>737</v>
      </c>
      <c r="B205" s="712"/>
      <c r="C205" s="714" t="str">
        <f>IF('Mapa final'!E208="","",'Mapa final'!E208)</f>
        <v/>
      </c>
      <c r="D205" s="716"/>
      <c r="E205" s="714" t="str">
        <f>IF('Mapa final'!D208="","",'Mapa final'!D208)</f>
        <v/>
      </c>
      <c r="F205" s="718" t="s">
        <v>1266</v>
      </c>
      <c r="G205" s="718" t="s">
        <v>1266</v>
      </c>
      <c r="H205" s="71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final'!Y208="","",'Mapa final'!Y208)</f>
        <v/>
      </c>
      <c r="J205" s="425" t="str">
        <f>IF('Mapa final'!AA208="","",'Mapa final'!AA208)</f>
        <v/>
      </c>
      <c r="K205" s="344" t="str">
        <f t="shared" si="3"/>
        <v/>
      </c>
      <c r="L205" s="425" t="str">
        <f>IF('Mapa final'!AD208="","",'Mapa final'!AD208)</f>
        <v/>
      </c>
      <c r="M205" s="345" t="str">
        <f>IF('Mapa final'!P208="","",'Mapa final'!P208)</f>
        <v/>
      </c>
      <c r="N205" s="70"/>
      <c r="O205" s="70"/>
      <c r="P205" s="70"/>
      <c r="Q205" s="177"/>
    </row>
    <row r="206" spans="1:17" ht="43.5" customHeight="1" x14ac:dyDescent="0.25">
      <c r="A206" s="119" t="s">
        <v>738</v>
      </c>
      <c r="B206" s="713"/>
      <c r="C206" s="715"/>
      <c r="D206" s="717"/>
      <c r="E206" s="715"/>
      <c r="F206" s="718"/>
      <c r="G206" s="718"/>
      <c r="H206" s="711"/>
      <c r="I206" s="425" t="str">
        <f>IF('Mapa final'!Y209="","",'Mapa final'!Y209)</f>
        <v/>
      </c>
      <c r="J206" s="425" t="str">
        <f>IF('Mapa final'!AA209="","",'Mapa final'!AA209)</f>
        <v/>
      </c>
      <c r="K206" s="344" t="str">
        <f t="shared" si="3"/>
        <v/>
      </c>
      <c r="L206" s="425" t="str">
        <f>IF('Mapa final'!AD209="","",'Mapa final'!AD209)</f>
        <v/>
      </c>
      <c r="M206" s="345" t="str">
        <f>IF('Mapa final'!P209="","",'Mapa final'!P209)</f>
        <v/>
      </c>
      <c r="N206" s="70"/>
      <c r="O206" s="70"/>
      <c r="P206" s="70"/>
      <c r="Q206" s="177"/>
    </row>
    <row r="207" spans="1:17" ht="43.5" customHeight="1" x14ac:dyDescent="0.25">
      <c r="A207" s="119" t="s">
        <v>739</v>
      </c>
      <c r="B207" s="713"/>
      <c r="C207" s="715"/>
      <c r="D207" s="717"/>
      <c r="E207" s="715"/>
      <c r="F207" s="718"/>
      <c r="G207" s="718"/>
      <c r="H207" s="711"/>
      <c r="I207" s="425" t="str">
        <f>IF('Mapa final'!Y210="","",'Mapa final'!Y210)</f>
        <v/>
      </c>
      <c r="J207" s="425" t="str">
        <f>IF('Mapa final'!AA210="","",'Mapa final'!AA210)</f>
        <v/>
      </c>
      <c r="K207" s="344" t="str">
        <f t="shared" si="3"/>
        <v/>
      </c>
      <c r="L207" s="425" t="str">
        <f>IF('Mapa final'!AD210="","",'Mapa final'!AD210)</f>
        <v/>
      </c>
      <c r="M207" s="345" t="str">
        <f>IF('Mapa final'!P210="","",'Mapa final'!P210)</f>
        <v/>
      </c>
      <c r="N207" s="70"/>
      <c r="O207" s="70"/>
      <c r="P207" s="70"/>
      <c r="Q207" s="177"/>
    </row>
    <row r="208" spans="1:17" ht="43.5" customHeight="1" x14ac:dyDescent="0.25">
      <c r="A208" s="119" t="s">
        <v>740</v>
      </c>
      <c r="B208" s="713"/>
      <c r="C208" s="715"/>
      <c r="D208" s="717"/>
      <c r="E208" s="715"/>
      <c r="F208" s="718"/>
      <c r="G208" s="718"/>
      <c r="H208" s="711"/>
      <c r="I208" s="425" t="str">
        <f>IF('Mapa final'!Y211="","",'Mapa final'!Y211)</f>
        <v/>
      </c>
      <c r="J208" s="425" t="str">
        <f>IF('Mapa final'!AA211="","",'Mapa final'!AA211)</f>
        <v/>
      </c>
      <c r="K208" s="344" t="str">
        <f t="shared" si="3"/>
        <v/>
      </c>
      <c r="L208" s="425" t="str">
        <f>IF('Mapa final'!AD211="","",'Mapa final'!AD211)</f>
        <v/>
      </c>
      <c r="M208" s="345" t="str">
        <f>IF('Mapa final'!P211="","",'Mapa final'!P211)</f>
        <v/>
      </c>
      <c r="N208" s="70"/>
      <c r="O208" s="70"/>
      <c r="P208" s="70"/>
      <c r="Q208" s="177"/>
    </row>
    <row r="209" spans="1:17" ht="43.5" customHeight="1" x14ac:dyDescent="0.25">
      <c r="A209" s="119" t="s">
        <v>741</v>
      </c>
      <c r="B209" s="713"/>
      <c r="C209" s="715"/>
      <c r="D209" s="717"/>
      <c r="E209" s="715"/>
      <c r="F209" s="718"/>
      <c r="G209" s="718"/>
      <c r="H209" s="711"/>
      <c r="I209" s="425" t="str">
        <f>IF('Mapa final'!Y212="","",'Mapa final'!Y212)</f>
        <v/>
      </c>
      <c r="J209" s="425" t="str">
        <f>IF('Mapa final'!AA212="","",'Mapa final'!AA212)</f>
        <v/>
      </c>
      <c r="K209" s="344" t="str">
        <f t="shared" si="3"/>
        <v/>
      </c>
      <c r="L209" s="425" t="str">
        <f>IF('Mapa final'!AD212="","",'Mapa final'!AD212)</f>
        <v/>
      </c>
      <c r="M209" s="345" t="str">
        <f>IF('Mapa final'!P212="","",'Mapa final'!P212)</f>
        <v/>
      </c>
      <c r="N209" s="70"/>
      <c r="O209" s="70"/>
      <c r="P209" s="70"/>
      <c r="Q209" s="177"/>
    </row>
    <row r="210" spans="1:17" ht="43.5" customHeight="1" x14ac:dyDescent="0.25">
      <c r="A210" s="119" t="s">
        <v>742</v>
      </c>
      <c r="B210" s="713"/>
      <c r="C210" s="715"/>
      <c r="D210" s="717"/>
      <c r="E210" s="715"/>
      <c r="F210" s="718"/>
      <c r="G210" s="718"/>
      <c r="H210" s="711"/>
      <c r="I210" s="425" t="str">
        <f>IF('Mapa final'!Y213="","",'Mapa final'!Y213)</f>
        <v/>
      </c>
      <c r="J210" s="425" t="str">
        <f>IF('Mapa final'!AA213="","",'Mapa final'!AA213)</f>
        <v/>
      </c>
      <c r="K210" s="344" t="str">
        <f t="shared" si="3"/>
        <v/>
      </c>
      <c r="L210" s="425" t="str">
        <f>IF('Mapa final'!AD213="","",'Mapa final'!AD213)</f>
        <v/>
      </c>
      <c r="M210" s="345" t="str">
        <f>IF('Mapa final'!P213="","",'Mapa final'!P213)</f>
        <v/>
      </c>
      <c r="N210" s="70"/>
      <c r="O210" s="70"/>
      <c r="P210" s="70"/>
      <c r="Q210" s="177"/>
    </row>
    <row r="211" spans="1:17" ht="43.5" customHeight="1" x14ac:dyDescent="0.25">
      <c r="A211" s="119" t="s">
        <v>743</v>
      </c>
      <c r="B211" s="712"/>
      <c r="C211" s="714" t="str">
        <f>IF('Mapa final'!E214="","",'Mapa final'!E214)</f>
        <v/>
      </c>
      <c r="D211" s="716"/>
      <c r="E211" s="714" t="str">
        <f>IF('Mapa final'!D214="","",'Mapa final'!D214)</f>
        <v/>
      </c>
      <c r="F211" s="718" t="s">
        <v>1266</v>
      </c>
      <c r="G211" s="718" t="s">
        <v>1266</v>
      </c>
      <c r="H211" s="71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final'!Y214="","",'Mapa final'!Y214)</f>
        <v/>
      </c>
      <c r="J211" s="425" t="str">
        <f>IF('Mapa final'!AA214="","",'Mapa final'!AA214)</f>
        <v/>
      </c>
      <c r="K211" s="344" t="str">
        <f t="shared" si="3"/>
        <v/>
      </c>
      <c r="L211" s="425" t="str">
        <f>IF('Mapa final'!AD214="","",'Mapa final'!AD214)</f>
        <v/>
      </c>
      <c r="M211" s="345" t="str">
        <f>IF('Mapa final'!P214="","",'Mapa final'!P214)</f>
        <v/>
      </c>
      <c r="N211" s="70"/>
      <c r="O211" s="70"/>
      <c r="P211" s="70"/>
      <c r="Q211" s="177"/>
    </row>
    <row r="212" spans="1:17" ht="43.5" customHeight="1" x14ac:dyDescent="0.25">
      <c r="A212" s="119" t="s">
        <v>744</v>
      </c>
      <c r="B212" s="713"/>
      <c r="C212" s="715"/>
      <c r="D212" s="717"/>
      <c r="E212" s="715"/>
      <c r="F212" s="718"/>
      <c r="G212" s="718"/>
      <c r="H212" s="711"/>
      <c r="I212" s="425" t="str">
        <f>IF('Mapa final'!Y215="","",'Mapa final'!Y215)</f>
        <v/>
      </c>
      <c r="J212" s="425" t="str">
        <f>IF('Mapa final'!AA215="","",'Mapa final'!AA215)</f>
        <v/>
      </c>
      <c r="K212" s="344" t="str">
        <f t="shared" si="3"/>
        <v/>
      </c>
      <c r="L212" s="425" t="str">
        <f>IF('Mapa final'!AD215="","",'Mapa final'!AD215)</f>
        <v/>
      </c>
      <c r="M212" s="345" t="str">
        <f>IF('Mapa final'!P215="","",'Mapa final'!P215)</f>
        <v/>
      </c>
      <c r="N212" s="70"/>
      <c r="O212" s="70"/>
      <c r="P212" s="70"/>
      <c r="Q212" s="177"/>
    </row>
    <row r="213" spans="1:17" ht="43.5" customHeight="1" x14ac:dyDescent="0.25">
      <c r="A213" s="119" t="s">
        <v>745</v>
      </c>
      <c r="B213" s="713"/>
      <c r="C213" s="715"/>
      <c r="D213" s="717"/>
      <c r="E213" s="715"/>
      <c r="F213" s="718"/>
      <c r="G213" s="718"/>
      <c r="H213" s="711"/>
      <c r="I213" s="425" t="str">
        <f>IF('Mapa final'!Y216="","",'Mapa final'!Y216)</f>
        <v/>
      </c>
      <c r="J213" s="425" t="str">
        <f>IF('Mapa final'!AA216="","",'Mapa final'!AA216)</f>
        <v/>
      </c>
      <c r="K213" s="344" t="str">
        <f t="shared" si="3"/>
        <v/>
      </c>
      <c r="L213" s="425" t="str">
        <f>IF('Mapa final'!AD216="","",'Mapa final'!AD216)</f>
        <v/>
      </c>
      <c r="M213" s="345" t="str">
        <f>IF('Mapa final'!P216="","",'Mapa final'!P216)</f>
        <v/>
      </c>
      <c r="N213" s="70"/>
      <c r="O213" s="70"/>
      <c r="P213" s="70"/>
      <c r="Q213" s="177"/>
    </row>
    <row r="214" spans="1:17" ht="43.5" customHeight="1" x14ac:dyDescent="0.25">
      <c r="A214" s="119" t="s">
        <v>746</v>
      </c>
      <c r="B214" s="713"/>
      <c r="C214" s="715"/>
      <c r="D214" s="717"/>
      <c r="E214" s="715"/>
      <c r="F214" s="718"/>
      <c r="G214" s="718"/>
      <c r="H214" s="711"/>
      <c r="I214" s="425" t="str">
        <f>IF('Mapa final'!Y217="","",'Mapa final'!Y217)</f>
        <v/>
      </c>
      <c r="J214" s="425" t="str">
        <f>IF('Mapa final'!AA217="","",'Mapa final'!AA217)</f>
        <v/>
      </c>
      <c r="K214" s="344" t="str">
        <f t="shared" si="3"/>
        <v/>
      </c>
      <c r="L214" s="425" t="str">
        <f>IF('Mapa final'!AD217="","",'Mapa final'!AD217)</f>
        <v/>
      </c>
      <c r="M214" s="345" t="str">
        <f>IF('Mapa final'!P217="","",'Mapa final'!P217)</f>
        <v/>
      </c>
      <c r="N214" s="70"/>
      <c r="O214" s="70"/>
      <c r="P214" s="70"/>
      <c r="Q214" s="177"/>
    </row>
    <row r="215" spans="1:17" ht="43.5" customHeight="1" x14ac:dyDescent="0.25">
      <c r="A215" s="119" t="s">
        <v>747</v>
      </c>
      <c r="B215" s="713"/>
      <c r="C215" s="715"/>
      <c r="D215" s="717"/>
      <c r="E215" s="715"/>
      <c r="F215" s="718"/>
      <c r="G215" s="718"/>
      <c r="H215" s="711"/>
      <c r="I215" s="425" t="str">
        <f>IF('Mapa final'!Y218="","",'Mapa final'!Y218)</f>
        <v/>
      </c>
      <c r="J215" s="425" t="str">
        <f>IF('Mapa final'!AA218="","",'Mapa final'!AA218)</f>
        <v/>
      </c>
      <c r="K215" s="344" t="str">
        <f t="shared" si="3"/>
        <v/>
      </c>
      <c r="L215" s="425" t="str">
        <f>IF('Mapa final'!AD218="","",'Mapa final'!AD218)</f>
        <v/>
      </c>
      <c r="M215" s="345" t="str">
        <f>IF('Mapa final'!P218="","",'Mapa final'!P218)</f>
        <v/>
      </c>
      <c r="N215" s="70"/>
      <c r="O215" s="70"/>
      <c r="P215" s="70"/>
      <c r="Q215" s="177"/>
    </row>
    <row r="216" spans="1:17" ht="43.5" customHeight="1" x14ac:dyDescent="0.25">
      <c r="A216" s="119" t="s">
        <v>748</v>
      </c>
      <c r="B216" s="713"/>
      <c r="C216" s="715"/>
      <c r="D216" s="717"/>
      <c r="E216" s="715"/>
      <c r="F216" s="718"/>
      <c r="G216" s="718"/>
      <c r="H216" s="711"/>
      <c r="I216" s="425" t="str">
        <f>IF('Mapa final'!Y219="","",'Mapa final'!Y219)</f>
        <v/>
      </c>
      <c r="J216" s="425" t="str">
        <f>IF('Mapa final'!AA219="","",'Mapa final'!AA219)</f>
        <v/>
      </c>
      <c r="K216" s="344" t="str">
        <f t="shared" si="3"/>
        <v/>
      </c>
      <c r="L216" s="425" t="str">
        <f>IF('Mapa final'!AD219="","",'Mapa final'!AD219)</f>
        <v/>
      </c>
      <c r="M216" s="345" t="str">
        <f>IF('Mapa final'!P219="","",'Mapa final'!P219)</f>
        <v/>
      </c>
      <c r="N216" s="70"/>
      <c r="O216" s="70"/>
      <c r="P216" s="70"/>
      <c r="Q216" s="177"/>
    </row>
    <row r="217" spans="1:17" ht="43.5" customHeight="1" x14ac:dyDescent="0.25">
      <c r="A217" s="119" t="s">
        <v>749</v>
      </c>
      <c r="B217" s="712"/>
      <c r="C217" s="714" t="str">
        <f>IF('Mapa final'!E220="","",'Mapa final'!E220)</f>
        <v/>
      </c>
      <c r="D217" s="716"/>
      <c r="E217" s="714" t="str">
        <f>IF('Mapa final'!D220="","",'Mapa final'!D220)</f>
        <v/>
      </c>
      <c r="F217" s="718" t="s">
        <v>1266</v>
      </c>
      <c r="G217" s="718" t="s">
        <v>1266</v>
      </c>
      <c r="H217" s="71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final'!Y220="","",'Mapa final'!Y220)</f>
        <v/>
      </c>
      <c r="J217" s="425" t="str">
        <f>IF('Mapa final'!AA220="","",'Mapa final'!AA220)</f>
        <v/>
      </c>
      <c r="K217" s="344" t="str">
        <f t="shared" si="3"/>
        <v/>
      </c>
      <c r="L217" s="425" t="str">
        <f>IF('Mapa final'!AD220="","",'Mapa final'!AD220)</f>
        <v/>
      </c>
      <c r="M217" s="345" t="str">
        <f>IF('Mapa final'!P220="","",'Mapa final'!P220)</f>
        <v/>
      </c>
      <c r="N217" s="70"/>
      <c r="O217" s="70"/>
      <c r="P217" s="70"/>
      <c r="Q217" s="177"/>
    </row>
    <row r="218" spans="1:17" ht="43.5" customHeight="1" x14ac:dyDescent="0.25">
      <c r="A218" s="119" t="s">
        <v>750</v>
      </c>
      <c r="B218" s="713"/>
      <c r="C218" s="715"/>
      <c r="D218" s="717"/>
      <c r="E218" s="715"/>
      <c r="F218" s="718"/>
      <c r="G218" s="718"/>
      <c r="H218" s="711"/>
      <c r="I218" s="425" t="str">
        <f>IF('Mapa final'!Y221="","",'Mapa final'!Y221)</f>
        <v/>
      </c>
      <c r="J218" s="425" t="str">
        <f>IF('Mapa final'!AA221="","",'Mapa final'!AA221)</f>
        <v/>
      </c>
      <c r="K218" s="344" t="str">
        <f t="shared" si="3"/>
        <v/>
      </c>
      <c r="L218" s="425" t="str">
        <f>IF('Mapa final'!AD221="","",'Mapa final'!AD221)</f>
        <v/>
      </c>
      <c r="M218" s="345" t="str">
        <f>IF('Mapa final'!P221="","",'Mapa final'!P221)</f>
        <v/>
      </c>
      <c r="N218" s="70"/>
      <c r="O218" s="70"/>
      <c r="P218" s="70"/>
      <c r="Q218" s="177"/>
    </row>
    <row r="219" spans="1:17" ht="43.5" customHeight="1" x14ac:dyDescent="0.25">
      <c r="A219" s="119" t="s">
        <v>751</v>
      </c>
      <c r="B219" s="713"/>
      <c r="C219" s="715"/>
      <c r="D219" s="717"/>
      <c r="E219" s="715"/>
      <c r="F219" s="718"/>
      <c r="G219" s="718"/>
      <c r="H219" s="711"/>
      <c r="I219" s="425" t="str">
        <f>IF('Mapa final'!Y222="","",'Mapa final'!Y222)</f>
        <v/>
      </c>
      <c r="J219" s="425" t="str">
        <f>IF('Mapa final'!AA222="","",'Mapa final'!AA222)</f>
        <v/>
      </c>
      <c r="K219" s="344" t="str">
        <f t="shared" si="3"/>
        <v/>
      </c>
      <c r="L219" s="425" t="str">
        <f>IF('Mapa final'!AD222="","",'Mapa final'!AD222)</f>
        <v/>
      </c>
      <c r="M219" s="345" t="str">
        <f>IF('Mapa final'!P222="","",'Mapa final'!P222)</f>
        <v/>
      </c>
      <c r="N219" s="70"/>
      <c r="O219" s="70"/>
      <c r="P219" s="70"/>
      <c r="Q219" s="177"/>
    </row>
    <row r="220" spans="1:17" ht="43.5" customHeight="1" x14ac:dyDescent="0.25">
      <c r="A220" s="119" t="s">
        <v>752</v>
      </c>
      <c r="B220" s="713"/>
      <c r="C220" s="715"/>
      <c r="D220" s="717"/>
      <c r="E220" s="715"/>
      <c r="F220" s="718"/>
      <c r="G220" s="718"/>
      <c r="H220" s="711"/>
      <c r="I220" s="425" t="str">
        <f>IF('Mapa final'!Y223="","",'Mapa final'!Y223)</f>
        <v/>
      </c>
      <c r="J220" s="425" t="str">
        <f>IF('Mapa final'!AA223="","",'Mapa final'!AA223)</f>
        <v/>
      </c>
      <c r="K220" s="344" t="str">
        <f t="shared" si="3"/>
        <v/>
      </c>
      <c r="L220" s="425" t="str">
        <f>IF('Mapa final'!AD223="","",'Mapa final'!AD223)</f>
        <v/>
      </c>
      <c r="M220" s="345" t="str">
        <f>IF('Mapa final'!P223="","",'Mapa final'!P223)</f>
        <v/>
      </c>
      <c r="N220" s="70"/>
      <c r="O220" s="70"/>
      <c r="P220" s="70"/>
      <c r="Q220" s="177"/>
    </row>
    <row r="221" spans="1:17" ht="43.5" customHeight="1" x14ac:dyDescent="0.25">
      <c r="A221" s="119" t="s">
        <v>753</v>
      </c>
      <c r="B221" s="713"/>
      <c r="C221" s="715"/>
      <c r="D221" s="717"/>
      <c r="E221" s="715"/>
      <c r="F221" s="718"/>
      <c r="G221" s="718"/>
      <c r="H221" s="711"/>
      <c r="I221" s="425" t="str">
        <f>IF('Mapa final'!Y224="","",'Mapa final'!Y224)</f>
        <v/>
      </c>
      <c r="J221" s="425" t="str">
        <f>IF('Mapa final'!AA224="","",'Mapa final'!AA224)</f>
        <v/>
      </c>
      <c r="K221" s="344" t="str">
        <f t="shared" si="3"/>
        <v/>
      </c>
      <c r="L221" s="425" t="str">
        <f>IF('Mapa final'!AD224="","",'Mapa final'!AD224)</f>
        <v/>
      </c>
      <c r="M221" s="345" t="str">
        <f>IF('Mapa final'!P224="","",'Mapa final'!P224)</f>
        <v/>
      </c>
      <c r="N221" s="70"/>
      <c r="O221" s="70"/>
      <c r="P221" s="70"/>
      <c r="Q221" s="177"/>
    </row>
    <row r="222" spans="1:17" ht="43.5" customHeight="1" x14ac:dyDescent="0.25">
      <c r="A222" s="119" t="s">
        <v>754</v>
      </c>
      <c r="B222" s="713"/>
      <c r="C222" s="715"/>
      <c r="D222" s="717"/>
      <c r="E222" s="715"/>
      <c r="F222" s="718"/>
      <c r="G222" s="718"/>
      <c r="H222" s="711"/>
      <c r="I222" s="425" t="str">
        <f>IF('Mapa final'!Y225="","",'Mapa final'!Y225)</f>
        <v/>
      </c>
      <c r="J222" s="425" t="str">
        <f>IF('Mapa final'!AA225="","",'Mapa final'!AA225)</f>
        <v/>
      </c>
      <c r="K222" s="344" t="str">
        <f t="shared" si="3"/>
        <v/>
      </c>
      <c r="L222" s="425" t="str">
        <f>IF('Mapa final'!AD225="","",'Mapa final'!AD225)</f>
        <v/>
      </c>
      <c r="M222" s="345" t="str">
        <f>IF('Mapa final'!P225="","",'Mapa final'!P225)</f>
        <v/>
      </c>
      <c r="N222" s="70"/>
      <c r="O222" s="70"/>
      <c r="P222" s="70"/>
      <c r="Q222" s="177"/>
    </row>
    <row r="223" spans="1:17" ht="43.5" customHeight="1" x14ac:dyDescent="0.25">
      <c r="A223" s="119" t="s">
        <v>755</v>
      </c>
      <c r="B223" s="712"/>
      <c r="C223" s="714" t="str">
        <f>IF('Mapa final'!E226="","",'Mapa final'!E226)</f>
        <v/>
      </c>
      <c r="D223" s="716"/>
      <c r="E223" s="714" t="str">
        <f>IF('Mapa final'!D226="","",'Mapa final'!D226)</f>
        <v/>
      </c>
      <c r="F223" s="718" t="s">
        <v>1266</v>
      </c>
      <c r="G223" s="718" t="s">
        <v>1266</v>
      </c>
      <c r="H223" s="71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final'!Y226="","",'Mapa final'!Y226)</f>
        <v/>
      </c>
      <c r="J223" s="425" t="str">
        <f>IF('Mapa final'!AA226="","",'Mapa final'!AA226)</f>
        <v/>
      </c>
      <c r="K223" s="344" t="str">
        <f t="shared" si="3"/>
        <v/>
      </c>
      <c r="L223" s="425" t="str">
        <f>IF('Mapa final'!AD226="","",'Mapa final'!AD226)</f>
        <v/>
      </c>
      <c r="M223" s="345" t="str">
        <f>IF('Mapa final'!P226="","",'Mapa final'!P226)</f>
        <v/>
      </c>
      <c r="N223" s="70"/>
      <c r="O223" s="70"/>
      <c r="P223" s="70"/>
      <c r="Q223" s="177"/>
    </row>
    <row r="224" spans="1:17" ht="43.5" customHeight="1" x14ac:dyDescent="0.25">
      <c r="A224" s="119" t="s">
        <v>756</v>
      </c>
      <c r="B224" s="713"/>
      <c r="C224" s="715"/>
      <c r="D224" s="717"/>
      <c r="E224" s="715"/>
      <c r="F224" s="718"/>
      <c r="G224" s="718"/>
      <c r="H224" s="711"/>
      <c r="I224" s="425" t="str">
        <f>IF('Mapa final'!Y227="","",'Mapa final'!Y227)</f>
        <v/>
      </c>
      <c r="J224" s="425" t="str">
        <f>IF('Mapa final'!AA227="","",'Mapa final'!AA227)</f>
        <v/>
      </c>
      <c r="K224" s="344" t="str">
        <f t="shared" si="3"/>
        <v/>
      </c>
      <c r="L224" s="425" t="str">
        <f>IF('Mapa final'!AD227="","",'Mapa final'!AD227)</f>
        <v/>
      </c>
      <c r="M224" s="345" t="str">
        <f>IF('Mapa final'!P227="","",'Mapa final'!P227)</f>
        <v/>
      </c>
      <c r="N224" s="70"/>
      <c r="O224" s="70"/>
      <c r="P224" s="70"/>
      <c r="Q224" s="177"/>
    </row>
    <row r="225" spans="1:17" ht="43.5" customHeight="1" x14ac:dyDescent="0.25">
      <c r="A225" s="119" t="s">
        <v>757</v>
      </c>
      <c r="B225" s="713"/>
      <c r="C225" s="715"/>
      <c r="D225" s="717"/>
      <c r="E225" s="715"/>
      <c r="F225" s="718"/>
      <c r="G225" s="718"/>
      <c r="H225" s="711"/>
      <c r="I225" s="425" t="str">
        <f>IF('Mapa final'!Y228="","",'Mapa final'!Y228)</f>
        <v/>
      </c>
      <c r="J225" s="425" t="str">
        <f>IF('Mapa final'!AA228="","",'Mapa final'!AA228)</f>
        <v/>
      </c>
      <c r="K225" s="344" t="str">
        <f t="shared" si="3"/>
        <v/>
      </c>
      <c r="L225" s="425" t="str">
        <f>IF('Mapa final'!AD228="","",'Mapa final'!AD228)</f>
        <v/>
      </c>
      <c r="M225" s="345" t="str">
        <f>IF('Mapa final'!P228="","",'Mapa final'!P228)</f>
        <v/>
      </c>
      <c r="N225" s="70"/>
      <c r="O225" s="70"/>
      <c r="P225" s="70"/>
      <c r="Q225" s="177"/>
    </row>
    <row r="226" spans="1:17" ht="43.5" customHeight="1" x14ac:dyDescent="0.25">
      <c r="A226" s="119" t="s">
        <v>758</v>
      </c>
      <c r="B226" s="713"/>
      <c r="C226" s="715"/>
      <c r="D226" s="717"/>
      <c r="E226" s="715"/>
      <c r="F226" s="718"/>
      <c r="G226" s="718"/>
      <c r="H226" s="711"/>
      <c r="I226" s="425" t="str">
        <f>IF('Mapa final'!Y229="","",'Mapa final'!Y229)</f>
        <v/>
      </c>
      <c r="J226" s="425" t="str">
        <f>IF('Mapa final'!AA229="","",'Mapa final'!AA229)</f>
        <v/>
      </c>
      <c r="K226" s="344" t="str">
        <f t="shared" si="3"/>
        <v/>
      </c>
      <c r="L226" s="425" t="str">
        <f>IF('Mapa final'!AD229="","",'Mapa final'!AD229)</f>
        <v/>
      </c>
      <c r="M226" s="345" t="str">
        <f>IF('Mapa final'!P229="","",'Mapa final'!P229)</f>
        <v/>
      </c>
      <c r="N226" s="70"/>
      <c r="O226" s="70"/>
      <c r="P226" s="70"/>
      <c r="Q226" s="177"/>
    </row>
    <row r="227" spans="1:17" ht="43.5" customHeight="1" x14ac:dyDescent="0.25">
      <c r="A227" s="119" t="s">
        <v>759</v>
      </c>
      <c r="B227" s="713"/>
      <c r="C227" s="715"/>
      <c r="D227" s="717"/>
      <c r="E227" s="715"/>
      <c r="F227" s="718"/>
      <c r="G227" s="718"/>
      <c r="H227" s="711"/>
      <c r="I227" s="425" t="str">
        <f>IF('Mapa final'!Y230="","",'Mapa final'!Y230)</f>
        <v/>
      </c>
      <c r="J227" s="425" t="str">
        <f>IF('Mapa final'!AA230="","",'Mapa final'!AA230)</f>
        <v/>
      </c>
      <c r="K227" s="344" t="str">
        <f t="shared" si="3"/>
        <v/>
      </c>
      <c r="L227" s="425" t="str">
        <f>IF('Mapa final'!AD230="","",'Mapa final'!AD230)</f>
        <v/>
      </c>
      <c r="M227" s="345" t="str">
        <f>IF('Mapa final'!P230="","",'Mapa final'!P230)</f>
        <v/>
      </c>
      <c r="N227" s="70"/>
      <c r="O227" s="70"/>
      <c r="P227" s="70"/>
      <c r="Q227" s="177"/>
    </row>
    <row r="228" spans="1:17" ht="43.5" customHeight="1" x14ac:dyDescent="0.25">
      <c r="A228" s="119" t="s">
        <v>760</v>
      </c>
      <c r="B228" s="713"/>
      <c r="C228" s="715"/>
      <c r="D228" s="717"/>
      <c r="E228" s="715"/>
      <c r="F228" s="718"/>
      <c r="G228" s="718"/>
      <c r="H228" s="711"/>
      <c r="I228" s="425" t="str">
        <f>IF('Mapa final'!Y231="","",'Mapa final'!Y231)</f>
        <v/>
      </c>
      <c r="J228" s="425" t="str">
        <f>IF('Mapa final'!AA231="","",'Mapa final'!AA231)</f>
        <v/>
      </c>
      <c r="K228" s="344" t="str">
        <f t="shared" si="3"/>
        <v/>
      </c>
      <c r="L228" s="425" t="str">
        <f>IF('Mapa final'!AD231="","",'Mapa final'!AD231)</f>
        <v/>
      </c>
      <c r="M228" s="345" t="str">
        <f>IF('Mapa final'!P231="","",'Mapa final'!P231)</f>
        <v/>
      </c>
      <c r="N228" s="70"/>
      <c r="O228" s="70"/>
      <c r="P228" s="70"/>
      <c r="Q228" s="177"/>
    </row>
    <row r="229" spans="1:17" ht="43.5" customHeight="1" x14ac:dyDescent="0.25">
      <c r="A229" s="119" t="s">
        <v>761</v>
      </c>
      <c r="B229" s="712"/>
      <c r="C229" s="714" t="str">
        <f>IF('Mapa final'!E232="","",'Mapa final'!E232)</f>
        <v/>
      </c>
      <c r="D229" s="716"/>
      <c r="E229" s="714" t="str">
        <f>IF('Mapa final'!D232="","",'Mapa final'!D232)</f>
        <v/>
      </c>
      <c r="F229" s="718" t="s">
        <v>1266</v>
      </c>
      <c r="G229" s="718" t="s">
        <v>1266</v>
      </c>
      <c r="H229" s="71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final'!Y232="","",'Mapa final'!Y232)</f>
        <v/>
      </c>
      <c r="J229" s="425" t="str">
        <f>IF('Mapa final'!AA232="","",'Mapa final'!AA232)</f>
        <v/>
      </c>
      <c r="K229" s="344" t="str">
        <f t="shared" si="3"/>
        <v/>
      </c>
      <c r="L229" s="425" t="str">
        <f>IF('Mapa final'!AD232="","",'Mapa final'!AD232)</f>
        <v/>
      </c>
      <c r="M229" s="345" t="str">
        <f>IF('Mapa final'!P232="","",'Mapa final'!P232)</f>
        <v/>
      </c>
      <c r="N229" s="70"/>
      <c r="O229" s="70"/>
      <c r="P229" s="70"/>
      <c r="Q229" s="177"/>
    </row>
    <row r="230" spans="1:17" ht="43.5" customHeight="1" x14ac:dyDescent="0.25">
      <c r="A230" s="119" t="s">
        <v>762</v>
      </c>
      <c r="B230" s="713"/>
      <c r="C230" s="715"/>
      <c r="D230" s="717"/>
      <c r="E230" s="715"/>
      <c r="F230" s="718"/>
      <c r="G230" s="718"/>
      <c r="H230" s="711"/>
      <c r="I230" s="425" t="str">
        <f>IF('Mapa final'!Y233="","",'Mapa final'!Y233)</f>
        <v/>
      </c>
      <c r="J230" s="425" t="str">
        <f>IF('Mapa final'!AA233="","",'Mapa final'!AA233)</f>
        <v/>
      </c>
      <c r="K230" s="344" t="str">
        <f t="shared" si="3"/>
        <v/>
      </c>
      <c r="L230" s="425" t="str">
        <f>IF('Mapa final'!AD233="","",'Mapa final'!AD233)</f>
        <v/>
      </c>
      <c r="M230" s="345" t="str">
        <f>IF('Mapa final'!P233="","",'Mapa final'!P233)</f>
        <v/>
      </c>
      <c r="N230" s="70"/>
      <c r="O230" s="70"/>
      <c r="P230" s="70"/>
      <c r="Q230" s="177"/>
    </row>
    <row r="231" spans="1:17" ht="43.5" customHeight="1" x14ac:dyDescent="0.25">
      <c r="A231" s="119" t="s">
        <v>763</v>
      </c>
      <c r="B231" s="713"/>
      <c r="C231" s="715"/>
      <c r="D231" s="717"/>
      <c r="E231" s="715"/>
      <c r="F231" s="718"/>
      <c r="G231" s="718"/>
      <c r="H231" s="711"/>
      <c r="I231" s="425" t="str">
        <f>IF('Mapa final'!Y234="","",'Mapa final'!Y234)</f>
        <v/>
      </c>
      <c r="J231" s="425" t="str">
        <f>IF('Mapa final'!AA234="","",'Mapa final'!AA234)</f>
        <v/>
      </c>
      <c r="K231" s="344" t="str">
        <f t="shared" si="3"/>
        <v/>
      </c>
      <c r="L231" s="425" t="str">
        <f>IF('Mapa final'!AD234="","",'Mapa final'!AD234)</f>
        <v/>
      </c>
      <c r="M231" s="345" t="str">
        <f>IF('Mapa final'!P234="","",'Mapa final'!P234)</f>
        <v/>
      </c>
      <c r="N231" s="70"/>
      <c r="O231" s="70"/>
      <c r="P231" s="70"/>
      <c r="Q231" s="177"/>
    </row>
    <row r="232" spans="1:17" ht="43.5" customHeight="1" x14ac:dyDescent="0.25">
      <c r="A232" s="119" t="s">
        <v>764</v>
      </c>
      <c r="B232" s="713"/>
      <c r="C232" s="715"/>
      <c r="D232" s="717"/>
      <c r="E232" s="715"/>
      <c r="F232" s="718"/>
      <c r="G232" s="718"/>
      <c r="H232" s="711"/>
      <c r="I232" s="425" t="str">
        <f>IF('Mapa final'!Y235="","",'Mapa final'!Y235)</f>
        <v/>
      </c>
      <c r="J232" s="425" t="str">
        <f>IF('Mapa final'!AA235="","",'Mapa final'!AA235)</f>
        <v/>
      </c>
      <c r="K232" s="344" t="str">
        <f t="shared" si="3"/>
        <v/>
      </c>
      <c r="L232" s="425" t="str">
        <f>IF('Mapa final'!AD235="","",'Mapa final'!AD235)</f>
        <v/>
      </c>
      <c r="M232" s="345" t="str">
        <f>IF('Mapa final'!P235="","",'Mapa final'!P235)</f>
        <v/>
      </c>
      <c r="N232" s="70"/>
      <c r="O232" s="70"/>
      <c r="P232" s="70"/>
      <c r="Q232" s="177"/>
    </row>
    <row r="233" spans="1:17" ht="43.5" customHeight="1" x14ac:dyDescent="0.25">
      <c r="A233" s="119" t="s">
        <v>765</v>
      </c>
      <c r="B233" s="713"/>
      <c r="C233" s="715"/>
      <c r="D233" s="717"/>
      <c r="E233" s="715"/>
      <c r="F233" s="718"/>
      <c r="G233" s="718"/>
      <c r="H233" s="711"/>
      <c r="I233" s="425" t="str">
        <f>IF('Mapa final'!Y236="","",'Mapa final'!Y236)</f>
        <v/>
      </c>
      <c r="J233" s="425" t="str">
        <f>IF('Mapa final'!AA236="","",'Mapa final'!AA236)</f>
        <v/>
      </c>
      <c r="K233" s="344" t="str">
        <f t="shared" si="3"/>
        <v/>
      </c>
      <c r="L233" s="425" t="str">
        <f>IF('Mapa final'!AD236="","",'Mapa final'!AD236)</f>
        <v/>
      </c>
      <c r="M233" s="345" t="str">
        <f>IF('Mapa final'!P236="","",'Mapa final'!P236)</f>
        <v/>
      </c>
      <c r="N233" s="70"/>
      <c r="O233" s="70"/>
      <c r="P233" s="70"/>
      <c r="Q233" s="177"/>
    </row>
    <row r="234" spans="1:17" ht="43.5" customHeight="1" x14ac:dyDescent="0.25">
      <c r="A234" s="119" t="s">
        <v>766</v>
      </c>
      <c r="B234" s="713"/>
      <c r="C234" s="715"/>
      <c r="D234" s="717"/>
      <c r="E234" s="715"/>
      <c r="F234" s="718"/>
      <c r="G234" s="718"/>
      <c r="H234" s="711"/>
      <c r="I234" s="425" t="str">
        <f>IF('Mapa final'!Y237="","",'Mapa final'!Y237)</f>
        <v/>
      </c>
      <c r="J234" s="425" t="str">
        <f>IF('Mapa final'!AA237="","",'Mapa final'!AA237)</f>
        <v/>
      </c>
      <c r="K234" s="344" t="str">
        <f t="shared" si="3"/>
        <v/>
      </c>
      <c r="L234" s="425" t="str">
        <f>IF('Mapa final'!AD237="","",'Mapa final'!AD237)</f>
        <v/>
      </c>
      <c r="M234" s="345" t="str">
        <f>IF('Mapa final'!P237="","",'Mapa final'!P237)</f>
        <v/>
      </c>
      <c r="N234" s="70"/>
      <c r="O234" s="70"/>
      <c r="P234" s="70"/>
      <c r="Q234" s="177"/>
    </row>
    <row r="235" spans="1:17" ht="43.5" customHeight="1" x14ac:dyDescent="0.25">
      <c r="A235" s="119" t="s">
        <v>767</v>
      </c>
      <c r="B235" s="712"/>
      <c r="C235" s="714" t="str">
        <f>IF('Mapa final'!E238="","",'Mapa final'!E238)</f>
        <v/>
      </c>
      <c r="D235" s="716"/>
      <c r="E235" s="714" t="str">
        <f>IF('Mapa final'!D238="","",'Mapa final'!D238)</f>
        <v/>
      </c>
      <c r="F235" s="718" t="s">
        <v>1266</v>
      </c>
      <c r="G235" s="718" t="s">
        <v>1266</v>
      </c>
      <c r="H235" s="71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final'!Y238="","",'Mapa final'!Y238)</f>
        <v/>
      </c>
      <c r="J235" s="425" t="str">
        <f>IF('Mapa final'!AA238="","",'Mapa final'!AA238)</f>
        <v/>
      </c>
      <c r="K235" s="344" t="str">
        <f t="shared" si="3"/>
        <v/>
      </c>
      <c r="L235" s="425" t="str">
        <f>IF('Mapa final'!AD238="","",'Mapa final'!AD238)</f>
        <v/>
      </c>
      <c r="M235" s="345" t="str">
        <f>IF('Mapa final'!P238="","",'Mapa final'!P238)</f>
        <v/>
      </c>
      <c r="N235" s="70"/>
      <c r="O235" s="70"/>
      <c r="P235" s="70"/>
      <c r="Q235" s="177"/>
    </row>
    <row r="236" spans="1:17" ht="43.5" customHeight="1" x14ac:dyDescent="0.25">
      <c r="A236" s="119" t="s">
        <v>768</v>
      </c>
      <c r="B236" s="713"/>
      <c r="C236" s="715"/>
      <c r="D236" s="717"/>
      <c r="E236" s="715"/>
      <c r="F236" s="718"/>
      <c r="G236" s="718"/>
      <c r="H236" s="711"/>
      <c r="I236" s="425" t="str">
        <f>IF('Mapa final'!Y239="","",'Mapa final'!Y239)</f>
        <v/>
      </c>
      <c r="J236" s="425" t="str">
        <f>IF('Mapa final'!AA239="","",'Mapa final'!AA239)</f>
        <v/>
      </c>
      <c r="K236" s="344" t="str">
        <f t="shared" si="3"/>
        <v/>
      </c>
      <c r="L236" s="425" t="str">
        <f>IF('Mapa final'!AD239="","",'Mapa final'!AD239)</f>
        <v/>
      </c>
      <c r="M236" s="345" t="str">
        <f>IF('Mapa final'!P239="","",'Mapa final'!P239)</f>
        <v/>
      </c>
      <c r="N236" s="70"/>
      <c r="O236" s="70"/>
      <c r="P236" s="70"/>
      <c r="Q236" s="177"/>
    </row>
    <row r="237" spans="1:17" ht="43.5" customHeight="1" x14ac:dyDescent="0.25">
      <c r="A237" s="119" t="s">
        <v>769</v>
      </c>
      <c r="B237" s="713"/>
      <c r="C237" s="715"/>
      <c r="D237" s="717"/>
      <c r="E237" s="715"/>
      <c r="F237" s="718"/>
      <c r="G237" s="718"/>
      <c r="H237" s="711"/>
      <c r="I237" s="425" t="str">
        <f>IF('Mapa final'!Y240="","",'Mapa final'!Y240)</f>
        <v/>
      </c>
      <c r="J237" s="425" t="str">
        <f>IF('Mapa final'!AA240="","",'Mapa final'!AA240)</f>
        <v/>
      </c>
      <c r="K237" s="344" t="str">
        <f t="shared" si="3"/>
        <v/>
      </c>
      <c r="L237" s="425" t="str">
        <f>IF('Mapa final'!AD240="","",'Mapa final'!AD240)</f>
        <v/>
      </c>
      <c r="M237" s="345" t="str">
        <f>IF('Mapa final'!P240="","",'Mapa final'!P240)</f>
        <v/>
      </c>
      <c r="N237" s="70"/>
      <c r="O237" s="70"/>
      <c r="P237" s="70"/>
      <c r="Q237" s="177"/>
    </row>
    <row r="238" spans="1:17" ht="43.5" customHeight="1" x14ac:dyDescent="0.25">
      <c r="A238" s="119" t="s">
        <v>770</v>
      </c>
      <c r="B238" s="713"/>
      <c r="C238" s="715"/>
      <c r="D238" s="717"/>
      <c r="E238" s="715"/>
      <c r="F238" s="718"/>
      <c r="G238" s="718"/>
      <c r="H238" s="711"/>
      <c r="I238" s="425" t="str">
        <f>IF('Mapa final'!Y241="","",'Mapa final'!Y241)</f>
        <v/>
      </c>
      <c r="J238" s="425" t="str">
        <f>IF('Mapa final'!AA241="","",'Mapa final'!AA241)</f>
        <v/>
      </c>
      <c r="K238" s="344" t="str">
        <f t="shared" si="3"/>
        <v/>
      </c>
      <c r="L238" s="425" t="str">
        <f>IF('Mapa final'!AD241="","",'Mapa final'!AD241)</f>
        <v/>
      </c>
      <c r="M238" s="345" t="str">
        <f>IF('Mapa final'!P241="","",'Mapa final'!P241)</f>
        <v/>
      </c>
      <c r="N238" s="70"/>
      <c r="O238" s="70"/>
      <c r="P238" s="70"/>
      <c r="Q238" s="177"/>
    </row>
    <row r="239" spans="1:17" ht="43.5" customHeight="1" x14ac:dyDescent="0.25">
      <c r="A239" s="119" t="s">
        <v>771</v>
      </c>
      <c r="B239" s="713"/>
      <c r="C239" s="715"/>
      <c r="D239" s="717"/>
      <c r="E239" s="715"/>
      <c r="F239" s="718"/>
      <c r="G239" s="718"/>
      <c r="H239" s="711"/>
      <c r="I239" s="425" t="str">
        <f>IF('Mapa final'!Y242="","",'Mapa final'!Y242)</f>
        <v/>
      </c>
      <c r="J239" s="425" t="str">
        <f>IF('Mapa final'!AA242="","",'Mapa final'!AA242)</f>
        <v/>
      </c>
      <c r="K239" s="344" t="str">
        <f t="shared" si="3"/>
        <v/>
      </c>
      <c r="L239" s="425" t="str">
        <f>IF('Mapa final'!AD242="","",'Mapa final'!AD242)</f>
        <v/>
      </c>
      <c r="M239" s="345" t="str">
        <f>IF('Mapa final'!P242="","",'Mapa final'!P242)</f>
        <v/>
      </c>
      <c r="N239" s="70"/>
      <c r="O239" s="70"/>
      <c r="P239" s="70"/>
      <c r="Q239" s="177"/>
    </row>
    <row r="240" spans="1:17" ht="43.5" customHeight="1" x14ac:dyDescent="0.25">
      <c r="A240" s="119" t="s">
        <v>772</v>
      </c>
      <c r="B240" s="713"/>
      <c r="C240" s="715"/>
      <c r="D240" s="717"/>
      <c r="E240" s="715"/>
      <c r="F240" s="718"/>
      <c r="G240" s="718"/>
      <c r="H240" s="711"/>
      <c r="I240" s="425" t="str">
        <f>IF('Mapa final'!Y243="","",'Mapa final'!Y243)</f>
        <v/>
      </c>
      <c r="J240" s="425" t="str">
        <f>IF('Mapa final'!AA243="","",'Mapa final'!AA243)</f>
        <v/>
      </c>
      <c r="K240" s="344" t="str">
        <f t="shared" si="3"/>
        <v/>
      </c>
      <c r="L240" s="425" t="str">
        <f>IF('Mapa final'!AD243="","",'Mapa final'!AD243)</f>
        <v/>
      </c>
      <c r="M240" s="345" t="str">
        <f>IF('Mapa final'!P243="","",'Mapa final'!P243)</f>
        <v/>
      </c>
      <c r="N240" s="70"/>
      <c r="O240" s="70"/>
      <c r="P240" s="70"/>
      <c r="Q240" s="177"/>
    </row>
    <row r="241" spans="1:17" ht="43.5" customHeight="1" x14ac:dyDescent="0.25">
      <c r="A241" s="119" t="s">
        <v>773</v>
      </c>
      <c r="B241" s="712"/>
      <c r="C241" s="714" t="str">
        <f>IF('Mapa final'!E244="","",'Mapa final'!E244)</f>
        <v/>
      </c>
      <c r="D241" s="716"/>
      <c r="E241" s="714" t="str">
        <f>IF('Mapa final'!D244="","",'Mapa final'!D244)</f>
        <v/>
      </c>
      <c r="F241" s="718" t="s">
        <v>1266</v>
      </c>
      <c r="G241" s="718" t="s">
        <v>1266</v>
      </c>
      <c r="H241" s="71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final'!Y244="","",'Mapa final'!Y244)</f>
        <v/>
      </c>
      <c r="J241" s="425" t="str">
        <f>IF('Mapa final'!AA244="","",'Mapa final'!AA244)</f>
        <v/>
      </c>
      <c r="K241" s="344" t="str">
        <f t="shared" si="3"/>
        <v/>
      </c>
      <c r="L241" s="425" t="str">
        <f>IF('Mapa final'!AD244="","",'Mapa final'!AD244)</f>
        <v/>
      </c>
      <c r="M241" s="345" t="str">
        <f>IF('Mapa final'!P244="","",'Mapa final'!P244)</f>
        <v/>
      </c>
      <c r="N241" s="70"/>
      <c r="O241" s="70"/>
      <c r="P241" s="70"/>
      <c r="Q241" s="177"/>
    </row>
    <row r="242" spans="1:17" ht="43.5" customHeight="1" x14ac:dyDescent="0.25">
      <c r="A242" s="119" t="s">
        <v>774</v>
      </c>
      <c r="B242" s="713"/>
      <c r="C242" s="715"/>
      <c r="D242" s="717"/>
      <c r="E242" s="715"/>
      <c r="F242" s="718"/>
      <c r="G242" s="718"/>
      <c r="H242" s="711"/>
      <c r="I242" s="425" t="str">
        <f>IF('Mapa final'!Y245="","",'Mapa final'!Y245)</f>
        <v/>
      </c>
      <c r="J242" s="425" t="str">
        <f>IF('Mapa final'!AA245="","",'Mapa final'!AA245)</f>
        <v/>
      </c>
      <c r="K242" s="344" t="str">
        <f t="shared" si="3"/>
        <v/>
      </c>
      <c r="L242" s="425" t="str">
        <f>IF('Mapa final'!AD245="","",'Mapa final'!AD245)</f>
        <v/>
      </c>
      <c r="M242" s="345" t="str">
        <f>IF('Mapa final'!P245="","",'Mapa final'!P245)</f>
        <v/>
      </c>
      <c r="N242" s="70"/>
      <c r="O242" s="70"/>
      <c r="P242" s="70"/>
      <c r="Q242" s="177"/>
    </row>
    <row r="243" spans="1:17" ht="43.5" customHeight="1" x14ac:dyDescent="0.25">
      <c r="A243" s="119" t="s">
        <v>775</v>
      </c>
      <c r="B243" s="713"/>
      <c r="C243" s="715"/>
      <c r="D243" s="717"/>
      <c r="E243" s="715"/>
      <c r="F243" s="718"/>
      <c r="G243" s="718"/>
      <c r="H243" s="711"/>
      <c r="I243" s="425" t="str">
        <f>IF('Mapa final'!Y246="","",'Mapa final'!Y246)</f>
        <v/>
      </c>
      <c r="J243" s="425" t="str">
        <f>IF('Mapa final'!AA246="","",'Mapa final'!AA246)</f>
        <v/>
      </c>
      <c r="K243" s="344" t="str">
        <f t="shared" si="3"/>
        <v/>
      </c>
      <c r="L243" s="425" t="str">
        <f>IF('Mapa final'!AD246="","",'Mapa final'!AD246)</f>
        <v/>
      </c>
      <c r="M243" s="345" t="str">
        <f>IF('Mapa final'!P246="","",'Mapa final'!P246)</f>
        <v/>
      </c>
      <c r="N243" s="70"/>
      <c r="O243" s="70"/>
      <c r="P243" s="70"/>
      <c r="Q243" s="177"/>
    </row>
    <row r="244" spans="1:17" ht="43.5" customHeight="1" x14ac:dyDescent="0.25">
      <c r="A244" s="119" t="s">
        <v>776</v>
      </c>
      <c r="B244" s="713"/>
      <c r="C244" s="715"/>
      <c r="D244" s="717"/>
      <c r="E244" s="715"/>
      <c r="F244" s="718"/>
      <c r="G244" s="718"/>
      <c r="H244" s="711"/>
      <c r="I244" s="425" t="str">
        <f>IF('Mapa final'!Y247="","",'Mapa final'!Y247)</f>
        <v/>
      </c>
      <c r="J244" s="425" t="str">
        <f>IF('Mapa final'!AA247="","",'Mapa final'!AA247)</f>
        <v/>
      </c>
      <c r="K244" s="344" t="str">
        <f t="shared" si="3"/>
        <v/>
      </c>
      <c r="L244" s="425" t="str">
        <f>IF('Mapa final'!AD247="","",'Mapa final'!AD247)</f>
        <v/>
      </c>
      <c r="M244" s="345" t="str">
        <f>IF('Mapa final'!P247="","",'Mapa final'!P247)</f>
        <v/>
      </c>
      <c r="N244" s="70"/>
      <c r="O244" s="70"/>
      <c r="P244" s="70"/>
      <c r="Q244" s="177"/>
    </row>
    <row r="245" spans="1:17" ht="43.5" customHeight="1" x14ac:dyDescent="0.25">
      <c r="A245" s="119" t="s">
        <v>777</v>
      </c>
      <c r="B245" s="713"/>
      <c r="C245" s="715"/>
      <c r="D245" s="717"/>
      <c r="E245" s="715"/>
      <c r="F245" s="718"/>
      <c r="G245" s="718"/>
      <c r="H245" s="711"/>
      <c r="I245" s="425" t="str">
        <f>IF('Mapa final'!Y248="","",'Mapa final'!Y248)</f>
        <v/>
      </c>
      <c r="J245" s="425" t="str">
        <f>IF('Mapa final'!AA248="","",'Mapa final'!AA248)</f>
        <v/>
      </c>
      <c r="K245" s="344" t="str">
        <f t="shared" si="3"/>
        <v/>
      </c>
      <c r="L245" s="425" t="str">
        <f>IF('Mapa final'!AD248="","",'Mapa final'!AD248)</f>
        <v/>
      </c>
      <c r="M245" s="345" t="str">
        <f>IF('Mapa final'!P248="","",'Mapa final'!P248)</f>
        <v/>
      </c>
      <c r="N245" s="70"/>
      <c r="O245" s="70"/>
      <c r="P245" s="70"/>
      <c r="Q245" s="177"/>
    </row>
    <row r="246" spans="1:17" ht="43.5" customHeight="1" x14ac:dyDescent="0.25">
      <c r="A246" s="119" t="s">
        <v>778</v>
      </c>
      <c r="B246" s="713"/>
      <c r="C246" s="715"/>
      <c r="D246" s="717"/>
      <c r="E246" s="715"/>
      <c r="F246" s="718"/>
      <c r="G246" s="718"/>
      <c r="H246" s="711"/>
      <c r="I246" s="425" t="str">
        <f>IF('Mapa final'!Y249="","",'Mapa final'!Y249)</f>
        <v/>
      </c>
      <c r="J246" s="425" t="str">
        <f>IF('Mapa final'!AA249="","",'Mapa final'!AA249)</f>
        <v/>
      </c>
      <c r="K246" s="344" t="str">
        <f t="shared" si="3"/>
        <v/>
      </c>
      <c r="L246" s="425" t="str">
        <f>IF('Mapa final'!AD249="","",'Mapa final'!AD249)</f>
        <v/>
      </c>
      <c r="M246" s="345" t="str">
        <f>IF('Mapa final'!P249="","",'Mapa final'!P249)</f>
        <v/>
      </c>
      <c r="N246" s="70"/>
      <c r="O246" s="70"/>
      <c r="P246" s="70"/>
      <c r="Q246" s="177"/>
    </row>
    <row r="247" spans="1:17" ht="43.5" customHeight="1" x14ac:dyDescent="0.25">
      <c r="A247" s="119" t="s">
        <v>779</v>
      </c>
      <c r="B247" s="712"/>
      <c r="C247" s="714" t="str">
        <f>IF('Mapa final'!E250="","",'Mapa final'!E250)</f>
        <v/>
      </c>
      <c r="D247" s="716"/>
      <c r="E247" s="714" t="str">
        <f>IF('Mapa final'!D250="","",'Mapa final'!D250)</f>
        <v/>
      </c>
      <c r="F247" s="718" t="s">
        <v>1266</v>
      </c>
      <c r="G247" s="718" t="s">
        <v>1266</v>
      </c>
      <c r="H247" s="71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final'!Y250="","",'Mapa final'!Y250)</f>
        <v/>
      </c>
      <c r="J247" s="425" t="str">
        <f>IF('Mapa final'!AA250="","",'Mapa final'!AA250)</f>
        <v/>
      </c>
      <c r="K247" s="344" t="str">
        <f t="shared" si="3"/>
        <v/>
      </c>
      <c r="L247" s="425" t="str">
        <f>IF('Mapa final'!AD250="","",'Mapa final'!AD250)</f>
        <v/>
      </c>
      <c r="M247" s="345" t="str">
        <f>IF('Mapa final'!P250="","",'Mapa final'!P250)</f>
        <v/>
      </c>
      <c r="N247" s="70"/>
      <c r="O247" s="70"/>
      <c r="P247" s="70"/>
      <c r="Q247" s="177"/>
    </row>
    <row r="248" spans="1:17" ht="43.5" customHeight="1" x14ac:dyDescent="0.25">
      <c r="A248" s="119" t="s">
        <v>780</v>
      </c>
      <c r="B248" s="713"/>
      <c r="C248" s="715"/>
      <c r="D248" s="717"/>
      <c r="E248" s="715"/>
      <c r="F248" s="718"/>
      <c r="G248" s="718"/>
      <c r="H248" s="711"/>
      <c r="I248" s="425" t="str">
        <f>IF('Mapa final'!Y251="","",'Mapa final'!Y251)</f>
        <v/>
      </c>
      <c r="J248" s="425" t="str">
        <f>IF('Mapa final'!AA251="","",'Mapa final'!AA251)</f>
        <v/>
      </c>
      <c r="K248" s="344" t="str">
        <f t="shared" si="3"/>
        <v/>
      </c>
      <c r="L248" s="425" t="str">
        <f>IF('Mapa final'!AD251="","",'Mapa final'!AD251)</f>
        <v/>
      </c>
      <c r="M248" s="345" t="str">
        <f>IF('Mapa final'!P251="","",'Mapa final'!P251)</f>
        <v/>
      </c>
      <c r="N248" s="70"/>
      <c r="O248" s="70"/>
      <c r="P248" s="70"/>
      <c r="Q248" s="177"/>
    </row>
    <row r="249" spans="1:17" ht="43.5" customHeight="1" x14ac:dyDescent="0.25">
      <c r="A249" s="119" t="s">
        <v>781</v>
      </c>
      <c r="B249" s="713"/>
      <c r="C249" s="715"/>
      <c r="D249" s="717"/>
      <c r="E249" s="715"/>
      <c r="F249" s="718"/>
      <c r="G249" s="718"/>
      <c r="H249" s="711"/>
      <c r="I249" s="425" t="str">
        <f>IF('Mapa final'!Y252="","",'Mapa final'!Y252)</f>
        <v/>
      </c>
      <c r="J249" s="425" t="str">
        <f>IF('Mapa final'!AA252="","",'Mapa final'!AA252)</f>
        <v/>
      </c>
      <c r="K249" s="344" t="str">
        <f t="shared" si="3"/>
        <v/>
      </c>
      <c r="L249" s="425" t="str">
        <f>IF('Mapa final'!AD252="","",'Mapa final'!AD252)</f>
        <v/>
      </c>
      <c r="M249" s="345" t="str">
        <f>IF('Mapa final'!P252="","",'Mapa final'!P252)</f>
        <v/>
      </c>
      <c r="N249" s="70"/>
      <c r="O249" s="70"/>
      <c r="P249" s="70"/>
      <c r="Q249" s="177"/>
    </row>
    <row r="250" spans="1:17" ht="43.5" customHeight="1" x14ac:dyDescent="0.25">
      <c r="A250" s="119" t="s">
        <v>782</v>
      </c>
      <c r="B250" s="713"/>
      <c r="C250" s="715"/>
      <c r="D250" s="717"/>
      <c r="E250" s="715"/>
      <c r="F250" s="718"/>
      <c r="G250" s="718"/>
      <c r="H250" s="711"/>
      <c r="I250" s="425" t="str">
        <f>IF('Mapa final'!Y253="","",'Mapa final'!Y253)</f>
        <v/>
      </c>
      <c r="J250" s="425" t="str">
        <f>IF('Mapa final'!AA253="","",'Mapa final'!AA253)</f>
        <v/>
      </c>
      <c r="K250" s="344" t="str">
        <f t="shared" si="3"/>
        <v/>
      </c>
      <c r="L250" s="425" t="str">
        <f>IF('Mapa final'!AD253="","",'Mapa final'!AD253)</f>
        <v/>
      </c>
      <c r="M250" s="345" t="str">
        <f>IF('Mapa final'!P253="","",'Mapa final'!P253)</f>
        <v/>
      </c>
      <c r="N250" s="70"/>
      <c r="O250" s="70"/>
      <c r="P250" s="70"/>
      <c r="Q250" s="177"/>
    </row>
    <row r="251" spans="1:17" ht="43.5" customHeight="1" x14ac:dyDescent="0.25">
      <c r="A251" s="119" t="s">
        <v>783</v>
      </c>
      <c r="B251" s="713"/>
      <c r="C251" s="715"/>
      <c r="D251" s="717"/>
      <c r="E251" s="715"/>
      <c r="F251" s="718"/>
      <c r="G251" s="718"/>
      <c r="H251" s="711"/>
      <c r="I251" s="425" t="str">
        <f>IF('Mapa final'!Y254="","",'Mapa final'!Y254)</f>
        <v/>
      </c>
      <c r="J251" s="425" t="str">
        <f>IF('Mapa final'!AA254="","",'Mapa final'!AA254)</f>
        <v/>
      </c>
      <c r="K251" s="344" t="str">
        <f t="shared" si="3"/>
        <v/>
      </c>
      <c r="L251" s="425" t="str">
        <f>IF('Mapa final'!AD254="","",'Mapa final'!AD254)</f>
        <v/>
      </c>
      <c r="M251" s="345" t="str">
        <f>IF('Mapa final'!P254="","",'Mapa final'!P254)</f>
        <v/>
      </c>
      <c r="N251" s="70"/>
      <c r="O251" s="70"/>
      <c r="P251" s="70"/>
      <c r="Q251" s="177"/>
    </row>
    <row r="252" spans="1:17" ht="43.5" customHeight="1" x14ac:dyDescent="0.25">
      <c r="A252" s="119" t="s">
        <v>784</v>
      </c>
      <c r="B252" s="713"/>
      <c r="C252" s="715"/>
      <c r="D252" s="717"/>
      <c r="E252" s="715"/>
      <c r="F252" s="718"/>
      <c r="G252" s="718"/>
      <c r="H252" s="711"/>
      <c r="I252" s="425" t="str">
        <f>IF('Mapa final'!Y255="","",'Mapa final'!Y255)</f>
        <v/>
      </c>
      <c r="J252" s="425" t="str">
        <f>IF('Mapa final'!AA255="","",'Mapa final'!AA255)</f>
        <v/>
      </c>
      <c r="K252" s="344" t="str">
        <f t="shared" si="3"/>
        <v/>
      </c>
      <c r="L252" s="425" t="str">
        <f>IF('Mapa final'!AD255="","",'Mapa final'!AD255)</f>
        <v/>
      </c>
      <c r="M252" s="345" t="str">
        <f>IF('Mapa final'!P255="","",'Mapa final'!P255)</f>
        <v/>
      </c>
      <c r="N252" s="70"/>
      <c r="O252" s="70"/>
      <c r="P252" s="70"/>
      <c r="Q252" s="177"/>
    </row>
    <row r="253" spans="1:17" ht="43.5" customHeight="1" x14ac:dyDescent="0.25">
      <c r="A253" s="119" t="s">
        <v>785</v>
      </c>
      <c r="B253" s="712"/>
      <c r="C253" s="714" t="str">
        <f>IF('Mapa final'!E256="","",'Mapa final'!E256)</f>
        <v/>
      </c>
      <c r="D253" s="716"/>
      <c r="E253" s="714" t="s">
        <v>1266</v>
      </c>
      <c r="F253" s="718" t="s">
        <v>1266</v>
      </c>
      <c r="G253" s="718" t="s">
        <v>1266</v>
      </c>
      <c r="H253" s="71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final'!Y256="","",'Mapa final'!Y256)</f>
        <v/>
      </c>
      <c r="J253" s="425" t="str">
        <f>IF('Mapa final'!AA256="","",'Mapa final'!AA256)</f>
        <v/>
      </c>
      <c r="K253" s="344" t="str">
        <f t="shared" si="3"/>
        <v/>
      </c>
      <c r="L253" s="425" t="str">
        <f>IF('Mapa final'!AD256="","",'Mapa final'!AD256)</f>
        <v/>
      </c>
      <c r="M253" s="345" t="str">
        <f>IF('Mapa final'!P256="","",'Mapa final'!P256)</f>
        <v/>
      </c>
      <c r="N253" s="70"/>
      <c r="O253" s="70"/>
      <c r="P253" s="70"/>
      <c r="Q253" s="177"/>
    </row>
    <row r="254" spans="1:17" ht="43.5" customHeight="1" x14ac:dyDescent="0.25">
      <c r="A254" s="119" t="s">
        <v>786</v>
      </c>
      <c r="B254" s="713"/>
      <c r="C254" s="715"/>
      <c r="D254" s="717"/>
      <c r="E254" s="715"/>
      <c r="F254" s="718"/>
      <c r="G254" s="718"/>
      <c r="H254" s="711"/>
      <c r="I254" s="425" t="str">
        <f>IF('Mapa final'!Y257="","",'Mapa final'!Y257)</f>
        <v/>
      </c>
      <c r="J254" s="425" t="str">
        <f>IF('Mapa final'!AA257="","",'Mapa final'!AA257)</f>
        <v/>
      </c>
      <c r="K254" s="344" t="str">
        <f t="shared" si="3"/>
        <v/>
      </c>
      <c r="L254" s="425" t="str">
        <f>IF('Mapa final'!AD257="","",'Mapa final'!AD257)</f>
        <v/>
      </c>
      <c r="M254" s="345" t="str">
        <f>IF('Mapa final'!P257="","",'Mapa final'!P257)</f>
        <v/>
      </c>
      <c r="N254" s="70"/>
      <c r="O254" s="70"/>
      <c r="P254" s="70"/>
      <c r="Q254" s="177"/>
    </row>
    <row r="255" spans="1:17" ht="43.5" customHeight="1" x14ac:dyDescent="0.25">
      <c r="A255" s="119" t="s">
        <v>787</v>
      </c>
      <c r="B255" s="713"/>
      <c r="C255" s="715"/>
      <c r="D255" s="717"/>
      <c r="E255" s="715"/>
      <c r="F255" s="718"/>
      <c r="G255" s="718"/>
      <c r="H255" s="711"/>
      <c r="I255" s="425" t="str">
        <f>IF('Mapa final'!Y258="","",'Mapa final'!Y258)</f>
        <v/>
      </c>
      <c r="J255" s="425" t="str">
        <f>IF('Mapa final'!AA258="","",'Mapa final'!AA258)</f>
        <v/>
      </c>
      <c r="K255" s="344" t="str">
        <f t="shared" si="3"/>
        <v/>
      </c>
      <c r="L255" s="425" t="str">
        <f>IF('Mapa final'!AD258="","",'Mapa final'!AD258)</f>
        <v/>
      </c>
      <c r="M255" s="345" t="str">
        <f>IF('Mapa final'!P258="","",'Mapa final'!P258)</f>
        <v/>
      </c>
      <c r="N255" s="70"/>
      <c r="O255" s="70"/>
      <c r="P255" s="70"/>
      <c r="Q255" s="177"/>
    </row>
    <row r="256" spans="1:17" ht="43.5" customHeight="1" x14ac:dyDescent="0.25">
      <c r="A256" s="119" t="s">
        <v>788</v>
      </c>
      <c r="B256" s="713"/>
      <c r="C256" s="715"/>
      <c r="D256" s="717"/>
      <c r="E256" s="715"/>
      <c r="F256" s="718"/>
      <c r="G256" s="718"/>
      <c r="H256" s="711"/>
      <c r="I256" s="425" t="str">
        <f>IF('Mapa final'!Y259="","",'Mapa final'!Y259)</f>
        <v/>
      </c>
      <c r="J256" s="425" t="str">
        <f>IF('Mapa final'!AA259="","",'Mapa final'!AA259)</f>
        <v/>
      </c>
      <c r="K256" s="344" t="str">
        <f t="shared" si="3"/>
        <v/>
      </c>
      <c r="L256" s="425" t="str">
        <f>IF('Mapa final'!AD259="","",'Mapa final'!AD259)</f>
        <v/>
      </c>
      <c r="M256" s="345" t="str">
        <f>IF('Mapa final'!P259="","",'Mapa final'!P259)</f>
        <v/>
      </c>
      <c r="N256" s="70"/>
      <c r="O256" s="70"/>
      <c r="P256" s="70"/>
      <c r="Q256" s="177"/>
    </row>
    <row r="257" spans="1:17" ht="43.5" customHeight="1" x14ac:dyDescent="0.25">
      <c r="A257" s="119" t="s">
        <v>789</v>
      </c>
      <c r="B257" s="713"/>
      <c r="C257" s="715"/>
      <c r="D257" s="717"/>
      <c r="E257" s="715"/>
      <c r="F257" s="718"/>
      <c r="G257" s="718"/>
      <c r="H257" s="711"/>
      <c r="I257" s="425" t="str">
        <f>IF('Mapa final'!Y260="","",'Mapa final'!Y260)</f>
        <v/>
      </c>
      <c r="J257" s="425" t="str">
        <f>IF('Mapa final'!AA260="","",'Mapa final'!AA260)</f>
        <v/>
      </c>
      <c r="K257" s="344" t="str">
        <f t="shared" si="3"/>
        <v/>
      </c>
      <c r="L257" s="425" t="str">
        <f>IF('Mapa final'!AD260="","",'Mapa final'!AD260)</f>
        <v/>
      </c>
      <c r="M257" s="345" t="str">
        <f>IF('Mapa final'!P260="","",'Mapa final'!P260)</f>
        <v/>
      </c>
      <c r="N257" s="70"/>
      <c r="O257" s="70"/>
      <c r="P257" s="70"/>
      <c r="Q257" s="177"/>
    </row>
    <row r="258" spans="1:17" ht="43.5" customHeight="1" x14ac:dyDescent="0.25">
      <c r="A258" s="119" t="s">
        <v>790</v>
      </c>
      <c r="B258" s="713"/>
      <c r="C258" s="715"/>
      <c r="D258" s="717"/>
      <c r="E258" s="715"/>
      <c r="F258" s="718"/>
      <c r="G258" s="718"/>
      <c r="H258" s="711"/>
      <c r="I258" s="425" t="str">
        <f>IF('Mapa final'!Y261="","",'Mapa final'!Y261)</f>
        <v/>
      </c>
      <c r="J258" s="425" t="str">
        <f>IF('Mapa final'!AA261="","",'Mapa final'!AA261)</f>
        <v/>
      </c>
      <c r="K258" s="344" t="str">
        <f t="shared" si="3"/>
        <v/>
      </c>
      <c r="L258" s="425" t="str">
        <f>IF('Mapa final'!AD261="","",'Mapa final'!AD261)</f>
        <v/>
      </c>
      <c r="M258" s="345" t="str">
        <f>IF('Mapa final'!P261="","",'Mapa final'!P261)</f>
        <v/>
      </c>
      <c r="N258" s="70"/>
      <c r="O258" s="70"/>
      <c r="P258" s="70"/>
      <c r="Q258" s="177"/>
    </row>
    <row r="259" spans="1:17" ht="43.5" customHeight="1" x14ac:dyDescent="0.25">
      <c r="A259" s="119" t="s">
        <v>791</v>
      </c>
      <c r="B259" s="712"/>
      <c r="C259" s="714" t="str">
        <f>IF('Mapa final'!E262="","",'Mapa final'!E262)</f>
        <v/>
      </c>
      <c r="D259" s="716"/>
      <c r="E259" s="714" t="s">
        <v>1266</v>
      </c>
      <c r="F259" s="718" t="s">
        <v>1266</v>
      </c>
      <c r="G259" s="718" t="s">
        <v>1266</v>
      </c>
      <c r="H259" s="71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final'!Y262="","",'Mapa final'!Y262)</f>
        <v/>
      </c>
      <c r="J259" s="425" t="str">
        <f>IF('Mapa final'!AA262="","",'Mapa final'!AA262)</f>
        <v/>
      </c>
      <c r="K259" s="344" t="str">
        <f t="shared" si="3"/>
        <v/>
      </c>
      <c r="L259" s="425" t="str">
        <f>IF('Mapa final'!AD262="","",'Mapa final'!AD262)</f>
        <v/>
      </c>
      <c r="M259" s="345" t="str">
        <f>IF('Mapa final'!P262="","",'Mapa final'!P262)</f>
        <v/>
      </c>
      <c r="N259" s="70"/>
      <c r="O259" s="70"/>
      <c r="P259" s="70"/>
      <c r="Q259" s="177"/>
    </row>
    <row r="260" spans="1:17" ht="43.5" customHeight="1" x14ac:dyDescent="0.25">
      <c r="A260" s="119" t="s">
        <v>792</v>
      </c>
      <c r="B260" s="713"/>
      <c r="C260" s="715"/>
      <c r="D260" s="717"/>
      <c r="E260" s="715"/>
      <c r="F260" s="718"/>
      <c r="G260" s="718"/>
      <c r="H260" s="711"/>
      <c r="I260" s="425" t="str">
        <f>IF('Mapa final'!Y263="","",'Mapa final'!Y263)</f>
        <v/>
      </c>
      <c r="J260" s="425" t="str">
        <f>IF('Mapa final'!AA263="","",'Mapa final'!AA263)</f>
        <v/>
      </c>
      <c r="K260" s="344" t="str">
        <f t="shared" si="3"/>
        <v/>
      </c>
      <c r="L260" s="425" t="str">
        <f>IF('Mapa final'!AD263="","",'Mapa final'!AD263)</f>
        <v/>
      </c>
      <c r="M260" s="345" t="str">
        <f>IF('Mapa final'!P263="","",'Mapa final'!P263)</f>
        <v/>
      </c>
      <c r="N260" s="70"/>
      <c r="O260" s="70"/>
      <c r="P260" s="70"/>
      <c r="Q260" s="177"/>
    </row>
    <row r="261" spans="1:17" ht="43.5" customHeight="1" x14ac:dyDescent="0.25">
      <c r="A261" s="119" t="s">
        <v>793</v>
      </c>
      <c r="B261" s="713"/>
      <c r="C261" s="715"/>
      <c r="D261" s="717"/>
      <c r="E261" s="715"/>
      <c r="F261" s="718"/>
      <c r="G261" s="718"/>
      <c r="H261" s="711"/>
      <c r="I261" s="425" t="str">
        <f>IF('Mapa final'!Y264="","",'Mapa final'!Y264)</f>
        <v/>
      </c>
      <c r="J261" s="425" t="str">
        <f>IF('Mapa final'!AA264="","",'Mapa final'!AA264)</f>
        <v/>
      </c>
      <c r="K261" s="344" t="str">
        <f t="shared" si="3"/>
        <v/>
      </c>
      <c r="L261" s="425" t="str">
        <f>IF('Mapa final'!AD264="","",'Mapa final'!AD264)</f>
        <v/>
      </c>
      <c r="M261" s="345" t="str">
        <f>IF('Mapa final'!P264="","",'Mapa final'!P264)</f>
        <v/>
      </c>
      <c r="N261" s="70"/>
      <c r="O261" s="70"/>
      <c r="P261" s="70"/>
      <c r="Q261" s="177"/>
    </row>
    <row r="262" spans="1:17" ht="43.5" customHeight="1" x14ac:dyDescent="0.25">
      <c r="A262" s="119" t="s">
        <v>794</v>
      </c>
      <c r="B262" s="713"/>
      <c r="C262" s="715"/>
      <c r="D262" s="717"/>
      <c r="E262" s="715"/>
      <c r="F262" s="718"/>
      <c r="G262" s="718"/>
      <c r="H262" s="711"/>
      <c r="I262" s="425" t="str">
        <f>IF('Mapa final'!Y265="","",'Mapa final'!Y265)</f>
        <v/>
      </c>
      <c r="J262" s="425" t="str">
        <f>IF('Mapa final'!AA265="","",'Mapa final'!AA265)</f>
        <v/>
      </c>
      <c r="K262" s="344" t="str">
        <f t="shared" si="3"/>
        <v/>
      </c>
      <c r="L262" s="425" t="str">
        <f>IF('Mapa final'!AD265="","",'Mapa final'!AD265)</f>
        <v/>
      </c>
      <c r="M262" s="345" t="str">
        <f>IF('Mapa final'!P265="","",'Mapa final'!P265)</f>
        <v/>
      </c>
      <c r="N262" s="70"/>
      <c r="O262" s="70"/>
      <c r="P262" s="70"/>
      <c r="Q262" s="177"/>
    </row>
    <row r="263" spans="1:17" ht="43.5" customHeight="1" x14ac:dyDescent="0.25">
      <c r="A263" s="119" t="s">
        <v>795</v>
      </c>
      <c r="B263" s="713"/>
      <c r="C263" s="715"/>
      <c r="D263" s="717"/>
      <c r="E263" s="715"/>
      <c r="F263" s="718"/>
      <c r="G263" s="718"/>
      <c r="H263" s="711"/>
      <c r="I263" s="425" t="str">
        <f>IF('Mapa final'!Y266="","",'Mapa final'!Y266)</f>
        <v/>
      </c>
      <c r="J263" s="425" t="str">
        <f>IF('Mapa final'!AA266="","",'Mapa final'!AA266)</f>
        <v/>
      </c>
      <c r="K263" s="344" t="str">
        <f t="shared" si="3"/>
        <v/>
      </c>
      <c r="L263" s="425" t="str">
        <f>IF('Mapa final'!AD266="","",'Mapa final'!AD266)</f>
        <v/>
      </c>
      <c r="M263" s="345" t="str">
        <f>IF('Mapa final'!P266="","",'Mapa final'!P266)</f>
        <v/>
      </c>
      <c r="N263" s="70"/>
      <c r="O263" s="70"/>
      <c r="P263" s="70"/>
      <c r="Q263" s="177"/>
    </row>
    <row r="264" spans="1:17" ht="43.5" customHeight="1" x14ac:dyDescent="0.25">
      <c r="A264" s="119" t="s">
        <v>796</v>
      </c>
      <c r="B264" s="713"/>
      <c r="C264" s="715"/>
      <c r="D264" s="717"/>
      <c r="E264" s="715"/>
      <c r="F264" s="718"/>
      <c r="G264" s="718"/>
      <c r="H264" s="711"/>
      <c r="I264" s="425" t="str">
        <f>IF('Mapa final'!Y267="","",'Mapa final'!Y267)</f>
        <v/>
      </c>
      <c r="J264" s="425" t="str">
        <f>IF('Mapa final'!AA267="","",'Mapa final'!AA267)</f>
        <v/>
      </c>
      <c r="K264" s="34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final'!AD267="","",'Mapa final'!AD267)</f>
        <v/>
      </c>
      <c r="M264" s="345" t="str">
        <f>IF('Mapa final'!P267="","",'Mapa final'!P267)</f>
        <v/>
      </c>
      <c r="N264" s="70"/>
      <c r="O264" s="70"/>
      <c r="P264" s="70"/>
      <c r="Q264" s="177"/>
    </row>
    <row r="265" spans="1:17" ht="43.5" customHeight="1" x14ac:dyDescent="0.25">
      <c r="A265" s="119" t="s">
        <v>797</v>
      </c>
      <c r="B265" s="712"/>
      <c r="C265" s="714" t="str">
        <f>IF('Mapa final'!E268="","",'Mapa final'!E268)</f>
        <v/>
      </c>
      <c r="D265" s="716"/>
      <c r="E265" s="714" t="s">
        <v>1266</v>
      </c>
      <c r="F265" s="718" t="s">
        <v>1266</v>
      </c>
      <c r="G265" s="718" t="s">
        <v>1266</v>
      </c>
      <c r="H265" s="71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final'!Y268="","",'Mapa final'!Y268)</f>
        <v/>
      </c>
      <c r="J265" s="425" t="str">
        <f>IF('Mapa final'!AA268="","",'Mapa final'!AA268)</f>
        <v/>
      </c>
      <c r="K265" s="344" t="str">
        <f t="shared" si="4"/>
        <v/>
      </c>
      <c r="L265" s="425" t="str">
        <f>IF('Mapa final'!AD268="","",'Mapa final'!AD268)</f>
        <v/>
      </c>
      <c r="M265" s="345" t="str">
        <f>IF('Mapa final'!P268="","",'Mapa final'!P268)</f>
        <v/>
      </c>
      <c r="N265" s="70"/>
      <c r="O265" s="70"/>
      <c r="P265" s="70"/>
      <c r="Q265" s="177"/>
    </row>
    <row r="266" spans="1:17" ht="43.5" customHeight="1" x14ac:dyDescent="0.25">
      <c r="A266" s="119" t="s">
        <v>798</v>
      </c>
      <c r="B266" s="713"/>
      <c r="C266" s="715"/>
      <c r="D266" s="717"/>
      <c r="E266" s="715"/>
      <c r="F266" s="718"/>
      <c r="G266" s="718"/>
      <c r="H266" s="711"/>
      <c r="I266" s="425" t="str">
        <f>IF('Mapa final'!Y269="","",'Mapa final'!Y269)</f>
        <v/>
      </c>
      <c r="J266" s="425" t="str">
        <f>IF('Mapa final'!AA269="","",'Mapa final'!AA269)</f>
        <v/>
      </c>
      <c r="K266" s="344" t="str">
        <f t="shared" si="4"/>
        <v/>
      </c>
      <c r="L266" s="425" t="str">
        <f>IF('Mapa final'!AD269="","",'Mapa final'!AD269)</f>
        <v/>
      </c>
      <c r="M266" s="345" t="str">
        <f>IF('Mapa final'!P269="","",'Mapa final'!P269)</f>
        <v/>
      </c>
      <c r="N266" s="70"/>
      <c r="O266" s="70"/>
      <c r="P266" s="70"/>
      <c r="Q266" s="177"/>
    </row>
    <row r="267" spans="1:17" ht="43.5" customHeight="1" x14ac:dyDescent="0.25">
      <c r="A267" s="119" t="s">
        <v>799</v>
      </c>
      <c r="B267" s="713"/>
      <c r="C267" s="715"/>
      <c r="D267" s="717"/>
      <c r="E267" s="715"/>
      <c r="F267" s="718"/>
      <c r="G267" s="718"/>
      <c r="H267" s="711"/>
      <c r="I267" s="425" t="str">
        <f>IF('Mapa final'!Y270="","",'Mapa final'!Y270)</f>
        <v/>
      </c>
      <c r="J267" s="425" t="str">
        <f>IF('Mapa final'!AA270="","",'Mapa final'!AA270)</f>
        <v/>
      </c>
      <c r="K267" s="344" t="str">
        <f t="shared" si="4"/>
        <v/>
      </c>
      <c r="L267" s="425" t="str">
        <f>IF('Mapa final'!AD270="","",'Mapa final'!AD270)</f>
        <v/>
      </c>
      <c r="M267" s="345" t="str">
        <f>IF('Mapa final'!P270="","",'Mapa final'!P270)</f>
        <v/>
      </c>
      <c r="N267" s="70"/>
      <c r="O267" s="70"/>
      <c r="P267" s="70"/>
      <c r="Q267" s="177"/>
    </row>
    <row r="268" spans="1:17" ht="43.5" customHeight="1" x14ac:dyDescent="0.25">
      <c r="A268" s="119" t="s">
        <v>800</v>
      </c>
      <c r="B268" s="713"/>
      <c r="C268" s="715"/>
      <c r="D268" s="717"/>
      <c r="E268" s="715"/>
      <c r="F268" s="718"/>
      <c r="G268" s="718"/>
      <c r="H268" s="711"/>
      <c r="I268" s="425" t="str">
        <f>IF('Mapa final'!Y271="","",'Mapa final'!Y271)</f>
        <v/>
      </c>
      <c r="J268" s="425" t="str">
        <f>IF('Mapa final'!AA271="","",'Mapa final'!AA271)</f>
        <v/>
      </c>
      <c r="K268" s="344" t="str">
        <f t="shared" si="4"/>
        <v/>
      </c>
      <c r="L268" s="425" t="str">
        <f>IF('Mapa final'!AD271="","",'Mapa final'!AD271)</f>
        <v/>
      </c>
      <c r="M268" s="345" t="str">
        <f>IF('Mapa final'!P271="","",'Mapa final'!P271)</f>
        <v/>
      </c>
      <c r="N268" s="70"/>
      <c r="O268" s="70"/>
      <c r="P268" s="70"/>
      <c r="Q268" s="177"/>
    </row>
    <row r="269" spans="1:17" ht="43.5" customHeight="1" x14ac:dyDescent="0.25">
      <c r="A269" s="119" t="s">
        <v>801</v>
      </c>
      <c r="B269" s="713"/>
      <c r="C269" s="715"/>
      <c r="D269" s="717"/>
      <c r="E269" s="715"/>
      <c r="F269" s="718"/>
      <c r="G269" s="718"/>
      <c r="H269" s="711"/>
      <c r="I269" s="425" t="str">
        <f>IF('Mapa final'!Y272="","",'Mapa final'!Y272)</f>
        <v/>
      </c>
      <c r="J269" s="425" t="str">
        <f>IF('Mapa final'!AA272="","",'Mapa final'!AA272)</f>
        <v/>
      </c>
      <c r="K269" s="344" t="str">
        <f t="shared" si="4"/>
        <v/>
      </c>
      <c r="L269" s="425" t="str">
        <f>IF('Mapa final'!AD272="","",'Mapa final'!AD272)</f>
        <v/>
      </c>
      <c r="M269" s="345" t="str">
        <f>IF('Mapa final'!P272="","",'Mapa final'!P272)</f>
        <v/>
      </c>
      <c r="N269" s="70"/>
      <c r="O269" s="70"/>
      <c r="P269" s="70"/>
      <c r="Q269" s="177"/>
    </row>
    <row r="270" spans="1:17" ht="43.5" customHeight="1" x14ac:dyDescent="0.25">
      <c r="A270" s="119" t="s">
        <v>802</v>
      </c>
      <c r="B270" s="713"/>
      <c r="C270" s="715"/>
      <c r="D270" s="717"/>
      <c r="E270" s="715"/>
      <c r="F270" s="718"/>
      <c r="G270" s="718"/>
      <c r="H270" s="711"/>
      <c r="I270" s="425" t="str">
        <f>IF('Mapa final'!Y273="","",'Mapa final'!Y273)</f>
        <v/>
      </c>
      <c r="J270" s="425" t="str">
        <f>IF('Mapa final'!AA273="","",'Mapa final'!AA273)</f>
        <v/>
      </c>
      <c r="K270" s="344" t="str">
        <f t="shared" si="4"/>
        <v/>
      </c>
      <c r="L270" s="425" t="str">
        <f>IF('Mapa final'!AD273="","",'Mapa final'!AD273)</f>
        <v/>
      </c>
      <c r="M270" s="345" t="str">
        <f>IF('Mapa final'!P273="","",'Mapa final'!P273)</f>
        <v/>
      </c>
      <c r="N270" s="70"/>
      <c r="O270" s="70"/>
      <c r="P270" s="70"/>
      <c r="Q270" s="177"/>
    </row>
    <row r="271" spans="1:17" ht="43.5" customHeight="1" x14ac:dyDescent="0.25">
      <c r="A271" s="119" t="s">
        <v>803</v>
      </c>
      <c r="B271" s="712"/>
      <c r="C271" s="714" t="str">
        <f>IF('Mapa final'!E274="","",'Mapa final'!E274)</f>
        <v/>
      </c>
      <c r="D271" s="716"/>
      <c r="E271" s="714" t="s">
        <v>1266</v>
      </c>
      <c r="F271" s="718" t="s">
        <v>1266</v>
      </c>
      <c r="G271" s="718" t="s">
        <v>1266</v>
      </c>
      <c r="H271" s="71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final'!Y274="","",'Mapa final'!Y274)</f>
        <v/>
      </c>
      <c r="J271" s="425" t="str">
        <f>IF('Mapa final'!AA274="","",'Mapa final'!AA274)</f>
        <v/>
      </c>
      <c r="K271" s="344" t="str">
        <f t="shared" si="4"/>
        <v/>
      </c>
      <c r="L271" s="425" t="str">
        <f>IF('Mapa final'!AD274="","",'Mapa final'!AD274)</f>
        <v/>
      </c>
      <c r="M271" s="345" t="str">
        <f>IF('Mapa final'!P274="","",'Mapa final'!P274)</f>
        <v/>
      </c>
      <c r="N271" s="70"/>
      <c r="O271" s="70"/>
      <c r="P271" s="70"/>
      <c r="Q271" s="177"/>
    </row>
    <row r="272" spans="1:17" ht="43.5" customHeight="1" x14ac:dyDescent="0.25">
      <c r="A272" s="119" t="s">
        <v>804</v>
      </c>
      <c r="B272" s="713"/>
      <c r="C272" s="715"/>
      <c r="D272" s="717"/>
      <c r="E272" s="715"/>
      <c r="F272" s="718"/>
      <c r="G272" s="718"/>
      <c r="H272" s="711"/>
      <c r="I272" s="425" t="str">
        <f>IF('Mapa final'!Y275="","",'Mapa final'!Y275)</f>
        <v/>
      </c>
      <c r="J272" s="425" t="str">
        <f>IF('Mapa final'!AA275="","",'Mapa final'!AA275)</f>
        <v/>
      </c>
      <c r="K272" s="344" t="str">
        <f t="shared" si="4"/>
        <v/>
      </c>
      <c r="L272" s="425" t="str">
        <f>IF('Mapa final'!AD275="","",'Mapa final'!AD275)</f>
        <v/>
      </c>
      <c r="M272" s="345" t="str">
        <f>IF('Mapa final'!P275="","",'Mapa final'!P275)</f>
        <v/>
      </c>
      <c r="N272" s="70"/>
      <c r="O272" s="70"/>
      <c r="P272" s="70"/>
      <c r="Q272" s="177"/>
    </row>
    <row r="273" spans="1:17" ht="43.5" customHeight="1" x14ac:dyDescent="0.25">
      <c r="A273" s="119" t="s">
        <v>805</v>
      </c>
      <c r="B273" s="713"/>
      <c r="C273" s="715"/>
      <c r="D273" s="717"/>
      <c r="E273" s="715"/>
      <c r="F273" s="718"/>
      <c r="G273" s="718"/>
      <c r="H273" s="711"/>
      <c r="I273" s="425" t="str">
        <f>IF('Mapa final'!Y276="","",'Mapa final'!Y276)</f>
        <v/>
      </c>
      <c r="J273" s="425" t="str">
        <f>IF('Mapa final'!AA276="","",'Mapa final'!AA276)</f>
        <v/>
      </c>
      <c r="K273" s="344" t="str">
        <f t="shared" si="4"/>
        <v/>
      </c>
      <c r="L273" s="425" t="str">
        <f>IF('Mapa final'!AD276="","",'Mapa final'!AD276)</f>
        <v/>
      </c>
      <c r="M273" s="345" t="str">
        <f>IF('Mapa final'!P276="","",'Mapa final'!P276)</f>
        <v/>
      </c>
      <c r="N273" s="70"/>
      <c r="O273" s="70"/>
      <c r="P273" s="70"/>
      <c r="Q273" s="177"/>
    </row>
    <row r="274" spans="1:17" ht="43.5" customHeight="1" x14ac:dyDescent="0.25">
      <c r="A274" s="119" t="s">
        <v>806</v>
      </c>
      <c r="B274" s="713"/>
      <c r="C274" s="715"/>
      <c r="D274" s="717"/>
      <c r="E274" s="715"/>
      <c r="F274" s="718"/>
      <c r="G274" s="718"/>
      <c r="H274" s="711"/>
      <c r="I274" s="425" t="str">
        <f>IF('Mapa final'!Y277="","",'Mapa final'!Y277)</f>
        <v/>
      </c>
      <c r="J274" s="425" t="str">
        <f>IF('Mapa final'!AA277="","",'Mapa final'!AA277)</f>
        <v/>
      </c>
      <c r="K274" s="344" t="str">
        <f t="shared" si="4"/>
        <v/>
      </c>
      <c r="L274" s="425" t="str">
        <f>IF('Mapa final'!AD277="","",'Mapa final'!AD277)</f>
        <v/>
      </c>
      <c r="M274" s="345" t="str">
        <f>IF('Mapa final'!P277="","",'Mapa final'!P277)</f>
        <v/>
      </c>
      <c r="N274" s="70"/>
      <c r="O274" s="70"/>
      <c r="P274" s="70"/>
      <c r="Q274" s="177"/>
    </row>
    <row r="275" spans="1:17" ht="43.5" customHeight="1" x14ac:dyDescent="0.25">
      <c r="A275" s="119" t="s">
        <v>807</v>
      </c>
      <c r="B275" s="713"/>
      <c r="C275" s="715"/>
      <c r="D275" s="717"/>
      <c r="E275" s="715"/>
      <c r="F275" s="718"/>
      <c r="G275" s="718"/>
      <c r="H275" s="711"/>
      <c r="I275" s="425" t="str">
        <f>IF('Mapa final'!Y278="","",'Mapa final'!Y278)</f>
        <v/>
      </c>
      <c r="J275" s="425" t="str">
        <f>IF('Mapa final'!AA278="","",'Mapa final'!AA278)</f>
        <v/>
      </c>
      <c r="K275" s="344" t="str">
        <f t="shared" si="4"/>
        <v/>
      </c>
      <c r="L275" s="425" t="str">
        <f>IF('Mapa final'!AD278="","",'Mapa final'!AD278)</f>
        <v/>
      </c>
      <c r="M275" s="345" t="str">
        <f>IF('Mapa final'!P278="","",'Mapa final'!P278)</f>
        <v/>
      </c>
      <c r="N275" s="70"/>
      <c r="O275" s="70"/>
      <c r="P275" s="70"/>
      <c r="Q275" s="177"/>
    </row>
    <row r="276" spans="1:17" ht="43.5" customHeight="1" x14ac:dyDescent="0.25">
      <c r="A276" s="119" t="s">
        <v>808</v>
      </c>
      <c r="B276" s="713"/>
      <c r="C276" s="715"/>
      <c r="D276" s="717"/>
      <c r="E276" s="715"/>
      <c r="F276" s="718"/>
      <c r="G276" s="718"/>
      <c r="H276" s="711"/>
      <c r="I276" s="425" t="str">
        <f>IF('Mapa final'!Y279="","",'Mapa final'!Y279)</f>
        <v/>
      </c>
      <c r="J276" s="425" t="str">
        <f>IF('Mapa final'!AA279="","",'Mapa final'!AA279)</f>
        <v/>
      </c>
      <c r="K276" s="344" t="str">
        <f t="shared" si="4"/>
        <v/>
      </c>
      <c r="L276" s="425" t="str">
        <f>IF('Mapa final'!AD279="","",'Mapa final'!AD279)</f>
        <v/>
      </c>
      <c r="M276" s="345" t="str">
        <f>IF('Mapa final'!P279="","",'Mapa final'!P279)</f>
        <v/>
      </c>
      <c r="N276" s="70"/>
      <c r="O276" s="70"/>
      <c r="P276" s="70"/>
      <c r="Q276" s="177"/>
    </row>
    <row r="277" spans="1:17" ht="43.5" customHeight="1" x14ac:dyDescent="0.25">
      <c r="A277" s="119" t="s">
        <v>809</v>
      </c>
      <c r="B277" s="712"/>
      <c r="C277" s="714" t="str">
        <f>IF('Mapa final'!E280="","",'Mapa final'!E280)</f>
        <v/>
      </c>
      <c r="D277" s="716"/>
      <c r="E277" s="714" t="s">
        <v>1266</v>
      </c>
      <c r="F277" s="718" t="s">
        <v>1266</v>
      </c>
      <c r="G277" s="718" t="s">
        <v>1266</v>
      </c>
      <c r="H277" s="71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final'!Y280="","",'Mapa final'!Y280)</f>
        <v/>
      </c>
      <c r="J277" s="425" t="str">
        <f>IF('Mapa final'!AA280="","",'Mapa final'!AA280)</f>
        <v/>
      </c>
      <c r="K277" s="344" t="str">
        <f t="shared" si="4"/>
        <v/>
      </c>
      <c r="L277" s="425" t="str">
        <f>IF('Mapa final'!AD280="","",'Mapa final'!AD280)</f>
        <v/>
      </c>
      <c r="M277" s="345" t="str">
        <f>IF('Mapa final'!P280="","",'Mapa final'!P280)</f>
        <v/>
      </c>
      <c r="N277" s="70"/>
      <c r="O277" s="70"/>
      <c r="P277" s="70"/>
      <c r="Q277" s="177"/>
    </row>
    <row r="278" spans="1:17" ht="43.5" customHeight="1" x14ac:dyDescent="0.25">
      <c r="A278" s="119" t="s">
        <v>810</v>
      </c>
      <c r="B278" s="713"/>
      <c r="C278" s="715"/>
      <c r="D278" s="717"/>
      <c r="E278" s="715"/>
      <c r="F278" s="718"/>
      <c r="G278" s="718"/>
      <c r="H278" s="711"/>
      <c r="I278" s="425" t="str">
        <f>IF('Mapa final'!Y281="","",'Mapa final'!Y281)</f>
        <v/>
      </c>
      <c r="J278" s="425" t="str">
        <f>IF('Mapa final'!AA281="","",'Mapa final'!AA281)</f>
        <v/>
      </c>
      <c r="K278" s="344" t="str">
        <f t="shared" si="4"/>
        <v/>
      </c>
      <c r="L278" s="425" t="str">
        <f>IF('Mapa final'!AD281="","",'Mapa final'!AD281)</f>
        <v/>
      </c>
      <c r="M278" s="345" t="str">
        <f>IF('Mapa final'!P281="","",'Mapa final'!P281)</f>
        <v/>
      </c>
      <c r="N278" s="70"/>
      <c r="O278" s="70"/>
      <c r="P278" s="70"/>
      <c r="Q278" s="177"/>
    </row>
    <row r="279" spans="1:17" ht="43.5" customHeight="1" x14ac:dyDescent="0.25">
      <c r="A279" s="119" t="s">
        <v>811</v>
      </c>
      <c r="B279" s="713"/>
      <c r="C279" s="715"/>
      <c r="D279" s="717"/>
      <c r="E279" s="715"/>
      <c r="F279" s="718"/>
      <c r="G279" s="718"/>
      <c r="H279" s="711"/>
      <c r="I279" s="425" t="str">
        <f>IF('Mapa final'!Y282="","",'Mapa final'!Y282)</f>
        <v/>
      </c>
      <c r="J279" s="425" t="str">
        <f>IF('Mapa final'!AA282="","",'Mapa final'!AA282)</f>
        <v/>
      </c>
      <c r="K279" s="344" t="str">
        <f t="shared" si="4"/>
        <v/>
      </c>
      <c r="L279" s="425" t="str">
        <f>IF('Mapa final'!AD282="","",'Mapa final'!AD282)</f>
        <v/>
      </c>
      <c r="M279" s="345" t="str">
        <f>IF('Mapa final'!P282="","",'Mapa final'!P282)</f>
        <v/>
      </c>
      <c r="N279" s="70"/>
      <c r="O279" s="70"/>
      <c r="P279" s="70"/>
      <c r="Q279" s="177"/>
    </row>
    <row r="280" spans="1:17" ht="43.5" customHeight="1" x14ac:dyDescent="0.25">
      <c r="A280" s="119" t="s">
        <v>812</v>
      </c>
      <c r="B280" s="713"/>
      <c r="C280" s="715"/>
      <c r="D280" s="717"/>
      <c r="E280" s="715"/>
      <c r="F280" s="718"/>
      <c r="G280" s="718"/>
      <c r="H280" s="711"/>
      <c r="I280" s="425" t="str">
        <f>IF('Mapa final'!Y283="","",'Mapa final'!Y283)</f>
        <v/>
      </c>
      <c r="J280" s="425" t="str">
        <f>IF('Mapa final'!AA283="","",'Mapa final'!AA283)</f>
        <v/>
      </c>
      <c r="K280" s="344" t="str">
        <f t="shared" si="4"/>
        <v/>
      </c>
      <c r="L280" s="425" t="str">
        <f>IF('Mapa final'!AD283="","",'Mapa final'!AD283)</f>
        <v/>
      </c>
      <c r="M280" s="345" t="str">
        <f>IF('Mapa final'!P283="","",'Mapa final'!P283)</f>
        <v/>
      </c>
      <c r="N280" s="70"/>
      <c r="O280" s="70"/>
      <c r="P280" s="70"/>
      <c r="Q280" s="177"/>
    </row>
    <row r="281" spans="1:17" ht="43.5" customHeight="1" x14ac:dyDescent="0.25">
      <c r="A281" s="119" t="s">
        <v>813</v>
      </c>
      <c r="B281" s="713"/>
      <c r="C281" s="715"/>
      <c r="D281" s="717"/>
      <c r="E281" s="715"/>
      <c r="F281" s="718"/>
      <c r="G281" s="718"/>
      <c r="H281" s="711"/>
      <c r="I281" s="425" t="str">
        <f>IF('Mapa final'!Y284="","",'Mapa final'!Y284)</f>
        <v/>
      </c>
      <c r="J281" s="425" t="str">
        <f>IF('Mapa final'!AA284="","",'Mapa final'!AA284)</f>
        <v/>
      </c>
      <c r="K281" s="344" t="str">
        <f t="shared" si="4"/>
        <v/>
      </c>
      <c r="L281" s="425" t="str">
        <f>IF('Mapa final'!AD284="","",'Mapa final'!AD284)</f>
        <v/>
      </c>
      <c r="M281" s="345" t="str">
        <f>IF('Mapa final'!P284="","",'Mapa final'!P284)</f>
        <v/>
      </c>
      <c r="N281" s="70"/>
      <c r="O281" s="70"/>
      <c r="P281" s="70"/>
      <c r="Q281" s="177"/>
    </row>
    <row r="282" spans="1:17" ht="43.5" customHeight="1" x14ac:dyDescent="0.25">
      <c r="A282" s="119" t="s">
        <v>814</v>
      </c>
      <c r="B282" s="713"/>
      <c r="C282" s="715"/>
      <c r="D282" s="717"/>
      <c r="E282" s="715"/>
      <c r="F282" s="718"/>
      <c r="G282" s="718"/>
      <c r="H282" s="711"/>
      <c r="I282" s="425" t="str">
        <f>IF('Mapa final'!Y285="","",'Mapa final'!Y285)</f>
        <v/>
      </c>
      <c r="J282" s="425" t="str">
        <f>IF('Mapa final'!AA285="","",'Mapa final'!AA285)</f>
        <v/>
      </c>
      <c r="K282" s="344" t="str">
        <f t="shared" si="4"/>
        <v/>
      </c>
      <c r="L282" s="425" t="str">
        <f>IF('Mapa final'!AD285="","",'Mapa final'!AD285)</f>
        <v/>
      </c>
      <c r="M282" s="345" t="str">
        <f>IF('Mapa final'!P285="","",'Mapa final'!P285)</f>
        <v/>
      </c>
      <c r="N282" s="70"/>
      <c r="O282" s="70"/>
      <c r="P282" s="70"/>
      <c r="Q282" s="177"/>
    </row>
    <row r="283" spans="1:17" ht="43.5" customHeight="1" x14ac:dyDescent="0.25">
      <c r="A283" s="119" t="s">
        <v>815</v>
      </c>
      <c r="B283" s="712"/>
      <c r="C283" s="714" t="str">
        <f>IF('Mapa final'!E286="","",'Mapa final'!E286)</f>
        <v/>
      </c>
      <c r="D283" s="716"/>
      <c r="E283" s="714" t="s">
        <v>1266</v>
      </c>
      <c r="F283" s="718" t="s">
        <v>1266</v>
      </c>
      <c r="G283" s="718" t="s">
        <v>1266</v>
      </c>
      <c r="H283" s="71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final'!Y286="","",'Mapa final'!Y286)</f>
        <v/>
      </c>
      <c r="J283" s="425" t="str">
        <f>IF('Mapa final'!AA286="","",'Mapa final'!AA286)</f>
        <v/>
      </c>
      <c r="K283" s="344" t="str">
        <f t="shared" si="4"/>
        <v/>
      </c>
      <c r="L283" s="425" t="str">
        <f>IF('Mapa final'!AD286="","",'Mapa final'!AD286)</f>
        <v/>
      </c>
      <c r="M283" s="345" t="str">
        <f>IF('Mapa final'!P286="","",'Mapa final'!P286)</f>
        <v/>
      </c>
      <c r="N283" s="70"/>
      <c r="O283" s="70"/>
      <c r="P283" s="70"/>
      <c r="Q283" s="177"/>
    </row>
    <row r="284" spans="1:17" ht="43.5" customHeight="1" x14ac:dyDescent="0.25">
      <c r="A284" s="119" t="s">
        <v>816</v>
      </c>
      <c r="B284" s="713"/>
      <c r="C284" s="715"/>
      <c r="D284" s="717"/>
      <c r="E284" s="715"/>
      <c r="F284" s="718"/>
      <c r="G284" s="718"/>
      <c r="H284" s="711"/>
      <c r="I284" s="425" t="str">
        <f>IF('Mapa final'!Y287="","",'Mapa final'!Y287)</f>
        <v/>
      </c>
      <c r="J284" s="425" t="str">
        <f>IF('Mapa final'!AA287="","",'Mapa final'!AA287)</f>
        <v/>
      </c>
      <c r="K284" s="344" t="str">
        <f t="shared" si="4"/>
        <v/>
      </c>
      <c r="L284" s="425" t="str">
        <f>IF('Mapa final'!AD287="","",'Mapa final'!AD287)</f>
        <v/>
      </c>
      <c r="M284" s="345" t="str">
        <f>IF('Mapa final'!P287="","",'Mapa final'!P287)</f>
        <v/>
      </c>
      <c r="N284" s="70"/>
      <c r="O284" s="70"/>
      <c r="P284" s="70"/>
      <c r="Q284" s="177"/>
    </row>
    <row r="285" spans="1:17" ht="43.5" customHeight="1" x14ac:dyDescent="0.25">
      <c r="A285" s="119" t="s">
        <v>817</v>
      </c>
      <c r="B285" s="713"/>
      <c r="C285" s="715"/>
      <c r="D285" s="717"/>
      <c r="E285" s="715"/>
      <c r="F285" s="718"/>
      <c r="G285" s="718"/>
      <c r="H285" s="711"/>
      <c r="I285" s="425" t="str">
        <f>IF('Mapa final'!Y288="","",'Mapa final'!Y288)</f>
        <v/>
      </c>
      <c r="J285" s="425" t="str">
        <f>IF('Mapa final'!AA288="","",'Mapa final'!AA288)</f>
        <v/>
      </c>
      <c r="K285" s="344" t="str">
        <f t="shared" si="4"/>
        <v/>
      </c>
      <c r="L285" s="425" t="str">
        <f>IF('Mapa final'!AD288="","",'Mapa final'!AD288)</f>
        <v/>
      </c>
      <c r="M285" s="345" t="str">
        <f>IF('Mapa final'!P288="","",'Mapa final'!P288)</f>
        <v/>
      </c>
      <c r="N285" s="70"/>
      <c r="O285" s="70"/>
      <c r="P285" s="70"/>
      <c r="Q285" s="177"/>
    </row>
    <row r="286" spans="1:17" ht="43.5" customHeight="1" x14ac:dyDescent="0.25">
      <c r="A286" s="119" t="s">
        <v>818</v>
      </c>
      <c r="B286" s="713"/>
      <c r="C286" s="715"/>
      <c r="D286" s="717"/>
      <c r="E286" s="715"/>
      <c r="F286" s="718"/>
      <c r="G286" s="718"/>
      <c r="H286" s="711"/>
      <c r="I286" s="425" t="str">
        <f>IF('Mapa final'!Y289="","",'Mapa final'!Y289)</f>
        <v/>
      </c>
      <c r="J286" s="425" t="str">
        <f>IF('Mapa final'!AA289="","",'Mapa final'!AA289)</f>
        <v/>
      </c>
      <c r="K286" s="344" t="str">
        <f t="shared" si="4"/>
        <v/>
      </c>
      <c r="L286" s="425" t="str">
        <f>IF('Mapa final'!AD289="","",'Mapa final'!AD289)</f>
        <v/>
      </c>
      <c r="M286" s="345" t="str">
        <f>IF('Mapa final'!P289="","",'Mapa final'!P289)</f>
        <v/>
      </c>
      <c r="N286" s="70"/>
      <c r="O286" s="70"/>
      <c r="P286" s="70"/>
      <c r="Q286" s="177"/>
    </row>
    <row r="287" spans="1:17" ht="43.5" customHeight="1" x14ac:dyDescent="0.25">
      <c r="A287" s="119" t="s">
        <v>819</v>
      </c>
      <c r="B287" s="713"/>
      <c r="C287" s="715"/>
      <c r="D287" s="717"/>
      <c r="E287" s="715"/>
      <c r="F287" s="718"/>
      <c r="G287" s="718"/>
      <c r="H287" s="711"/>
      <c r="I287" s="425" t="str">
        <f>IF('Mapa final'!Y290="","",'Mapa final'!Y290)</f>
        <v/>
      </c>
      <c r="J287" s="425" t="str">
        <f>IF('Mapa final'!AA290="","",'Mapa final'!AA290)</f>
        <v/>
      </c>
      <c r="K287" s="344" t="str">
        <f t="shared" si="4"/>
        <v/>
      </c>
      <c r="L287" s="425" t="str">
        <f>IF('Mapa final'!AD290="","",'Mapa final'!AD290)</f>
        <v/>
      </c>
      <c r="M287" s="345" t="str">
        <f>IF('Mapa final'!P290="","",'Mapa final'!P290)</f>
        <v/>
      </c>
      <c r="N287" s="70"/>
      <c r="O287" s="70"/>
      <c r="P287" s="70"/>
      <c r="Q287" s="177"/>
    </row>
    <row r="288" spans="1:17" ht="43.5" customHeight="1" x14ac:dyDescent="0.25">
      <c r="A288" s="119" t="s">
        <v>820</v>
      </c>
      <c r="B288" s="713"/>
      <c r="C288" s="715"/>
      <c r="D288" s="717"/>
      <c r="E288" s="715"/>
      <c r="F288" s="718"/>
      <c r="G288" s="718"/>
      <c r="H288" s="711"/>
      <c r="I288" s="425" t="str">
        <f>IF('Mapa final'!Y291="","",'Mapa final'!Y291)</f>
        <v/>
      </c>
      <c r="J288" s="425" t="str">
        <f>IF('Mapa final'!AA291="","",'Mapa final'!AA291)</f>
        <v/>
      </c>
      <c r="K288" s="344" t="str">
        <f t="shared" si="4"/>
        <v/>
      </c>
      <c r="L288" s="425" t="str">
        <f>IF('Mapa final'!AD291="","",'Mapa final'!AD291)</f>
        <v/>
      </c>
      <c r="M288" s="345" t="str">
        <f>IF('Mapa final'!P291="","",'Mapa final'!P291)</f>
        <v/>
      </c>
      <c r="N288" s="70"/>
      <c r="O288" s="70"/>
      <c r="P288" s="70"/>
      <c r="Q288" s="177"/>
    </row>
    <row r="289" spans="1:17" ht="43.5" customHeight="1" x14ac:dyDescent="0.25">
      <c r="A289" s="119" t="s">
        <v>821</v>
      </c>
      <c r="B289" s="712"/>
      <c r="C289" s="714" t="str">
        <f>IF('Mapa final'!E292="","",'Mapa final'!E292)</f>
        <v/>
      </c>
      <c r="D289" s="716"/>
      <c r="E289" s="714" t="s">
        <v>1266</v>
      </c>
      <c r="F289" s="718" t="s">
        <v>1266</v>
      </c>
      <c r="G289" s="718" t="s">
        <v>1266</v>
      </c>
      <c r="H289" s="71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final'!Y292="","",'Mapa final'!Y292)</f>
        <v/>
      </c>
      <c r="J289" s="425" t="str">
        <f>IF('Mapa final'!AA292="","",'Mapa final'!AA292)</f>
        <v/>
      </c>
      <c r="K289" s="344" t="str">
        <f t="shared" si="4"/>
        <v/>
      </c>
      <c r="L289" s="425" t="str">
        <f>IF('Mapa final'!AD292="","",'Mapa final'!AD292)</f>
        <v/>
      </c>
      <c r="M289" s="345" t="str">
        <f>IF('Mapa final'!P292="","",'Mapa final'!P292)</f>
        <v/>
      </c>
      <c r="N289" s="70"/>
      <c r="O289" s="70"/>
      <c r="P289" s="70"/>
      <c r="Q289" s="177"/>
    </row>
    <row r="290" spans="1:17" ht="43.5" customHeight="1" x14ac:dyDescent="0.25">
      <c r="A290" s="119" t="s">
        <v>822</v>
      </c>
      <c r="B290" s="713"/>
      <c r="C290" s="715"/>
      <c r="D290" s="717"/>
      <c r="E290" s="715"/>
      <c r="F290" s="718"/>
      <c r="G290" s="718"/>
      <c r="H290" s="711"/>
      <c r="I290" s="425" t="str">
        <f>IF('Mapa final'!Y293="","",'Mapa final'!Y293)</f>
        <v/>
      </c>
      <c r="J290" s="425" t="str">
        <f>IF('Mapa final'!AA293="","",'Mapa final'!AA293)</f>
        <v/>
      </c>
      <c r="K290" s="344" t="str">
        <f t="shared" si="4"/>
        <v/>
      </c>
      <c r="L290" s="425" t="str">
        <f>IF('Mapa final'!AD293="","",'Mapa final'!AD293)</f>
        <v/>
      </c>
      <c r="M290" s="345" t="str">
        <f>IF('Mapa final'!P293="","",'Mapa final'!P293)</f>
        <v/>
      </c>
      <c r="N290" s="70"/>
      <c r="O290" s="70"/>
      <c r="P290" s="70"/>
      <c r="Q290" s="177"/>
    </row>
    <row r="291" spans="1:17" ht="43.5" customHeight="1" x14ac:dyDescent="0.25">
      <c r="A291" s="119" t="s">
        <v>823</v>
      </c>
      <c r="B291" s="713"/>
      <c r="C291" s="715"/>
      <c r="D291" s="717"/>
      <c r="E291" s="715"/>
      <c r="F291" s="718"/>
      <c r="G291" s="718"/>
      <c r="H291" s="711"/>
      <c r="I291" s="425" t="str">
        <f>IF('Mapa final'!Y294="","",'Mapa final'!Y294)</f>
        <v/>
      </c>
      <c r="J291" s="425" t="str">
        <f>IF('Mapa final'!AA294="","",'Mapa final'!AA294)</f>
        <v/>
      </c>
      <c r="K291" s="344" t="str">
        <f t="shared" si="4"/>
        <v/>
      </c>
      <c r="L291" s="425" t="str">
        <f>IF('Mapa final'!AD294="","",'Mapa final'!AD294)</f>
        <v/>
      </c>
      <c r="M291" s="345" t="str">
        <f>IF('Mapa final'!P294="","",'Mapa final'!P294)</f>
        <v/>
      </c>
      <c r="N291" s="70"/>
      <c r="O291" s="70"/>
      <c r="P291" s="70"/>
      <c r="Q291" s="177"/>
    </row>
    <row r="292" spans="1:17" ht="43.5" customHeight="1" x14ac:dyDescent="0.25">
      <c r="A292" s="119" t="s">
        <v>824</v>
      </c>
      <c r="B292" s="713"/>
      <c r="C292" s="715"/>
      <c r="D292" s="717"/>
      <c r="E292" s="715"/>
      <c r="F292" s="718"/>
      <c r="G292" s="718"/>
      <c r="H292" s="711"/>
      <c r="I292" s="425" t="str">
        <f>IF('Mapa final'!Y295="","",'Mapa final'!Y295)</f>
        <v/>
      </c>
      <c r="J292" s="425" t="str">
        <f>IF('Mapa final'!AA295="","",'Mapa final'!AA295)</f>
        <v/>
      </c>
      <c r="K292" s="344" t="str">
        <f t="shared" si="4"/>
        <v/>
      </c>
      <c r="L292" s="425" t="str">
        <f>IF('Mapa final'!AD295="","",'Mapa final'!AD295)</f>
        <v/>
      </c>
      <c r="M292" s="345" t="str">
        <f>IF('Mapa final'!P295="","",'Mapa final'!P295)</f>
        <v/>
      </c>
      <c r="N292" s="70"/>
      <c r="O292" s="70"/>
      <c r="P292" s="70"/>
      <c r="Q292" s="177"/>
    </row>
    <row r="293" spans="1:17" ht="43.5" customHeight="1" x14ac:dyDescent="0.25">
      <c r="A293" s="119" t="s">
        <v>825</v>
      </c>
      <c r="B293" s="713"/>
      <c r="C293" s="715"/>
      <c r="D293" s="717"/>
      <c r="E293" s="715"/>
      <c r="F293" s="718"/>
      <c r="G293" s="718"/>
      <c r="H293" s="711"/>
      <c r="I293" s="425" t="str">
        <f>IF('Mapa final'!Y296="","",'Mapa final'!Y296)</f>
        <v/>
      </c>
      <c r="J293" s="425" t="str">
        <f>IF('Mapa final'!AA296="","",'Mapa final'!AA296)</f>
        <v/>
      </c>
      <c r="K293" s="344" t="str">
        <f t="shared" si="4"/>
        <v/>
      </c>
      <c r="L293" s="425" t="str">
        <f>IF('Mapa final'!AD296="","",'Mapa final'!AD296)</f>
        <v/>
      </c>
      <c r="M293" s="345" t="str">
        <f>IF('Mapa final'!P296="","",'Mapa final'!P296)</f>
        <v/>
      </c>
      <c r="N293" s="70"/>
      <c r="O293" s="70"/>
      <c r="P293" s="70"/>
      <c r="Q293" s="177"/>
    </row>
    <row r="294" spans="1:17" ht="43.5" customHeight="1" x14ac:dyDescent="0.25">
      <c r="A294" s="119" t="s">
        <v>826</v>
      </c>
      <c r="B294" s="713"/>
      <c r="C294" s="715"/>
      <c r="D294" s="717"/>
      <c r="E294" s="715"/>
      <c r="F294" s="718"/>
      <c r="G294" s="718"/>
      <c r="H294" s="711"/>
      <c r="I294" s="425" t="str">
        <f>IF('Mapa final'!Y297="","",'Mapa final'!Y297)</f>
        <v/>
      </c>
      <c r="J294" s="425" t="str">
        <f>IF('Mapa final'!AA297="","",'Mapa final'!AA297)</f>
        <v/>
      </c>
      <c r="K294" s="344" t="str">
        <f t="shared" si="4"/>
        <v/>
      </c>
      <c r="L294" s="425" t="str">
        <f>IF('Mapa final'!AD297="","",'Mapa final'!AD297)</f>
        <v/>
      </c>
      <c r="M294" s="345" t="str">
        <f>IF('Mapa final'!P297="","",'Mapa final'!P297)</f>
        <v/>
      </c>
      <c r="N294" s="70"/>
      <c r="O294" s="70"/>
      <c r="P294" s="70"/>
      <c r="Q294" s="177"/>
    </row>
    <row r="295" spans="1:17" ht="43.5" customHeight="1" x14ac:dyDescent="0.25">
      <c r="A295" s="119" t="s">
        <v>827</v>
      </c>
      <c r="B295" s="712"/>
      <c r="C295" s="714" t="str">
        <f>IF('Mapa final'!E298="","",'Mapa final'!E298)</f>
        <v/>
      </c>
      <c r="D295" s="716"/>
      <c r="E295" s="714" t="s">
        <v>1266</v>
      </c>
      <c r="F295" s="718" t="s">
        <v>1266</v>
      </c>
      <c r="G295" s="718" t="s">
        <v>1266</v>
      </c>
      <c r="H295" s="71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final'!Y298="","",'Mapa final'!Y298)</f>
        <v/>
      </c>
      <c r="J295" s="425" t="str">
        <f>IF('Mapa final'!AA298="","",'Mapa final'!AA298)</f>
        <v/>
      </c>
      <c r="K295" s="344" t="str">
        <f t="shared" si="4"/>
        <v/>
      </c>
      <c r="L295" s="425" t="str">
        <f>IF('Mapa final'!AD298="","",'Mapa final'!AD298)</f>
        <v/>
      </c>
      <c r="M295" s="345" t="str">
        <f>IF('Mapa final'!P298="","",'Mapa final'!P298)</f>
        <v/>
      </c>
      <c r="N295" s="70"/>
      <c r="O295" s="70"/>
      <c r="P295" s="70"/>
      <c r="Q295" s="177"/>
    </row>
    <row r="296" spans="1:17" ht="43.5" customHeight="1" x14ac:dyDescent="0.25">
      <c r="A296" s="119" t="s">
        <v>828</v>
      </c>
      <c r="B296" s="713"/>
      <c r="C296" s="715"/>
      <c r="D296" s="717"/>
      <c r="E296" s="715"/>
      <c r="F296" s="718"/>
      <c r="G296" s="718"/>
      <c r="H296" s="711"/>
      <c r="I296" s="425" t="str">
        <f>IF('Mapa final'!Y299="","",'Mapa final'!Y299)</f>
        <v/>
      </c>
      <c r="J296" s="425" t="str">
        <f>IF('Mapa final'!AA299="","",'Mapa final'!AA299)</f>
        <v/>
      </c>
      <c r="K296" s="344" t="str">
        <f t="shared" si="4"/>
        <v/>
      </c>
      <c r="L296" s="425" t="str">
        <f>IF('Mapa final'!AD299="","",'Mapa final'!AD299)</f>
        <v/>
      </c>
      <c r="M296" s="345" t="str">
        <f>IF('Mapa final'!P299="","",'Mapa final'!P299)</f>
        <v/>
      </c>
      <c r="N296" s="70"/>
      <c r="O296" s="70"/>
      <c r="P296" s="70"/>
      <c r="Q296" s="177"/>
    </row>
    <row r="297" spans="1:17" ht="43.5" customHeight="1" x14ac:dyDescent="0.25">
      <c r="A297" s="119" t="s">
        <v>829</v>
      </c>
      <c r="B297" s="713"/>
      <c r="C297" s="715"/>
      <c r="D297" s="717"/>
      <c r="E297" s="715"/>
      <c r="F297" s="718"/>
      <c r="G297" s="718"/>
      <c r="H297" s="711"/>
      <c r="I297" s="425" t="str">
        <f>IF('Mapa final'!Y300="","",'Mapa final'!Y300)</f>
        <v/>
      </c>
      <c r="J297" s="425" t="str">
        <f>IF('Mapa final'!AA300="","",'Mapa final'!AA300)</f>
        <v/>
      </c>
      <c r="K297" s="344" t="str">
        <f t="shared" si="4"/>
        <v/>
      </c>
      <c r="L297" s="425" t="str">
        <f>IF('Mapa final'!AD300="","",'Mapa final'!AD300)</f>
        <v/>
      </c>
      <c r="M297" s="345" t="str">
        <f>IF('Mapa final'!P300="","",'Mapa final'!P300)</f>
        <v/>
      </c>
      <c r="N297" s="70"/>
      <c r="O297" s="70"/>
      <c r="P297" s="70"/>
      <c r="Q297" s="177"/>
    </row>
    <row r="298" spans="1:17" ht="43.5" customHeight="1" x14ac:dyDescent="0.25">
      <c r="A298" s="119" t="s">
        <v>830</v>
      </c>
      <c r="B298" s="713"/>
      <c r="C298" s="715"/>
      <c r="D298" s="717"/>
      <c r="E298" s="715"/>
      <c r="F298" s="718"/>
      <c r="G298" s="718"/>
      <c r="H298" s="711"/>
      <c r="I298" s="425" t="str">
        <f>IF('Mapa final'!Y301="","",'Mapa final'!Y301)</f>
        <v/>
      </c>
      <c r="J298" s="425" t="str">
        <f>IF('Mapa final'!AA301="","",'Mapa final'!AA301)</f>
        <v/>
      </c>
      <c r="K298" s="344" t="str">
        <f t="shared" si="4"/>
        <v/>
      </c>
      <c r="L298" s="425" t="str">
        <f>IF('Mapa final'!AD301="","",'Mapa final'!AD301)</f>
        <v/>
      </c>
      <c r="M298" s="345" t="str">
        <f>IF('Mapa final'!P301="","",'Mapa final'!P301)</f>
        <v/>
      </c>
      <c r="N298" s="70"/>
      <c r="O298" s="70"/>
      <c r="P298" s="70"/>
      <c r="Q298" s="177"/>
    </row>
    <row r="299" spans="1:17" ht="43.5" customHeight="1" x14ac:dyDescent="0.25">
      <c r="A299" s="119" t="s">
        <v>831</v>
      </c>
      <c r="B299" s="713"/>
      <c r="C299" s="715"/>
      <c r="D299" s="717"/>
      <c r="E299" s="715"/>
      <c r="F299" s="718"/>
      <c r="G299" s="718"/>
      <c r="H299" s="711"/>
      <c r="I299" s="425" t="str">
        <f>IF('Mapa final'!Y302="","",'Mapa final'!Y302)</f>
        <v/>
      </c>
      <c r="J299" s="425" t="str">
        <f>IF('Mapa final'!AA302="","",'Mapa final'!AA302)</f>
        <v/>
      </c>
      <c r="K299" s="344" t="str">
        <f t="shared" si="4"/>
        <v/>
      </c>
      <c r="L299" s="425" t="str">
        <f>IF('Mapa final'!AD302="","",'Mapa final'!AD302)</f>
        <v/>
      </c>
      <c r="M299" s="345" t="str">
        <f>IF('Mapa final'!P302="","",'Mapa final'!P302)</f>
        <v/>
      </c>
      <c r="N299" s="70"/>
      <c r="O299" s="70"/>
      <c r="P299" s="70"/>
      <c r="Q299" s="177"/>
    </row>
    <row r="300" spans="1:17" ht="43.5" customHeight="1" x14ac:dyDescent="0.25">
      <c r="A300" s="119" t="s">
        <v>832</v>
      </c>
      <c r="B300" s="713"/>
      <c r="C300" s="715"/>
      <c r="D300" s="717"/>
      <c r="E300" s="715"/>
      <c r="F300" s="718"/>
      <c r="G300" s="718"/>
      <c r="H300" s="711"/>
      <c r="I300" s="425" t="str">
        <f>IF('Mapa final'!Y303="","",'Mapa final'!Y303)</f>
        <v/>
      </c>
      <c r="J300" s="425" t="str">
        <f>IF('Mapa final'!AA303="","",'Mapa final'!AA303)</f>
        <v/>
      </c>
      <c r="K300" s="344" t="str">
        <f t="shared" si="4"/>
        <v/>
      </c>
      <c r="L300" s="425" t="str">
        <f>IF('Mapa final'!AD303="","",'Mapa final'!AD303)</f>
        <v/>
      </c>
      <c r="M300" s="345" t="str">
        <f>IF('Mapa final'!P303="","",'Mapa final'!P303)</f>
        <v/>
      </c>
      <c r="N300" s="70"/>
      <c r="O300" s="70"/>
      <c r="P300" s="70"/>
      <c r="Q300" s="177"/>
    </row>
    <row r="301" spans="1:17" ht="43.5" customHeight="1" x14ac:dyDescent="0.25">
      <c r="A301" s="119" t="s">
        <v>833</v>
      </c>
      <c r="B301" s="712"/>
      <c r="C301" s="714" t="s">
        <v>1266</v>
      </c>
      <c r="D301" s="716"/>
      <c r="E301" s="714" t="s">
        <v>1266</v>
      </c>
      <c r="F301" s="718" t="s">
        <v>1266</v>
      </c>
      <c r="G301" s="718" t="s">
        <v>1266</v>
      </c>
      <c r="H301" s="71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final'!Y304="","",'Mapa final'!Y304)</f>
        <v/>
      </c>
      <c r="J301" s="425" t="str">
        <f>IF('Mapa final'!AA304="","",'Mapa final'!AA304)</f>
        <v/>
      </c>
      <c r="K301" s="344" t="str">
        <f t="shared" si="4"/>
        <v/>
      </c>
      <c r="L301" s="425" t="str">
        <f>IF('Mapa final'!AD304="","",'Mapa final'!AD304)</f>
        <v/>
      </c>
      <c r="M301" s="345" t="str">
        <f>IF('Mapa final'!P304="","",'Mapa final'!P304)</f>
        <v/>
      </c>
      <c r="N301" s="70"/>
      <c r="O301" s="70"/>
      <c r="P301" s="70"/>
      <c r="Q301" s="177"/>
    </row>
    <row r="302" spans="1:17" ht="43.5" customHeight="1" x14ac:dyDescent="0.25">
      <c r="A302" s="119" t="s">
        <v>834</v>
      </c>
      <c r="B302" s="713"/>
      <c r="C302" s="715"/>
      <c r="D302" s="717"/>
      <c r="E302" s="715"/>
      <c r="F302" s="718"/>
      <c r="G302" s="718"/>
      <c r="H302" s="711"/>
      <c r="I302" s="425" t="str">
        <f>IF('Mapa final'!Y305="","",'Mapa final'!Y305)</f>
        <v/>
      </c>
      <c r="J302" s="425" t="str">
        <f>IF('Mapa final'!AA305="","",'Mapa final'!AA305)</f>
        <v/>
      </c>
      <c r="K302" s="344" t="str">
        <f t="shared" si="4"/>
        <v/>
      </c>
      <c r="L302" s="425" t="str">
        <f>IF('Mapa final'!AD305="","",'Mapa final'!AD305)</f>
        <v/>
      </c>
      <c r="M302" s="345" t="str">
        <f>IF('Mapa final'!P305="","",'Mapa final'!P305)</f>
        <v/>
      </c>
      <c r="N302" s="70"/>
      <c r="O302" s="70"/>
      <c r="P302" s="70"/>
      <c r="Q302" s="177"/>
    </row>
    <row r="303" spans="1:17" ht="43.5" customHeight="1" x14ac:dyDescent="0.25">
      <c r="A303" s="119" t="s">
        <v>835</v>
      </c>
      <c r="B303" s="713"/>
      <c r="C303" s="715"/>
      <c r="D303" s="717"/>
      <c r="E303" s="715"/>
      <c r="F303" s="718"/>
      <c r="G303" s="718"/>
      <c r="H303" s="711"/>
      <c r="I303" s="425" t="str">
        <f>IF('Mapa final'!Y306="","",'Mapa final'!Y306)</f>
        <v/>
      </c>
      <c r="J303" s="425" t="str">
        <f>IF('Mapa final'!AA306="","",'Mapa final'!AA306)</f>
        <v/>
      </c>
      <c r="K303" s="344" t="str">
        <f t="shared" si="4"/>
        <v/>
      </c>
      <c r="L303" s="425" t="str">
        <f>IF('Mapa final'!AD306="","",'Mapa final'!AD306)</f>
        <v/>
      </c>
      <c r="M303" s="345" t="str">
        <f>IF('Mapa final'!P306="","",'Mapa final'!P306)</f>
        <v/>
      </c>
      <c r="N303" s="70"/>
      <c r="O303" s="70"/>
      <c r="P303" s="70"/>
      <c r="Q303" s="177"/>
    </row>
    <row r="304" spans="1:17" ht="43.5" customHeight="1" x14ac:dyDescent="0.25">
      <c r="A304" s="119" t="s">
        <v>836</v>
      </c>
      <c r="B304" s="713"/>
      <c r="C304" s="715"/>
      <c r="D304" s="717"/>
      <c r="E304" s="715"/>
      <c r="F304" s="718"/>
      <c r="G304" s="718"/>
      <c r="H304" s="711"/>
      <c r="I304" s="425" t="str">
        <f>IF('Mapa final'!Y307="","",'Mapa final'!Y307)</f>
        <v/>
      </c>
      <c r="J304" s="425" t="str">
        <f>IF('Mapa final'!AA307="","",'Mapa final'!AA307)</f>
        <v/>
      </c>
      <c r="K304" s="344" t="str">
        <f t="shared" si="4"/>
        <v/>
      </c>
      <c r="L304" s="425" t="str">
        <f>IF('Mapa final'!AD307="","",'Mapa final'!AD307)</f>
        <v/>
      </c>
      <c r="M304" s="345" t="str">
        <f>IF('Mapa final'!P307="","",'Mapa final'!P307)</f>
        <v/>
      </c>
      <c r="N304" s="70"/>
      <c r="O304" s="70"/>
      <c r="P304" s="70"/>
      <c r="Q304" s="177"/>
    </row>
    <row r="305" spans="1:17" ht="43.5" customHeight="1" x14ac:dyDescent="0.25">
      <c r="A305" s="119" t="s">
        <v>837</v>
      </c>
      <c r="B305" s="713"/>
      <c r="C305" s="715"/>
      <c r="D305" s="717"/>
      <c r="E305" s="715"/>
      <c r="F305" s="718"/>
      <c r="G305" s="718"/>
      <c r="H305" s="711"/>
      <c r="I305" s="425" t="str">
        <f>IF('Mapa final'!Y308="","",'Mapa final'!Y308)</f>
        <v/>
      </c>
      <c r="J305" s="425" t="str">
        <f>IF('Mapa final'!AA308="","",'Mapa final'!AA308)</f>
        <v/>
      </c>
      <c r="K305" s="344" t="str">
        <f t="shared" si="4"/>
        <v/>
      </c>
      <c r="L305" s="425" t="str">
        <f>IF('Mapa final'!AD308="","",'Mapa final'!AD308)</f>
        <v/>
      </c>
      <c r="M305" s="345" t="str">
        <f>IF('Mapa final'!P308="","",'Mapa final'!P308)</f>
        <v/>
      </c>
      <c r="N305" s="70"/>
      <c r="O305" s="70"/>
      <c r="P305" s="70"/>
      <c r="Q305" s="177"/>
    </row>
    <row r="306" spans="1:17" ht="43.5" customHeight="1" x14ac:dyDescent="0.25">
      <c r="A306" s="119" t="s">
        <v>838</v>
      </c>
      <c r="B306" s="713"/>
      <c r="C306" s="715"/>
      <c r="D306" s="717"/>
      <c r="E306" s="715"/>
      <c r="F306" s="718"/>
      <c r="G306" s="718"/>
      <c r="H306" s="711"/>
      <c r="I306" s="425" t="str">
        <f>IF('Mapa final'!Y309="","",'Mapa final'!Y309)</f>
        <v/>
      </c>
      <c r="J306" s="425" t="str">
        <f>IF('Mapa final'!AA309="","",'Mapa final'!AA309)</f>
        <v/>
      </c>
      <c r="K306" s="344" t="str">
        <f t="shared" si="4"/>
        <v/>
      </c>
      <c r="L306" s="425" t="str">
        <f>IF('Mapa final'!AD309="","",'Mapa final'!AD309)</f>
        <v/>
      </c>
      <c r="M306" s="345" t="str">
        <f>IF('Mapa final'!P309="","",'Mapa final'!P309)</f>
        <v/>
      </c>
      <c r="N306" s="70"/>
      <c r="O306" s="70"/>
      <c r="P306" s="70"/>
      <c r="Q306" s="177"/>
    </row>
    <row r="307" spans="1:17" ht="43.5" customHeight="1" x14ac:dyDescent="0.25">
      <c r="A307" s="119" t="s">
        <v>839</v>
      </c>
      <c r="B307" s="712"/>
      <c r="C307" s="714" t="s">
        <v>1266</v>
      </c>
      <c r="D307" s="716"/>
      <c r="E307" s="714" t="s">
        <v>1266</v>
      </c>
      <c r="F307" s="718" t="s">
        <v>1266</v>
      </c>
      <c r="G307" s="718" t="s">
        <v>1266</v>
      </c>
      <c r="H307" s="71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final'!Y310="","",'Mapa final'!Y310)</f>
        <v/>
      </c>
      <c r="J307" s="425" t="str">
        <f>IF('Mapa final'!AA310="","",'Mapa final'!AA310)</f>
        <v/>
      </c>
      <c r="K307" s="344" t="str">
        <f t="shared" si="4"/>
        <v/>
      </c>
      <c r="L307" s="425" t="str">
        <f>IF('Mapa final'!AD310="","",'Mapa final'!AD310)</f>
        <v/>
      </c>
      <c r="M307" s="345" t="str">
        <f>IF('Mapa final'!P310="","",'Mapa final'!P310)</f>
        <v/>
      </c>
      <c r="N307" s="70"/>
      <c r="O307" s="70"/>
      <c r="P307" s="70"/>
      <c r="Q307" s="177"/>
    </row>
    <row r="308" spans="1:17" ht="43.5" customHeight="1" x14ac:dyDescent="0.25">
      <c r="A308" s="119" t="s">
        <v>840</v>
      </c>
      <c r="B308" s="713"/>
      <c r="C308" s="715"/>
      <c r="D308" s="717"/>
      <c r="E308" s="715"/>
      <c r="F308" s="718"/>
      <c r="G308" s="718"/>
      <c r="H308" s="711"/>
      <c r="I308" s="425" t="str">
        <f>IF('Mapa final'!Y311="","",'Mapa final'!Y311)</f>
        <v/>
      </c>
      <c r="J308" s="425" t="str">
        <f>IF('Mapa final'!AA311="","",'Mapa final'!AA311)</f>
        <v/>
      </c>
      <c r="K308" s="344" t="str">
        <f t="shared" si="4"/>
        <v/>
      </c>
      <c r="L308" s="425" t="str">
        <f>IF('Mapa final'!AD311="","",'Mapa final'!AD311)</f>
        <v/>
      </c>
      <c r="M308" s="345" t="str">
        <f>IF('Mapa final'!P311="","",'Mapa final'!P311)</f>
        <v/>
      </c>
      <c r="N308" s="70"/>
      <c r="O308" s="70"/>
      <c r="P308" s="70"/>
      <c r="Q308" s="177"/>
    </row>
    <row r="309" spans="1:17" ht="43.5" customHeight="1" x14ac:dyDescent="0.25">
      <c r="A309" s="119" t="s">
        <v>841</v>
      </c>
      <c r="B309" s="713"/>
      <c r="C309" s="715"/>
      <c r="D309" s="717"/>
      <c r="E309" s="715"/>
      <c r="F309" s="718"/>
      <c r="G309" s="718"/>
      <c r="H309" s="711"/>
      <c r="I309" s="425" t="str">
        <f>IF('Mapa final'!Y312="","",'Mapa final'!Y312)</f>
        <v/>
      </c>
      <c r="J309" s="425" t="str">
        <f>IF('Mapa final'!AA312="","",'Mapa final'!AA312)</f>
        <v/>
      </c>
      <c r="K309" s="344" t="str">
        <f t="shared" si="4"/>
        <v/>
      </c>
      <c r="L309" s="425" t="str">
        <f>IF('Mapa final'!AD312="","",'Mapa final'!AD312)</f>
        <v/>
      </c>
      <c r="M309" s="345" t="str">
        <f>IF('Mapa final'!P312="","",'Mapa final'!P312)</f>
        <v/>
      </c>
      <c r="N309" s="70"/>
      <c r="O309" s="70"/>
      <c r="P309" s="70"/>
      <c r="Q309" s="177"/>
    </row>
    <row r="310" spans="1:17" ht="43.5" customHeight="1" x14ac:dyDescent="0.25">
      <c r="A310" s="119" t="s">
        <v>842</v>
      </c>
      <c r="B310" s="713"/>
      <c r="C310" s="715"/>
      <c r="D310" s="717"/>
      <c r="E310" s="715"/>
      <c r="F310" s="718"/>
      <c r="G310" s="718"/>
      <c r="H310" s="711"/>
      <c r="I310" s="425" t="str">
        <f>IF('Mapa final'!Y313="","",'Mapa final'!Y313)</f>
        <v/>
      </c>
      <c r="J310" s="425" t="str">
        <f>IF('Mapa final'!AA313="","",'Mapa final'!AA313)</f>
        <v/>
      </c>
      <c r="K310" s="344" t="str">
        <f t="shared" si="4"/>
        <v/>
      </c>
      <c r="L310" s="425" t="str">
        <f>IF('Mapa final'!AD313="","",'Mapa final'!AD313)</f>
        <v/>
      </c>
      <c r="M310" s="345" t="str">
        <f>IF('Mapa final'!P313="","",'Mapa final'!P313)</f>
        <v/>
      </c>
      <c r="N310" s="70"/>
      <c r="O310" s="70"/>
      <c r="P310" s="70"/>
      <c r="Q310" s="177"/>
    </row>
    <row r="311" spans="1:17" ht="43.5" customHeight="1" x14ac:dyDescent="0.25">
      <c r="A311" s="119" t="s">
        <v>843</v>
      </c>
      <c r="B311" s="713"/>
      <c r="C311" s="715"/>
      <c r="D311" s="717"/>
      <c r="E311" s="715"/>
      <c r="F311" s="718"/>
      <c r="G311" s="718"/>
      <c r="H311" s="711"/>
      <c r="I311" s="425" t="str">
        <f>IF('Mapa final'!Y314="","",'Mapa final'!Y314)</f>
        <v/>
      </c>
      <c r="J311" s="425" t="str">
        <f>IF('Mapa final'!AA314="","",'Mapa final'!AA314)</f>
        <v/>
      </c>
      <c r="K311" s="344" t="str">
        <f t="shared" si="4"/>
        <v/>
      </c>
      <c r="L311" s="425" t="str">
        <f>IF('Mapa final'!AD314="","",'Mapa final'!AD314)</f>
        <v/>
      </c>
      <c r="M311" s="345" t="str">
        <f>IF('Mapa final'!P314="","",'Mapa final'!P314)</f>
        <v/>
      </c>
      <c r="N311" s="70"/>
      <c r="O311" s="70"/>
      <c r="P311" s="70"/>
      <c r="Q311" s="177"/>
    </row>
    <row r="312" spans="1:17" ht="43.5" customHeight="1" x14ac:dyDescent="0.25">
      <c r="A312" s="119" t="s">
        <v>844</v>
      </c>
      <c r="B312" s="713"/>
      <c r="C312" s="715"/>
      <c r="D312" s="717"/>
      <c r="E312" s="715"/>
      <c r="F312" s="718"/>
      <c r="G312" s="718"/>
      <c r="H312" s="711"/>
      <c r="I312" s="425" t="str">
        <f>IF('Mapa final'!Y315="","",'Mapa final'!Y315)</f>
        <v/>
      </c>
      <c r="J312" s="425" t="str">
        <f>IF('Mapa final'!AA315="","",'Mapa final'!AA315)</f>
        <v/>
      </c>
      <c r="K312" s="344" t="str">
        <f t="shared" si="4"/>
        <v/>
      </c>
      <c r="L312" s="425" t="str">
        <f>IF('Mapa final'!AD315="","",'Mapa final'!AD315)</f>
        <v/>
      </c>
      <c r="M312" s="345" t="str">
        <f>IF('Mapa final'!P315="","",'Mapa final'!P315)</f>
        <v/>
      </c>
      <c r="N312" s="70"/>
      <c r="O312" s="70"/>
      <c r="P312" s="70"/>
      <c r="Q312" s="177"/>
    </row>
    <row r="313" spans="1:17" ht="43.5" customHeight="1" x14ac:dyDescent="0.25">
      <c r="A313" s="119" t="s">
        <v>845</v>
      </c>
      <c r="B313" s="712"/>
      <c r="C313" s="714" t="s">
        <v>1266</v>
      </c>
      <c r="D313" s="716"/>
      <c r="E313" s="714" t="s">
        <v>1266</v>
      </c>
      <c r="F313" s="718" t="s">
        <v>1266</v>
      </c>
      <c r="G313" s="718" t="s">
        <v>1266</v>
      </c>
      <c r="H313" s="71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final'!Y316="","",'Mapa final'!Y316)</f>
        <v/>
      </c>
      <c r="J313" s="425" t="str">
        <f>IF('Mapa final'!AA316="","",'Mapa final'!AA316)</f>
        <v/>
      </c>
      <c r="K313" s="344" t="str">
        <f t="shared" si="4"/>
        <v/>
      </c>
      <c r="L313" s="425" t="str">
        <f>IF('Mapa final'!AD316="","",'Mapa final'!AD316)</f>
        <v/>
      </c>
      <c r="M313" s="345" t="str">
        <f>IF('Mapa final'!P316="","",'Mapa final'!P316)</f>
        <v/>
      </c>
      <c r="N313" s="70"/>
      <c r="O313" s="70"/>
      <c r="P313" s="70"/>
      <c r="Q313" s="177"/>
    </row>
    <row r="314" spans="1:17" ht="43.5" customHeight="1" x14ac:dyDescent="0.25">
      <c r="A314" s="119" t="s">
        <v>846</v>
      </c>
      <c r="B314" s="713"/>
      <c r="C314" s="715"/>
      <c r="D314" s="717"/>
      <c r="E314" s="715"/>
      <c r="F314" s="718"/>
      <c r="G314" s="718"/>
      <c r="H314" s="711"/>
      <c r="I314" s="425" t="str">
        <f>IF('Mapa final'!Y317="","",'Mapa final'!Y317)</f>
        <v/>
      </c>
      <c r="J314" s="425" t="str">
        <f>IF('Mapa final'!AA317="","",'Mapa final'!AA317)</f>
        <v/>
      </c>
      <c r="K314" s="344" t="str">
        <f t="shared" si="4"/>
        <v/>
      </c>
      <c r="L314" s="425" t="str">
        <f>IF('Mapa final'!AD317="","",'Mapa final'!AD317)</f>
        <v/>
      </c>
      <c r="M314" s="345" t="str">
        <f>IF('Mapa final'!P317="","",'Mapa final'!P317)</f>
        <v/>
      </c>
      <c r="N314" s="70"/>
      <c r="O314" s="70"/>
      <c r="P314" s="70"/>
      <c r="Q314" s="177"/>
    </row>
    <row r="315" spans="1:17" ht="43.5" customHeight="1" x14ac:dyDescent="0.25">
      <c r="A315" s="119" t="s">
        <v>847</v>
      </c>
      <c r="B315" s="713"/>
      <c r="C315" s="715"/>
      <c r="D315" s="717"/>
      <c r="E315" s="715"/>
      <c r="F315" s="718"/>
      <c r="G315" s="718"/>
      <c r="H315" s="711"/>
      <c r="I315" s="425" t="str">
        <f>IF('Mapa final'!Y318="","",'Mapa final'!Y318)</f>
        <v/>
      </c>
      <c r="J315" s="425" t="str">
        <f>IF('Mapa final'!AA318="","",'Mapa final'!AA318)</f>
        <v/>
      </c>
      <c r="K315" s="344" t="str">
        <f t="shared" si="4"/>
        <v/>
      </c>
      <c r="L315" s="425" t="str">
        <f>IF('Mapa final'!AD318="","",'Mapa final'!AD318)</f>
        <v/>
      </c>
      <c r="M315" s="345" t="str">
        <f>IF('Mapa final'!P318="","",'Mapa final'!P318)</f>
        <v/>
      </c>
      <c r="N315" s="70"/>
      <c r="O315" s="70"/>
      <c r="P315" s="70"/>
      <c r="Q315" s="177"/>
    </row>
    <row r="316" spans="1:17" ht="43.5" customHeight="1" x14ac:dyDescent="0.25">
      <c r="A316" s="119" t="s">
        <v>848</v>
      </c>
      <c r="B316" s="713"/>
      <c r="C316" s="715"/>
      <c r="D316" s="717"/>
      <c r="E316" s="715"/>
      <c r="F316" s="718"/>
      <c r="G316" s="718"/>
      <c r="H316" s="711"/>
      <c r="I316" s="425" t="str">
        <f>IF('Mapa final'!Y319="","",'Mapa final'!Y319)</f>
        <v/>
      </c>
      <c r="J316" s="425" t="str">
        <f>IF('Mapa final'!AA319="","",'Mapa final'!AA319)</f>
        <v/>
      </c>
      <c r="K316" s="344" t="str">
        <f t="shared" si="4"/>
        <v/>
      </c>
      <c r="L316" s="425" t="str">
        <f>IF('Mapa final'!AD319="","",'Mapa final'!AD319)</f>
        <v/>
      </c>
      <c r="M316" s="345" t="str">
        <f>IF('Mapa final'!P319="","",'Mapa final'!P319)</f>
        <v/>
      </c>
      <c r="N316" s="70"/>
      <c r="O316" s="70"/>
      <c r="P316" s="70"/>
      <c r="Q316" s="177"/>
    </row>
    <row r="317" spans="1:17" ht="43.5" customHeight="1" x14ac:dyDescent="0.25">
      <c r="A317" s="119" t="s">
        <v>849</v>
      </c>
      <c r="B317" s="713"/>
      <c r="C317" s="715"/>
      <c r="D317" s="717"/>
      <c r="E317" s="715"/>
      <c r="F317" s="718"/>
      <c r="G317" s="718"/>
      <c r="H317" s="711"/>
      <c r="I317" s="425" t="str">
        <f>IF('Mapa final'!Y320="","",'Mapa final'!Y320)</f>
        <v/>
      </c>
      <c r="J317" s="425" t="str">
        <f>IF('Mapa final'!AA320="","",'Mapa final'!AA320)</f>
        <v/>
      </c>
      <c r="K317" s="344" t="str">
        <f t="shared" si="4"/>
        <v/>
      </c>
      <c r="L317" s="425" t="str">
        <f>IF('Mapa final'!AD320="","",'Mapa final'!AD320)</f>
        <v/>
      </c>
      <c r="M317" s="345" t="str">
        <f>IF('Mapa final'!P320="","",'Mapa final'!P320)</f>
        <v/>
      </c>
      <c r="N317" s="70"/>
      <c r="O317" s="70"/>
      <c r="P317" s="70"/>
      <c r="Q317" s="177"/>
    </row>
    <row r="318" spans="1:17" ht="43.5" customHeight="1" x14ac:dyDescent="0.25">
      <c r="A318" s="119" t="s">
        <v>850</v>
      </c>
      <c r="B318" s="713"/>
      <c r="C318" s="715"/>
      <c r="D318" s="717"/>
      <c r="E318" s="715"/>
      <c r="F318" s="718"/>
      <c r="G318" s="718"/>
      <c r="H318" s="711"/>
      <c r="I318" s="425" t="str">
        <f>IF('Mapa final'!Y321="","",'Mapa final'!Y321)</f>
        <v/>
      </c>
      <c r="J318" s="425" t="str">
        <f>IF('Mapa final'!AA321="","",'Mapa final'!AA321)</f>
        <v/>
      </c>
      <c r="K318" s="344" t="str">
        <f t="shared" si="4"/>
        <v/>
      </c>
      <c r="L318" s="425" t="str">
        <f>IF('Mapa final'!AD321="","",'Mapa final'!AD321)</f>
        <v/>
      </c>
      <c r="M318" s="345" t="str">
        <f>IF('Mapa final'!P321="","",'Mapa final'!P321)</f>
        <v/>
      </c>
      <c r="N318" s="70"/>
      <c r="O318" s="70"/>
      <c r="P318" s="70"/>
      <c r="Q318" s="177"/>
    </row>
    <row r="319" spans="1:17" ht="43.5" customHeight="1" x14ac:dyDescent="0.25">
      <c r="A319" s="119" t="s">
        <v>851</v>
      </c>
      <c r="B319" s="712"/>
      <c r="C319" s="714" t="s">
        <v>1266</v>
      </c>
      <c r="D319" s="716"/>
      <c r="E319" s="714" t="s">
        <v>1266</v>
      </c>
      <c r="F319" s="718" t="s">
        <v>1266</v>
      </c>
      <c r="G319" s="718" t="s">
        <v>1266</v>
      </c>
      <c r="H319" s="71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final'!Y322="","",'Mapa final'!Y322)</f>
        <v/>
      </c>
      <c r="J319" s="425" t="str">
        <f>IF('Mapa final'!AA322="","",'Mapa final'!AA322)</f>
        <v/>
      </c>
      <c r="K319" s="344" t="str">
        <f t="shared" si="4"/>
        <v/>
      </c>
      <c r="L319" s="425" t="str">
        <f>IF('Mapa final'!AD322="","",'Mapa final'!AD322)</f>
        <v/>
      </c>
      <c r="M319" s="345" t="str">
        <f>IF('Mapa final'!P322="","",'Mapa final'!P322)</f>
        <v/>
      </c>
      <c r="N319" s="70"/>
      <c r="O319" s="70"/>
      <c r="P319" s="70"/>
      <c r="Q319" s="177"/>
    </row>
    <row r="320" spans="1:17" ht="43.5" customHeight="1" x14ac:dyDescent="0.25">
      <c r="A320" s="119" t="s">
        <v>852</v>
      </c>
      <c r="B320" s="713"/>
      <c r="C320" s="715"/>
      <c r="D320" s="717"/>
      <c r="E320" s="715"/>
      <c r="F320" s="718"/>
      <c r="G320" s="718"/>
      <c r="H320" s="711"/>
      <c r="I320" s="425" t="str">
        <f>IF('Mapa final'!Y323="","",'Mapa final'!Y323)</f>
        <v/>
      </c>
      <c r="J320" s="425" t="str">
        <f>IF('Mapa final'!AA323="","",'Mapa final'!AA323)</f>
        <v/>
      </c>
      <c r="K320" s="344" t="str">
        <f t="shared" si="4"/>
        <v/>
      </c>
      <c r="L320" s="425" t="str">
        <f>IF('Mapa final'!AD323="","",'Mapa final'!AD323)</f>
        <v/>
      </c>
      <c r="M320" s="345" t="str">
        <f>IF('Mapa final'!P323="","",'Mapa final'!P323)</f>
        <v/>
      </c>
      <c r="N320" s="70"/>
      <c r="O320" s="70"/>
      <c r="P320" s="70"/>
      <c r="Q320" s="177"/>
    </row>
    <row r="321" spans="1:17" ht="43.5" customHeight="1" x14ac:dyDescent="0.25">
      <c r="A321" s="119" t="s">
        <v>853</v>
      </c>
      <c r="B321" s="713"/>
      <c r="C321" s="715"/>
      <c r="D321" s="717"/>
      <c r="E321" s="715"/>
      <c r="F321" s="718"/>
      <c r="G321" s="718"/>
      <c r="H321" s="711"/>
      <c r="I321" s="425" t="str">
        <f>IF('Mapa final'!Y324="","",'Mapa final'!Y324)</f>
        <v/>
      </c>
      <c r="J321" s="425" t="str">
        <f>IF('Mapa final'!AA324="","",'Mapa final'!AA324)</f>
        <v/>
      </c>
      <c r="K321" s="344" t="str">
        <f t="shared" si="4"/>
        <v/>
      </c>
      <c r="L321" s="425" t="str">
        <f>IF('Mapa final'!AD324="","",'Mapa final'!AD324)</f>
        <v/>
      </c>
      <c r="M321" s="345" t="str">
        <f>IF('Mapa final'!P324="","",'Mapa final'!P324)</f>
        <v/>
      </c>
      <c r="N321" s="70"/>
      <c r="O321" s="70"/>
      <c r="P321" s="70"/>
      <c r="Q321" s="177"/>
    </row>
    <row r="322" spans="1:17" ht="43.5" customHeight="1" x14ac:dyDescent="0.25">
      <c r="A322" s="119" t="s">
        <v>854</v>
      </c>
      <c r="B322" s="713"/>
      <c r="C322" s="715"/>
      <c r="D322" s="717"/>
      <c r="E322" s="715"/>
      <c r="F322" s="718"/>
      <c r="G322" s="718"/>
      <c r="H322" s="711"/>
      <c r="I322" s="425" t="str">
        <f>IF('Mapa final'!Y325="","",'Mapa final'!Y325)</f>
        <v/>
      </c>
      <c r="J322" s="425" t="str">
        <f>IF('Mapa final'!AA325="","",'Mapa final'!AA325)</f>
        <v/>
      </c>
      <c r="K322" s="344" t="str">
        <f t="shared" si="4"/>
        <v/>
      </c>
      <c r="L322" s="425" t="str">
        <f>IF('Mapa final'!AD325="","",'Mapa final'!AD325)</f>
        <v/>
      </c>
      <c r="M322" s="345" t="str">
        <f>IF('Mapa final'!P325="","",'Mapa final'!P325)</f>
        <v/>
      </c>
      <c r="N322" s="70"/>
      <c r="O322" s="70"/>
      <c r="P322" s="70"/>
      <c r="Q322" s="177"/>
    </row>
    <row r="323" spans="1:17" ht="43.5" customHeight="1" x14ac:dyDescent="0.25">
      <c r="A323" s="119" t="s">
        <v>855</v>
      </c>
      <c r="B323" s="713"/>
      <c r="C323" s="715"/>
      <c r="D323" s="717"/>
      <c r="E323" s="715"/>
      <c r="F323" s="718"/>
      <c r="G323" s="718"/>
      <c r="H323" s="711"/>
      <c r="I323" s="425" t="str">
        <f>IF('Mapa final'!Y326="","",'Mapa final'!Y326)</f>
        <v/>
      </c>
      <c r="J323" s="425" t="str">
        <f>IF('Mapa final'!AA326="","",'Mapa final'!AA326)</f>
        <v/>
      </c>
      <c r="K323" s="344" t="str">
        <f t="shared" si="4"/>
        <v/>
      </c>
      <c r="L323" s="425" t="str">
        <f>IF('Mapa final'!AD326="","",'Mapa final'!AD326)</f>
        <v/>
      </c>
      <c r="M323" s="345" t="str">
        <f>IF('Mapa final'!P326="","",'Mapa final'!P326)</f>
        <v/>
      </c>
      <c r="N323" s="70"/>
      <c r="O323" s="70"/>
      <c r="P323" s="70"/>
      <c r="Q323" s="177"/>
    </row>
    <row r="324" spans="1:17" ht="43.5" customHeight="1" x14ac:dyDescent="0.25">
      <c r="A324" s="119" t="s">
        <v>856</v>
      </c>
      <c r="B324" s="713"/>
      <c r="C324" s="715"/>
      <c r="D324" s="717"/>
      <c r="E324" s="715"/>
      <c r="F324" s="718"/>
      <c r="G324" s="718"/>
      <c r="H324" s="711"/>
      <c r="I324" s="425" t="str">
        <f>IF('Mapa final'!Y327="","",'Mapa final'!Y327)</f>
        <v/>
      </c>
      <c r="J324" s="425" t="str">
        <f>IF('Mapa final'!AA327="","",'Mapa final'!AA327)</f>
        <v/>
      </c>
      <c r="K324" s="344" t="str">
        <f t="shared" si="4"/>
        <v/>
      </c>
      <c r="L324" s="425" t="str">
        <f>IF('Mapa final'!AD327="","",'Mapa final'!AD327)</f>
        <v/>
      </c>
      <c r="M324" s="345" t="str">
        <f>IF('Mapa final'!P327="","",'Mapa final'!P327)</f>
        <v/>
      </c>
      <c r="N324" s="70"/>
      <c r="O324" s="70"/>
      <c r="P324" s="70"/>
      <c r="Q324" s="177"/>
    </row>
    <row r="325" spans="1:17" ht="43.5" customHeight="1" x14ac:dyDescent="0.25">
      <c r="A325" s="119" t="s">
        <v>857</v>
      </c>
      <c r="B325" s="712"/>
      <c r="C325" s="714" t="s">
        <v>1266</v>
      </c>
      <c r="D325" s="716"/>
      <c r="E325" s="714" t="s">
        <v>1266</v>
      </c>
      <c r="F325" s="718" t="s">
        <v>1266</v>
      </c>
      <c r="G325" s="718" t="s">
        <v>1266</v>
      </c>
      <c r="H325" s="71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final'!Y328="","",'Mapa final'!Y328)</f>
        <v/>
      </c>
      <c r="J325" s="425" t="str">
        <f>IF('Mapa final'!AA328="","",'Mapa final'!AA328)</f>
        <v/>
      </c>
      <c r="K325" s="344" t="str">
        <f t="shared" si="4"/>
        <v/>
      </c>
      <c r="L325" s="425" t="str">
        <f>IF('Mapa final'!AD328="","",'Mapa final'!AD328)</f>
        <v/>
      </c>
      <c r="M325" s="345" t="str">
        <f>IF('Mapa final'!P328="","",'Mapa final'!P328)</f>
        <v/>
      </c>
      <c r="N325" s="70"/>
      <c r="O325" s="70"/>
      <c r="P325" s="70"/>
      <c r="Q325" s="177"/>
    </row>
    <row r="326" spans="1:17" ht="43.5" customHeight="1" x14ac:dyDescent="0.25">
      <c r="A326" s="119" t="s">
        <v>858</v>
      </c>
      <c r="B326" s="713"/>
      <c r="C326" s="715"/>
      <c r="D326" s="717"/>
      <c r="E326" s="715"/>
      <c r="F326" s="718"/>
      <c r="G326" s="718"/>
      <c r="H326" s="711"/>
      <c r="I326" s="425" t="str">
        <f>IF('Mapa final'!Y329="","",'Mapa final'!Y329)</f>
        <v/>
      </c>
      <c r="J326" s="425" t="str">
        <f>IF('Mapa final'!AA329="","",'Mapa final'!AA329)</f>
        <v/>
      </c>
      <c r="K326" s="344" t="str">
        <f t="shared" si="4"/>
        <v/>
      </c>
      <c r="L326" s="425" t="str">
        <f>IF('Mapa final'!AD329="","",'Mapa final'!AD329)</f>
        <v/>
      </c>
      <c r="M326" s="345" t="str">
        <f>IF('Mapa final'!P329="","",'Mapa final'!P329)</f>
        <v/>
      </c>
      <c r="N326" s="70"/>
      <c r="O326" s="70"/>
      <c r="P326" s="70"/>
      <c r="Q326" s="177"/>
    </row>
    <row r="327" spans="1:17" ht="43.5" customHeight="1" x14ac:dyDescent="0.25">
      <c r="A327" s="119" t="s">
        <v>859</v>
      </c>
      <c r="B327" s="713"/>
      <c r="C327" s="715"/>
      <c r="D327" s="717"/>
      <c r="E327" s="715"/>
      <c r="F327" s="718"/>
      <c r="G327" s="718"/>
      <c r="H327" s="711"/>
      <c r="I327" s="425" t="str">
        <f>IF('Mapa final'!Y330="","",'Mapa final'!Y330)</f>
        <v/>
      </c>
      <c r="J327" s="425" t="str">
        <f>IF('Mapa final'!AA330="","",'Mapa final'!AA330)</f>
        <v/>
      </c>
      <c r="K327" s="344" t="str">
        <f t="shared" si="4"/>
        <v/>
      </c>
      <c r="L327" s="425" t="str">
        <f>IF('Mapa final'!AD330="","",'Mapa final'!AD330)</f>
        <v/>
      </c>
      <c r="M327" s="345" t="str">
        <f>IF('Mapa final'!P330="","",'Mapa final'!P330)</f>
        <v/>
      </c>
      <c r="N327" s="70"/>
      <c r="O327" s="70"/>
      <c r="P327" s="70"/>
      <c r="Q327" s="177"/>
    </row>
    <row r="328" spans="1:17" ht="43.5" customHeight="1" x14ac:dyDescent="0.25">
      <c r="A328" s="119" t="s">
        <v>860</v>
      </c>
      <c r="B328" s="713"/>
      <c r="C328" s="715"/>
      <c r="D328" s="717"/>
      <c r="E328" s="715"/>
      <c r="F328" s="718"/>
      <c r="G328" s="718"/>
      <c r="H328" s="711"/>
      <c r="I328" s="425" t="str">
        <f>IF('Mapa final'!Y331="","",'Mapa final'!Y331)</f>
        <v/>
      </c>
      <c r="J328" s="425" t="str">
        <f>IF('Mapa final'!AA331="","",'Mapa final'!AA331)</f>
        <v/>
      </c>
      <c r="K328" s="34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final'!AD331="","",'Mapa final'!AD331)</f>
        <v/>
      </c>
      <c r="M328" s="345" t="str">
        <f>IF('Mapa final'!P331="","",'Mapa final'!P331)</f>
        <v/>
      </c>
      <c r="N328" s="70"/>
      <c r="O328" s="70"/>
      <c r="P328" s="70"/>
      <c r="Q328" s="177"/>
    </row>
    <row r="329" spans="1:17" ht="43.5" customHeight="1" x14ac:dyDescent="0.25">
      <c r="A329" s="119" t="s">
        <v>861</v>
      </c>
      <c r="B329" s="713"/>
      <c r="C329" s="715"/>
      <c r="D329" s="717"/>
      <c r="E329" s="715"/>
      <c r="F329" s="718"/>
      <c r="G329" s="718"/>
      <c r="H329" s="711"/>
      <c r="I329" s="425" t="str">
        <f>IF('Mapa final'!Y332="","",'Mapa final'!Y332)</f>
        <v/>
      </c>
      <c r="J329" s="425" t="str">
        <f>IF('Mapa final'!AA332="","",'Mapa final'!AA332)</f>
        <v/>
      </c>
      <c r="K329" s="344" t="str">
        <f t="shared" si="5"/>
        <v/>
      </c>
      <c r="L329" s="425" t="str">
        <f>IF('Mapa final'!AD332="","",'Mapa final'!AD332)</f>
        <v/>
      </c>
      <c r="M329" s="345" t="str">
        <f>IF('Mapa final'!P332="","",'Mapa final'!P332)</f>
        <v/>
      </c>
      <c r="N329" s="70"/>
      <c r="O329" s="70"/>
      <c r="P329" s="70"/>
      <c r="Q329" s="177"/>
    </row>
    <row r="330" spans="1:17" ht="43.5" customHeight="1" x14ac:dyDescent="0.25">
      <c r="A330" s="119" t="s">
        <v>862</v>
      </c>
      <c r="B330" s="713"/>
      <c r="C330" s="715"/>
      <c r="D330" s="717"/>
      <c r="E330" s="715"/>
      <c r="F330" s="718"/>
      <c r="G330" s="718"/>
      <c r="H330" s="711"/>
      <c r="I330" s="425" t="str">
        <f>IF('Mapa final'!Y333="","",'Mapa final'!Y333)</f>
        <v/>
      </c>
      <c r="J330" s="425" t="str">
        <f>IF('Mapa final'!AA333="","",'Mapa final'!AA333)</f>
        <v/>
      </c>
      <c r="K330" s="344" t="str">
        <f t="shared" si="5"/>
        <v/>
      </c>
      <c r="L330" s="425" t="str">
        <f>IF('Mapa final'!AD333="","",'Mapa final'!AD333)</f>
        <v/>
      </c>
      <c r="M330" s="345" t="str">
        <f>IF('Mapa final'!P333="","",'Mapa final'!P333)</f>
        <v/>
      </c>
      <c r="N330" s="70"/>
      <c r="O330" s="70"/>
      <c r="P330" s="70"/>
      <c r="Q330" s="177"/>
    </row>
    <row r="331" spans="1:17" ht="43.5" customHeight="1" x14ac:dyDescent="0.25">
      <c r="A331" s="119" t="s">
        <v>863</v>
      </c>
      <c r="B331" s="712"/>
      <c r="C331" s="714" t="s">
        <v>1266</v>
      </c>
      <c r="D331" s="716"/>
      <c r="E331" s="714" t="s">
        <v>1266</v>
      </c>
      <c r="F331" s="718" t="s">
        <v>1266</v>
      </c>
      <c r="G331" s="718" t="s">
        <v>1266</v>
      </c>
      <c r="H331" s="71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final'!Y334="","",'Mapa final'!Y334)</f>
        <v/>
      </c>
      <c r="J331" s="425" t="str">
        <f>IF('Mapa final'!AA334="","",'Mapa final'!AA334)</f>
        <v/>
      </c>
      <c r="K331" s="344" t="str">
        <f t="shared" si="5"/>
        <v/>
      </c>
      <c r="L331" s="425" t="str">
        <f>IF('Mapa final'!AD334="","",'Mapa final'!AD334)</f>
        <v/>
      </c>
      <c r="M331" s="345" t="str">
        <f>IF('Mapa final'!P334="","",'Mapa final'!P334)</f>
        <v/>
      </c>
      <c r="N331" s="70"/>
      <c r="O331" s="70"/>
      <c r="P331" s="70"/>
      <c r="Q331" s="177"/>
    </row>
    <row r="332" spans="1:17" ht="43.5" customHeight="1" x14ac:dyDescent="0.25">
      <c r="A332" s="119" t="s">
        <v>864</v>
      </c>
      <c r="B332" s="713"/>
      <c r="C332" s="715"/>
      <c r="D332" s="717"/>
      <c r="E332" s="715"/>
      <c r="F332" s="718"/>
      <c r="G332" s="718"/>
      <c r="H332" s="711"/>
      <c r="I332" s="425" t="str">
        <f>IF('Mapa final'!Y335="","",'Mapa final'!Y335)</f>
        <v/>
      </c>
      <c r="J332" s="425" t="str">
        <f>IF('Mapa final'!AA335="","",'Mapa final'!AA335)</f>
        <v/>
      </c>
      <c r="K332" s="344" t="str">
        <f t="shared" si="5"/>
        <v/>
      </c>
      <c r="L332" s="425" t="str">
        <f>IF('Mapa final'!AD335="","",'Mapa final'!AD335)</f>
        <v/>
      </c>
      <c r="M332" s="345" t="str">
        <f>IF('Mapa final'!P335="","",'Mapa final'!P335)</f>
        <v/>
      </c>
      <c r="N332" s="70"/>
      <c r="O332" s="70"/>
      <c r="P332" s="70"/>
      <c r="Q332" s="177"/>
    </row>
    <row r="333" spans="1:17" ht="43.5" customHeight="1" x14ac:dyDescent="0.25">
      <c r="A333" s="119" t="s">
        <v>865</v>
      </c>
      <c r="B333" s="713"/>
      <c r="C333" s="715"/>
      <c r="D333" s="717"/>
      <c r="E333" s="715"/>
      <c r="F333" s="718"/>
      <c r="G333" s="718"/>
      <c r="H333" s="711"/>
      <c r="I333" s="425" t="str">
        <f>IF('Mapa final'!Y336="","",'Mapa final'!Y336)</f>
        <v/>
      </c>
      <c r="J333" s="425" t="str">
        <f>IF('Mapa final'!AA336="","",'Mapa final'!AA336)</f>
        <v/>
      </c>
      <c r="K333" s="344" t="str">
        <f t="shared" si="5"/>
        <v/>
      </c>
      <c r="L333" s="425" t="str">
        <f>IF('Mapa final'!AD336="","",'Mapa final'!AD336)</f>
        <v/>
      </c>
      <c r="M333" s="345" t="str">
        <f>IF('Mapa final'!P336="","",'Mapa final'!P336)</f>
        <v/>
      </c>
      <c r="N333" s="70"/>
      <c r="O333" s="70"/>
      <c r="P333" s="70"/>
      <c r="Q333" s="177"/>
    </row>
    <row r="334" spans="1:17" ht="43.5" customHeight="1" x14ac:dyDescent="0.25">
      <c r="A334" s="119" t="s">
        <v>866</v>
      </c>
      <c r="B334" s="713"/>
      <c r="C334" s="715"/>
      <c r="D334" s="717"/>
      <c r="E334" s="715"/>
      <c r="F334" s="718"/>
      <c r="G334" s="718"/>
      <c r="H334" s="711"/>
      <c r="I334" s="425" t="str">
        <f>IF('Mapa final'!Y337="","",'Mapa final'!Y337)</f>
        <v/>
      </c>
      <c r="J334" s="425" t="str">
        <f>IF('Mapa final'!AA337="","",'Mapa final'!AA337)</f>
        <v/>
      </c>
      <c r="K334" s="344" t="str">
        <f t="shared" si="5"/>
        <v/>
      </c>
      <c r="L334" s="425" t="str">
        <f>IF('Mapa final'!AD337="","",'Mapa final'!AD337)</f>
        <v/>
      </c>
      <c r="M334" s="345" t="str">
        <f>IF('Mapa final'!P337="","",'Mapa final'!P337)</f>
        <v/>
      </c>
      <c r="N334" s="70"/>
      <c r="O334" s="70"/>
      <c r="P334" s="70"/>
      <c r="Q334" s="177"/>
    </row>
    <row r="335" spans="1:17" ht="43.5" customHeight="1" x14ac:dyDescent="0.25">
      <c r="A335" s="119" t="s">
        <v>867</v>
      </c>
      <c r="B335" s="713"/>
      <c r="C335" s="715"/>
      <c r="D335" s="717"/>
      <c r="E335" s="715"/>
      <c r="F335" s="718"/>
      <c r="G335" s="718"/>
      <c r="H335" s="711"/>
      <c r="I335" s="425" t="str">
        <f>IF('Mapa final'!Y338="","",'Mapa final'!Y338)</f>
        <v/>
      </c>
      <c r="J335" s="425" t="str">
        <f>IF('Mapa final'!AA338="","",'Mapa final'!AA338)</f>
        <v/>
      </c>
      <c r="K335" s="344" t="str">
        <f t="shared" si="5"/>
        <v/>
      </c>
      <c r="L335" s="425" t="str">
        <f>IF('Mapa final'!AD338="","",'Mapa final'!AD338)</f>
        <v/>
      </c>
      <c r="M335" s="345" t="str">
        <f>IF('Mapa final'!P338="","",'Mapa final'!P338)</f>
        <v/>
      </c>
      <c r="N335" s="70"/>
      <c r="O335" s="70"/>
      <c r="P335" s="70"/>
      <c r="Q335" s="177"/>
    </row>
    <row r="336" spans="1:17" ht="43.5" customHeight="1" x14ac:dyDescent="0.25">
      <c r="A336" s="119" t="s">
        <v>868</v>
      </c>
      <c r="B336" s="713"/>
      <c r="C336" s="715"/>
      <c r="D336" s="717"/>
      <c r="E336" s="715"/>
      <c r="F336" s="718"/>
      <c r="G336" s="718"/>
      <c r="H336" s="711"/>
      <c r="I336" s="425" t="str">
        <f>IF('Mapa final'!Y339="","",'Mapa final'!Y339)</f>
        <v/>
      </c>
      <c r="J336" s="425" t="str">
        <f>IF('Mapa final'!AA339="","",'Mapa final'!AA339)</f>
        <v/>
      </c>
      <c r="K336" s="344" t="str">
        <f t="shared" si="5"/>
        <v/>
      </c>
      <c r="L336" s="425" t="str">
        <f>IF('Mapa final'!AD339="","",'Mapa final'!AD339)</f>
        <v/>
      </c>
      <c r="M336" s="345" t="str">
        <f>IF('Mapa final'!P339="","",'Mapa final'!P339)</f>
        <v/>
      </c>
      <c r="N336" s="70"/>
      <c r="O336" s="70"/>
      <c r="P336" s="70"/>
      <c r="Q336" s="177"/>
    </row>
    <row r="337" spans="1:17" ht="43.5" customHeight="1" x14ac:dyDescent="0.25">
      <c r="A337" s="119" t="s">
        <v>869</v>
      </c>
      <c r="B337" s="712"/>
      <c r="C337" s="714" t="s">
        <v>1266</v>
      </c>
      <c r="D337" s="716"/>
      <c r="E337" s="714" t="s">
        <v>1266</v>
      </c>
      <c r="F337" s="718" t="s">
        <v>1266</v>
      </c>
      <c r="G337" s="718" t="s">
        <v>1266</v>
      </c>
      <c r="H337" s="71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final'!Y340="","",'Mapa final'!Y340)</f>
        <v/>
      </c>
      <c r="J337" s="425" t="str">
        <f>IF('Mapa final'!AA340="","",'Mapa final'!AA340)</f>
        <v/>
      </c>
      <c r="K337" s="344" t="str">
        <f t="shared" si="5"/>
        <v/>
      </c>
      <c r="L337" s="425" t="str">
        <f>IF('Mapa final'!AD340="","",'Mapa final'!AD340)</f>
        <v/>
      </c>
      <c r="M337" s="345" t="str">
        <f>IF('Mapa final'!P340="","",'Mapa final'!P340)</f>
        <v/>
      </c>
      <c r="N337" s="70"/>
      <c r="O337" s="70"/>
      <c r="P337" s="70"/>
      <c r="Q337" s="177"/>
    </row>
    <row r="338" spans="1:17" ht="43.5" customHeight="1" x14ac:dyDescent="0.25">
      <c r="A338" s="119" t="s">
        <v>870</v>
      </c>
      <c r="B338" s="713"/>
      <c r="C338" s="715"/>
      <c r="D338" s="717"/>
      <c r="E338" s="715"/>
      <c r="F338" s="718"/>
      <c r="G338" s="718"/>
      <c r="H338" s="711"/>
      <c r="I338" s="425" t="str">
        <f>IF('Mapa final'!Y341="","",'Mapa final'!Y341)</f>
        <v/>
      </c>
      <c r="J338" s="425" t="str">
        <f>IF('Mapa final'!AA341="","",'Mapa final'!AA341)</f>
        <v/>
      </c>
      <c r="K338" s="344" t="str">
        <f t="shared" si="5"/>
        <v/>
      </c>
      <c r="L338" s="425" t="str">
        <f>IF('Mapa final'!AD341="","",'Mapa final'!AD341)</f>
        <v/>
      </c>
      <c r="M338" s="345" t="str">
        <f>IF('Mapa final'!P341="","",'Mapa final'!P341)</f>
        <v/>
      </c>
      <c r="N338" s="70"/>
      <c r="O338" s="70"/>
      <c r="P338" s="70"/>
      <c r="Q338" s="177"/>
    </row>
    <row r="339" spans="1:17" ht="43.5" customHeight="1" x14ac:dyDescent="0.25">
      <c r="A339" s="119" t="s">
        <v>871</v>
      </c>
      <c r="B339" s="713"/>
      <c r="C339" s="715"/>
      <c r="D339" s="717"/>
      <c r="E339" s="715"/>
      <c r="F339" s="718"/>
      <c r="G339" s="718"/>
      <c r="H339" s="711"/>
      <c r="I339" s="425" t="str">
        <f>IF('Mapa final'!Y342="","",'Mapa final'!Y342)</f>
        <v/>
      </c>
      <c r="J339" s="425" t="str">
        <f>IF('Mapa final'!AA342="","",'Mapa final'!AA342)</f>
        <v/>
      </c>
      <c r="K339" s="344" t="str">
        <f t="shared" si="5"/>
        <v/>
      </c>
      <c r="L339" s="425" t="str">
        <f>IF('Mapa final'!AD342="","",'Mapa final'!AD342)</f>
        <v/>
      </c>
      <c r="M339" s="345" t="str">
        <f>IF('Mapa final'!P342="","",'Mapa final'!P342)</f>
        <v/>
      </c>
      <c r="N339" s="70"/>
      <c r="O339" s="70"/>
      <c r="P339" s="70"/>
      <c r="Q339" s="177"/>
    </row>
    <row r="340" spans="1:17" ht="43.5" customHeight="1" x14ac:dyDescent="0.25">
      <c r="A340" s="119" t="s">
        <v>872</v>
      </c>
      <c r="B340" s="713"/>
      <c r="C340" s="715"/>
      <c r="D340" s="717"/>
      <c r="E340" s="715"/>
      <c r="F340" s="718"/>
      <c r="G340" s="718"/>
      <c r="H340" s="711"/>
      <c r="I340" s="425" t="str">
        <f>IF('Mapa final'!Y343="","",'Mapa final'!Y343)</f>
        <v/>
      </c>
      <c r="J340" s="425" t="str">
        <f>IF('Mapa final'!AA343="","",'Mapa final'!AA343)</f>
        <v/>
      </c>
      <c r="K340" s="344" t="str">
        <f t="shared" si="5"/>
        <v/>
      </c>
      <c r="L340" s="425" t="str">
        <f>IF('Mapa final'!AD343="","",'Mapa final'!AD343)</f>
        <v/>
      </c>
      <c r="M340" s="345" t="str">
        <f>IF('Mapa final'!P343="","",'Mapa final'!P343)</f>
        <v/>
      </c>
      <c r="N340" s="70"/>
      <c r="O340" s="70"/>
      <c r="P340" s="70"/>
      <c r="Q340" s="177"/>
    </row>
    <row r="341" spans="1:17" ht="43.5" customHeight="1" x14ac:dyDescent="0.25">
      <c r="A341" s="119" t="s">
        <v>873</v>
      </c>
      <c r="B341" s="713"/>
      <c r="C341" s="715"/>
      <c r="D341" s="717"/>
      <c r="E341" s="715"/>
      <c r="F341" s="718"/>
      <c r="G341" s="718"/>
      <c r="H341" s="711"/>
      <c r="I341" s="425" t="str">
        <f>IF('Mapa final'!Y344="","",'Mapa final'!Y344)</f>
        <v/>
      </c>
      <c r="J341" s="425" t="str">
        <f>IF('Mapa final'!AA344="","",'Mapa final'!AA344)</f>
        <v/>
      </c>
      <c r="K341" s="344" t="str">
        <f t="shared" si="5"/>
        <v/>
      </c>
      <c r="L341" s="425" t="str">
        <f>IF('Mapa final'!AD344="","",'Mapa final'!AD344)</f>
        <v/>
      </c>
      <c r="M341" s="345" t="str">
        <f>IF('Mapa final'!P344="","",'Mapa final'!P344)</f>
        <v/>
      </c>
      <c r="N341" s="70"/>
      <c r="O341" s="70"/>
      <c r="P341" s="70"/>
      <c r="Q341" s="177"/>
    </row>
    <row r="342" spans="1:17" ht="43.5" customHeight="1" x14ac:dyDescent="0.25">
      <c r="A342" s="119" t="s">
        <v>874</v>
      </c>
      <c r="B342" s="713"/>
      <c r="C342" s="715"/>
      <c r="D342" s="717"/>
      <c r="E342" s="715"/>
      <c r="F342" s="718"/>
      <c r="G342" s="718"/>
      <c r="H342" s="711"/>
      <c r="I342" s="425" t="str">
        <f>IF('Mapa final'!Y345="","",'Mapa final'!Y345)</f>
        <v/>
      </c>
      <c r="J342" s="425" t="str">
        <f>IF('Mapa final'!AA345="","",'Mapa final'!AA345)</f>
        <v/>
      </c>
      <c r="K342" s="344" t="str">
        <f t="shared" si="5"/>
        <v/>
      </c>
      <c r="L342" s="425" t="str">
        <f>IF('Mapa final'!AD345="","",'Mapa final'!AD345)</f>
        <v/>
      </c>
      <c r="M342" s="345" t="str">
        <f>IF('Mapa final'!P345="","",'Mapa final'!P345)</f>
        <v/>
      </c>
      <c r="N342" s="70"/>
      <c r="O342" s="70"/>
      <c r="P342" s="70"/>
      <c r="Q342" s="177"/>
    </row>
    <row r="343" spans="1:17" ht="43.5" customHeight="1" x14ac:dyDescent="0.25">
      <c r="A343" s="119" t="s">
        <v>875</v>
      </c>
      <c r="B343" s="712"/>
      <c r="C343" s="714" t="s">
        <v>1266</v>
      </c>
      <c r="D343" s="716"/>
      <c r="E343" s="714" t="s">
        <v>1266</v>
      </c>
      <c r="F343" s="718" t="s">
        <v>1266</v>
      </c>
      <c r="G343" s="718" t="s">
        <v>1266</v>
      </c>
      <c r="H343" s="71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final'!Y346="","",'Mapa final'!Y346)</f>
        <v/>
      </c>
      <c r="J343" s="425" t="str">
        <f>IF('Mapa final'!AA346="","",'Mapa final'!AA346)</f>
        <v/>
      </c>
      <c r="K343" s="344" t="str">
        <f t="shared" si="5"/>
        <v/>
      </c>
      <c r="L343" s="425" t="str">
        <f>IF('Mapa final'!AD346="","",'Mapa final'!AD346)</f>
        <v/>
      </c>
      <c r="M343" s="345" t="str">
        <f>IF('Mapa final'!P346="","",'Mapa final'!P346)</f>
        <v/>
      </c>
      <c r="N343" s="70"/>
      <c r="O343" s="70"/>
      <c r="P343" s="70"/>
      <c r="Q343" s="177"/>
    </row>
    <row r="344" spans="1:17" ht="43.5" customHeight="1" x14ac:dyDescent="0.25">
      <c r="A344" s="119" t="s">
        <v>876</v>
      </c>
      <c r="B344" s="713"/>
      <c r="C344" s="715"/>
      <c r="D344" s="717"/>
      <c r="E344" s="715"/>
      <c r="F344" s="718"/>
      <c r="G344" s="718"/>
      <c r="H344" s="711"/>
      <c r="I344" s="425" t="str">
        <f>IF('Mapa final'!Y347="","",'Mapa final'!Y347)</f>
        <v/>
      </c>
      <c r="J344" s="425" t="str">
        <f>IF('Mapa final'!AA347="","",'Mapa final'!AA347)</f>
        <v/>
      </c>
      <c r="K344" s="344" t="str">
        <f t="shared" si="5"/>
        <v/>
      </c>
      <c r="L344" s="425" t="str">
        <f>IF('Mapa final'!AD347="","",'Mapa final'!AD347)</f>
        <v/>
      </c>
      <c r="M344" s="345" t="str">
        <f>IF('Mapa final'!P347="","",'Mapa final'!P347)</f>
        <v/>
      </c>
      <c r="N344" s="70"/>
      <c r="O344" s="70"/>
      <c r="P344" s="70"/>
      <c r="Q344" s="177"/>
    </row>
    <row r="345" spans="1:17" ht="43.5" customHeight="1" x14ac:dyDescent="0.25">
      <c r="A345" s="119" t="s">
        <v>877</v>
      </c>
      <c r="B345" s="713"/>
      <c r="C345" s="715"/>
      <c r="D345" s="717"/>
      <c r="E345" s="715"/>
      <c r="F345" s="718"/>
      <c r="G345" s="718"/>
      <c r="H345" s="711"/>
      <c r="I345" s="425" t="str">
        <f>IF('Mapa final'!Y348="","",'Mapa final'!Y348)</f>
        <v/>
      </c>
      <c r="J345" s="425" t="str">
        <f>IF('Mapa final'!AA348="","",'Mapa final'!AA348)</f>
        <v/>
      </c>
      <c r="K345" s="344" t="str">
        <f t="shared" si="5"/>
        <v/>
      </c>
      <c r="L345" s="425" t="str">
        <f>IF('Mapa final'!AD348="","",'Mapa final'!AD348)</f>
        <v/>
      </c>
      <c r="M345" s="345" t="str">
        <f>IF('Mapa final'!P348="","",'Mapa final'!P348)</f>
        <v/>
      </c>
      <c r="N345" s="70"/>
      <c r="O345" s="70"/>
      <c r="P345" s="70"/>
      <c r="Q345" s="177"/>
    </row>
    <row r="346" spans="1:17" ht="43.5" customHeight="1" x14ac:dyDescent="0.25">
      <c r="A346" s="119" t="s">
        <v>878</v>
      </c>
      <c r="B346" s="713"/>
      <c r="C346" s="715"/>
      <c r="D346" s="717"/>
      <c r="E346" s="715"/>
      <c r="F346" s="718"/>
      <c r="G346" s="718"/>
      <c r="H346" s="711"/>
      <c r="I346" s="425" t="str">
        <f>IF('Mapa final'!Y349="","",'Mapa final'!Y349)</f>
        <v/>
      </c>
      <c r="J346" s="425" t="str">
        <f>IF('Mapa final'!AA349="","",'Mapa final'!AA349)</f>
        <v/>
      </c>
      <c r="K346" s="344" t="str">
        <f t="shared" si="5"/>
        <v/>
      </c>
      <c r="L346" s="425" t="str">
        <f>IF('Mapa final'!AD349="","",'Mapa final'!AD349)</f>
        <v/>
      </c>
      <c r="M346" s="345" t="str">
        <f>IF('Mapa final'!P349="","",'Mapa final'!P349)</f>
        <v/>
      </c>
      <c r="N346" s="70"/>
      <c r="O346" s="70"/>
      <c r="P346" s="70"/>
      <c r="Q346" s="177"/>
    </row>
    <row r="347" spans="1:17" ht="43.5" customHeight="1" x14ac:dyDescent="0.25">
      <c r="A347" s="119" t="s">
        <v>879</v>
      </c>
      <c r="B347" s="713"/>
      <c r="C347" s="715"/>
      <c r="D347" s="717"/>
      <c r="E347" s="715"/>
      <c r="F347" s="718"/>
      <c r="G347" s="718"/>
      <c r="H347" s="711"/>
      <c r="I347" s="425" t="str">
        <f>IF('Mapa final'!Y350="","",'Mapa final'!Y350)</f>
        <v/>
      </c>
      <c r="J347" s="425" t="str">
        <f>IF('Mapa final'!AA350="","",'Mapa final'!AA350)</f>
        <v/>
      </c>
      <c r="K347" s="344" t="str">
        <f t="shared" si="5"/>
        <v/>
      </c>
      <c r="L347" s="425" t="str">
        <f>IF('Mapa final'!AD350="","",'Mapa final'!AD350)</f>
        <v/>
      </c>
      <c r="M347" s="345" t="str">
        <f>IF('Mapa final'!P350="","",'Mapa final'!P350)</f>
        <v/>
      </c>
      <c r="N347" s="70"/>
      <c r="O347" s="70"/>
      <c r="P347" s="70"/>
      <c r="Q347" s="177"/>
    </row>
    <row r="348" spans="1:17" ht="43.5" customHeight="1" x14ac:dyDescent="0.25">
      <c r="A348" s="119" t="s">
        <v>880</v>
      </c>
      <c r="B348" s="713"/>
      <c r="C348" s="715"/>
      <c r="D348" s="717"/>
      <c r="E348" s="715"/>
      <c r="F348" s="718"/>
      <c r="G348" s="718"/>
      <c r="H348" s="711"/>
      <c r="I348" s="425" t="str">
        <f>IF('Mapa final'!Y351="","",'Mapa final'!Y351)</f>
        <v/>
      </c>
      <c r="J348" s="425" t="str">
        <f>IF('Mapa final'!AA351="","",'Mapa final'!AA351)</f>
        <v/>
      </c>
      <c r="K348" s="344" t="str">
        <f t="shared" si="5"/>
        <v/>
      </c>
      <c r="L348" s="425" t="str">
        <f>IF('Mapa final'!AD351="","",'Mapa final'!AD351)</f>
        <v/>
      </c>
      <c r="M348" s="345" t="str">
        <f>IF('Mapa final'!P351="","",'Mapa final'!P351)</f>
        <v/>
      </c>
      <c r="N348" s="70"/>
      <c r="O348" s="70"/>
      <c r="P348" s="70"/>
      <c r="Q348" s="177"/>
    </row>
    <row r="349" spans="1:17" ht="43.5" customHeight="1" x14ac:dyDescent="0.25">
      <c r="A349" s="119" t="s">
        <v>881</v>
      </c>
      <c r="B349" s="712"/>
      <c r="C349" s="714" t="s">
        <v>1266</v>
      </c>
      <c r="D349" s="716"/>
      <c r="E349" s="714" t="s">
        <v>1266</v>
      </c>
      <c r="F349" s="718" t="s">
        <v>1266</v>
      </c>
      <c r="G349" s="718" t="s">
        <v>1266</v>
      </c>
      <c r="H349" s="71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final'!Y352="","",'Mapa final'!Y352)</f>
        <v/>
      </c>
      <c r="J349" s="425" t="str">
        <f>IF('Mapa final'!AA352="","",'Mapa final'!AA352)</f>
        <v/>
      </c>
      <c r="K349" s="344" t="str">
        <f t="shared" si="5"/>
        <v/>
      </c>
      <c r="L349" s="425" t="str">
        <f>IF('Mapa final'!AD352="","",'Mapa final'!AD352)</f>
        <v/>
      </c>
      <c r="M349" s="345" t="str">
        <f>IF('Mapa final'!P352="","",'Mapa final'!P352)</f>
        <v/>
      </c>
      <c r="N349" s="70"/>
      <c r="O349" s="70"/>
      <c r="P349" s="70"/>
      <c r="Q349" s="177"/>
    </row>
    <row r="350" spans="1:17" ht="43.5" customHeight="1" x14ac:dyDescent="0.25">
      <c r="A350" s="119" t="s">
        <v>882</v>
      </c>
      <c r="B350" s="713"/>
      <c r="C350" s="715"/>
      <c r="D350" s="717"/>
      <c r="E350" s="715"/>
      <c r="F350" s="718"/>
      <c r="G350" s="718"/>
      <c r="H350" s="711"/>
      <c r="I350" s="425" t="str">
        <f>IF('Mapa final'!Y353="","",'Mapa final'!Y353)</f>
        <v/>
      </c>
      <c r="J350" s="425" t="str">
        <f>IF('Mapa final'!AA353="","",'Mapa final'!AA353)</f>
        <v/>
      </c>
      <c r="K350" s="344" t="str">
        <f t="shared" si="5"/>
        <v/>
      </c>
      <c r="L350" s="425" t="str">
        <f>IF('Mapa final'!AD353="","",'Mapa final'!AD353)</f>
        <v/>
      </c>
      <c r="M350" s="345" t="str">
        <f>IF('Mapa final'!P353="","",'Mapa final'!P353)</f>
        <v/>
      </c>
      <c r="N350" s="70"/>
      <c r="O350" s="70"/>
      <c r="P350" s="70"/>
      <c r="Q350" s="177"/>
    </row>
    <row r="351" spans="1:17" ht="43.5" customHeight="1" x14ac:dyDescent="0.25">
      <c r="A351" s="119" t="s">
        <v>883</v>
      </c>
      <c r="B351" s="713"/>
      <c r="C351" s="715"/>
      <c r="D351" s="717"/>
      <c r="E351" s="715"/>
      <c r="F351" s="718"/>
      <c r="G351" s="718"/>
      <c r="H351" s="711"/>
      <c r="I351" s="425" t="str">
        <f>IF('Mapa final'!Y354="","",'Mapa final'!Y354)</f>
        <v/>
      </c>
      <c r="J351" s="425" t="str">
        <f>IF('Mapa final'!AA354="","",'Mapa final'!AA354)</f>
        <v/>
      </c>
      <c r="K351" s="344" t="str">
        <f t="shared" si="5"/>
        <v/>
      </c>
      <c r="L351" s="425" t="str">
        <f>IF('Mapa final'!AD354="","",'Mapa final'!AD354)</f>
        <v/>
      </c>
      <c r="M351" s="345" t="str">
        <f>IF('Mapa final'!P354="","",'Mapa final'!P354)</f>
        <v/>
      </c>
      <c r="N351" s="70"/>
      <c r="O351" s="70"/>
      <c r="P351" s="70"/>
      <c r="Q351" s="177"/>
    </row>
    <row r="352" spans="1:17" ht="43.5" customHeight="1" x14ac:dyDescent="0.25">
      <c r="A352" s="119" t="s">
        <v>884</v>
      </c>
      <c r="B352" s="713"/>
      <c r="C352" s="715"/>
      <c r="D352" s="717"/>
      <c r="E352" s="715"/>
      <c r="F352" s="718"/>
      <c r="G352" s="718"/>
      <c r="H352" s="711"/>
      <c r="I352" s="425" t="str">
        <f>IF('Mapa final'!Y355="","",'Mapa final'!Y355)</f>
        <v/>
      </c>
      <c r="J352" s="425" t="str">
        <f>IF('Mapa final'!AA355="","",'Mapa final'!AA355)</f>
        <v/>
      </c>
      <c r="K352" s="344" t="str">
        <f t="shared" si="5"/>
        <v/>
      </c>
      <c r="L352" s="425" t="str">
        <f>IF('Mapa final'!AD355="","",'Mapa final'!AD355)</f>
        <v/>
      </c>
      <c r="M352" s="345" t="str">
        <f>IF('Mapa final'!P355="","",'Mapa final'!P355)</f>
        <v/>
      </c>
      <c r="N352" s="70"/>
      <c r="O352" s="70"/>
      <c r="P352" s="70"/>
      <c r="Q352" s="177"/>
    </row>
    <row r="353" spans="1:17" ht="43.5" customHeight="1" x14ac:dyDescent="0.25">
      <c r="A353" s="119" t="s">
        <v>885</v>
      </c>
      <c r="B353" s="713"/>
      <c r="C353" s="715"/>
      <c r="D353" s="717"/>
      <c r="E353" s="715"/>
      <c r="F353" s="718"/>
      <c r="G353" s="718"/>
      <c r="H353" s="711"/>
      <c r="I353" s="425" t="str">
        <f>IF('Mapa final'!Y356="","",'Mapa final'!Y356)</f>
        <v/>
      </c>
      <c r="J353" s="425" t="str">
        <f>IF('Mapa final'!AA356="","",'Mapa final'!AA356)</f>
        <v/>
      </c>
      <c r="K353" s="344" t="str">
        <f t="shared" si="5"/>
        <v/>
      </c>
      <c r="L353" s="425" t="str">
        <f>IF('Mapa final'!AD356="","",'Mapa final'!AD356)</f>
        <v/>
      </c>
      <c r="M353" s="345" t="str">
        <f>IF('Mapa final'!P356="","",'Mapa final'!P356)</f>
        <v/>
      </c>
      <c r="N353" s="70"/>
      <c r="O353" s="70"/>
      <c r="P353" s="70"/>
      <c r="Q353" s="177"/>
    </row>
    <row r="354" spans="1:17" ht="43.5" customHeight="1" x14ac:dyDescent="0.25">
      <c r="A354" s="119" t="s">
        <v>886</v>
      </c>
      <c r="B354" s="713"/>
      <c r="C354" s="715"/>
      <c r="D354" s="717"/>
      <c r="E354" s="715"/>
      <c r="F354" s="718"/>
      <c r="G354" s="718"/>
      <c r="H354" s="711"/>
      <c r="I354" s="425" t="str">
        <f>IF('Mapa final'!Y357="","",'Mapa final'!Y357)</f>
        <v/>
      </c>
      <c r="J354" s="425" t="str">
        <f>IF('Mapa final'!AA357="","",'Mapa final'!AA357)</f>
        <v/>
      </c>
      <c r="K354" s="344" t="str">
        <f t="shared" si="5"/>
        <v/>
      </c>
      <c r="L354" s="425" t="str">
        <f>IF('Mapa final'!AD357="","",'Mapa final'!AD357)</f>
        <v/>
      </c>
      <c r="M354" s="345" t="str">
        <f>IF('Mapa final'!P357="","",'Mapa final'!P357)</f>
        <v/>
      </c>
      <c r="N354" s="70"/>
      <c r="O354" s="70"/>
      <c r="P354" s="70"/>
      <c r="Q354" s="177"/>
    </row>
    <row r="355" spans="1:17" ht="43.5" customHeight="1" x14ac:dyDescent="0.25">
      <c r="A355" s="119" t="s">
        <v>887</v>
      </c>
      <c r="B355" s="712"/>
      <c r="C355" s="714" t="s">
        <v>1266</v>
      </c>
      <c r="D355" s="716"/>
      <c r="E355" s="714" t="s">
        <v>1266</v>
      </c>
      <c r="F355" s="718" t="s">
        <v>1266</v>
      </c>
      <c r="G355" s="718" t="s">
        <v>1266</v>
      </c>
      <c r="H355" s="71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final'!Y358="","",'Mapa final'!Y358)</f>
        <v/>
      </c>
      <c r="J355" s="425" t="str">
        <f>IF('Mapa final'!AA358="","",'Mapa final'!AA358)</f>
        <v/>
      </c>
      <c r="K355" s="344" t="str">
        <f t="shared" si="5"/>
        <v/>
      </c>
      <c r="L355" s="425" t="str">
        <f>IF('Mapa final'!AD358="","",'Mapa final'!AD358)</f>
        <v/>
      </c>
      <c r="M355" s="345" t="str">
        <f>IF('Mapa final'!P358="","",'Mapa final'!P358)</f>
        <v/>
      </c>
      <c r="N355" s="70"/>
      <c r="O355" s="70"/>
      <c r="P355" s="70"/>
      <c r="Q355" s="177"/>
    </row>
    <row r="356" spans="1:17" ht="43.5" customHeight="1" x14ac:dyDescent="0.25">
      <c r="A356" s="119" t="s">
        <v>888</v>
      </c>
      <c r="B356" s="713"/>
      <c r="C356" s="715"/>
      <c r="D356" s="717"/>
      <c r="E356" s="715"/>
      <c r="F356" s="718"/>
      <c r="G356" s="718"/>
      <c r="H356" s="711"/>
      <c r="I356" s="425" t="str">
        <f>IF('Mapa final'!Y359="","",'Mapa final'!Y359)</f>
        <v/>
      </c>
      <c r="J356" s="425" t="str">
        <f>IF('Mapa final'!AA359="","",'Mapa final'!AA359)</f>
        <v/>
      </c>
      <c r="K356" s="344" t="str">
        <f t="shared" si="5"/>
        <v/>
      </c>
      <c r="L356" s="425" t="str">
        <f>IF('Mapa final'!AD359="","",'Mapa final'!AD359)</f>
        <v/>
      </c>
      <c r="M356" s="345" t="str">
        <f>IF('Mapa final'!P359="","",'Mapa final'!P359)</f>
        <v/>
      </c>
      <c r="N356" s="70"/>
      <c r="O356" s="70"/>
      <c r="P356" s="70"/>
      <c r="Q356" s="177"/>
    </row>
    <row r="357" spans="1:17" ht="43.5" customHeight="1" x14ac:dyDescent="0.25">
      <c r="A357" s="119" t="s">
        <v>889</v>
      </c>
      <c r="B357" s="713"/>
      <c r="C357" s="715"/>
      <c r="D357" s="717"/>
      <c r="E357" s="715"/>
      <c r="F357" s="718"/>
      <c r="G357" s="718"/>
      <c r="H357" s="711"/>
      <c r="I357" s="425" t="str">
        <f>IF('Mapa final'!Y360="","",'Mapa final'!Y360)</f>
        <v/>
      </c>
      <c r="J357" s="425" t="str">
        <f>IF('Mapa final'!AA360="","",'Mapa final'!AA360)</f>
        <v/>
      </c>
      <c r="K357" s="344" t="str">
        <f t="shared" si="5"/>
        <v/>
      </c>
      <c r="L357" s="425" t="str">
        <f>IF('Mapa final'!AD360="","",'Mapa final'!AD360)</f>
        <v/>
      </c>
      <c r="M357" s="345" t="str">
        <f>IF('Mapa final'!P360="","",'Mapa final'!P360)</f>
        <v/>
      </c>
      <c r="N357" s="70"/>
      <c r="O357" s="70"/>
      <c r="P357" s="70"/>
      <c r="Q357" s="177"/>
    </row>
    <row r="358" spans="1:17" ht="43.5" customHeight="1" x14ac:dyDescent="0.25">
      <c r="A358" s="119" t="s">
        <v>890</v>
      </c>
      <c r="B358" s="713"/>
      <c r="C358" s="715"/>
      <c r="D358" s="717"/>
      <c r="E358" s="715"/>
      <c r="F358" s="718"/>
      <c r="G358" s="718"/>
      <c r="H358" s="711"/>
      <c r="I358" s="425" t="str">
        <f>IF('Mapa final'!Y361="","",'Mapa final'!Y361)</f>
        <v/>
      </c>
      <c r="J358" s="425" t="str">
        <f>IF('Mapa final'!AA361="","",'Mapa final'!AA361)</f>
        <v/>
      </c>
      <c r="K358" s="344" t="str">
        <f t="shared" si="5"/>
        <v/>
      </c>
      <c r="L358" s="425" t="str">
        <f>IF('Mapa final'!AD361="","",'Mapa final'!AD361)</f>
        <v/>
      </c>
      <c r="M358" s="345" t="str">
        <f>IF('Mapa final'!P361="","",'Mapa final'!P361)</f>
        <v/>
      </c>
      <c r="N358" s="70"/>
      <c r="O358" s="70"/>
      <c r="P358" s="70"/>
      <c r="Q358" s="177"/>
    </row>
    <row r="359" spans="1:17" ht="43.5" customHeight="1" x14ac:dyDescent="0.25">
      <c r="A359" s="119" t="s">
        <v>891</v>
      </c>
      <c r="B359" s="713"/>
      <c r="C359" s="715"/>
      <c r="D359" s="717"/>
      <c r="E359" s="715"/>
      <c r="F359" s="718"/>
      <c r="G359" s="718"/>
      <c r="H359" s="711"/>
      <c r="I359" s="425" t="str">
        <f>IF('Mapa final'!Y362="","",'Mapa final'!Y362)</f>
        <v/>
      </c>
      <c r="J359" s="425" t="str">
        <f>IF('Mapa final'!AA362="","",'Mapa final'!AA362)</f>
        <v/>
      </c>
      <c r="K359" s="344" t="str">
        <f t="shared" si="5"/>
        <v/>
      </c>
      <c r="L359" s="425" t="str">
        <f>IF('Mapa final'!AD362="","",'Mapa final'!AD362)</f>
        <v/>
      </c>
      <c r="M359" s="345" t="str">
        <f>IF('Mapa final'!P362="","",'Mapa final'!P362)</f>
        <v/>
      </c>
      <c r="N359" s="70"/>
      <c r="O359" s="70"/>
      <c r="P359" s="70"/>
      <c r="Q359" s="177"/>
    </row>
    <row r="360" spans="1:17" ht="43.5" customHeight="1" x14ac:dyDescent="0.25">
      <c r="A360" s="119" t="s">
        <v>892</v>
      </c>
      <c r="B360" s="713"/>
      <c r="C360" s="715"/>
      <c r="D360" s="717"/>
      <c r="E360" s="715"/>
      <c r="F360" s="718"/>
      <c r="G360" s="718"/>
      <c r="H360" s="711"/>
      <c r="I360" s="425" t="str">
        <f>IF('Mapa final'!Y363="","",'Mapa final'!Y363)</f>
        <v/>
      </c>
      <c r="J360" s="425" t="str">
        <f>IF('Mapa final'!AA363="","",'Mapa final'!AA363)</f>
        <v/>
      </c>
      <c r="K360" s="344" t="str">
        <f t="shared" si="5"/>
        <v/>
      </c>
      <c r="L360" s="425" t="str">
        <f>IF('Mapa final'!AD363="","",'Mapa final'!AD363)</f>
        <v/>
      </c>
      <c r="M360" s="345" t="str">
        <f>IF('Mapa final'!P363="","",'Mapa final'!P363)</f>
        <v/>
      </c>
      <c r="N360" s="70"/>
      <c r="O360" s="70"/>
      <c r="P360" s="70"/>
      <c r="Q360" s="177"/>
    </row>
    <row r="361" spans="1:17" ht="43.5" customHeight="1" x14ac:dyDescent="0.25">
      <c r="A361" s="119" t="s">
        <v>893</v>
      </c>
      <c r="B361" s="712"/>
      <c r="C361" s="714" t="s">
        <v>1266</v>
      </c>
      <c r="D361" s="716"/>
      <c r="E361" s="714" t="s">
        <v>1266</v>
      </c>
      <c r="F361" s="718" t="s">
        <v>1266</v>
      </c>
      <c r="G361" s="718" t="s">
        <v>1266</v>
      </c>
      <c r="H361" s="71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final'!Y364="","",'Mapa final'!Y364)</f>
        <v/>
      </c>
      <c r="J361" s="425" t="str">
        <f>IF('Mapa final'!AA364="","",'Mapa final'!AA364)</f>
        <v/>
      </c>
      <c r="K361" s="344" t="str">
        <f t="shared" si="5"/>
        <v/>
      </c>
      <c r="L361" s="425" t="str">
        <f>IF('Mapa final'!AD364="","",'Mapa final'!AD364)</f>
        <v/>
      </c>
      <c r="M361" s="345" t="str">
        <f>IF('Mapa final'!P364="","",'Mapa final'!P364)</f>
        <v/>
      </c>
      <c r="N361" s="70"/>
      <c r="O361" s="70"/>
      <c r="P361" s="70"/>
      <c r="Q361" s="177"/>
    </row>
    <row r="362" spans="1:17" ht="43.5" customHeight="1" x14ac:dyDescent="0.25">
      <c r="A362" s="119" t="s">
        <v>894</v>
      </c>
      <c r="B362" s="713"/>
      <c r="C362" s="715"/>
      <c r="D362" s="717"/>
      <c r="E362" s="715"/>
      <c r="F362" s="718"/>
      <c r="G362" s="718"/>
      <c r="H362" s="711"/>
      <c r="I362" s="425" t="str">
        <f>IF('Mapa final'!Y365="","",'Mapa final'!Y365)</f>
        <v/>
      </c>
      <c r="J362" s="425" t="str">
        <f>IF('Mapa final'!AA365="","",'Mapa final'!AA365)</f>
        <v/>
      </c>
      <c r="K362" s="344" t="str">
        <f t="shared" si="5"/>
        <v/>
      </c>
      <c r="L362" s="425" t="str">
        <f>IF('Mapa final'!AD365="","",'Mapa final'!AD365)</f>
        <v/>
      </c>
      <c r="M362" s="345" t="str">
        <f>IF('Mapa final'!P365="","",'Mapa final'!P365)</f>
        <v/>
      </c>
      <c r="N362" s="70"/>
      <c r="O362" s="70"/>
      <c r="P362" s="70"/>
      <c r="Q362" s="177"/>
    </row>
    <row r="363" spans="1:17" ht="51.75" customHeight="1" x14ac:dyDescent="0.25">
      <c r="A363" s="119" t="s">
        <v>895</v>
      </c>
      <c r="B363" s="713"/>
      <c r="C363" s="715"/>
      <c r="D363" s="717"/>
      <c r="E363" s="715"/>
      <c r="F363" s="718"/>
      <c r="G363" s="718"/>
      <c r="H363" s="711"/>
      <c r="I363" s="425" t="str">
        <f>IF('Mapa final'!Y366="","",'Mapa final'!Y366)</f>
        <v/>
      </c>
      <c r="J363" s="425" t="str">
        <f>IF('Mapa final'!AA366="","",'Mapa final'!AA366)</f>
        <v/>
      </c>
      <c r="K363" s="344" t="str">
        <f t="shared" si="5"/>
        <v/>
      </c>
      <c r="L363" s="425" t="str">
        <f>IF('Mapa final'!AD366="","",'Mapa final'!AD366)</f>
        <v/>
      </c>
      <c r="M363" s="345" t="str">
        <f>IF('Mapa final'!P366="","",'Mapa final'!P366)</f>
        <v/>
      </c>
      <c r="N363" s="70"/>
      <c r="O363" s="70"/>
      <c r="P363" s="70"/>
      <c r="Q363" s="177"/>
    </row>
    <row r="364" spans="1:17" ht="51.75" customHeight="1" x14ac:dyDescent="0.25">
      <c r="A364" s="119" t="s">
        <v>896</v>
      </c>
      <c r="B364" s="713"/>
      <c r="C364" s="715"/>
      <c r="D364" s="717"/>
      <c r="E364" s="715"/>
      <c r="F364" s="718"/>
      <c r="G364" s="718"/>
      <c r="H364" s="711"/>
      <c r="I364" s="425" t="str">
        <f>IF('Mapa final'!Y367="","",'Mapa final'!Y367)</f>
        <v/>
      </c>
      <c r="J364" s="425" t="str">
        <f>IF('Mapa final'!AA367="","",'Mapa final'!AA367)</f>
        <v/>
      </c>
      <c r="K364" s="344" t="str">
        <f t="shared" si="5"/>
        <v/>
      </c>
      <c r="L364" s="425" t="str">
        <f>IF('Mapa final'!AD367="","",'Mapa final'!AD367)</f>
        <v/>
      </c>
      <c r="M364" s="345" t="str">
        <f>IF('Mapa final'!P367="","",'Mapa final'!P367)</f>
        <v/>
      </c>
      <c r="N364" s="70"/>
      <c r="O364" s="70"/>
      <c r="P364" s="70"/>
      <c r="Q364" s="177"/>
    </row>
    <row r="365" spans="1:17" ht="51.75" customHeight="1" x14ac:dyDescent="0.25">
      <c r="A365" s="119" t="s">
        <v>897</v>
      </c>
      <c r="B365" s="713"/>
      <c r="C365" s="715"/>
      <c r="D365" s="717"/>
      <c r="E365" s="715"/>
      <c r="F365" s="718"/>
      <c r="G365" s="718"/>
      <c r="H365" s="711"/>
      <c r="I365" s="425" t="str">
        <f>IF('Mapa final'!Y368="","",'Mapa final'!Y368)</f>
        <v/>
      </c>
      <c r="J365" s="425" t="str">
        <f>IF('Mapa final'!AA368="","",'Mapa final'!AA368)</f>
        <v/>
      </c>
      <c r="K365" s="344" t="str">
        <f t="shared" si="5"/>
        <v/>
      </c>
      <c r="L365" s="425" t="str">
        <f>IF('Mapa final'!AD368="","",'Mapa final'!AD368)</f>
        <v/>
      </c>
      <c r="M365" s="345" t="str">
        <f>IF('Mapa final'!P368="","",'Mapa final'!P368)</f>
        <v/>
      </c>
      <c r="N365" s="70"/>
      <c r="O365" s="70"/>
      <c r="P365" s="70"/>
      <c r="Q365" s="177"/>
    </row>
    <row r="366" spans="1:17" ht="51.75" customHeight="1" x14ac:dyDescent="0.25">
      <c r="A366" s="119" t="s">
        <v>898</v>
      </c>
      <c r="B366" s="713"/>
      <c r="C366" s="715"/>
      <c r="D366" s="717"/>
      <c r="E366" s="715"/>
      <c r="F366" s="718"/>
      <c r="G366" s="718"/>
      <c r="H366" s="711"/>
      <c r="I366" s="425" t="str">
        <f>IF('Mapa final'!Y369="","",'Mapa final'!Y369)</f>
        <v/>
      </c>
      <c r="J366" s="425" t="str">
        <f>IF('Mapa final'!AA369="","",'Mapa final'!AA369)</f>
        <v/>
      </c>
      <c r="K366" s="344" t="str">
        <f t="shared" si="5"/>
        <v/>
      </c>
      <c r="L366" s="425" t="str">
        <f>IF('Mapa final'!AD369="","",'Mapa final'!AD369)</f>
        <v/>
      </c>
      <c r="M366" s="345" t="str">
        <f>IF('Mapa final'!P369="","",'Mapa final'!P369)</f>
        <v/>
      </c>
      <c r="N366" s="70"/>
      <c r="O366" s="70"/>
      <c r="P366" s="70"/>
      <c r="Q366" s="177"/>
    </row>
    <row r="367" spans="1:17" ht="51.75" customHeight="1" x14ac:dyDescent="0.25">
      <c r="A367" s="119" t="s">
        <v>899</v>
      </c>
      <c r="B367" s="712"/>
      <c r="C367" s="714" t="s">
        <v>1266</v>
      </c>
      <c r="D367" s="716"/>
      <c r="E367" s="714" t="s">
        <v>1266</v>
      </c>
      <c r="F367" s="718" t="s">
        <v>1266</v>
      </c>
      <c r="G367" s="718" t="s">
        <v>1266</v>
      </c>
      <c r="H367" s="71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final'!Y370="","",'Mapa final'!Y370)</f>
        <v/>
      </c>
      <c r="J367" s="425" t="str">
        <f>IF('Mapa final'!AA370="","",'Mapa final'!AA370)</f>
        <v/>
      </c>
      <c r="K367" s="344" t="str">
        <f t="shared" si="5"/>
        <v/>
      </c>
      <c r="L367" s="425" t="str">
        <f>IF('Mapa final'!AD370="","",'Mapa final'!AD370)</f>
        <v/>
      </c>
      <c r="M367" s="345" t="str">
        <f>IF('Mapa final'!P370="","",'Mapa final'!P370)</f>
        <v/>
      </c>
      <c r="N367" s="70"/>
      <c r="O367" s="70"/>
      <c r="P367" s="70"/>
      <c r="Q367" s="177"/>
    </row>
    <row r="368" spans="1:17" ht="51.75" customHeight="1" x14ac:dyDescent="0.25">
      <c r="A368" s="119" t="s">
        <v>900</v>
      </c>
      <c r="B368" s="713"/>
      <c r="C368" s="715"/>
      <c r="D368" s="717"/>
      <c r="E368" s="715"/>
      <c r="F368" s="718"/>
      <c r="G368" s="718"/>
      <c r="H368" s="711"/>
      <c r="I368" s="425" t="str">
        <f>IF('Mapa final'!Y371="","",'Mapa final'!Y371)</f>
        <v/>
      </c>
      <c r="J368" s="425" t="str">
        <f>IF('Mapa final'!AA371="","",'Mapa final'!AA371)</f>
        <v/>
      </c>
      <c r="K368" s="344" t="str">
        <f t="shared" si="5"/>
        <v/>
      </c>
      <c r="L368" s="425" t="str">
        <f>IF('Mapa final'!AD371="","",'Mapa final'!AD371)</f>
        <v/>
      </c>
      <c r="M368" s="345" t="str">
        <f>IF('Mapa final'!P371="","",'Mapa final'!P371)</f>
        <v/>
      </c>
      <c r="N368" s="70"/>
      <c r="O368" s="70"/>
      <c r="P368" s="70"/>
      <c r="Q368" s="177"/>
    </row>
    <row r="369" spans="1:17" ht="51.75" customHeight="1" x14ac:dyDescent="0.25">
      <c r="A369" s="119" t="s">
        <v>901</v>
      </c>
      <c r="B369" s="713"/>
      <c r="C369" s="715"/>
      <c r="D369" s="717"/>
      <c r="E369" s="715"/>
      <c r="F369" s="718"/>
      <c r="G369" s="718"/>
      <c r="H369" s="711"/>
      <c r="I369" s="425" t="str">
        <f>IF('Mapa final'!Y372="","",'Mapa final'!Y372)</f>
        <v/>
      </c>
      <c r="J369" s="425" t="str">
        <f>IF('Mapa final'!AA372="","",'Mapa final'!AA372)</f>
        <v/>
      </c>
      <c r="K369" s="344" t="str">
        <f t="shared" si="5"/>
        <v/>
      </c>
      <c r="L369" s="425" t="str">
        <f>IF('Mapa final'!AD372="","",'Mapa final'!AD372)</f>
        <v/>
      </c>
      <c r="M369" s="345" t="str">
        <f>IF('Mapa final'!P372="","",'Mapa final'!P372)</f>
        <v/>
      </c>
      <c r="N369" s="70"/>
      <c r="O369" s="70"/>
      <c r="P369" s="70"/>
      <c r="Q369" s="177"/>
    </row>
    <row r="370" spans="1:17" ht="51.75" customHeight="1" x14ac:dyDescent="0.25">
      <c r="A370" s="119" t="s">
        <v>902</v>
      </c>
      <c r="B370" s="713"/>
      <c r="C370" s="715"/>
      <c r="D370" s="717"/>
      <c r="E370" s="715"/>
      <c r="F370" s="718"/>
      <c r="G370" s="718"/>
      <c r="H370" s="711"/>
      <c r="I370" s="425" t="str">
        <f>IF('Mapa final'!Y373="","",'Mapa final'!Y373)</f>
        <v/>
      </c>
      <c r="J370" s="425" t="str">
        <f>IF('Mapa final'!AA373="","",'Mapa final'!AA373)</f>
        <v/>
      </c>
      <c r="K370" s="344" t="str">
        <f t="shared" si="5"/>
        <v/>
      </c>
      <c r="L370" s="425" t="str">
        <f>IF('Mapa final'!AD373="","",'Mapa final'!AD373)</f>
        <v/>
      </c>
      <c r="M370" s="345" t="str">
        <f>IF('Mapa final'!P373="","",'Mapa final'!P373)</f>
        <v/>
      </c>
      <c r="N370" s="70"/>
      <c r="O370" s="70"/>
      <c r="P370" s="70"/>
      <c r="Q370" s="177"/>
    </row>
    <row r="371" spans="1:17" ht="51.75" customHeight="1" x14ac:dyDescent="0.25">
      <c r="A371" s="119" t="s">
        <v>903</v>
      </c>
      <c r="B371" s="713"/>
      <c r="C371" s="715"/>
      <c r="D371" s="717"/>
      <c r="E371" s="715"/>
      <c r="F371" s="718"/>
      <c r="G371" s="718"/>
      <c r="H371" s="711"/>
      <c r="I371" s="425" t="str">
        <f>IF('Mapa final'!Y374="","",'Mapa final'!Y374)</f>
        <v/>
      </c>
      <c r="J371" s="425" t="str">
        <f>IF('Mapa final'!AA374="","",'Mapa final'!AA374)</f>
        <v/>
      </c>
      <c r="K371" s="344" t="str">
        <f t="shared" si="5"/>
        <v/>
      </c>
      <c r="L371" s="425" t="str">
        <f>IF('Mapa final'!AD374="","",'Mapa final'!AD374)</f>
        <v/>
      </c>
      <c r="M371" s="345" t="str">
        <f>IF('Mapa final'!P374="","",'Mapa final'!P374)</f>
        <v/>
      </c>
      <c r="N371" s="70"/>
      <c r="O371" s="70"/>
      <c r="P371" s="70"/>
      <c r="Q371" s="177"/>
    </row>
    <row r="372" spans="1:17" ht="51.75" customHeight="1" x14ac:dyDescent="0.25">
      <c r="A372" s="119" t="s">
        <v>904</v>
      </c>
      <c r="B372" s="713"/>
      <c r="C372" s="715"/>
      <c r="D372" s="717"/>
      <c r="E372" s="715"/>
      <c r="F372" s="718"/>
      <c r="G372" s="718"/>
      <c r="H372" s="711"/>
      <c r="I372" s="425" t="str">
        <f>IF('Mapa final'!Y375="","",'Mapa final'!Y375)</f>
        <v/>
      </c>
      <c r="J372" s="425" t="str">
        <f>IF('Mapa final'!AA375="","",'Mapa final'!AA375)</f>
        <v/>
      </c>
      <c r="K372" s="344" t="str">
        <f t="shared" si="5"/>
        <v/>
      </c>
      <c r="L372" s="425" t="str">
        <f>IF('Mapa final'!AD375="","",'Mapa final'!AD375)</f>
        <v/>
      </c>
      <c r="M372" s="345" t="str">
        <f>IF('Mapa final'!P375="","",'Mapa final'!P375)</f>
        <v/>
      </c>
      <c r="N372" s="70"/>
      <c r="O372" s="70"/>
      <c r="P372" s="70"/>
      <c r="Q372" s="177"/>
    </row>
    <row r="373" spans="1:17" ht="51.75" customHeight="1" x14ac:dyDescent="0.25">
      <c r="A373" s="119" t="s">
        <v>905</v>
      </c>
      <c r="B373" s="712"/>
      <c r="C373" s="714" t="s">
        <v>1266</v>
      </c>
      <c r="D373" s="716"/>
      <c r="E373" s="714" t="s">
        <v>1266</v>
      </c>
      <c r="F373" s="718" t="s">
        <v>1266</v>
      </c>
      <c r="G373" s="718" t="s">
        <v>1266</v>
      </c>
      <c r="H373" s="71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final'!Y376="","",'Mapa final'!Y376)</f>
        <v/>
      </c>
      <c r="J373" s="425" t="str">
        <f>IF('Mapa final'!AA376="","",'Mapa final'!AA376)</f>
        <v/>
      </c>
      <c r="K373" s="344" t="str">
        <f t="shared" si="5"/>
        <v/>
      </c>
      <c r="L373" s="425" t="str">
        <f>IF('Mapa final'!AD376="","",'Mapa final'!AD376)</f>
        <v/>
      </c>
      <c r="M373" s="345" t="str">
        <f>IF('Mapa final'!P376="","",'Mapa final'!P376)</f>
        <v/>
      </c>
      <c r="N373" s="70"/>
      <c r="O373" s="70"/>
      <c r="P373" s="70"/>
      <c r="Q373" s="177"/>
    </row>
    <row r="374" spans="1:17" ht="51.75" customHeight="1" x14ac:dyDescent="0.25">
      <c r="A374" s="119" t="s">
        <v>906</v>
      </c>
      <c r="B374" s="713"/>
      <c r="C374" s="715"/>
      <c r="D374" s="717"/>
      <c r="E374" s="715"/>
      <c r="F374" s="718"/>
      <c r="G374" s="718"/>
      <c r="H374" s="711"/>
      <c r="I374" s="425" t="str">
        <f>IF('Mapa final'!Y377="","",'Mapa final'!Y377)</f>
        <v/>
      </c>
      <c r="J374" s="425" t="str">
        <f>IF('Mapa final'!AA377="","",'Mapa final'!AA377)</f>
        <v/>
      </c>
      <c r="K374" s="344" t="str">
        <f t="shared" si="5"/>
        <v/>
      </c>
      <c r="L374" s="425" t="str">
        <f>IF('Mapa final'!AD377="","",'Mapa final'!AD377)</f>
        <v/>
      </c>
      <c r="M374" s="345" t="str">
        <f>IF('Mapa final'!P377="","",'Mapa final'!P377)</f>
        <v/>
      </c>
      <c r="N374" s="70"/>
      <c r="O374" s="70"/>
      <c r="P374" s="70"/>
      <c r="Q374" s="177"/>
    </row>
    <row r="375" spans="1:17" ht="51.75" customHeight="1" x14ac:dyDescent="0.25">
      <c r="A375" s="119" t="s">
        <v>907</v>
      </c>
      <c r="B375" s="713"/>
      <c r="C375" s="715"/>
      <c r="D375" s="717"/>
      <c r="E375" s="715"/>
      <c r="F375" s="718"/>
      <c r="G375" s="718"/>
      <c r="H375" s="711"/>
      <c r="I375" s="425" t="str">
        <f>IF('Mapa final'!Y378="","",'Mapa final'!Y378)</f>
        <v/>
      </c>
      <c r="J375" s="425" t="str">
        <f>IF('Mapa final'!AA378="","",'Mapa final'!AA378)</f>
        <v/>
      </c>
      <c r="K375" s="344" t="str">
        <f t="shared" si="5"/>
        <v/>
      </c>
      <c r="L375" s="425" t="str">
        <f>IF('Mapa final'!AD378="","",'Mapa final'!AD378)</f>
        <v/>
      </c>
      <c r="M375" s="345" t="str">
        <f>IF('Mapa final'!P378="","",'Mapa final'!P378)</f>
        <v/>
      </c>
      <c r="N375" s="70"/>
      <c r="O375" s="70"/>
      <c r="P375" s="70"/>
      <c r="Q375" s="177"/>
    </row>
    <row r="376" spans="1:17" ht="51.75" customHeight="1" x14ac:dyDescent="0.25">
      <c r="A376" s="119" t="s">
        <v>908</v>
      </c>
      <c r="B376" s="713"/>
      <c r="C376" s="715"/>
      <c r="D376" s="717"/>
      <c r="E376" s="715"/>
      <c r="F376" s="718"/>
      <c r="G376" s="718"/>
      <c r="H376" s="711"/>
      <c r="I376" s="425" t="str">
        <f>IF('Mapa final'!Y379="","",'Mapa final'!Y379)</f>
        <v/>
      </c>
      <c r="J376" s="425" t="str">
        <f>IF('Mapa final'!AA379="","",'Mapa final'!AA379)</f>
        <v/>
      </c>
      <c r="K376" s="344" t="str">
        <f t="shared" si="5"/>
        <v/>
      </c>
      <c r="L376" s="425" t="str">
        <f>IF('Mapa final'!AD379="","",'Mapa final'!AD379)</f>
        <v/>
      </c>
      <c r="M376" s="345" t="str">
        <f>IF('Mapa final'!P379="","",'Mapa final'!P379)</f>
        <v/>
      </c>
      <c r="N376" s="70"/>
      <c r="O376" s="70"/>
      <c r="P376" s="70"/>
      <c r="Q376" s="177"/>
    </row>
    <row r="377" spans="1:17" ht="51.75" customHeight="1" x14ac:dyDescent="0.25">
      <c r="A377" s="119" t="s">
        <v>909</v>
      </c>
      <c r="B377" s="713"/>
      <c r="C377" s="715"/>
      <c r="D377" s="717"/>
      <c r="E377" s="715"/>
      <c r="F377" s="718"/>
      <c r="G377" s="718"/>
      <c r="H377" s="711"/>
      <c r="I377" s="425" t="str">
        <f>IF('Mapa final'!Y380="","",'Mapa final'!Y380)</f>
        <v/>
      </c>
      <c r="J377" s="425" t="str">
        <f>IF('Mapa final'!AA380="","",'Mapa final'!AA380)</f>
        <v/>
      </c>
      <c r="K377" s="344" t="str">
        <f t="shared" si="5"/>
        <v/>
      </c>
      <c r="L377" s="425" t="str">
        <f>IF('Mapa final'!AD380="","",'Mapa final'!AD380)</f>
        <v/>
      </c>
      <c r="M377" s="345" t="str">
        <f>IF('Mapa final'!P380="","",'Mapa final'!P380)</f>
        <v/>
      </c>
      <c r="N377" s="70"/>
      <c r="O377" s="70"/>
      <c r="P377" s="70"/>
      <c r="Q377" s="177"/>
    </row>
    <row r="378" spans="1:17" ht="51.75" customHeight="1" x14ac:dyDescent="0.25">
      <c r="A378" s="119" t="s">
        <v>910</v>
      </c>
      <c r="B378" s="713"/>
      <c r="C378" s="715"/>
      <c r="D378" s="717"/>
      <c r="E378" s="715"/>
      <c r="F378" s="718"/>
      <c r="G378" s="718"/>
      <c r="H378" s="711"/>
      <c r="I378" s="425" t="str">
        <f>IF('Mapa final'!Y381="","",'Mapa final'!Y381)</f>
        <v/>
      </c>
      <c r="J378" s="425" t="str">
        <f>IF('Mapa final'!AA381="","",'Mapa final'!AA381)</f>
        <v/>
      </c>
      <c r="K378" s="344" t="str">
        <f t="shared" si="5"/>
        <v/>
      </c>
      <c r="L378" s="425" t="str">
        <f>IF('Mapa final'!AD381="","",'Mapa final'!AD381)</f>
        <v/>
      </c>
      <c r="M378" s="345" t="str">
        <f>IF('Mapa final'!P381="","",'Mapa final'!P381)</f>
        <v/>
      </c>
      <c r="N378" s="70"/>
      <c r="O378" s="70"/>
      <c r="P378" s="70"/>
      <c r="Q378" s="177"/>
    </row>
    <row r="379" spans="1:17" ht="51.75" customHeight="1" x14ac:dyDescent="0.25">
      <c r="A379" s="119" t="s">
        <v>911</v>
      </c>
      <c r="B379" s="712"/>
      <c r="C379" s="714" t="s">
        <v>1266</v>
      </c>
      <c r="D379" s="716"/>
      <c r="E379" s="714" t="s">
        <v>1266</v>
      </c>
      <c r="F379" s="718" t="s">
        <v>1266</v>
      </c>
      <c r="G379" s="718" t="s">
        <v>1266</v>
      </c>
      <c r="H379" s="71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final'!Y382="","",'Mapa final'!Y382)</f>
        <v/>
      </c>
      <c r="J379" s="425" t="str">
        <f>IF('Mapa final'!AA382="","",'Mapa final'!AA382)</f>
        <v/>
      </c>
      <c r="K379" s="344" t="str">
        <f t="shared" si="5"/>
        <v/>
      </c>
      <c r="L379" s="425" t="str">
        <f>IF('Mapa final'!AD382="","",'Mapa final'!AD382)</f>
        <v/>
      </c>
      <c r="M379" s="345" t="str">
        <f>IF('Mapa final'!P382="","",'Mapa final'!P382)</f>
        <v/>
      </c>
      <c r="N379" s="70"/>
      <c r="O379" s="70"/>
      <c r="P379" s="70"/>
      <c r="Q379" s="177"/>
    </row>
    <row r="380" spans="1:17" ht="51.75" customHeight="1" x14ac:dyDescent="0.25">
      <c r="A380" s="119" t="s">
        <v>912</v>
      </c>
      <c r="B380" s="713"/>
      <c r="C380" s="715"/>
      <c r="D380" s="717"/>
      <c r="E380" s="715"/>
      <c r="F380" s="718"/>
      <c r="G380" s="718"/>
      <c r="H380" s="711"/>
      <c r="I380" s="425" t="str">
        <f>IF('Mapa final'!Y383="","",'Mapa final'!Y383)</f>
        <v/>
      </c>
      <c r="J380" s="425" t="str">
        <f>IF('Mapa final'!AA383="","",'Mapa final'!AA383)</f>
        <v/>
      </c>
      <c r="K380" s="344" t="str">
        <f t="shared" si="5"/>
        <v/>
      </c>
      <c r="L380" s="425" t="str">
        <f>IF('Mapa final'!AD383="","",'Mapa final'!AD383)</f>
        <v/>
      </c>
      <c r="M380" s="345" t="str">
        <f>IF('Mapa final'!P383="","",'Mapa final'!P383)</f>
        <v/>
      </c>
      <c r="N380" s="70"/>
      <c r="O380" s="70"/>
      <c r="P380" s="70"/>
      <c r="Q380" s="177"/>
    </row>
    <row r="381" spans="1:17" ht="51.75" customHeight="1" x14ac:dyDescent="0.25">
      <c r="A381" s="119" t="s">
        <v>913</v>
      </c>
      <c r="B381" s="713"/>
      <c r="C381" s="715"/>
      <c r="D381" s="717"/>
      <c r="E381" s="715"/>
      <c r="F381" s="718"/>
      <c r="G381" s="718"/>
      <c r="H381" s="711"/>
      <c r="I381" s="425" t="str">
        <f>IF('Mapa final'!Y384="","",'Mapa final'!Y384)</f>
        <v/>
      </c>
      <c r="J381" s="425" t="str">
        <f>IF('Mapa final'!AA384="","",'Mapa final'!AA384)</f>
        <v/>
      </c>
      <c r="K381" s="344" t="str">
        <f t="shared" si="5"/>
        <v/>
      </c>
      <c r="L381" s="425" t="str">
        <f>IF('Mapa final'!AD384="","",'Mapa final'!AD384)</f>
        <v/>
      </c>
      <c r="M381" s="345" t="str">
        <f>IF('Mapa final'!P384="","",'Mapa final'!P384)</f>
        <v/>
      </c>
      <c r="N381" s="70"/>
      <c r="O381" s="70"/>
      <c r="P381" s="70"/>
      <c r="Q381" s="177"/>
    </row>
    <row r="382" spans="1:17" ht="51.75" customHeight="1" x14ac:dyDescent="0.25">
      <c r="A382" s="119" t="s">
        <v>914</v>
      </c>
      <c r="B382" s="713"/>
      <c r="C382" s="715"/>
      <c r="D382" s="717"/>
      <c r="E382" s="715"/>
      <c r="F382" s="718"/>
      <c r="G382" s="718"/>
      <c r="H382" s="711"/>
      <c r="I382" s="425" t="str">
        <f>IF('Mapa final'!Y385="","",'Mapa final'!Y385)</f>
        <v/>
      </c>
      <c r="J382" s="425" t="str">
        <f>IF('Mapa final'!AA385="","",'Mapa final'!AA385)</f>
        <v/>
      </c>
      <c r="K382" s="344" t="str">
        <f t="shared" si="5"/>
        <v/>
      </c>
      <c r="L382" s="425" t="str">
        <f>IF('Mapa final'!AD385="","",'Mapa final'!AD385)</f>
        <v/>
      </c>
      <c r="M382" s="345" t="str">
        <f>IF('Mapa final'!P385="","",'Mapa final'!P385)</f>
        <v/>
      </c>
      <c r="N382" s="70"/>
      <c r="O382" s="70"/>
      <c r="P382" s="70"/>
      <c r="Q382" s="177"/>
    </row>
    <row r="383" spans="1:17" ht="51.75" customHeight="1" x14ac:dyDescent="0.25">
      <c r="A383" s="119" t="s">
        <v>915</v>
      </c>
      <c r="B383" s="713"/>
      <c r="C383" s="715"/>
      <c r="D383" s="717"/>
      <c r="E383" s="715"/>
      <c r="F383" s="718"/>
      <c r="G383" s="718"/>
      <c r="H383" s="711"/>
      <c r="I383" s="425" t="str">
        <f>IF('Mapa final'!Y386="","",'Mapa final'!Y386)</f>
        <v/>
      </c>
      <c r="J383" s="425" t="str">
        <f>IF('Mapa final'!AA386="","",'Mapa final'!AA386)</f>
        <v/>
      </c>
      <c r="K383" s="344" t="str">
        <f t="shared" si="5"/>
        <v/>
      </c>
      <c r="L383" s="425" t="str">
        <f>IF('Mapa final'!AD386="","",'Mapa final'!AD386)</f>
        <v/>
      </c>
      <c r="M383" s="345" t="str">
        <f>IF('Mapa final'!P386="","",'Mapa final'!P386)</f>
        <v/>
      </c>
      <c r="N383" s="70"/>
      <c r="O383" s="70"/>
      <c r="P383" s="70"/>
      <c r="Q383" s="177"/>
    </row>
    <row r="384" spans="1:17" ht="51.75" customHeight="1" x14ac:dyDescent="0.25">
      <c r="A384" s="119" t="s">
        <v>916</v>
      </c>
      <c r="B384" s="713"/>
      <c r="C384" s="715"/>
      <c r="D384" s="717"/>
      <c r="E384" s="715"/>
      <c r="F384" s="718"/>
      <c r="G384" s="718"/>
      <c r="H384" s="711"/>
      <c r="I384" s="425" t="str">
        <f>IF('Mapa final'!Y387="","",'Mapa final'!Y387)</f>
        <v/>
      </c>
      <c r="J384" s="425" t="str">
        <f>IF('Mapa final'!AA387="","",'Mapa final'!AA387)</f>
        <v/>
      </c>
      <c r="K384" s="344" t="str">
        <f t="shared" si="5"/>
        <v/>
      </c>
      <c r="L384" s="425" t="str">
        <f>IF('Mapa final'!AD387="","",'Mapa final'!AD387)</f>
        <v/>
      </c>
      <c r="M384" s="345" t="str">
        <f>IF('Mapa final'!P387="","",'Mapa final'!P387)</f>
        <v/>
      </c>
      <c r="N384" s="70"/>
      <c r="O384" s="70"/>
      <c r="P384" s="70"/>
      <c r="Q384" s="177"/>
    </row>
    <row r="385" spans="1:17" ht="51.75" customHeight="1" x14ac:dyDescent="0.25">
      <c r="A385" s="119" t="s">
        <v>917</v>
      </c>
      <c r="B385" s="712"/>
      <c r="C385" s="714" t="s">
        <v>1266</v>
      </c>
      <c r="D385" s="716"/>
      <c r="E385" s="714" t="s">
        <v>1266</v>
      </c>
      <c r="F385" s="718" t="s">
        <v>1266</v>
      </c>
      <c r="G385" s="718" t="s">
        <v>1266</v>
      </c>
      <c r="H385" s="71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final'!Y388="","",'Mapa final'!Y388)</f>
        <v/>
      </c>
      <c r="J385" s="425" t="str">
        <f>IF('Mapa final'!AA388="","",'Mapa final'!AA388)</f>
        <v/>
      </c>
      <c r="K385" s="344" t="str">
        <f t="shared" si="5"/>
        <v/>
      </c>
      <c r="L385" s="425" t="str">
        <f>IF('Mapa final'!AD388="","",'Mapa final'!AD388)</f>
        <v/>
      </c>
      <c r="M385" s="345" t="str">
        <f>IF('Mapa final'!P388="","",'Mapa final'!P388)</f>
        <v/>
      </c>
      <c r="N385" s="70"/>
      <c r="O385" s="70"/>
      <c r="P385" s="70"/>
      <c r="Q385" s="177"/>
    </row>
    <row r="386" spans="1:17" ht="51.75" customHeight="1" x14ac:dyDescent="0.25">
      <c r="A386" s="119" t="s">
        <v>918</v>
      </c>
      <c r="B386" s="713"/>
      <c r="C386" s="715"/>
      <c r="D386" s="717"/>
      <c r="E386" s="715"/>
      <c r="F386" s="718"/>
      <c r="G386" s="718"/>
      <c r="H386" s="711"/>
      <c r="I386" s="425" t="str">
        <f>IF('Mapa final'!Y389="","",'Mapa final'!Y389)</f>
        <v/>
      </c>
      <c r="J386" s="425" t="str">
        <f>IF('Mapa final'!AA389="","",'Mapa final'!AA389)</f>
        <v/>
      </c>
      <c r="K386" s="344" t="str">
        <f t="shared" si="5"/>
        <v/>
      </c>
      <c r="L386" s="425" t="str">
        <f>IF('Mapa final'!AD389="","",'Mapa final'!AD389)</f>
        <v/>
      </c>
      <c r="M386" s="345" t="str">
        <f>IF('Mapa final'!P389="","",'Mapa final'!P389)</f>
        <v/>
      </c>
      <c r="N386" s="70"/>
      <c r="O386" s="70"/>
      <c r="P386" s="70"/>
      <c r="Q386" s="177"/>
    </row>
    <row r="387" spans="1:17" ht="51.75" customHeight="1" x14ac:dyDescent="0.25">
      <c r="A387" s="119" t="s">
        <v>919</v>
      </c>
      <c r="B387" s="713"/>
      <c r="C387" s="715"/>
      <c r="D387" s="717"/>
      <c r="E387" s="715"/>
      <c r="F387" s="718"/>
      <c r="G387" s="718"/>
      <c r="H387" s="711"/>
      <c r="I387" s="425" t="str">
        <f>IF('Mapa final'!Y390="","",'Mapa final'!Y390)</f>
        <v/>
      </c>
      <c r="J387" s="425" t="str">
        <f>IF('Mapa final'!AA390="","",'Mapa final'!AA390)</f>
        <v/>
      </c>
      <c r="K387" s="344" t="str">
        <f t="shared" si="5"/>
        <v/>
      </c>
      <c r="L387" s="425" t="str">
        <f>IF('Mapa final'!AD390="","",'Mapa final'!AD390)</f>
        <v/>
      </c>
      <c r="M387" s="345" t="str">
        <f>IF('Mapa final'!P390="","",'Mapa final'!P390)</f>
        <v/>
      </c>
      <c r="N387" s="70"/>
      <c r="O387" s="70"/>
      <c r="P387" s="70"/>
      <c r="Q387" s="177"/>
    </row>
    <row r="388" spans="1:17" ht="51.75" customHeight="1" x14ac:dyDescent="0.25">
      <c r="A388" s="119" t="s">
        <v>920</v>
      </c>
      <c r="B388" s="713"/>
      <c r="C388" s="715"/>
      <c r="D388" s="717"/>
      <c r="E388" s="715"/>
      <c r="F388" s="718"/>
      <c r="G388" s="718"/>
      <c r="H388" s="711"/>
      <c r="I388" s="425" t="str">
        <f>IF('Mapa final'!Y391="","",'Mapa final'!Y391)</f>
        <v/>
      </c>
      <c r="J388" s="425" t="str">
        <f>IF('Mapa final'!AA391="","",'Mapa final'!AA391)</f>
        <v/>
      </c>
      <c r="K388" s="344" t="str">
        <f t="shared" si="5"/>
        <v/>
      </c>
      <c r="L388" s="425" t="str">
        <f>IF('Mapa final'!AD391="","",'Mapa final'!AD391)</f>
        <v/>
      </c>
      <c r="M388" s="345" t="str">
        <f>IF('Mapa final'!P391="","",'Mapa final'!P391)</f>
        <v/>
      </c>
      <c r="N388" s="70"/>
      <c r="O388" s="70"/>
      <c r="P388" s="70"/>
      <c r="Q388" s="177"/>
    </row>
    <row r="389" spans="1:17" ht="51.75" customHeight="1" x14ac:dyDescent="0.25">
      <c r="A389" s="119" t="s">
        <v>921</v>
      </c>
      <c r="B389" s="713"/>
      <c r="C389" s="715"/>
      <c r="D389" s="717"/>
      <c r="E389" s="715"/>
      <c r="F389" s="718"/>
      <c r="G389" s="718"/>
      <c r="H389" s="711"/>
      <c r="I389" s="425" t="str">
        <f>IF('Mapa final'!Y392="","",'Mapa final'!Y392)</f>
        <v/>
      </c>
      <c r="J389" s="425" t="str">
        <f>IF('Mapa final'!AA392="","",'Mapa final'!AA392)</f>
        <v/>
      </c>
      <c r="K389" s="344" t="str">
        <f t="shared" si="5"/>
        <v/>
      </c>
      <c r="L389" s="425" t="str">
        <f>IF('Mapa final'!AD392="","",'Mapa final'!AD392)</f>
        <v/>
      </c>
      <c r="M389" s="345" t="str">
        <f>IF('Mapa final'!P392="","",'Mapa final'!P392)</f>
        <v/>
      </c>
      <c r="N389" s="70"/>
      <c r="O389" s="70"/>
      <c r="P389" s="70"/>
      <c r="Q389" s="177"/>
    </row>
    <row r="390" spans="1:17" ht="51.75" customHeight="1" x14ac:dyDescent="0.25">
      <c r="A390" s="119" t="s">
        <v>922</v>
      </c>
      <c r="B390" s="713"/>
      <c r="C390" s="715"/>
      <c r="D390" s="717"/>
      <c r="E390" s="715"/>
      <c r="F390" s="718"/>
      <c r="G390" s="718"/>
      <c r="H390" s="711"/>
      <c r="I390" s="425" t="str">
        <f>IF('Mapa final'!Y393="","",'Mapa final'!Y393)</f>
        <v/>
      </c>
      <c r="J390" s="425" t="str">
        <f>IF('Mapa final'!AA393="","",'Mapa final'!AA393)</f>
        <v/>
      </c>
      <c r="K390" s="344" t="str">
        <f t="shared" si="5"/>
        <v/>
      </c>
      <c r="L390" s="425" t="str">
        <f>IF('Mapa final'!AD393="","",'Mapa final'!AD393)</f>
        <v/>
      </c>
      <c r="M390" s="345" t="str">
        <f>IF('Mapa final'!P393="","",'Mapa final'!P393)</f>
        <v/>
      </c>
      <c r="N390" s="70"/>
      <c r="O390" s="70"/>
      <c r="P390" s="70"/>
      <c r="Q390" s="177"/>
    </row>
    <row r="391" spans="1:17" ht="51.75" customHeight="1" x14ac:dyDescent="0.25">
      <c r="A391" s="119" t="s">
        <v>923</v>
      </c>
      <c r="B391" s="712"/>
      <c r="C391" s="714" t="s">
        <v>1266</v>
      </c>
      <c r="D391" s="716"/>
      <c r="E391" s="714" t="s">
        <v>1266</v>
      </c>
      <c r="F391" s="718" t="s">
        <v>1266</v>
      </c>
      <c r="G391" s="718" t="s">
        <v>1266</v>
      </c>
      <c r="H391" s="71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final'!Y394="","",'Mapa final'!Y394)</f>
        <v/>
      </c>
      <c r="J391" s="425" t="str">
        <f>IF('Mapa final'!AA394="","",'Mapa final'!AA394)</f>
        <v/>
      </c>
      <c r="K391" s="344" t="str">
        <f t="shared" si="5"/>
        <v/>
      </c>
      <c r="L391" s="425" t="str">
        <f>IF('Mapa final'!AD394="","",'Mapa final'!AD394)</f>
        <v/>
      </c>
      <c r="M391" s="345" t="str">
        <f>IF('Mapa final'!P394="","",'Mapa final'!P394)</f>
        <v/>
      </c>
      <c r="N391" s="70"/>
      <c r="O391" s="70"/>
      <c r="P391" s="70"/>
      <c r="Q391" s="177"/>
    </row>
    <row r="392" spans="1:17" ht="51.75" customHeight="1" x14ac:dyDescent="0.25">
      <c r="A392" s="119" t="s">
        <v>924</v>
      </c>
      <c r="B392" s="713"/>
      <c r="C392" s="715"/>
      <c r="D392" s="717"/>
      <c r="E392" s="715"/>
      <c r="F392" s="718"/>
      <c r="G392" s="718"/>
      <c r="H392" s="711"/>
      <c r="I392" s="425" t="str">
        <f>IF('Mapa final'!Y395="","",'Mapa final'!Y395)</f>
        <v/>
      </c>
      <c r="J392" s="425" t="str">
        <f>IF('Mapa final'!AA395="","",'Mapa final'!AA395)</f>
        <v/>
      </c>
      <c r="K392" s="34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final'!AD395="","",'Mapa final'!AD395)</f>
        <v/>
      </c>
      <c r="M392" s="345" t="str">
        <f>IF('Mapa final'!P395="","",'Mapa final'!P395)</f>
        <v/>
      </c>
      <c r="N392" s="70"/>
      <c r="O392" s="70"/>
      <c r="P392" s="70"/>
      <c r="Q392" s="177"/>
    </row>
    <row r="393" spans="1:17" ht="51.75" customHeight="1" x14ac:dyDescent="0.25">
      <c r="A393" s="119" t="s">
        <v>925</v>
      </c>
      <c r="B393" s="713"/>
      <c r="C393" s="715"/>
      <c r="D393" s="717"/>
      <c r="E393" s="715"/>
      <c r="F393" s="718"/>
      <c r="G393" s="718"/>
      <c r="H393" s="711"/>
      <c r="I393" s="425" t="str">
        <f>IF('Mapa final'!Y396="","",'Mapa final'!Y396)</f>
        <v/>
      </c>
      <c r="J393" s="425" t="str">
        <f>IF('Mapa final'!AA396="","",'Mapa final'!AA396)</f>
        <v/>
      </c>
      <c r="K393" s="344" t="str">
        <f t="shared" si="6"/>
        <v/>
      </c>
      <c r="L393" s="425" t="str">
        <f>IF('Mapa final'!AD396="","",'Mapa final'!AD396)</f>
        <v/>
      </c>
      <c r="M393" s="345" t="str">
        <f>IF('Mapa final'!P396="","",'Mapa final'!P396)</f>
        <v/>
      </c>
      <c r="N393" s="70"/>
      <c r="O393" s="70"/>
      <c r="P393" s="70"/>
      <c r="Q393" s="177"/>
    </row>
    <row r="394" spans="1:17" ht="51.75" customHeight="1" x14ac:dyDescent="0.25">
      <c r="A394" s="119" t="s">
        <v>926</v>
      </c>
      <c r="B394" s="713"/>
      <c r="C394" s="715"/>
      <c r="D394" s="717"/>
      <c r="E394" s="715"/>
      <c r="F394" s="718"/>
      <c r="G394" s="718"/>
      <c r="H394" s="711"/>
      <c r="I394" s="425" t="str">
        <f>IF('Mapa final'!Y397="","",'Mapa final'!Y397)</f>
        <v/>
      </c>
      <c r="J394" s="425" t="str">
        <f>IF('Mapa final'!AA397="","",'Mapa final'!AA397)</f>
        <v/>
      </c>
      <c r="K394" s="344" t="str">
        <f t="shared" si="6"/>
        <v/>
      </c>
      <c r="L394" s="425" t="str">
        <f>IF('Mapa final'!AD397="","",'Mapa final'!AD397)</f>
        <v/>
      </c>
      <c r="M394" s="345" t="str">
        <f>IF('Mapa final'!P397="","",'Mapa final'!P397)</f>
        <v/>
      </c>
      <c r="N394" s="70"/>
      <c r="O394" s="70"/>
      <c r="P394" s="70"/>
      <c r="Q394" s="177"/>
    </row>
    <row r="395" spans="1:17" ht="51.75" customHeight="1" x14ac:dyDescent="0.25">
      <c r="A395" s="119" t="s">
        <v>927</v>
      </c>
      <c r="B395" s="713"/>
      <c r="C395" s="715"/>
      <c r="D395" s="717"/>
      <c r="E395" s="715"/>
      <c r="F395" s="718"/>
      <c r="G395" s="718"/>
      <c r="H395" s="711"/>
      <c r="I395" s="425" t="str">
        <f>IF('Mapa final'!Y398="","",'Mapa final'!Y398)</f>
        <v/>
      </c>
      <c r="J395" s="425" t="str">
        <f>IF('Mapa final'!AA398="","",'Mapa final'!AA398)</f>
        <v/>
      </c>
      <c r="K395" s="344" t="str">
        <f t="shared" si="6"/>
        <v/>
      </c>
      <c r="L395" s="425" t="str">
        <f>IF('Mapa final'!AD398="","",'Mapa final'!AD398)</f>
        <v/>
      </c>
      <c r="M395" s="345" t="str">
        <f>IF('Mapa final'!P398="","",'Mapa final'!P398)</f>
        <v/>
      </c>
      <c r="N395" s="70"/>
      <c r="O395" s="70"/>
      <c r="P395" s="70"/>
      <c r="Q395" s="177"/>
    </row>
    <row r="396" spans="1:17" ht="51.75" customHeight="1" x14ac:dyDescent="0.25">
      <c r="A396" s="119" t="s">
        <v>928</v>
      </c>
      <c r="B396" s="713"/>
      <c r="C396" s="715"/>
      <c r="D396" s="717"/>
      <c r="E396" s="715"/>
      <c r="F396" s="718"/>
      <c r="G396" s="718"/>
      <c r="H396" s="711"/>
      <c r="I396" s="425" t="str">
        <f>IF('Mapa final'!Y399="","",'Mapa final'!Y399)</f>
        <v/>
      </c>
      <c r="J396" s="425" t="str">
        <f>IF('Mapa final'!AA399="","",'Mapa final'!AA399)</f>
        <v/>
      </c>
      <c r="K396" s="344" t="str">
        <f t="shared" si="6"/>
        <v/>
      </c>
      <c r="L396" s="425" t="str">
        <f>IF('Mapa final'!AD399="","",'Mapa final'!AD399)</f>
        <v/>
      </c>
      <c r="M396" s="345" t="str">
        <f>IF('Mapa final'!P399="","",'Mapa final'!P399)</f>
        <v/>
      </c>
      <c r="N396" s="70"/>
      <c r="O396" s="70"/>
      <c r="P396" s="70"/>
      <c r="Q396" s="177"/>
    </row>
    <row r="397" spans="1:17" ht="51.75" customHeight="1" x14ac:dyDescent="0.25">
      <c r="A397" s="119" t="s">
        <v>929</v>
      </c>
      <c r="B397" s="712"/>
      <c r="C397" s="714" t="s">
        <v>1266</v>
      </c>
      <c r="D397" s="716"/>
      <c r="E397" s="714" t="s">
        <v>1266</v>
      </c>
      <c r="F397" s="718" t="s">
        <v>1266</v>
      </c>
      <c r="G397" s="718" t="s">
        <v>1266</v>
      </c>
      <c r="H397" s="71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final'!Y400="","",'Mapa final'!Y400)</f>
        <v/>
      </c>
      <c r="J397" s="425" t="str">
        <f>IF('Mapa final'!AA400="","",'Mapa final'!AA400)</f>
        <v/>
      </c>
      <c r="K397" s="344" t="str">
        <f t="shared" si="6"/>
        <v/>
      </c>
      <c r="L397" s="425" t="str">
        <f>IF('Mapa final'!AD400="","",'Mapa final'!AD400)</f>
        <v/>
      </c>
      <c r="M397" s="345" t="str">
        <f>IF('Mapa final'!P400="","",'Mapa final'!P400)</f>
        <v/>
      </c>
      <c r="N397" s="70"/>
      <c r="O397" s="70"/>
      <c r="P397" s="70"/>
      <c r="Q397" s="177"/>
    </row>
    <row r="398" spans="1:17" ht="51.75" customHeight="1" x14ac:dyDescent="0.25">
      <c r="A398" s="119" t="s">
        <v>930</v>
      </c>
      <c r="B398" s="713"/>
      <c r="C398" s="715"/>
      <c r="D398" s="717"/>
      <c r="E398" s="715"/>
      <c r="F398" s="718"/>
      <c r="G398" s="718"/>
      <c r="H398" s="711"/>
      <c r="I398" s="425" t="str">
        <f>IF('Mapa final'!Y401="","",'Mapa final'!Y401)</f>
        <v/>
      </c>
      <c r="J398" s="425" t="str">
        <f>IF('Mapa final'!AA401="","",'Mapa final'!AA401)</f>
        <v/>
      </c>
      <c r="K398" s="344" t="str">
        <f t="shared" si="6"/>
        <v/>
      </c>
      <c r="L398" s="425" t="str">
        <f>IF('Mapa final'!AD401="","",'Mapa final'!AD401)</f>
        <v/>
      </c>
      <c r="M398" s="345" t="str">
        <f>IF('Mapa final'!P401="","",'Mapa final'!P401)</f>
        <v/>
      </c>
      <c r="N398" s="70"/>
      <c r="O398" s="70"/>
      <c r="P398" s="70"/>
      <c r="Q398" s="177"/>
    </row>
    <row r="399" spans="1:17" ht="51.75" customHeight="1" x14ac:dyDescent="0.25">
      <c r="A399" s="119" t="s">
        <v>931</v>
      </c>
      <c r="B399" s="713"/>
      <c r="C399" s="715"/>
      <c r="D399" s="717"/>
      <c r="E399" s="715"/>
      <c r="F399" s="718"/>
      <c r="G399" s="718"/>
      <c r="H399" s="711"/>
      <c r="I399" s="425" t="str">
        <f>IF('Mapa final'!Y402="","",'Mapa final'!Y402)</f>
        <v/>
      </c>
      <c r="J399" s="425" t="str">
        <f>IF('Mapa final'!AA402="","",'Mapa final'!AA402)</f>
        <v/>
      </c>
      <c r="K399" s="344" t="str">
        <f t="shared" si="6"/>
        <v/>
      </c>
      <c r="L399" s="425" t="str">
        <f>IF('Mapa final'!AD402="","",'Mapa final'!AD402)</f>
        <v/>
      </c>
      <c r="M399" s="345" t="str">
        <f>IF('Mapa final'!P402="","",'Mapa final'!P402)</f>
        <v/>
      </c>
      <c r="N399" s="70"/>
      <c r="O399" s="70"/>
      <c r="P399" s="70"/>
      <c r="Q399" s="177"/>
    </row>
    <row r="400" spans="1:17" ht="51.75" customHeight="1" x14ac:dyDescent="0.25">
      <c r="A400" s="119" t="s">
        <v>932</v>
      </c>
      <c r="B400" s="713"/>
      <c r="C400" s="715"/>
      <c r="D400" s="717"/>
      <c r="E400" s="715"/>
      <c r="F400" s="718"/>
      <c r="G400" s="718"/>
      <c r="H400" s="711"/>
      <c r="I400" s="425" t="str">
        <f>IF('Mapa final'!Y403="","",'Mapa final'!Y403)</f>
        <v/>
      </c>
      <c r="J400" s="425" t="str">
        <f>IF('Mapa final'!AA403="","",'Mapa final'!AA403)</f>
        <v/>
      </c>
      <c r="K400" s="344" t="str">
        <f t="shared" si="6"/>
        <v/>
      </c>
      <c r="L400" s="425" t="str">
        <f>IF('Mapa final'!AD403="","",'Mapa final'!AD403)</f>
        <v/>
      </c>
      <c r="M400" s="345" t="str">
        <f>IF('Mapa final'!P403="","",'Mapa final'!P403)</f>
        <v/>
      </c>
      <c r="N400" s="70"/>
      <c r="O400" s="70"/>
      <c r="P400" s="70"/>
      <c r="Q400" s="177"/>
    </row>
    <row r="401" spans="1:17" ht="51.75" customHeight="1" x14ac:dyDescent="0.25">
      <c r="A401" s="119" t="s">
        <v>933</v>
      </c>
      <c r="B401" s="713"/>
      <c r="C401" s="715"/>
      <c r="D401" s="717"/>
      <c r="E401" s="715"/>
      <c r="F401" s="718"/>
      <c r="G401" s="718"/>
      <c r="H401" s="711"/>
      <c r="I401" s="425" t="str">
        <f>IF('Mapa final'!Y404="","",'Mapa final'!Y404)</f>
        <v/>
      </c>
      <c r="J401" s="425" t="str">
        <f>IF('Mapa final'!AA404="","",'Mapa final'!AA404)</f>
        <v/>
      </c>
      <c r="K401" s="344" t="str">
        <f t="shared" si="6"/>
        <v/>
      </c>
      <c r="L401" s="425" t="str">
        <f>IF('Mapa final'!AD404="","",'Mapa final'!AD404)</f>
        <v/>
      </c>
      <c r="M401" s="345" t="str">
        <f>IF('Mapa final'!P404="","",'Mapa final'!P404)</f>
        <v/>
      </c>
      <c r="N401" s="70"/>
      <c r="O401" s="70"/>
      <c r="P401" s="70"/>
      <c r="Q401" s="177"/>
    </row>
    <row r="402" spans="1:17" ht="51.75" customHeight="1" x14ac:dyDescent="0.25">
      <c r="A402" s="119" t="s">
        <v>934</v>
      </c>
      <c r="B402" s="713"/>
      <c r="C402" s="715"/>
      <c r="D402" s="717"/>
      <c r="E402" s="715"/>
      <c r="F402" s="718"/>
      <c r="G402" s="718"/>
      <c r="H402" s="711"/>
      <c r="I402" s="425" t="str">
        <f>IF('Mapa final'!Y405="","",'Mapa final'!Y405)</f>
        <v/>
      </c>
      <c r="J402" s="425" t="str">
        <f>IF('Mapa final'!AA405="","",'Mapa final'!AA405)</f>
        <v/>
      </c>
      <c r="K402" s="344" t="str">
        <f t="shared" si="6"/>
        <v/>
      </c>
      <c r="L402" s="425" t="str">
        <f>IF('Mapa final'!AD405="","",'Mapa final'!AD405)</f>
        <v/>
      </c>
      <c r="M402" s="345" t="str">
        <f>IF('Mapa final'!P405="","",'Mapa final'!P405)</f>
        <v/>
      </c>
      <c r="N402" s="70"/>
      <c r="O402" s="70"/>
      <c r="P402" s="70"/>
      <c r="Q402" s="177"/>
    </row>
    <row r="403" spans="1:17" ht="51.75" customHeight="1" x14ac:dyDescent="0.25">
      <c r="A403" s="119" t="s">
        <v>935</v>
      </c>
      <c r="B403" s="712"/>
      <c r="C403" s="714" t="s">
        <v>1266</v>
      </c>
      <c r="D403" s="716"/>
      <c r="E403" s="714" t="s">
        <v>1266</v>
      </c>
      <c r="F403" s="718" t="s">
        <v>1266</v>
      </c>
      <c r="G403" s="718" t="s">
        <v>1266</v>
      </c>
      <c r="H403" s="71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final'!Y406="","",'Mapa final'!Y406)</f>
        <v/>
      </c>
      <c r="J403" s="425" t="str">
        <f>IF('Mapa final'!AA406="","",'Mapa final'!AA406)</f>
        <v/>
      </c>
      <c r="K403" s="344" t="str">
        <f t="shared" si="6"/>
        <v/>
      </c>
      <c r="L403" s="425" t="str">
        <f>IF('Mapa final'!AD406="","",'Mapa final'!AD406)</f>
        <v/>
      </c>
      <c r="M403" s="345" t="str">
        <f>IF('Mapa final'!P406="","",'Mapa final'!P406)</f>
        <v/>
      </c>
      <c r="N403" s="70"/>
      <c r="O403" s="70"/>
      <c r="P403" s="70"/>
      <c r="Q403" s="177"/>
    </row>
    <row r="404" spans="1:17" ht="51.75" customHeight="1" x14ac:dyDescent="0.25">
      <c r="A404" s="119" t="s">
        <v>936</v>
      </c>
      <c r="B404" s="713"/>
      <c r="C404" s="715"/>
      <c r="D404" s="717"/>
      <c r="E404" s="715"/>
      <c r="F404" s="718"/>
      <c r="G404" s="718"/>
      <c r="H404" s="711"/>
      <c r="I404" s="425" t="str">
        <f>IF('Mapa final'!Y407="","",'Mapa final'!Y407)</f>
        <v/>
      </c>
      <c r="J404" s="425" t="str">
        <f>IF('Mapa final'!AA407="","",'Mapa final'!AA407)</f>
        <v/>
      </c>
      <c r="K404" s="344" t="str">
        <f t="shared" si="6"/>
        <v/>
      </c>
      <c r="L404" s="425" t="str">
        <f>IF('Mapa final'!AD407="","",'Mapa final'!AD407)</f>
        <v/>
      </c>
      <c r="M404" s="345" t="str">
        <f>IF('Mapa final'!P407="","",'Mapa final'!P407)</f>
        <v/>
      </c>
      <c r="N404" s="70"/>
      <c r="O404" s="70"/>
      <c r="P404" s="70"/>
      <c r="Q404" s="177"/>
    </row>
    <row r="405" spans="1:17" ht="51.75" customHeight="1" x14ac:dyDescent="0.25">
      <c r="A405" s="119" t="s">
        <v>937</v>
      </c>
      <c r="B405" s="713"/>
      <c r="C405" s="715"/>
      <c r="D405" s="717"/>
      <c r="E405" s="715"/>
      <c r="F405" s="718"/>
      <c r="G405" s="718"/>
      <c r="H405" s="711"/>
      <c r="I405" s="425" t="str">
        <f>IF('Mapa final'!Y408="","",'Mapa final'!Y408)</f>
        <v/>
      </c>
      <c r="J405" s="425" t="str">
        <f>IF('Mapa final'!AA408="","",'Mapa final'!AA408)</f>
        <v/>
      </c>
      <c r="K405" s="344" t="str">
        <f t="shared" si="6"/>
        <v/>
      </c>
      <c r="L405" s="425" t="str">
        <f>IF('Mapa final'!AD408="","",'Mapa final'!AD408)</f>
        <v/>
      </c>
      <c r="M405" s="345" t="str">
        <f>IF('Mapa final'!P408="","",'Mapa final'!P408)</f>
        <v/>
      </c>
      <c r="N405" s="70"/>
      <c r="O405" s="70"/>
      <c r="P405" s="70"/>
      <c r="Q405" s="177"/>
    </row>
    <row r="406" spans="1:17" ht="51.75" customHeight="1" x14ac:dyDescent="0.25">
      <c r="A406" s="119" t="s">
        <v>938</v>
      </c>
      <c r="B406" s="713"/>
      <c r="C406" s="715"/>
      <c r="D406" s="717"/>
      <c r="E406" s="715"/>
      <c r="F406" s="718"/>
      <c r="G406" s="718"/>
      <c r="H406" s="711"/>
      <c r="I406" s="425" t="str">
        <f>IF('Mapa final'!Y409="","",'Mapa final'!Y409)</f>
        <v/>
      </c>
      <c r="J406" s="425" t="str">
        <f>IF('Mapa final'!AA409="","",'Mapa final'!AA409)</f>
        <v/>
      </c>
      <c r="K406" s="344" t="str">
        <f t="shared" si="6"/>
        <v/>
      </c>
      <c r="L406" s="425" t="str">
        <f>IF('Mapa final'!AD409="","",'Mapa final'!AD409)</f>
        <v/>
      </c>
      <c r="M406" s="345" t="str">
        <f>IF('Mapa final'!P409="","",'Mapa final'!P409)</f>
        <v/>
      </c>
      <c r="N406" s="70"/>
      <c r="O406" s="70"/>
      <c r="P406" s="70"/>
      <c r="Q406" s="177"/>
    </row>
    <row r="407" spans="1:17" ht="51.75" customHeight="1" x14ac:dyDescent="0.25">
      <c r="A407" s="119" t="s">
        <v>939</v>
      </c>
      <c r="B407" s="713"/>
      <c r="C407" s="715"/>
      <c r="D407" s="717"/>
      <c r="E407" s="715"/>
      <c r="F407" s="718"/>
      <c r="G407" s="718"/>
      <c r="H407" s="711"/>
      <c r="I407" s="425" t="str">
        <f>IF('Mapa final'!Y410="","",'Mapa final'!Y410)</f>
        <v/>
      </c>
      <c r="J407" s="425" t="str">
        <f>IF('Mapa final'!AA410="","",'Mapa final'!AA410)</f>
        <v/>
      </c>
      <c r="K407" s="344" t="str">
        <f t="shared" si="6"/>
        <v/>
      </c>
      <c r="L407" s="425" t="str">
        <f>IF('Mapa final'!AD410="","",'Mapa final'!AD410)</f>
        <v/>
      </c>
      <c r="M407" s="345" t="str">
        <f>IF('Mapa final'!P410="","",'Mapa final'!P410)</f>
        <v/>
      </c>
      <c r="N407" s="70"/>
      <c r="O407" s="70"/>
      <c r="P407" s="70"/>
      <c r="Q407" s="177"/>
    </row>
    <row r="408" spans="1:17" ht="51.75" customHeight="1" x14ac:dyDescent="0.25">
      <c r="A408" s="119" t="s">
        <v>940</v>
      </c>
      <c r="B408" s="713"/>
      <c r="C408" s="715"/>
      <c r="D408" s="717"/>
      <c r="E408" s="715"/>
      <c r="F408" s="718"/>
      <c r="G408" s="718"/>
      <c r="H408" s="711"/>
      <c r="I408" s="425" t="str">
        <f>IF('Mapa final'!Y411="","",'Mapa final'!Y411)</f>
        <v/>
      </c>
      <c r="J408" s="425" t="str">
        <f>IF('Mapa final'!AA411="","",'Mapa final'!AA411)</f>
        <v/>
      </c>
      <c r="K408" s="344" t="str">
        <f t="shared" si="6"/>
        <v/>
      </c>
      <c r="L408" s="425" t="str">
        <f>IF('Mapa final'!AD411="","",'Mapa final'!AD411)</f>
        <v/>
      </c>
      <c r="M408" s="345" t="str">
        <f>IF('Mapa final'!P411="","",'Mapa final'!P411)</f>
        <v/>
      </c>
      <c r="N408" s="70"/>
      <c r="O408" s="70"/>
      <c r="P408" s="70"/>
      <c r="Q408" s="177"/>
    </row>
    <row r="409" spans="1:17" ht="51.75" customHeight="1" x14ac:dyDescent="0.25">
      <c r="A409" s="119" t="s">
        <v>941</v>
      </c>
      <c r="B409" s="712"/>
      <c r="C409" s="714" t="s">
        <v>1266</v>
      </c>
      <c r="D409" s="716"/>
      <c r="E409" s="714" t="s">
        <v>1266</v>
      </c>
      <c r="F409" s="718" t="s">
        <v>1266</v>
      </c>
      <c r="G409" s="718" t="s">
        <v>1266</v>
      </c>
      <c r="H409" s="71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final'!Y412="","",'Mapa final'!Y412)</f>
        <v/>
      </c>
      <c r="J409" s="425" t="str">
        <f>IF('Mapa final'!AA412="","",'Mapa final'!AA412)</f>
        <v/>
      </c>
      <c r="K409" s="344" t="str">
        <f t="shared" si="6"/>
        <v/>
      </c>
      <c r="L409" s="425" t="str">
        <f>IF('Mapa final'!AD412="","",'Mapa final'!AD412)</f>
        <v/>
      </c>
      <c r="M409" s="345" t="str">
        <f>IF('Mapa final'!P412="","",'Mapa final'!P412)</f>
        <v/>
      </c>
      <c r="N409" s="70"/>
      <c r="O409" s="70"/>
      <c r="P409" s="70"/>
      <c r="Q409" s="177"/>
    </row>
    <row r="410" spans="1:17" ht="51.75" customHeight="1" x14ac:dyDescent="0.25">
      <c r="A410" s="119" t="s">
        <v>942</v>
      </c>
      <c r="B410" s="713"/>
      <c r="C410" s="715"/>
      <c r="D410" s="717"/>
      <c r="E410" s="715"/>
      <c r="F410" s="718"/>
      <c r="G410" s="718"/>
      <c r="H410" s="711"/>
      <c r="I410" s="425" t="str">
        <f>IF('Mapa final'!Y413="","",'Mapa final'!Y413)</f>
        <v/>
      </c>
      <c r="J410" s="425" t="str">
        <f>IF('Mapa final'!AA413="","",'Mapa final'!AA413)</f>
        <v/>
      </c>
      <c r="K410" s="344" t="str">
        <f t="shared" si="6"/>
        <v/>
      </c>
      <c r="L410" s="425" t="str">
        <f>IF('Mapa final'!AD413="","",'Mapa final'!AD413)</f>
        <v/>
      </c>
      <c r="M410" s="345" t="str">
        <f>IF('Mapa final'!P413="","",'Mapa final'!P413)</f>
        <v/>
      </c>
      <c r="N410" s="70"/>
      <c r="O410" s="70"/>
      <c r="P410" s="70"/>
      <c r="Q410" s="177"/>
    </row>
    <row r="411" spans="1:17" ht="51.75" customHeight="1" x14ac:dyDescent="0.25">
      <c r="A411" s="119" t="s">
        <v>943</v>
      </c>
      <c r="B411" s="713"/>
      <c r="C411" s="715"/>
      <c r="D411" s="717"/>
      <c r="E411" s="715"/>
      <c r="F411" s="718"/>
      <c r="G411" s="718"/>
      <c r="H411" s="711"/>
      <c r="I411" s="425" t="str">
        <f>IF('Mapa final'!Y414="","",'Mapa final'!Y414)</f>
        <v/>
      </c>
      <c r="J411" s="425" t="str">
        <f>IF('Mapa final'!AA414="","",'Mapa final'!AA414)</f>
        <v/>
      </c>
      <c r="K411" s="344" t="str">
        <f t="shared" si="6"/>
        <v/>
      </c>
      <c r="L411" s="425" t="str">
        <f>IF('Mapa final'!AD414="","",'Mapa final'!AD414)</f>
        <v/>
      </c>
      <c r="M411" s="345" t="str">
        <f>IF('Mapa final'!P414="","",'Mapa final'!P414)</f>
        <v/>
      </c>
      <c r="N411" s="70"/>
      <c r="O411" s="70"/>
      <c r="P411" s="70"/>
      <c r="Q411" s="177"/>
    </row>
    <row r="412" spans="1:17" ht="51.75" customHeight="1" x14ac:dyDescent="0.25">
      <c r="A412" s="119" t="s">
        <v>944</v>
      </c>
      <c r="B412" s="713"/>
      <c r="C412" s="715"/>
      <c r="D412" s="717"/>
      <c r="E412" s="715"/>
      <c r="F412" s="718"/>
      <c r="G412" s="718"/>
      <c r="H412" s="711"/>
      <c r="I412" s="425" t="str">
        <f>IF('Mapa final'!Y415="","",'Mapa final'!Y415)</f>
        <v/>
      </c>
      <c r="J412" s="425" t="str">
        <f>IF('Mapa final'!AA415="","",'Mapa final'!AA415)</f>
        <v/>
      </c>
      <c r="K412" s="344" t="str">
        <f t="shared" si="6"/>
        <v/>
      </c>
      <c r="L412" s="425" t="str">
        <f>IF('Mapa final'!AD415="","",'Mapa final'!AD415)</f>
        <v/>
      </c>
      <c r="M412" s="345" t="str">
        <f>IF('Mapa final'!P415="","",'Mapa final'!P415)</f>
        <v/>
      </c>
      <c r="N412" s="70"/>
      <c r="O412" s="70"/>
      <c r="P412" s="70"/>
      <c r="Q412" s="177"/>
    </row>
    <row r="413" spans="1:17" ht="51.75" customHeight="1" x14ac:dyDescent="0.25">
      <c r="A413" s="119" t="s">
        <v>945</v>
      </c>
      <c r="B413" s="713"/>
      <c r="C413" s="715"/>
      <c r="D413" s="717"/>
      <c r="E413" s="715"/>
      <c r="F413" s="718"/>
      <c r="G413" s="718"/>
      <c r="H413" s="711"/>
      <c r="I413" s="425" t="str">
        <f>IF('Mapa final'!Y416="","",'Mapa final'!Y416)</f>
        <v/>
      </c>
      <c r="J413" s="425" t="str">
        <f>IF('Mapa final'!AA416="","",'Mapa final'!AA416)</f>
        <v/>
      </c>
      <c r="K413" s="344" t="str">
        <f t="shared" si="6"/>
        <v/>
      </c>
      <c r="L413" s="425" t="str">
        <f>IF('Mapa final'!AD416="","",'Mapa final'!AD416)</f>
        <v/>
      </c>
      <c r="M413" s="345" t="str">
        <f>IF('Mapa final'!P416="","",'Mapa final'!P416)</f>
        <v/>
      </c>
      <c r="N413" s="70"/>
      <c r="O413" s="70"/>
      <c r="P413" s="70"/>
      <c r="Q413" s="177"/>
    </row>
    <row r="414" spans="1:17" ht="51.75" customHeight="1" x14ac:dyDescent="0.25">
      <c r="A414" s="119" t="s">
        <v>946</v>
      </c>
      <c r="B414" s="713"/>
      <c r="C414" s="715"/>
      <c r="D414" s="717"/>
      <c r="E414" s="715"/>
      <c r="F414" s="718"/>
      <c r="G414" s="718"/>
      <c r="H414" s="711"/>
      <c r="I414" s="425" t="str">
        <f>IF('Mapa final'!Y417="","",'Mapa final'!Y417)</f>
        <v/>
      </c>
      <c r="J414" s="425" t="str">
        <f>IF('Mapa final'!AA417="","",'Mapa final'!AA417)</f>
        <v/>
      </c>
      <c r="K414" s="344" t="str">
        <f t="shared" si="6"/>
        <v/>
      </c>
      <c r="L414" s="425" t="str">
        <f>IF('Mapa final'!AD417="","",'Mapa final'!AD417)</f>
        <v/>
      </c>
      <c r="M414" s="345" t="str">
        <f>IF('Mapa final'!P417="","",'Mapa final'!P417)</f>
        <v/>
      </c>
      <c r="N414" s="70"/>
      <c r="O414" s="70"/>
      <c r="P414" s="70"/>
      <c r="Q414" s="177"/>
    </row>
    <row r="415" spans="1:17" ht="51.75" customHeight="1" x14ac:dyDescent="0.25">
      <c r="A415" s="119" t="s">
        <v>947</v>
      </c>
      <c r="B415" s="712"/>
      <c r="C415" s="714" t="s">
        <v>1266</v>
      </c>
      <c r="D415" s="716"/>
      <c r="E415" s="714" t="s">
        <v>1266</v>
      </c>
      <c r="F415" s="718" t="s">
        <v>1266</v>
      </c>
      <c r="G415" s="718" t="s">
        <v>1266</v>
      </c>
      <c r="H415" s="71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final'!Y418="","",'Mapa final'!Y418)</f>
        <v/>
      </c>
      <c r="J415" s="425" t="str">
        <f>IF('Mapa final'!AA418="","",'Mapa final'!AA418)</f>
        <v/>
      </c>
      <c r="K415" s="344" t="str">
        <f t="shared" si="6"/>
        <v/>
      </c>
      <c r="L415" s="425" t="str">
        <f>IF('Mapa final'!AD418="","",'Mapa final'!AD418)</f>
        <v/>
      </c>
      <c r="M415" s="345" t="str">
        <f>IF('Mapa final'!P418="","",'Mapa final'!P418)</f>
        <v/>
      </c>
      <c r="N415" s="70"/>
      <c r="O415" s="70"/>
      <c r="P415" s="70"/>
      <c r="Q415" s="177"/>
    </row>
    <row r="416" spans="1:17" ht="51.75" customHeight="1" x14ac:dyDescent="0.25">
      <c r="A416" s="119" t="s">
        <v>948</v>
      </c>
      <c r="B416" s="713"/>
      <c r="C416" s="715"/>
      <c r="D416" s="717"/>
      <c r="E416" s="715"/>
      <c r="F416" s="718"/>
      <c r="G416" s="718"/>
      <c r="H416" s="711"/>
      <c r="I416" s="425" t="str">
        <f>IF('Mapa final'!Y419="","",'Mapa final'!Y419)</f>
        <v/>
      </c>
      <c r="J416" s="425" t="str">
        <f>IF('Mapa final'!AA419="","",'Mapa final'!AA419)</f>
        <v/>
      </c>
      <c r="K416" s="344" t="str">
        <f t="shared" si="6"/>
        <v/>
      </c>
      <c r="L416" s="425" t="str">
        <f>IF('Mapa final'!AD419="","",'Mapa final'!AD419)</f>
        <v/>
      </c>
      <c r="M416" s="345" t="str">
        <f>IF('Mapa final'!P419="","",'Mapa final'!P419)</f>
        <v/>
      </c>
      <c r="N416" s="70"/>
      <c r="O416" s="70"/>
      <c r="P416" s="70"/>
      <c r="Q416" s="177"/>
    </row>
    <row r="417" spans="1:18" ht="51.75" customHeight="1" x14ac:dyDescent="0.25">
      <c r="A417" s="119" t="s">
        <v>949</v>
      </c>
      <c r="B417" s="713"/>
      <c r="C417" s="715"/>
      <c r="D417" s="717"/>
      <c r="E417" s="715"/>
      <c r="F417" s="718"/>
      <c r="G417" s="718"/>
      <c r="H417" s="711"/>
      <c r="I417" s="425" t="str">
        <f>IF('Mapa final'!Y420="","",'Mapa final'!Y420)</f>
        <v/>
      </c>
      <c r="J417" s="425" t="str">
        <f>IF('Mapa final'!AA420="","",'Mapa final'!AA420)</f>
        <v/>
      </c>
      <c r="K417" s="344" t="str">
        <f t="shared" si="6"/>
        <v/>
      </c>
      <c r="L417" s="425" t="str">
        <f>IF('Mapa final'!AD420="","",'Mapa final'!AD420)</f>
        <v/>
      </c>
      <c r="M417" s="345" t="str">
        <f>IF('Mapa final'!P420="","",'Mapa final'!P420)</f>
        <v/>
      </c>
      <c r="N417" s="70"/>
      <c r="O417" s="70"/>
      <c r="P417" s="70"/>
      <c r="Q417" s="177"/>
    </row>
    <row r="418" spans="1:18" ht="51.75" customHeight="1" x14ac:dyDescent="0.25">
      <c r="A418" s="119" t="s">
        <v>950</v>
      </c>
      <c r="B418" s="713"/>
      <c r="C418" s="715"/>
      <c r="D418" s="717"/>
      <c r="E418" s="715"/>
      <c r="F418" s="718"/>
      <c r="G418" s="718"/>
      <c r="H418" s="711"/>
      <c r="I418" s="425" t="str">
        <f>IF('Mapa final'!Y421="","",'Mapa final'!Y421)</f>
        <v/>
      </c>
      <c r="J418" s="425" t="str">
        <f>IF('Mapa final'!AA421="","",'Mapa final'!AA421)</f>
        <v/>
      </c>
      <c r="K418" s="344" t="str">
        <f t="shared" si="6"/>
        <v/>
      </c>
      <c r="L418" s="425" t="str">
        <f>IF('Mapa final'!AD421="","",'Mapa final'!AD421)</f>
        <v/>
      </c>
      <c r="M418" s="345" t="str">
        <f>IF('Mapa final'!P421="","",'Mapa final'!P421)</f>
        <v/>
      </c>
      <c r="N418" s="70"/>
      <c r="O418" s="70"/>
      <c r="P418" s="70"/>
      <c r="Q418" s="177"/>
    </row>
    <row r="419" spans="1:18" ht="51.75" customHeight="1" x14ac:dyDescent="0.25">
      <c r="A419" s="119" t="s">
        <v>951</v>
      </c>
      <c r="B419" s="713"/>
      <c r="C419" s="715"/>
      <c r="D419" s="717"/>
      <c r="E419" s="715"/>
      <c r="F419" s="718"/>
      <c r="G419" s="718"/>
      <c r="H419" s="711"/>
      <c r="I419" s="425" t="str">
        <f>IF('Mapa final'!Y422="","",'Mapa final'!Y422)</f>
        <v/>
      </c>
      <c r="J419" s="425" t="str">
        <f>IF('Mapa final'!AA422="","",'Mapa final'!AA422)</f>
        <v/>
      </c>
      <c r="K419" s="344" t="str">
        <f t="shared" si="6"/>
        <v/>
      </c>
      <c r="L419" s="425" t="str">
        <f>IF('Mapa final'!AD422="","",'Mapa final'!AD422)</f>
        <v/>
      </c>
      <c r="M419" s="345" t="str">
        <f>IF('Mapa final'!P422="","",'Mapa final'!P422)</f>
        <v/>
      </c>
      <c r="N419" s="70"/>
      <c r="O419" s="70"/>
      <c r="P419" s="70"/>
      <c r="Q419" s="177"/>
    </row>
    <row r="420" spans="1:18" ht="51.75" customHeight="1" x14ac:dyDescent="0.25">
      <c r="A420" s="119" t="s">
        <v>952</v>
      </c>
      <c r="B420" s="713"/>
      <c r="C420" s="715"/>
      <c r="D420" s="717"/>
      <c r="E420" s="715"/>
      <c r="F420" s="718"/>
      <c r="G420" s="718"/>
      <c r="H420" s="711"/>
      <c r="I420" s="425" t="str">
        <f>IF('Mapa final'!Y423="","",'Mapa final'!Y423)</f>
        <v/>
      </c>
      <c r="J420" s="425" t="str">
        <f>IF('Mapa final'!AA423="","",'Mapa final'!AA423)</f>
        <v/>
      </c>
      <c r="K420" s="344" t="str">
        <f t="shared" si="6"/>
        <v/>
      </c>
      <c r="L420" s="425" t="str">
        <f>IF('Mapa final'!AD423="","",'Mapa final'!AD423)</f>
        <v/>
      </c>
      <c r="M420" s="345" t="str">
        <f>IF('Mapa final'!P423="","",'Mapa final'!P423)</f>
        <v/>
      </c>
      <c r="N420" s="70"/>
      <c r="O420" s="70"/>
      <c r="P420" s="70"/>
      <c r="Q420" s="177"/>
    </row>
    <row r="421" spans="1:18" ht="51.75" customHeight="1" x14ac:dyDescent="0.25">
      <c r="A421" s="119" t="s">
        <v>953</v>
      </c>
      <c r="B421" s="712"/>
      <c r="C421" s="714" t="s">
        <v>1266</v>
      </c>
      <c r="D421" s="716"/>
      <c r="E421" s="714" t="s">
        <v>1266</v>
      </c>
      <c r="F421" s="718" t="s">
        <v>1266</v>
      </c>
      <c r="G421" s="718" t="s">
        <v>1266</v>
      </c>
      <c r="H421" s="71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final'!Y424="","",'Mapa final'!Y424)</f>
        <v/>
      </c>
      <c r="J421" s="425" t="str">
        <f>IF('Mapa final'!AA424="","",'Mapa final'!AA424)</f>
        <v/>
      </c>
      <c r="K421" s="344" t="str">
        <f t="shared" si="6"/>
        <v/>
      </c>
      <c r="L421" s="425" t="str">
        <f>IF('Mapa final'!AD424="","",'Mapa final'!AD424)</f>
        <v/>
      </c>
      <c r="M421" s="345" t="str">
        <f>IF('Mapa final'!P424="","",'Mapa final'!P424)</f>
        <v/>
      </c>
      <c r="N421" s="70"/>
      <c r="O421" s="70"/>
      <c r="P421" s="70"/>
      <c r="Q421" s="177"/>
    </row>
    <row r="422" spans="1:18" ht="51.75" customHeight="1" x14ac:dyDescent="0.25">
      <c r="A422" s="119" t="s">
        <v>954</v>
      </c>
      <c r="B422" s="713"/>
      <c r="C422" s="715"/>
      <c r="D422" s="717"/>
      <c r="E422" s="715"/>
      <c r="F422" s="718"/>
      <c r="G422" s="718"/>
      <c r="H422" s="711"/>
      <c r="I422" s="425" t="str">
        <f>IF('Mapa final'!Y425="","",'Mapa final'!Y425)</f>
        <v/>
      </c>
      <c r="J422" s="425" t="str">
        <f>IF('Mapa final'!AA425="","",'Mapa final'!AA425)</f>
        <v/>
      </c>
      <c r="K422" s="344" t="str">
        <f t="shared" si="6"/>
        <v/>
      </c>
      <c r="L422" s="425" t="str">
        <f>IF('Mapa final'!AD425="","",'Mapa final'!AD425)</f>
        <v/>
      </c>
      <c r="M422" s="345" t="str">
        <f>IF('Mapa final'!P425="","",'Mapa final'!P425)</f>
        <v/>
      </c>
      <c r="N422" s="70"/>
      <c r="O422" s="70"/>
      <c r="P422" s="70"/>
      <c r="Q422" s="177"/>
    </row>
    <row r="423" spans="1:18" ht="51.75" customHeight="1" x14ac:dyDescent="0.25">
      <c r="A423" s="119" t="s">
        <v>955</v>
      </c>
      <c r="B423" s="713"/>
      <c r="C423" s="715"/>
      <c r="D423" s="717"/>
      <c r="E423" s="715"/>
      <c r="F423" s="718"/>
      <c r="G423" s="718"/>
      <c r="H423" s="711"/>
      <c r="I423" s="425" t="str">
        <f>IF('Mapa final'!Y426="","",'Mapa final'!Y426)</f>
        <v/>
      </c>
      <c r="J423" s="425" t="str">
        <f>IF('Mapa final'!AA426="","",'Mapa final'!AA426)</f>
        <v/>
      </c>
      <c r="K423" s="344" t="str">
        <f t="shared" si="6"/>
        <v/>
      </c>
      <c r="L423" s="425" t="str">
        <f>IF('Mapa final'!AD426="","",'Mapa final'!AD426)</f>
        <v/>
      </c>
      <c r="M423" s="345" t="str">
        <f>IF('Mapa final'!P426="","",'Mapa final'!P426)</f>
        <v/>
      </c>
      <c r="N423" s="70"/>
      <c r="O423" s="70"/>
      <c r="P423" s="70"/>
      <c r="Q423" s="177"/>
    </row>
    <row r="424" spans="1:18" ht="51.75" customHeight="1" x14ac:dyDescent="0.25">
      <c r="A424" s="119" t="s">
        <v>956</v>
      </c>
      <c r="B424" s="713"/>
      <c r="C424" s="715"/>
      <c r="D424" s="717"/>
      <c r="E424" s="715"/>
      <c r="F424" s="718"/>
      <c r="G424" s="718"/>
      <c r="H424" s="711"/>
      <c r="I424" s="425" t="str">
        <f>IF('Mapa final'!Y427="","",'Mapa final'!Y427)</f>
        <v/>
      </c>
      <c r="J424" s="425" t="str">
        <f>IF('Mapa final'!AA427="","",'Mapa final'!AA427)</f>
        <v/>
      </c>
      <c r="K424" s="344" t="str">
        <f t="shared" si="6"/>
        <v/>
      </c>
      <c r="L424" s="425" t="str">
        <f>IF('Mapa final'!AD427="","",'Mapa final'!AD427)</f>
        <v/>
      </c>
      <c r="M424" s="345" t="str">
        <f>IF('Mapa final'!P427="","",'Mapa final'!P427)</f>
        <v/>
      </c>
      <c r="N424" s="70"/>
      <c r="O424" s="70"/>
      <c r="P424" s="70"/>
      <c r="Q424" s="177"/>
    </row>
    <row r="425" spans="1:18" ht="51.75" customHeight="1" x14ac:dyDescent="0.25">
      <c r="A425" s="119" t="s">
        <v>957</v>
      </c>
      <c r="B425" s="713"/>
      <c r="C425" s="715"/>
      <c r="D425" s="717"/>
      <c r="E425" s="715"/>
      <c r="F425" s="718"/>
      <c r="G425" s="718"/>
      <c r="H425" s="711"/>
      <c r="I425" s="425" t="str">
        <f>IF('Mapa final'!Y428="","",'Mapa final'!Y428)</f>
        <v/>
      </c>
      <c r="J425" s="425" t="str">
        <f>IF('Mapa final'!AA428="","",'Mapa final'!AA428)</f>
        <v/>
      </c>
      <c r="K425" s="344" t="str">
        <f t="shared" si="6"/>
        <v/>
      </c>
      <c r="L425" s="425" t="str">
        <f>IF('Mapa final'!AD428="","",'Mapa final'!AD428)</f>
        <v/>
      </c>
      <c r="M425" s="345" t="str">
        <f>IF('Mapa final'!P428="","",'Mapa final'!P428)</f>
        <v/>
      </c>
      <c r="N425" s="70"/>
      <c r="O425" s="70"/>
      <c r="P425" s="70"/>
      <c r="Q425" s="177"/>
    </row>
    <row r="426" spans="1:18" ht="51.75" customHeight="1" x14ac:dyDescent="0.25">
      <c r="A426" s="119" t="s">
        <v>958</v>
      </c>
      <c r="B426" s="713"/>
      <c r="C426" s="715"/>
      <c r="D426" s="717"/>
      <c r="E426" s="715"/>
      <c r="F426" s="718"/>
      <c r="G426" s="718"/>
      <c r="H426" s="711"/>
      <c r="I426" s="425" t="str">
        <f>IF('Mapa final'!Y429="","",'Mapa final'!Y429)</f>
        <v/>
      </c>
      <c r="J426" s="425" t="str">
        <f>IF('Mapa final'!AA429="","",'Mapa final'!AA429)</f>
        <v/>
      </c>
      <c r="K426" s="344" t="str">
        <f t="shared" si="6"/>
        <v/>
      </c>
      <c r="L426" s="425" t="str">
        <f>IF('Mapa final'!AD429="","",'Mapa final'!AD429)</f>
        <v/>
      </c>
      <c r="M426" s="345" t="str">
        <f>IF('Mapa final'!P429="","",'Mapa final'!P429)</f>
        <v/>
      </c>
      <c r="N426" s="70"/>
      <c r="O426" s="70"/>
      <c r="P426" s="70"/>
      <c r="Q426" s="177"/>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BxTmL2uPYhVek5ItLTbApqPO6o3140bdXrP9SNoc2QkR5h9oxofM5jlY8sXvyT3GR7ehZey65ssmD6aQzC58g==" saltValue="S5NG5zlRo7htPFuOGqEQTg=="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NOT(ISERROR(SEARCH("Bajo",H67)))</formula>
    </cfRule>
    <cfRule type="containsText" dxfId="186" priority="10" operator="containsText" text="Moderado">
      <formula>NOT(ISERROR(SEARCH("Moderado",H67)))</formula>
    </cfRule>
    <cfRule type="containsText" dxfId="185" priority="11" operator="containsText" text="Alto">
      <formula>NOT(ISERROR(SEARCH("Alto",H67)))</formula>
    </cfRule>
    <cfRule type="containsText" dxfId="184" priority="12" operator="containsText" text="Extremo">
      <formula>NOT(ISERROR(SEARCH("Extremo",H67)))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31" t="s">
        <v>1068</v>
      </c>
      <c r="C1" s="731"/>
      <c r="D1" s="73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1069</v>
      </c>
      <c r="D3" s="288"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1070</v>
      </c>
      <c r="C4" s="290" t="s">
        <v>1071</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1072</v>
      </c>
      <c r="C5" s="293" t="s">
        <v>1073</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1074</v>
      </c>
      <c r="C6" s="293" t="s">
        <v>1186</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1075</v>
      </c>
      <c r="C7" s="293" t="s">
        <v>1187</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1076</v>
      </c>
      <c r="C8" s="293" t="s">
        <v>1188</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9"/>
      <c r="B33" s="316"/>
      <c r="C33" s="316"/>
      <c r="D33" s="316"/>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x14ac:dyDescent="0.25">
      <c r="A34" s="339"/>
      <c r="B34" s="316"/>
      <c r="C34" s="316"/>
      <c r="D34" s="316"/>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x14ac:dyDescent="0.25">
      <c r="A35" s="339"/>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Matriz Calor Inherente R.Fiscal</vt:lpstr>
      <vt:lpstr>Matriz Calor Residual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2024-09-05T22:53:15Z</dcterms:modified>
  <cp:contentStatus/>
</cp:coreProperties>
</file>