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11. Gestión Tecnológica/III CUATRIMESTRE - II SEMESTRE/PROCESO/"/>
    </mc:Choice>
  </mc:AlternateContent>
  <xr:revisionPtr revIDLastSave="9" documentId="8_{5501AF3D-BEE0-467B-8FA1-68A6E9A8B014}" xr6:coauthVersionLast="47" xr6:coauthVersionMax="47" xr10:uidLastSave="{3FDDF90D-CAE2-4546-BE26-C07ABD4E2972}"/>
  <bookViews>
    <workbookView xWindow="-120" yWindow="-120" windowWidth="20730" windowHeight="11040" tabRatio="917" firstSheet="2" activeTab="3"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4" r:id="rId35"/>
    <pivotCache cacheId="5"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56" l="1"/>
  <c r="N39" i="56" s="1"/>
  <c r="O39" i="56"/>
  <c r="P39" i="56" s="1"/>
  <c r="Q39" i="56"/>
  <c r="M40" i="56"/>
  <c r="N40" i="56" s="1"/>
  <c r="O40" i="56"/>
  <c r="P40" i="56" s="1"/>
  <c r="Q40" i="56"/>
  <c r="M41" i="56"/>
  <c r="N41" i="56" s="1"/>
  <c r="O41" i="56"/>
  <c r="P41" i="56" s="1"/>
  <c r="Q41" i="56"/>
  <c r="M42" i="56"/>
  <c r="N42" i="56" s="1"/>
  <c r="O42" i="56"/>
  <c r="P42" i="56" s="1"/>
  <c r="Q42" i="56"/>
  <c r="M43" i="56"/>
  <c r="N43" i="56" s="1"/>
  <c r="O43" i="56"/>
  <c r="P43" i="56" s="1"/>
  <c r="Q43" i="56"/>
  <c r="M44" i="56"/>
  <c r="N44" i="56" s="1"/>
  <c r="O44" i="56"/>
  <c r="P44" i="56" s="1"/>
  <c r="Q44" i="56"/>
  <c r="M45" i="56"/>
  <c r="N45" i="56" s="1"/>
  <c r="O45" i="56"/>
  <c r="P45" i="56" s="1"/>
  <c r="Q45" i="56"/>
  <c r="M46" i="56"/>
  <c r="N46" i="56" s="1"/>
  <c r="O46" i="56"/>
  <c r="P46" i="56" s="1"/>
  <c r="Q46" i="56"/>
  <c r="M47" i="56"/>
  <c r="N47" i="56" s="1"/>
  <c r="O47" i="56"/>
  <c r="P47" i="56" s="1"/>
  <c r="Q47" i="56"/>
  <c r="M48" i="56"/>
  <c r="N48" i="56" s="1"/>
  <c r="O48" i="56"/>
  <c r="P48" i="56" s="1"/>
  <c r="Q48" i="56"/>
  <c r="M49" i="56"/>
  <c r="N49" i="56" s="1"/>
  <c r="O49" i="56"/>
  <c r="P49" i="56" s="1"/>
  <c r="Q49" i="56"/>
  <c r="M50" i="56"/>
  <c r="N50" i="56" s="1"/>
  <c r="O50" i="56"/>
  <c r="P50" i="56" s="1"/>
  <c r="Q50" i="56"/>
  <c r="M51" i="56"/>
  <c r="N51" i="56" s="1"/>
  <c r="O51" i="56"/>
  <c r="P51" i="56" s="1"/>
  <c r="Q51" i="56"/>
  <c r="M52" i="56"/>
  <c r="N52" i="56" s="1"/>
  <c r="O52" i="56"/>
  <c r="P52" i="56" s="1"/>
  <c r="Q52" i="56"/>
  <c r="M53" i="56"/>
  <c r="N53" i="56" s="1"/>
  <c r="O53" i="56"/>
  <c r="P53" i="56" s="1"/>
  <c r="Q53" i="56"/>
  <c r="M54" i="56"/>
  <c r="N54" i="56" s="1"/>
  <c r="O54" i="56"/>
  <c r="P54" i="56" s="1"/>
  <c r="Q54" i="56"/>
  <c r="M55" i="56"/>
  <c r="N55" i="56" s="1"/>
  <c r="O55" i="56"/>
  <c r="P55" i="56" s="1"/>
  <c r="Q55" i="56"/>
  <c r="M56" i="56"/>
  <c r="N56" i="56" s="1"/>
  <c r="O56" i="56"/>
  <c r="P56" i="56" s="1"/>
  <c r="Q56" i="56"/>
  <c r="M57" i="56"/>
  <c r="N57" i="56" s="1"/>
  <c r="O57" i="56"/>
  <c r="P57" i="56" s="1"/>
  <c r="Q57" i="56"/>
  <c r="M58" i="56"/>
  <c r="N58" i="56" s="1"/>
  <c r="O58" i="56"/>
  <c r="P58" i="56" s="1"/>
  <c r="Q58" i="56"/>
  <c r="M59" i="56"/>
  <c r="N59" i="56" s="1"/>
  <c r="O59" i="56"/>
  <c r="P59" i="56" s="1"/>
  <c r="Q59" i="56"/>
  <c r="M60" i="56"/>
  <c r="N60" i="56" s="1"/>
  <c r="O60" i="56"/>
  <c r="P60" i="56" s="1"/>
  <c r="Q60" i="56"/>
  <c r="M61" i="56"/>
  <c r="N61" i="56" s="1"/>
  <c r="O61" i="56"/>
  <c r="P61" i="56" s="1"/>
  <c r="Q61" i="56"/>
  <c r="M62" i="56"/>
  <c r="N62" i="56" s="1"/>
  <c r="O62" i="56"/>
  <c r="P62" i="56" s="1"/>
  <c r="Q62" i="56"/>
  <c r="C7" i="78" l="1"/>
  <c r="D5" i="87"/>
  <c r="G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J12" i="87"/>
  <c r="L12" i="87"/>
  <c r="N12" i="87"/>
  <c r="P12" i="87"/>
  <c r="R12" i="87"/>
  <c r="T12" i="87"/>
  <c r="V12" i="87"/>
  <c r="Y12" i="87"/>
  <c r="AA12" i="87"/>
  <c r="B13" i="87"/>
  <c r="J13" i="87"/>
  <c r="W13" i="87" s="1"/>
  <c r="X13" i="87" s="1"/>
  <c r="L13" i="87"/>
  <c r="N13" i="87"/>
  <c r="P13" i="87"/>
  <c r="R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A16" i="87"/>
  <c r="AH16" i="87"/>
  <c r="AI16" i="87" s="1"/>
  <c r="AK16" i="87"/>
  <c r="AL16" i="87" s="1"/>
  <c r="B17" i="87"/>
  <c r="V17" i="87"/>
  <c r="W17" i="87"/>
  <c r="X17" i="87" s="1"/>
  <c r="Y17" i="87"/>
  <c r="AA17" i="87"/>
  <c r="AH17" i="87"/>
  <c r="AI17" i="87" s="1"/>
  <c r="AK17" i="87"/>
  <c r="AL17" i="87" s="1"/>
  <c r="B18" i="87"/>
  <c r="J18" i="87"/>
  <c r="L18" i="87"/>
  <c r="N18" i="87"/>
  <c r="P18" i="87"/>
  <c r="R18" i="87"/>
  <c r="T18" i="87"/>
  <c r="V18" i="87"/>
  <c r="W18" i="87"/>
  <c r="X18" i="87" s="1"/>
  <c r="Y18" i="87"/>
  <c r="AA18" i="87"/>
  <c r="AH18" i="87"/>
  <c r="AI18" i="87" s="1"/>
  <c r="AK18" i="87"/>
  <c r="AL18" i="87" s="1"/>
  <c r="B19" i="87"/>
  <c r="J19" i="87"/>
  <c r="L19" i="87"/>
  <c r="N19" i="87"/>
  <c r="P19" i="87"/>
  <c r="R19" i="87"/>
  <c r="T19" i="87"/>
  <c r="V19" i="87"/>
  <c r="W19" i="87"/>
  <c r="X19" i="87" s="1"/>
  <c r="Y19" i="87"/>
  <c r="AA19" i="87"/>
  <c r="AH19" i="87"/>
  <c r="AI19" i="87" s="1"/>
  <c r="AK19" i="87"/>
  <c r="AL19" i="87" s="1"/>
  <c r="B20" i="87"/>
  <c r="J20" i="87"/>
  <c r="L20" i="87"/>
  <c r="N20" i="87"/>
  <c r="P20" i="87"/>
  <c r="R20" i="87"/>
  <c r="T20" i="87"/>
  <c r="V20" i="87"/>
  <c r="W20" i="87"/>
  <c r="X20" i="87" s="1"/>
  <c r="Y20" i="87"/>
  <c r="AD20" i="87" s="1"/>
  <c r="AE20" i="87" s="1"/>
  <c r="AF20" i="87" s="1"/>
  <c r="AJ20" i="87" s="1"/>
  <c r="AA20" i="87"/>
  <c r="AH20" i="87"/>
  <c r="AI20" i="87" s="1"/>
  <c r="AK20" i="87"/>
  <c r="AL20" i="87" s="1"/>
  <c r="B21" i="87"/>
  <c r="J21" i="87"/>
  <c r="L21" i="87"/>
  <c r="N21" i="87"/>
  <c r="P21" i="87"/>
  <c r="R21" i="87"/>
  <c r="T21" i="87"/>
  <c r="V21" i="87"/>
  <c r="W21" i="87"/>
  <c r="X21" i="87" s="1"/>
  <c r="Y21" i="87"/>
  <c r="AA21" i="87"/>
  <c r="AH21" i="87"/>
  <c r="AI21" i="87" s="1"/>
  <c r="AK21" i="87"/>
  <c r="AL21" i="87" s="1"/>
  <c r="B22" i="87"/>
  <c r="J22" i="87"/>
  <c r="L22" i="87"/>
  <c r="N22" i="87"/>
  <c r="P22" i="87"/>
  <c r="R22" i="87"/>
  <c r="T22" i="87"/>
  <c r="V22" i="87"/>
  <c r="W22" i="87"/>
  <c r="X22" i="87" s="1"/>
  <c r="Y22" i="87"/>
  <c r="AA22" i="87"/>
  <c r="AH22" i="87"/>
  <c r="AI22" i="87" s="1"/>
  <c r="AK22" i="87"/>
  <c r="AL22" i="87" s="1"/>
  <c r="B23" i="87"/>
  <c r="J23" i="87"/>
  <c r="L23" i="87"/>
  <c r="N23" i="87"/>
  <c r="P23" i="87"/>
  <c r="R23" i="87"/>
  <c r="T23" i="87"/>
  <c r="V23" i="87"/>
  <c r="W23" i="87"/>
  <c r="X23" i="87" s="1"/>
  <c r="Y23" i="87"/>
  <c r="AA23" i="87"/>
  <c r="AH23" i="87"/>
  <c r="AI23" i="87" s="1"/>
  <c r="AK23" i="87"/>
  <c r="AL23" i="87" s="1"/>
  <c r="B24" i="87"/>
  <c r="J24" i="87"/>
  <c r="L24" i="87"/>
  <c r="N24" i="87"/>
  <c r="P24" i="87"/>
  <c r="R24" i="87"/>
  <c r="T24" i="87"/>
  <c r="V24" i="87"/>
  <c r="W24" i="87"/>
  <c r="X24" i="87" s="1"/>
  <c r="Y24" i="87"/>
  <c r="AA24" i="87"/>
  <c r="AH24" i="87"/>
  <c r="AI24" i="87" s="1"/>
  <c r="AK24" i="87"/>
  <c r="AL24" i="87" s="1"/>
  <c r="B25" i="87"/>
  <c r="J25" i="87"/>
  <c r="L25" i="87"/>
  <c r="N25" i="87"/>
  <c r="P25" i="87"/>
  <c r="R25" i="87"/>
  <c r="T25" i="87"/>
  <c r="V25" i="87"/>
  <c r="W25" i="87"/>
  <c r="X25" i="87" s="1"/>
  <c r="Y25" i="87"/>
  <c r="AA25" i="87"/>
  <c r="AH25" i="87"/>
  <c r="AI25" i="87" s="1"/>
  <c r="AK25" i="87"/>
  <c r="AL25" i="87" s="1"/>
  <c r="B26" i="87"/>
  <c r="J26" i="87"/>
  <c r="L26" i="87"/>
  <c r="N26" i="87"/>
  <c r="P26" i="87"/>
  <c r="R26" i="87"/>
  <c r="T26" i="87"/>
  <c r="V26" i="87"/>
  <c r="W26" i="87"/>
  <c r="X26" i="87" s="1"/>
  <c r="Y26" i="87"/>
  <c r="AA26" i="87"/>
  <c r="AH26" i="87"/>
  <c r="AI26" i="87" s="1"/>
  <c r="AK26" i="87"/>
  <c r="AL26" i="87" s="1"/>
  <c r="B27" i="87"/>
  <c r="J27" i="87"/>
  <c r="L27" i="87"/>
  <c r="N27" i="87"/>
  <c r="P27" i="87"/>
  <c r="R27" i="87"/>
  <c r="T27" i="87"/>
  <c r="V27" i="87"/>
  <c r="W27" i="87"/>
  <c r="X27" i="87" s="1"/>
  <c r="Y27" i="87"/>
  <c r="AA27" i="87"/>
  <c r="AH27" i="87"/>
  <c r="AI27" i="87" s="1"/>
  <c r="AK27" i="87"/>
  <c r="AL27" i="87" s="1"/>
  <c r="B28" i="87"/>
  <c r="J28" i="87"/>
  <c r="L28" i="87"/>
  <c r="N28" i="87"/>
  <c r="P28" i="87"/>
  <c r="R28" i="87"/>
  <c r="T28" i="87"/>
  <c r="V28" i="87"/>
  <c r="W28" i="87"/>
  <c r="X28" i="87" s="1"/>
  <c r="Y28" i="87"/>
  <c r="AA28" i="87"/>
  <c r="AH28" i="87"/>
  <c r="AI28" i="87" s="1"/>
  <c r="AK28" i="87"/>
  <c r="AL28" i="87" s="1"/>
  <c r="B29" i="87"/>
  <c r="J29" i="87"/>
  <c r="L29" i="87"/>
  <c r="N29" i="87"/>
  <c r="P29" i="87"/>
  <c r="R29" i="87"/>
  <c r="T29" i="87"/>
  <c r="V29" i="87"/>
  <c r="W29" i="87"/>
  <c r="X29" i="87" s="1"/>
  <c r="Y29" i="87"/>
  <c r="AA29" i="87"/>
  <c r="AH29" i="87"/>
  <c r="AI29" i="87" s="1"/>
  <c r="AK29" i="87"/>
  <c r="AL29" i="87" s="1"/>
  <c r="B30" i="87"/>
  <c r="J30" i="87"/>
  <c r="L30" i="87"/>
  <c r="N30" i="87"/>
  <c r="P30" i="87"/>
  <c r="R30" i="87"/>
  <c r="T30" i="87"/>
  <c r="V30" i="87"/>
  <c r="W30" i="87"/>
  <c r="X30" i="87" s="1"/>
  <c r="Y30" i="87"/>
  <c r="AA30" i="87"/>
  <c r="AH30" i="87"/>
  <c r="AI30" i="87" s="1"/>
  <c r="AK30" i="87"/>
  <c r="AL30" i="87" s="1"/>
  <c r="B31" i="87"/>
  <c r="J31" i="87"/>
  <c r="L31" i="87"/>
  <c r="N31" i="87"/>
  <c r="P31" i="87"/>
  <c r="R31" i="87"/>
  <c r="T31" i="87"/>
  <c r="V31" i="87"/>
  <c r="W31" i="87"/>
  <c r="X31" i="87" s="1"/>
  <c r="Y31" i="87"/>
  <c r="AD31" i="87" s="1"/>
  <c r="AE31" i="87" s="1"/>
  <c r="AF31" i="87" s="1"/>
  <c r="AA31" i="87"/>
  <c r="AH31" i="87"/>
  <c r="AI31" i="87" s="1"/>
  <c r="AK31" i="87"/>
  <c r="AL31" i="87" s="1"/>
  <c r="B32" i="87"/>
  <c r="J32" i="87"/>
  <c r="L32" i="87"/>
  <c r="N32" i="87"/>
  <c r="P32" i="87"/>
  <c r="R32" i="87"/>
  <c r="T32" i="87"/>
  <c r="V32" i="87"/>
  <c r="W32" i="87"/>
  <c r="X32" i="87" s="1"/>
  <c r="Y32" i="87"/>
  <c r="AA32" i="87"/>
  <c r="AH32" i="87"/>
  <c r="AI32" i="87" s="1"/>
  <c r="AK32" i="87"/>
  <c r="AL32" i="87" s="1"/>
  <c r="B33" i="87"/>
  <c r="J33" i="87"/>
  <c r="L33" i="87"/>
  <c r="N33" i="87"/>
  <c r="P33" i="87"/>
  <c r="R33" i="87"/>
  <c r="T33" i="87"/>
  <c r="V33" i="87"/>
  <c r="W33" i="87"/>
  <c r="X33" i="87" s="1"/>
  <c r="Y33" i="87"/>
  <c r="AA33" i="87"/>
  <c r="AH33" i="87"/>
  <c r="AI33" i="87" s="1"/>
  <c r="AK33" i="87"/>
  <c r="AL33" i="87" s="1"/>
  <c r="B34" i="87"/>
  <c r="J34" i="87"/>
  <c r="L34" i="87"/>
  <c r="N34" i="87"/>
  <c r="P34" i="87"/>
  <c r="R34" i="87"/>
  <c r="T34" i="87"/>
  <c r="V34" i="87"/>
  <c r="W34" i="87"/>
  <c r="X34" i="87" s="1"/>
  <c r="Y34" i="87"/>
  <c r="AA34" i="87"/>
  <c r="AH34" i="87"/>
  <c r="AI34" i="87" s="1"/>
  <c r="AK34" i="87"/>
  <c r="AL34" i="87" s="1"/>
  <c r="B35" i="87"/>
  <c r="J35" i="87"/>
  <c r="L35" i="87"/>
  <c r="N35" i="87"/>
  <c r="P35" i="87"/>
  <c r="R35" i="87"/>
  <c r="T35" i="87"/>
  <c r="V35" i="87"/>
  <c r="W35" i="87"/>
  <c r="X35" i="87" s="1"/>
  <c r="Y35" i="87"/>
  <c r="AA35" i="87"/>
  <c r="AH35" i="87"/>
  <c r="AI35" i="87" s="1"/>
  <c r="AK35" i="87"/>
  <c r="AL35" i="87" s="1"/>
  <c r="B36" i="87"/>
  <c r="J36" i="87"/>
  <c r="L36" i="87"/>
  <c r="N36" i="87"/>
  <c r="P36" i="87"/>
  <c r="R36" i="87"/>
  <c r="T36" i="87"/>
  <c r="V36" i="87"/>
  <c r="W36" i="87"/>
  <c r="X36" i="87" s="1"/>
  <c r="Y36" i="87"/>
  <c r="AA36" i="87"/>
  <c r="AH36" i="87"/>
  <c r="AI36" i="87" s="1"/>
  <c r="AK36" i="87"/>
  <c r="AL36" i="87" s="1"/>
  <c r="B37" i="87"/>
  <c r="J37" i="87"/>
  <c r="L37" i="87"/>
  <c r="N37" i="87"/>
  <c r="P37" i="87"/>
  <c r="R37" i="87"/>
  <c r="T37" i="87"/>
  <c r="V37" i="87"/>
  <c r="W37" i="87"/>
  <c r="X37" i="87" s="1"/>
  <c r="Y37" i="87"/>
  <c r="AA37" i="87"/>
  <c r="AH37" i="87"/>
  <c r="AI37" i="87" s="1"/>
  <c r="AK37" i="87"/>
  <c r="AL37" i="87" s="1"/>
  <c r="B38" i="87"/>
  <c r="J38" i="87"/>
  <c r="L38" i="87"/>
  <c r="N38" i="87"/>
  <c r="P38" i="87"/>
  <c r="R38" i="87"/>
  <c r="T38" i="87"/>
  <c r="V38" i="87"/>
  <c r="W38" i="87"/>
  <c r="X38" i="87" s="1"/>
  <c r="Y38" i="87"/>
  <c r="AA38" i="87"/>
  <c r="AH38" i="87"/>
  <c r="AI38" i="87" s="1"/>
  <c r="AK38" i="87"/>
  <c r="AL38" i="87" s="1"/>
  <c r="B39" i="87"/>
  <c r="J39" i="87"/>
  <c r="L39" i="87"/>
  <c r="N39" i="87"/>
  <c r="P39" i="87"/>
  <c r="R39" i="87"/>
  <c r="T39" i="87"/>
  <c r="V39" i="87"/>
  <c r="W39" i="87"/>
  <c r="X39" i="87" s="1"/>
  <c r="Y39" i="87"/>
  <c r="AA39" i="87"/>
  <c r="AH39" i="87"/>
  <c r="AI39" i="87" s="1"/>
  <c r="AK39" i="87"/>
  <c r="AL39" i="87" s="1"/>
  <c r="B40" i="87"/>
  <c r="J40" i="87"/>
  <c r="L40" i="87"/>
  <c r="N40" i="87"/>
  <c r="P40" i="87"/>
  <c r="R40" i="87"/>
  <c r="T40" i="87"/>
  <c r="V40" i="87"/>
  <c r="W40" i="87"/>
  <c r="X40" i="87" s="1"/>
  <c r="Y40" i="87"/>
  <c r="AA40" i="87"/>
  <c r="AH40" i="87"/>
  <c r="AI40" i="87" s="1"/>
  <c r="AK40" i="87"/>
  <c r="AL40" i="87" s="1"/>
  <c r="B41" i="87"/>
  <c r="J41" i="87"/>
  <c r="L41" i="87"/>
  <c r="N41" i="87"/>
  <c r="P41" i="87"/>
  <c r="R41" i="87"/>
  <c r="T41" i="87"/>
  <c r="V41" i="87"/>
  <c r="W41" i="87"/>
  <c r="X41" i="87" s="1"/>
  <c r="Y41" i="87"/>
  <c r="AA41" i="87"/>
  <c r="AH41" i="87"/>
  <c r="AI41" i="87" s="1"/>
  <c r="AK41" i="87"/>
  <c r="AL41" i="87" s="1"/>
  <c r="B42" i="87"/>
  <c r="J42" i="87"/>
  <c r="L42" i="87"/>
  <c r="N42" i="87"/>
  <c r="P42" i="87"/>
  <c r="R42" i="87"/>
  <c r="T42" i="87"/>
  <c r="V42" i="87"/>
  <c r="W42" i="87"/>
  <c r="X42" i="87" s="1"/>
  <c r="Y42" i="87"/>
  <c r="AA42" i="87"/>
  <c r="AH42" i="87"/>
  <c r="AI42" i="87" s="1"/>
  <c r="AK42" i="87"/>
  <c r="AL42" i="87" s="1"/>
  <c r="B43" i="87"/>
  <c r="J43" i="87"/>
  <c r="L43" i="87"/>
  <c r="N43" i="87"/>
  <c r="P43" i="87"/>
  <c r="R43" i="87"/>
  <c r="T43" i="87"/>
  <c r="V43" i="87"/>
  <c r="W43" i="87"/>
  <c r="X43" i="87" s="1"/>
  <c r="Y43" i="87"/>
  <c r="AA43" i="87"/>
  <c r="AH43" i="87"/>
  <c r="AI43" i="87" s="1"/>
  <c r="AK43" i="87"/>
  <c r="AL43" i="87" s="1"/>
  <c r="B44" i="87"/>
  <c r="J44" i="87"/>
  <c r="L44" i="87"/>
  <c r="N44" i="87"/>
  <c r="P44" i="87"/>
  <c r="R44" i="87"/>
  <c r="T44" i="87"/>
  <c r="V44" i="87"/>
  <c r="W44" i="87"/>
  <c r="X44" i="87" s="1"/>
  <c r="Y44" i="87"/>
  <c r="AA44" i="87"/>
  <c r="AH44" i="87"/>
  <c r="AI44" i="87" s="1"/>
  <c r="AK44" i="87"/>
  <c r="AL44" i="87" s="1"/>
  <c r="B45" i="87"/>
  <c r="J45" i="87"/>
  <c r="L45" i="87"/>
  <c r="N45" i="87"/>
  <c r="P45" i="87"/>
  <c r="R45" i="87"/>
  <c r="T45" i="87"/>
  <c r="V45" i="87"/>
  <c r="W45" i="87"/>
  <c r="X45" i="87" s="1"/>
  <c r="Y45" i="87"/>
  <c r="AA45" i="87"/>
  <c r="AH45" i="87"/>
  <c r="AI45" i="87" s="1"/>
  <c r="AK45" i="87"/>
  <c r="AL45" i="87" s="1"/>
  <c r="B46" i="87"/>
  <c r="J46" i="87"/>
  <c r="L46" i="87"/>
  <c r="N46" i="87"/>
  <c r="P46" i="87"/>
  <c r="R46" i="87"/>
  <c r="T46" i="87"/>
  <c r="V46" i="87"/>
  <c r="W46" i="87"/>
  <c r="X46" i="87" s="1"/>
  <c r="Y46" i="87"/>
  <c r="AA46" i="87"/>
  <c r="AH46" i="87"/>
  <c r="AI46" i="87" s="1"/>
  <c r="AK46" i="87"/>
  <c r="AL46" i="87" s="1"/>
  <c r="B47" i="87"/>
  <c r="J47" i="87"/>
  <c r="L47" i="87"/>
  <c r="N47" i="87"/>
  <c r="P47" i="87"/>
  <c r="R47" i="87"/>
  <c r="T47" i="87"/>
  <c r="V47" i="87"/>
  <c r="W47" i="87"/>
  <c r="X47" i="87" s="1"/>
  <c r="Y47" i="87"/>
  <c r="AA47" i="87"/>
  <c r="AH47" i="87"/>
  <c r="AI47" i="87" s="1"/>
  <c r="AK47" i="87"/>
  <c r="AL47" i="87" s="1"/>
  <c r="B48" i="87"/>
  <c r="J48" i="87"/>
  <c r="L48" i="87"/>
  <c r="N48" i="87"/>
  <c r="P48" i="87"/>
  <c r="R48" i="87"/>
  <c r="T48" i="87"/>
  <c r="V48" i="87"/>
  <c r="W48" i="87"/>
  <c r="X48" i="87" s="1"/>
  <c r="Y48" i="87"/>
  <c r="AA48" i="87"/>
  <c r="AH48" i="87"/>
  <c r="AI48" i="87" s="1"/>
  <c r="AK48" i="87"/>
  <c r="AL48" i="87" s="1"/>
  <c r="B49" i="87"/>
  <c r="J49" i="87"/>
  <c r="L49" i="87"/>
  <c r="N49" i="87"/>
  <c r="P49" i="87"/>
  <c r="R49" i="87"/>
  <c r="T49" i="87"/>
  <c r="V49" i="87"/>
  <c r="W49" i="87"/>
  <c r="X49" i="87" s="1"/>
  <c r="Y49" i="87"/>
  <c r="AA49" i="87"/>
  <c r="AH49" i="87"/>
  <c r="AI49" i="87" s="1"/>
  <c r="AK49" i="87"/>
  <c r="AL49" i="87" s="1"/>
  <c r="B50" i="87"/>
  <c r="J50" i="87"/>
  <c r="L50" i="87"/>
  <c r="N50" i="87"/>
  <c r="P50" i="87"/>
  <c r="R50" i="87"/>
  <c r="T50" i="87"/>
  <c r="V50" i="87"/>
  <c r="W50" i="87"/>
  <c r="X50" i="87" s="1"/>
  <c r="Y50" i="87"/>
  <c r="AA50" i="87"/>
  <c r="AH50" i="87"/>
  <c r="AI50" i="87" s="1"/>
  <c r="AK50" i="87"/>
  <c r="AL50" i="87" s="1"/>
  <c r="B51" i="87"/>
  <c r="J51" i="87"/>
  <c r="L51" i="87"/>
  <c r="N51" i="87"/>
  <c r="P51" i="87"/>
  <c r="R51" i="87"/>
  <c r="T51" i="87"/>
  <c r="V51" i="87"/>
  <c r="W51" i="87"/>
  <c r="X51" i="87" s="1"/>
  <c r="Y51" i="87"/>
  <c r="AA51" i="87"/>
  <c r="AH51" i="87"/>
  <c r="AI51" i="87" s="1"/>
  <c r="AK51" i="87"/>
  <c r="AL51" i="87" s="1"/>
  <c r="B52" i="87"/>
  <c r="J52" i="87"/>
  <c r="L52" i="87"/>
  <c r="N52" i="87"/>
  <c r="P52" i="87"/>
  <c r="R52" i="87"/>
  <c r="T52" i="87"/>
  <c r="V52" i="87"/>
  <c r="W52" i="87"/>
  <c r="X52" i="87" s="1"/>
  <c r="Y52" i="87"/>
  <c r="AA52" i="87"/>
  <c r="AH52" i="87"/>
  <c r="AI52" i="87" s="1"/>
  <c r="AK52" i="87"/>
  <c r="AL52" i="87" s="1"/>
  <c r="B53" i="87"/>
  <c r="J53" i="87"/>
  <c r="L53" i="87"/>
  <c r="N53" i="87"/>
  <c r="P53" i="87"/>
  <c r="R53" i="87"/>
  <c r="T53" i="87"/>
  <c r="V53" i="87"/>
  <c r="W53" i="87"/>
  <c r="X53" i="87"/>
  <c r="Y53" i="87"/>
  <c r="AA53" i="87"/>
  <c r="AH53" i="87"/>
  <c r="AI53" i="87" s="1"/>
  <c r="AK53" i="87"/>
  <c r="AL53" i="87" s="1"/>
  <c r="B54" i="87"/>
  <c r="J54" i="87"/>
  <c r="L54" i="87"/>
  <c r="N54" i="87"/>
  <c r="P54" i="87"/>
  <c r="R54" i="87"/>
  <c r="T54" i="87"/>
  <c r="V54" i="87"/>
  <c r="W54" i="87"/>
  <c r="X54" i="87" s="1"/>
  <c r="Y54" i="87"/>
  <c r="AA54" i="87"/>
  <c r="AH54" i="87"/>
  <c r="AI54" i="87" s="1"/>
  <c r="AK54" i="87"/>
  <c r="AL54" i="87" s="1"/>
  <c r="B55" i="87"/>
  <c r="J55" i="87"/>
  <c r="L55" i="87"/>
  <c r="N55" i="87"/>
  <c r="P55" i="87"/>
  <c r="R55" i="87"/>
  <c r="T55" i="87"/>
  <c r="V55" i="87"/>
  <c r="W55" i="87"/>
  <c r="X55" i="87" s="1"/>
  <c r="Y55" i="87"/>
  <c r="AA55" i="87"/>
  <c r="AH55" i="87"/>
  <c r="AI55" i="87" s="1"/>
  <c r="AK55" i="87"/>
  <c r="AL55" i="87" s="1"/>
  <c r="B56" i="87"/>
  <c r="J56" i="87"/>
  <c r="L56" i="87"/>
  <c r="N56" i="87"/>
  <c r="P56" i="87"/>
  <c r="R56" i="87"/>
  <c r="T56" i="87"/>
  <c r="V56" i="87"/>
  <c r="W56" i="87"/>
  <c r="X56" i="87" s="1"/>
  <c r="Y56" i="87"/>
  <c r="AA56" i="87"/>
  <c r="AH56" i="87"/>
  <c r="AI56" i="87" s="1"/>
  <c r="AK56" i="87"/>
  <c r="AL56" i="87" s="1"/>
  <c r="B57" i="87"/>
  <c r="J57" i="87"/>
  <c r="L57" i="87"/>
  <c r="N57" i="87"/>
  <c r="P57" i="87"/>
  <c r="R57" i="87"/>
  <c r="T57" i="87"/>
  <c r="V57" i="87"/>
  <c r="W57" i="87"/>
  <c r="X57" i="87" s="1"/>
  <c r="Y57" i="87"/>
  <c r="AA57" i="87"/>
  <c r="AH57" i="87"/>
  <c r="AI57" i="87" s="1"/>
  <c r="AK57" i="87"/>
  <c r="AL57" i="87" s="1"/>
  <c r="B58" i="87"/>
  <c r="J58" i="87"/>
  <c r="L58" i="87"/>
  <c r="N58" i="87"/>
  <c r="P58" i="87"/>
  <c r="R58" i="87"/>
  <c r="T58" i="87"/>
  <c r="V58" i="87"/>
  <c r="W58" i="87"/>
  <c r="X58" i="87" s="1"/>
  <c r="Y58" i="87"/>
  <c r="AD58" i="87" s="1"/>
  <c r="AE58" i="87" s="1"/>
  <c r="AF58" i="87" s="1"/>
  <c r="AG58" i="87" s="1"/>
  <c r="AA58" i="87"/>
  <c r="AH58" i="87"/>
  <c r="AI58" i="87" s="1"/>
  <c r="AK58" i="87"/>
  <c r="AL58" i="87" s="1"/>
  <c r="B59" i="87"/>
  <c r="J59" i="87"/>
  <c r="L59" i="87"/>
  <c r="N59" i="87"/>
  <c r="P59" i="87"/>
  <c r="R59" i="87"/>
  <c r="T59" i="87"/>
  <c r="V59" i="87"/>
  <c r="W59" i="87"/>
  <c r="X59" i="87" s="1"/>
  <c r="Y59" i="87"/>
  <c r="AA59" i="87"/>
  <c r="AH59" i="87"/>
  <c r="AI59" i="87" s="1"/>
  <c r="AK59" i="87"/>
  <c r="AL59" i="87" s="1"/>
  <c r="B60" i="87"/>
  <c r="J60" i="87"/>
  <c r="L60" i="87"/>
  <c r="N60" i="87"/>
  <c r="P60" i="87"/>
  <c r="R60" i="87"/>
  <c r="T60" i="87"/>
  <c r="V60" i="87"/>
  <c r="W60" i="87"/>
  <c r="X60" i="87" s="1"/>
  <c r="Y60" i="87"/>
  <c r="AA60" i="87"/>
  <c r="AH60" i="87"/>
  <c r="AI60" i="87" s="1"/>
  <c r="AK60" i="87"/>
  <c r="AL60" i="87" s="1"/>
  <c r="B61" i="87"/>
  <c r="J61" i="87"/>
  <c r="L61" i="87"/>
  <c r="N61" i="87"/>
  <c r="P61" i="87"/>
  <c r="R61" i="87"/>
  <c r="T61" i="87"/>
  <c r="V61" i="87"/>
  <c r="W61" i="87"/>
  <c r="X61" i="87" s="1"/>
  <c r="Y61" i="87"/>
  <c r="AD61" i="87" s="1"/>
  <c r="AE61" i="87" s="1"/>
  <c r="AF61" i="87" s="1"/>
  <c r="AJ61" i="87" s="1"/>
  <c r="AA61" i="87"/>
  <c r="AH61" i="87"/>
  <c r="AI61" i="87" s="1"/>
  <c r="AK61" i="87"/>
  <c r="AL61" i="87" s="1"/>
  <c r="B62" i="87"/>
  <c r="J62" i="87"/>
  <c r="L62" i="87"/>
  <c r="N62" i="87"/>
  <c r="P62" i="87"/>
  <c r="R62" i="87"/>
  <c r="T62" i="87"/>
  <c r="V62" i="87"/>
  <c r="W62" i="87"/>
  <c r="X62" i="87" s="1"/>
  <c r="Y62" i="87"/>
  <c r="AD62" i="87" s="1"/>
  <c r="AE62" i="87" s="1"/>
  <c r="AF62" i="87" s="1"/>
  <c r="AA62" i="87"/>
  <c r="AH62" i="87"/>
  <c r="AI62" i="87" s="1"/>
  <c r="AK62" i="87"/>
  <c r="AL62" i="87" s="1"/>
  <c r="B63" i="87"/>
  <c r="J63" i="87"/>
  <c r="L63" i="87"/>
  <c r="N63" i="87"/>
  <c r="P63" i="87"/>
  <c r="R63" i="87"/>
  <c r="T63" i="87"/>
  <c r="V63" i="87"/>
  <c r="W63" i="87"/>
  <c r="X63" i="87" s="1"/>
  <c r="Y63" i="87"/>
  <c r="AA63" i="87"/>
  <c r="AH63" i="87"/>
  <c r="AI63" i="87" s="1"/>
  <c r="AK63" i="87"/>
  <c r="AL63" i="87" s="1"/>
  <c r="B64" i="87"/>
  <c r="J64" i="87"/>
  <c r="L64" i="87"/>
  <c r="N64" i="87"/>
  <c r="P64" i="87"/>
  <c r="R64" i="87"/>
  <c r="T64" i="87"/>
  <c r="V64" i="87"/>
  <c r="W64" i="87"/>
  <c r="X64" i="87" s="1"/>
  <c r="Y64" i="87"/>
  <c r="AA64" i="87"/>
  <c r="AH64" i="87"/>
  <c r="AI64" i="87" s="1"/>
  <c r="AK64" i="87"/>
  <c r="AL64" i="87" s="1"/>
  <c r="B65" i="87"/>
  <c r="J65" i="87"/>
  <c r="L65" i="87"/>
  <c r="N65" i="87"/>
  <c r="P65" i="87"/>
  <c r="R65" i="87"/>
  <c r="T65" i="87"/>
  <c r="V65" i="87"/>
  <c r="W65" i="87"/>
  <c r="X65" i="87" s="1"/>
  <c r="Y65" i="87"/>
  <c r="AA65" i="87"/>
  <c r="AH65" i="87"/>
  <c r="AI65" i="87" s="1"/>
  <c r="AK65" i="87"/>
  <c r="AL65" i="87" s="1"/>
  <c r="B66" i="87"/>
  <c r="J66" i="87"/>
  <c r="L66" i="87"/>
  <c r="N66" i="87"/>
  <c r="P66" i="87"/>
  <c r="R66" i="87"/>
  <c r="T66" i="87"/>
  <c r="V66" i="87"/>
  <c r="W66" i="87"/>
  <c r="X66" i="87" s="1"/>
  <c r="Y66" i="87"/>
  <c r="AA66" i="87"/>
  <c r="AH66" i="87"/>
  <c r="AI66" i="87" s="1"/>
  <c r="AK66" i="87"/>
  <c r="AL66" i="87" s="1"/>
  <c r="B67" i="87"/>
  <c r="J67" i="87"/>
  <c r="L67" i="87"/>
  <c r="N67" i="87"/>
  <c r="P67" i="87"/>
  <c r="R67" i="87"/>
  <c r="T67" i="87"/>
  <c r="V67" i="87"/>
  <c r="W67" i="87"/>
  <c r="X67" i="87" s="1"/>
  <c r="Y67" i="87"/>
  <c r="AA67" i="87"/>
  <c r="AH67" i="87"/>
  <c r="AI67" i="87" s="1"/>
  <c r="AK67" i="87"/>
  <c r="AL67" i="87" s="1"/>
  <c r="B68" i="87"/>
  <c r="J68" i="87"/>
  <c r="L68" i="87"/>
  <c r="N68" i="87"/>
  <c r="P68" i="87"/>
  <c r="R68" i="87"/>
  <c r="T68" i="87"/>
  <c r="V68" i="87"/>
  <c r="W68" i="87"/>
  <c r="X68" i="87" s="1"/>
  <c r="Y68" i="87"/>
  <c r="AA68" i="87"/>
  <c r="AH68" i="87"/>
  <c r="AI68" i="87" s="1"/>
  <c r="AK68" i="87"/>
  <c r="AL68" i="87" s="1"/>
  <c r="B69" i="87"/>
  <c r="J69" i="87"/>
  <c r="L69" i="87"/>
  <c r="N69" i="87"/>
  <c r="P69" i="87"/>
  <c r="R69" i="87"/>
  <c r="T69" i="87"/>
  <c r="V69" i="87"/>
  <c r="W69" i="87"/>
  <c r="X69" i="87" s="1"/>
  <c r="Y69" i="87"/>
  <c r="AA69" i="87"/>
  <c r="AH69" i="87"/>
  <c r="AI69" i="87" s="1"/>
  <c r="AK69" i="87"/>
  <c r="AL69" i="87" s="1"/>
  <c r="B70" i="87"/>
  <c r="J70" i="87"/>
  <c r="L70" i="87"/>
  <c r="N70" i="87"/>
  <c r="P70" i="87"/>
  <c r="R70" i="87"/>
  <c r="T70" i="87"/>
  <c r="V70" i="87"/>
  <c r="W70" i="87"/>
  <c r="X70" i="87" s="1"/>
  <c r="Y70" i="87"/>
  <c r="AA70" i="87"/>
  <c r="AH70" i="87"/>
  <c r="AI70" i="87" s="1"/>
  <c r="AK70" i="87"/>
  <c r="AL70" i="87" s="1"/>
  <c r="B71" i="87"/>
  <c r="J71" i="87"/>
  <c r="L71" i="87"/>
  <c r="N71" i="87"/>
  <c r="P71" i="87"/>
  <c r="R71" i="87"/>
  <c r="T71" i="87"/>
  <c r="V71" i="87"/>
  <c r="W71" i="87"/>
  <c r="X71" i="87" s="1"/>
  <c r="Y71" i="87"/>
  <c r="AA71" i="87"/>
  <c r="AH71" i="87"/>
  <c r="AI71" i="87" s="1"/>
  <c r="AK71" i="87"/>
  <c r="AL71" i="87" s="1"/>
  <c r="B72" i="87"/>
  <c r="J72" i="87"/>
  <c r="L72" i="87"/>
  <c r="N72" i="87"/>
  <c r="P72" i="87"/>
  <c r="R72" i="87"/>
  <c r="T72" i="87"/>
  <c r="V72" i="87"/>
  <c r="W72" i="87"/>
  <c r="X72" i="87" s="1"/>
  <c r="Y72" i="87"/>
  <c r="AD72" i="87" s="1"/>
  <c r="AE72" i="87" s="1"/>
  <c r="AF72" i="87" s="1"/>
  <c r="AA72" i="87"/>
  <c r="AH72" i="87"/>
  <c r="AI72" i="87" s="1"/>
  <c r="AK72" i="87"/>
  <c r="AL72" i="87" s="1"/>
  <c r="B73" i="87"/>
  <c r="J73" i="87"/>
  <c r="L73" i="87"/>
  <c r="N73" i="87"/>
  <c r="P73" i="87"/>
  <c r="R73" i="87"/>
  <c r="T73" i="87"/>
  <c r="V73" i="87"/>
  <c r="W73" i="87"/>
  <c r="X73" i="87" s="1"/>
  <c r="Y73" i="87"/>
  <c r="AA73" i="87"/>
  <c r="AH73" i="87"/>
  <c r="AI73" i="87" s="1"/>
  <c r="AK73" i="87"/>
  <c r="AL73" i="87" s="1"/>
  <c r="B74" i="87"/>
  <c r="J74" i="87"/>
  <c r="L74" i="87"/>
  <c r="N74" i="87"/>
  <c r="P74" i="87"/>
  <c r="R74" i="87"/>
  <c r="T74" i="87"/>
  <c r="V74" i="87"/>
  <c r="W74" i="87"/>
  <c r="X74" i="87" s="1"/>
  <c r="Y74" i="87"/>
  <c r="AA74" i="87"/>
  <c r="AH74" i="87"/>
  <c r="AI74" i="87" s="1"/>
  <c r="AK74" i="87"/>
  <c r="AL74" i="87" s="1"/>
  <c r="B75" i="87"/>
  <c r="J75" i="87"/>
  <c r="L75" i="87"/>
  <c r="N75" i="87"/>
  <c r="P75" i="87"/>
  <c r="R75" i="87"/>
  <c r="T75" i="87"/>
  <c r="V75" i="87"/>
  <c r="W75" i="87"/>
  <c r="X75" i="87" s="1"/>
  <c r="Y75" i="87"/>
  <c r="AA75" i="87"/>
  <c r="AH75" i="87"/>
  <c r="AI75" i="87" s="1"/>
  <c r="AK75" i="87"/>
  <c r="AL75" i="87" s="1"/>
  <c r="B76" i="87"/>
  <c r="J76" i="87"/>
  <c r="L76" i="87"/>
  <c r="N76" i="87"/>
  <c r="P76" i="87"/>
  <c r="R76" i="87"/>
  <c r="T76" i="87"/>
  <c r="V76" i="87"/>
  <c r="W76" i="87"/>
  <c r="X76" i="87" s="1"/>
  <c r="Y76" i="87"/>
  <c r="AA76" i="87"/>
  <c r="AH76" i="87"/>
  <c r="AI76" i="87" s="1"/>
  <c r="AK76" i="87"/>
  <c r="AL76" i="87" s="1"/>
  <c r="B77" i="87"/>
  <c r="J77" i="87"/>
  <c r="L77" i="87"/>
  <c r="N77" i="87"/>
  <c r="P77" i="87"/>
  <c r="R77" i="87"/>
  <c r="T77" i="87"/>
  <c r="V77" i="87"/>
  <c r="W77" i="87"/>
  <c r="X77" i="87" s="1"/>
  <c r="Y77" i="87"/>
  <c r="AA77" i="87"/>
  <c r="AH77" i="87"/>
  <c r="AI77" i="87" s="1"/>
  <c r="AK77" i="87"/>
  <c r="AL77" i="87" s="1"/>
  <c r="B78" i="87"/>
  <c r="J78" i="87"/>
  <c r="L78" i="87"/>
  <c r="N78" i="87"/>
  <c r="P78" i="87"/>
  <c r="R78" i="87"/>
  <c r="T78" i="87"/>
  <c r="V78" i="87"/>
  <c r="W78" i="87"/>
  <c r="X78" i="87" s="1"/>
  <c r="Y78" i="87"/>
  <c r="AA78" i="87"/>
  <c r="AH78" i="87"/>
  <c r="AI78" i="87" s="1"/>
  <c r="AK78" i="87"/>
  <c r="AL78" i="87" s="1"/>
  <c r="B79" i="87"/>
  <c r="J79" i="87"/>
  <c r="L79" i="87"/>
  <c r="N79" i="87"/>
  <c r="P79" i="87"/>
  <c r="R79" i="87"/>
  <c r="T79" i="87"/>
  <c r="V79" i="87"/>
  <c r="W79" i="87"/>
  <c r="X79" i="87" s="1"/>
  <c r="Y79" i="87"/>
  <c r="AA79" i="87"/>
  <c r="AH79" i="87"/>
  <c r="AI79" i="87" s="1"/>
  <c r="AK79" i="87"/>
  <c r="AL79" i="87" s="1"/>
  <c r="B80" i="87"/>
  <c r="J80" i="87"/>
  <c r="L80" i="87"/>
  <c r="N80" i="87"/>
  <c r="P80" i="87"/>
  <c r="R80" i="87"/>
  <c r="T80" i="87"/>
  <c r="V80" i="87"/>
  <c r="W80" i="87"/>
  <c r="X80" i="87" s="1"/>
  <c r="Y80" i="87"/>
  <c r="AA80" i="87"/>
  <c r="AH80" i="87"/>
  <c r="AI80" i="87" s="1"/>
  <c r="AK80" i="87"/>
  <c r="AL80" i="87" s="1"/>
  <c r="B81" i="87"/>
  <c r="J81" i="87"/>
  <c r="L81" i="87"/>
  <c r="N81" i="87"/>
  <c r="P81" i="87"/>
  <c r="R81" i="87"/>
  <c r="T81" i="87"/>
  <c r="V81" i="87"/>
  <c r="W81" i="87"/>
  <c r="X81" i="87" s="1"/>
  <c r="Y81" i="87"/>
  <c r="AA81" i="87"/>
  <c r="AH81" i="87"/>
  <c r="AI81" i="87" s="1"/>
  <c r="AK81" i="87"/>
  <c r="AL81" i="87" s="1"/>
  <c r="B82" i="87"/>
  <c r="J82" i="87"/>
  <c r="L82" i="87"/>
  <c r="N82" i="87"/>
  <c r="P82" i="87"/>
  <c r="R82" i="87"/>
  <c r="T82" i="87"/>
  <c r="V82" i="87"/>
  <c r="W82" i="87"/>
  <c r="X82" i="87" s="1"/>
  <c r="Y82" i="87"/>
  <c r="AA82" i="87"/>
  <c r="AH82" i="87"/>
  <c r="AI82" i="87" s="1"/>
  <c r="AK82" i="87"/>
  <c r="AL82" i="87" s="1"/>
  <c r="B83" i="87"/>
  <c r="J83" i="87"/>
  <c r="L83" i="87"/>
  <c r="N83" i="87"/>
  <c r="P83" i="87"/>
  <c r="R83" i="87"/>
  <c r="T83" i="87"/>
  <c r="V83" i="87"/>
  <c r="W83" i="87"/>
  <c r="X83" i="87" s="1"/>
  <c r="Y83" i="87"/>
  <c r="AA83" i="87"/>
  <c r="AH83" i="87"/>
  <c r="AI83" i="87" s="1"/>
  <c r="AK83" i="87"/>
  <c r="AL83" i="87" s="1"/>
  <c r="B84" i="87"/>
  <c r="J84" i="87"/>
  <c r="L84" i="87"/>
  <c r="N84" i="87"/>
  <c r="P84" i="87"/>
  <c r="R84" i="87"/>
  <c r="T84" i="87"/>
  <c r="V84" i="87"/>
  <c r="W84" i="87"/>
  <c r="X84" i="87"/>
  <c r="Y84" i="87"/>
  <c r="AA84" i="87"/>
  <c r="AH84" i="87"/>
  <c r="AI84" i="87" s="1"/>
  <c r="AK84" i="87"/>
  <c r="AL84" i="87" s="1"/>
  <c r="B85" i="87"/>
  <c r="J85" i="87"/>
  <c r="L85" i="87"/>
  <c r="N85" i="87"/>
  <c r="P85" i="87"/>
  <c r="R85" i="87"/>
  <c r="T85" i="87"/>
  <c r="V85" i="87"/>
  <c r="W85" i="87"/>
  <c r="X85" i="87" s="1"/>
  <c r="Y85" i="87"/>
  <c r="AA85" i="87"/>
  <c r="AH85" i="87"/>
  <c r="AI85" i="87" s="1"/>
  <c r="AK85" i="87"/>
  <c r="AL85" i="87" s="1"/>
  <c r="B86" i="87"/>
  <c r="J86" i="87"/>
  <c r="L86" i="87"/>
  <c r="N86" i="87"/>
  <c r="P86" i="87"/>
  <c r="R86" i="87"/>
  <c r="T86" i="87"/>
  <c r="V86" i="87"/>
  <c r="W86" i="87"/>
  <c r="X86" i="87" s="1"/>
  <c r="Y86" i="87"/>
  <c r="AA86" i="87"/>
  <c r="AH86" i="87"/>
  <c r="AI86" i="87" s="1"/>
  <c r="AK86" i="87"/>
  <c r="AL86" i="87" s="1"/>
  <c r="B87" i="87"/>
  <c r="J87" i="87"/>
  <c r="L87" i="87"/>
  <c r="N87" i="87"/>
  <c r="P87" i="87"/>
  <c r="R87" i="87"/>
  <c r="T87" i="87"/>
  <c r="V87" i="87"/>
  <c r="W87" i="87"/>
  <c r="X87" i="87" s="1"/>
  <c r="Y87" i="87"/>
  <c r="AA87" i="87"/>
  <c r="AH87" i="87"/>
  <c r="AI87" i="87" s="1"/>
  <c r="AK87" i="87"/>
  <c r="AL87" i="87" s="1"/>
  <c r="B88" i="87"/>
  <c r="J88" i="87"/>
  <c r="L88" i="87"/>
  <c r="N88" i="87"/>
  <c r="P88" i="87"/>
  <c r="R88" i="87"/>
  <c r="T88" i="87"/>
  <c r="V88" i="87"/>
  <c r="W88" i="87"/>
  <c r="X88" i="87" s="1"/>
  <c r="Y88" i="87"/>
  <c r="AA88" i="87"/>
  <c r="AH88" i="87"/>
  <c r="AI88" i="87" s="1"/>
  <c r="AK88" i="87"/>
  <c r="AL88" i="87" s="1"/>
  <c r="B89" i="87"/>
  <c r="J89" i="87"/>
  <c r="L89" i="87"/>
  <c r="N89" i="87"/>
  <c r="P89" i="87"/>
  <c r="R89" i="87"/>
  <c r="T89" i="87"/>
  <c r="V89" i="87"/>
  <c r="W89" i="87"/>
  <c r="X89" i="87" s="1"/>
  <c r="Y89" i="87"/>
  <c r="AD89" i="87" s="1"/>
  <c r="AE89" i="87" s="1"/>
  <c r="AF89" i="87" s="1"/>
  <c r="AG89" i="87" s="1"/>
  <c r="AA89" i="87"/>
  <c r="AH89" i="87"/>
  <c r="AI89" i="87" s="1"/>
  <c r="AK89" i="87"/>
  <c r="AL89" i="87" s="1"/>
  <c r="B90" i="87"/>
  <c r="J90" i="87"/>
  <c r="L90" i="87"/>
  <c r="N90" i="87"/>
  <c r="P90" i="87"/>
  <c r="R90" i="87"/>
  <c r="T90" i="87"/>
  <c r="V90" i="87"/>
  <c r="W90" i="87"/>
  <c r="X90" i="87" s="1"/>
  <c r="Y90" i="87"/>
  <c r="AA90" i="87"/>
  <c r="AH90" i="87"/>
  <c r="AI90" i="87" s="1"/>
  <c r="AK90" i="87"/>
  <c r="AL90" i="87" s="1"/>
  <c r="B91" i="87"/>
  <c r="J91" i="87"/>
  <c r="L91" i="87"/>
  <c r="N91" i="87"/>
  <c r="P91" i="87"/>
  <c r="R91" i="87"/>
  <c r="T91" i="87"/>
  <c r="V91" i="87"/>
  <c r="W91" i="87"/>
  <c r="X91" i="87" s="1"/>
  <c r="Y91" i="87"/>
  <c r="AA91" i="87"/>
  <c r="AH91" i="87"/>
  <c r="AI91" i="87" s="1"/>
  <c r="AK91" i="87"/>
  <c r="AL91" i="87" s="1"/>
  <c r="B92" i="87"/>
  <c r="J92" i="87"/>
  <c r="L92" i="87"/>
  <c r="N92" i="87"/>
  <c r="P92" i="87"/>
  <c r="R92" i="87"/>
  <c r="T92" i="87"/>
  <c r="V92" i="87"/>
  <c r="W92" i="87"/>
  <c r="X92" i="87" s="1"/>
  <c r="Y92" i="87"/>
  <c r="AD92" i="87" s="1"/>
  <c r="AE92" i="87" s="1"/>
  <c r="AF92" i="87" s="1"/>
  <c r="AJ92" i="87" s="1"/>
  <c r="AA92" i="87"/>
  <c r="AH92" i="87"/>
  <c r="AI92" i="87" s="1"/>
  <c r="AK92" i="87"/>
  <c r="AL92" i="87" s="1"/>
  <c r="B93" i="87"/>
  <c r="J93" i="87"/>
  <c r="L93" i="87"/>
  <c r="N93" i="87"/>
  <c r="P93" i="87"/>
  <c r="R93" i="87"/>
  <c r="T93" i="87"/>
  <c r="V93" i="87"/>
  <c r="W93" i="87"/>
  <c r="X93" i="87" s="1"/>
  <c r="Y93" i="87"/>
  <c r="AA93" i="87"/>
  <c r="AH93" i="87"/>
  <c r="AI93" i="87" s="1"/>
  <c r="AK93" i="87"/>
  <c r="AL93" i="87" s="1"/>
  <c r="B94" i="87"/>
  <c r="J94" i="87"/>
  <c r="L94" i="87"/>
  <c r="N94" i="87"/>
  <c r="P94" i="87"/>
  <c r="R94" i="87"/>
  <c r="T94" i="87"/>
  <c r="V94" i="87"/>
  <c r="W94" i="87"/>
  <c r="X94" i="87" s="1"/>
  <c r="Y94" i="87"/>
  <c r="AA94" i="87"/>
  <c r="AH94" i="87"/>
  <c r="AI94" i="87" s="1"/>
  <c r="AK94" i="87"/>
  <c r="AL94" i="87" s="1"/>
  <c r="B95" i="87"/>
  <c r="J95" i="87"/>
  <c r="L95" i="87"/>
  <c r="N95" i="87"/>
  <c r="P95" i="87"/>
  <c r="R95" i="87"/>
  <c r="T95" i="87"/>
  <c r="V95" i="87"/>
  <c r="W95" i="87"/>
  <c r="X95" i="87" s="1"/>
  <c r="Y95" i="87"/>
  <c r="AA95" i="87"/>
  <c r="AH95" i="87"/>
  <c r="AI95" i="87" s="1"/>
  <c r="AK95" i="87"/>
  <c r="AL95" i="87" s="1"/>
  <c r="B96" i="87"/>
  <c r="J96" i="87"/>
  <c r="L96" i="87"/>
  <c r="N96" i="87"/>
  <c r="P96" i="87"/>
  <c r="R96" i="87"/>
  <c r="T96" i="87"/>
  <c r="V96" i="87"/>
  <c r="W96" i="87"/>
  <c r="X96" i="87" s="1"/>
  <c r="Y96" i="87"/>
  <c r="AD96" i="87" s="1"/>
  <c r="AE96" i="87" s="1"/>
  <c r="AF96" i="87" s="1"/>
  <c r="AA96" i="87"/>
  <c r="AH96" i="87"/>
  <c r="AI96" i="87" s="1"/>
  <c r="AK96" i="87"/>
  <c r="AL96" i="87" s="1"/>
  <c r="B97" i="87"/>
  <c r="J97" i="87"/>
  <c r="L97" i="87"/>
  <c r="N97" i="87"/>
  <c r="P97" i="87"/>
  <c r="R97" i="87"/>
  <c r="T97" i="87"/>
  <c r="V97" i="87"/>
  <c r="W97" i="87"/>
  <c r="X97" i="87" s="1"/>
  <c r="Y97" i="87"/>
  <c r="AA97" i="87"/>
  <c r="AH97" i="87"/>
  <c r="AI97" i="87" s="1"/>
  <c r="AK97" i="87"/>
  <c r="AL97" i="87" s="1"/>
  <c r="B98" i="87"/>
  <c r="J98" i="87"/>
  <c r="L98" i="87"/>
  <c r="N98" i="87"/>
  <c r="P98" i="87"/>
  <c r="R98" i="87"/>
  <c r="T98" i="87"/>
  <c r="V98" i="87"/>
  <c r="W98" i="87"/>
  <c r="X98" i="87" s="1"/>
  <c r="Y98" i="87"/>
  <c r="AA98" i="87"/>
  <c r="AH98" i="87"/>
  <c r="AI98" i="87" s="1"/>
  <c r="AK98" i="87"/>
  <c r="AL98" i="87" s="1"/>
  <c r="B99" i="87"/>
  <c r="J99" i="87"/>
  <c r="L99" i="87"/>
  <c r="N99" i="87"/>
  <c r="P99" i="87"/>
  <c r="R99" i="87"/>
  <c r="T99" i="87"/>
  <c r="V99" i="87"/>
  <c r="W99" i="87"/>
  <c r="X99" i="87" s="1"/>
  <c r="Y99" i="87"/>
  <c r="AA99" i="87"/>
  <c r="AH99" i="87"/>
  <c r="AI99" i="87" s="1"/>
  <c r="AK99" i="87"/>
  <c r="AL99" i="87" s="1"/>
  <c r="B100" i="87"/>
  <c r="J100" i="87"/>
  <c r="L100" i="87"/>
  <c r="N100" i="87"/>
  <c r="P100" i="87"/>
  <c r="R100" i="87"/>
  <c r="T100" i="87"/>
  <c r="V100" i="87"/>
  <c r="W100" i="87"/>
  <c r="Y100" i="87"/>
  <c r="AA100" i="87"/>
  <c r="AH100" i="87"/>
  <c r="AI100" i="87" s="1"/>
  <c r="AK100" i="87"/>
  <c r="AL100" i="87" s="1"/>
  <c r="B101" i="87"/>
  <c r="J101" i="87"/>
  <c r="L101" i="87"/>
  <c r="N101" i="87"/>
  <c r="P101" i="87"/>
  <c r="R101" i="87"/>
  <c r="T101" i="87"/>
  <c r="V101" i="87"/>
  <c r="W101" i="87"/>
  <c r="X101" i="87" s="1"/>
  <c r="Y101" i="87"/>
  <c r="AA101" i="87"/>
  <c r="AH101" i="87"/>
  <c r="AI101" i="87" s="1"/>
  <c r="AK101" i="87"/>
  <c r="AL101" i="87" s="1"/>
  <c r="B102" i="87"/>
  <c r="J102" i="87"/>
  <c r="L102" i="87"/>
  <c r="N102" i="87"/>
  <c r="P102" i="87"/>
  <c r="R102" i="87"/>
  <c r="T102" i="87"/>
  <c r="V102" i="87"/>
  <c r="W102" i="87"/>
  <c r="X102" i="87" s="1"/>
  <c r="Y102" i="87"/>
  <c r="AA102" i="87"/>
  <c r="AH102" i="87"/>
  <c r="AI102" i="87" s="1"/>
  <c r="AK102" i="87"/>
  <c r="AL102" i="87" s="1"/>
  <c r="B103" i="87"/>
  <c r="J103" i="87"/>
  <c r="L103" i="87"/>
  <c r="N103" i="87"/>
  <c r="P103" i="87"/>
  <c r="R103" i="87"/>
  <c r="T103" i="87"/>
  <c r="V103" i="87"/>
  <c r="W103" i="87"/>
  <c r="X103" i="87" s="1"/>
  <c r="Y103" i="87"/>
  <c r="AA103" i="87"/>
  <c r="AH103" i="87"/>
  <c r="AI103" i="87" s="1"/>
  <c r="AK103" i="87"/>
  <c r="AL103" i="87" s="1"/>
  <c r="B104" i="87"/>
  <c r="J104" i="87"/>
  <c r="L104" i="87"/>
  <c r="N104" i="87"/>
  <c r="P104" i="87"/>
  <c r="R104" i="87"/>
  <c r="T104" i="87"/>
  <c r="V104" i="87"/>
  <c r="W104" i="87"/>
  <c r="X104" i="87" s="1"/>
  <c r="Y104" i="87"/>
  <c r="AA104" i="87"/>
  <c r="AH104" i="87"/>
  <c r="AI104" i="87" s="1"/>
  <c r="AK104" i="87"/>
  <c r="AL104" i="87" s="1"/>
  <c r="B105" i="87"/>
  <c r="J105" i="87"/>
  <c r="L105" i="87"/>
  <c r="N105" i="87"/>
  <c r="P105" i="87"/>
  <c r="R105" i="87"/>
  <c r="T105" i="87"/>
  <c r="V105" i="87"/>
  <c r="W105" i="87"/>
  <c r="X105" i="87" s="1"/>
  <c r="Y105" i="87"/>
  <c r="AA105" i="87"/>
  <c r="AH105" i="87"/>
  <c r="AI105" i="87" s="1"/>
  <c r="AK105" i="87"/>
  <c r="AL105" i="87" s="1"/>
  <c r="B106" i="87"/>
  <c r="J106" i="87"/>
  <c r="L106" i="87"/>
  <c r="N106" i="87"/>
  <c r="P106" i="87"/>
  <c r="R106" i="87"/>
  <c r="T106" i="87"/>
  <c r="V106" i="87"/>
  <c r="W106" i="87"/>
  <c r="X106" i="87" s="1"/>
  <c r="Y106" i="87"/>
  <c r="AA106" i="87"/>
  <c r="AH106" i="87"/>
  <c r="AI106" i="87" s="1"/>
  <c r="AK106" i="87"/>
  <c r="AL106" i="87" s="1"/>
  <c r="B107" i="87"/>
  <c r="J107" i="87"/>
  <c r="L107" i="87"/>
  <c r="N107" i="87"/>
  <c r="P107" i="87"/>
  <c r="R107" i="87"/>
  <c r="T107" i="87"/>
  <c r="V107" i="87"/>
  <c r="W107" i="87"/>
  <c r="X107" i="87" s="1"/>
  <c r="Y107" i="87"/>
  <c r="AA107" i="87"/>
  <c r="AH107" i="87"/>
  <c r="AI107" i="87" s="1"/>
  <c r="AK107" i="87"/>
  <c r="AL107" i="87" s="1"/>
  <c r="B108" i="87"/>
  <c r="J108" i="87"/>
  <c r="L108" i="87"/>
  <c r="N108" i="87"/>
  <c r="P108" i="87"/>
  <c r="R108" i="87"/>
  <c r="T108" i="87"/>
  <c r="V108" i="87"/>
  <c r="W108" i="87"/>
  <c r="X108" i="87" s="1"/>
  <c r="Y108" i="87"/>
  <c r="AA108" i="87"/>
  <c r="AH108" i="87"/>
  <c r="AI108" i="87" s="1"/>
  <c r="AK108" i="87"/>
  <c r="AL108" i="87" s="1"/>
  <c r="B109" i="87"/>
  <c r="J109" i="87"/>
  <c r="L109" i="87"/>
  <c r="N109" i="87"/>
  <c r="P109" i="87"/>
  <c r="R109" i="87"/>
  <c r="T109" i="87"/>
  <c r="V109" i="87"/>
  <c r="W109" i="87"/>
  <c r="X109" i="87" s="1"/>
  <c r="Y109" i="87"/>
  <c r="AA109" i="87"/>
  <c r="AH109" i="87"/>
  <c r="AI109" i="87" s="1"/>
  <c r="AK109" i="87"/>
  <c r="AL109" i="87" s="1"/>
  <c r="B110" i="87"/>
  <c r="J110" i="87"/>
  <c r="L110" i="87"/>
  <c r="N110" i="87"/>
  <c r="P110" i="87"/>
  <c r="R110" i="87"/>
  <c r="T110" i="87"/>
  <c r="V110" i="87"/>
  <c r="W110" i="87"/>
  <c r="X110" i="87" s="1"/>
  <c r="Y110" i="87"/>
  <c r="AA110" i="87"/>
  <c r="AH110" i="87"/>
  <c r="AI110" i="87" s="1"/>
  <c r="AK110" i="87"/>
  <c r="AL110" i="87" s="1"/>
  <c r="B111" i="87"/>
  <c r="J111" i="87"/>
  <c r="L111" i="87"/>
  <c r="N111" i="87"/>
  <c r="P111" i="87"/>
  <c r="R111" i="87"/>
  <c r="T111" i="87"/>
  <c r="V111" i="87"/>
  <c r="W111" i="87"/>
  <c r="X111" i="87" s="1"/>
  <c r="Y111" i="87"/>
  <c r="AA111" i="87"/>
  <c r="AH111" i="87"/>
  <c r="AI111" i="87" s="1"/>
  <c r="AK111" i="87"/>
  <c r="AL111" i="87" s="1"/>
  <c r="B112" i="87"/>
  <c r="J112" i="87"/>
  <c r="L112" i="87"/>
  <c r="N112" i="87"/>
  <c r="P112" i="87"/>
  <c r="R112" i="87"/>
  <c r="T112" i="87"/>
  <c r="V112" i="87"/>
  <c r="W112" i="87"/>
  <c r="X112" i="87" s="1"/>
  <c r="Y112" i="87"/>
  <c r="AA112" i="87"/>
  <c r="AH112" i="87"/>
  <c r="AI112" i="87" s="1"/>
  <c r="AK112" i="87"/>
  <c r="AL112" i="87" s="1"/>
  <c r="B113" i="87"/>
  <c r="J113" i="87"/>
  <c r="L113" i="87"/>
  <c r="N113" i="87"/>
  <c r="P113" i="87"/>
  <c r="R113" i="87"/>
  <c r="T113" i="87"/>
  <c r="V113" i="87"/>
  <c r="W113" i="87"/>
  <c r="X113" i="87"/>
  <c r="Y113" i="87"/>
  <c r="AA113" i="87"/>
  <c r="AH113" i="87"/>
  <c r="AI113" i="87" s="1"/>
  <c r="AK113" i="87"/>
  <c r="AL113" i="87" s="1"/>
  <c r="B114" i="87"/>
  <c r="J114" i="87"/>
  <c r="L114" i="87"/>
  <c r="N114" i="87"/>
  <c r="P114" i="87"/>
  <c r="R114" i="87"/>
  <c r="T114" i="87"/>
  <c r="V114" i="87"/>
  <c r="W114" i="87"/>
  <c r="X114" i="87" s="1"/>
  <c r="Y114" i="87"/>
  <c r="AA114" i="87"/>
  <c r="AH114" i="87"/>
  <c r="AI114" i="87" s="1"/>
  <c r="AK114" i="87"/>
  <c r="AL114" i="87" s="1"/>
  <c r="B115" i="87"/>
  <c r="J115" i="87"/>
  <c r="L115" i="87"/>
  <c r="N115" i="87"/>
  <c r="P115" i="87"/>
  <c r="R115" i="87"/>
  <c r="T115" i="87"/>
  <c r="V115" i="87"/>
  <c r="W115" i="87"/>
  <c r="X115" i="87" s="1"/>
  <c r="Y115" i="87"/>
  <c r="AD115" i="87" s="1"/>
  <c r="AE115" i="87" s="1"/>
  <c r="AF115" i="87" s="1"/>
  <c r="AJ115" i="87" s="1"/>
  <c r="AA115" i="87"/>
  <c r="AH115" i="87"/>
  <c r="AI115" i="87" s="1"/>
  <c r="AK115" i="87"/>
  <c r="AL115" i="87" s="1"/>
  <c r="B116" i="87"/>
  <c r="J116" i="87"/>
  <c r="L116" i="87"/>
  <c r="N116" i="87"/>
  <c r="P116" i="87"/>
  <c r="R116" i="87"/>
  <c r="T116" i="87"/>
  <c r="V116" i="87"/>
  <c r="W116" i="87"/>
  <c r="X116" i="87" s="1"/>
  <c r="Y116" i="87"/>
  <c r="AA116" i="87"/>
  <c r="AH116" i="87"/>
  <c r="AI116" i="87" s="1"/>
  <c r="AK116" i="87"/>
  <c r="AL116" i="87" s="1"/>
  <c r="B117" i="87"/>
  <c r="J117" i="87"/>
  <c r="L117" i="87"/>
  <c r="N117" i="87"/>
  <c r="P117" i="87"/>
  <c r="R117" i="87"/>
  <c r="T117" i="87"/>
  <c r="V117" i="87"/>
  <c r="W117" i="87"/>
  <c r="X117" i="87" s="1"/>
  <c r="Y117" i="87"/>
  <c r="AA117" i="87"/>
  <c r="AH117" i="87"/>
  <c r="AI117" i="87" s="1"/>
  <c r="AK117" i="87"/>
  <c r="AL117" i="87" s="1"/>
  <c r="B118" i="87"/>
  <c r="J118" i="87"/>
  <c r="L118" i="87"/>
  <c r="N118" i="87"/>
  <c r="P118" i="87"/>
  <c r="R118" i="87"/>
  <c r="T118" i="87"/>
  <c r="V118" i="87"/>
  <c r="W118" i="87"/>
  <c r="X118" i="87" s="1"/>
  <c r="Y118" i="87"/>
  <c r="AA118" i="87"/>
  <c r="AH118" i="87"/>
  <c r="AI118" i="87" s="1"/>
  <c r="AK118" i="87"/>
  <c r="AL118" i="87" s="1"/>
  <c r="B119" i="87"/>
  <c r="J119" i="87"/>
  <c r="L119" i="87"/>
  <c r="N119" i="87"/>
  <c r="P119" i="87"/>
  <c r="R119" i="87"/>
  <c r="T119" i="87"/>
  <c r="V119" i="87"/>
  <c r="W119" i="87"/>
  <c r="Y119" i="87"/>
  <c r="AA119" i="87"/>
  <c r="AH119" i="87"/>
  <c r="AI119" i="87" s="1"/>
  <c r="AK119" i="87"/>
  <c r="AL119" i="87" s="1"/>
  <c r="B120" i="87"/>
  <c r="J120" i="87"/>
  <c r="L120" i="87"/>
  <c r="N120" i="87"/>
  <c r="P120" i="87"/>
  <c r="R120" i="87"/>
  <c r="T120" i="87"/>
  <c r="V120" i="87"/>
  <c r="W120" i="87"/>
  <c r="X120" i="87" s="1"/>
  <c r="Y120" i="87"/>
  <c r="AD120" i="87" s="1"/>
  <c r="AE120" i="87" s="1"/>
  <c r="AF120" i="87" s="1"/>
  <c r="AG120" i="87" s="1"/>
  <c r="AA120" i="87"/>
  <c r="AH120" i="87"/>
  <c r="AI120" i="87" s="1"/>
  <c r="AK120" i="87"/>
  <c r="AL120" i="87" s="1"/>
  <c r="B121" i="87"/>
  <c r="J121" i="87"/>
  <c r="L121" i="87"/>
  <c r="N121" i="87"/>
  <c r="P121" i="87"/>
  <c r="R121" i="87"/>
  <c r="T121" i="87"/>
  <c r="V121" i="87"/>
  <c r="W121" i="87"/>
  <c r="X121" i="87" s="1"/>
  <c r="Y121" i="87"/>
  <c r="AA121" i="87"/>
  <c r="AH121" i="87"/>
  <c r="AI121" i="87" s="1"/>
  <c r="AK121" i="87"/>
  <c r="AL121" i="87" s="1"/>
  <c r="B122" i="87"/>
  <c r="J122" i="87"/>
  <c r="L122" i="87"/>
  <c r="N122" i="87"/>
  <c r="P122" i="87"/>
  <c r="R122" i="87"/>
  <c r="T122" i="87"/>
  <c r="V122" i="87"/>
  <c r="W122" i="87"/>
  <c r="X122" i="87" s="1"/>
  <c r="Y122" i="87"/>
  <c r="AA122" i="87"/>
  <c r="AH122" i="87"/>
  <c r="AI122" i="87" s="1"/>
  <c r="AK122" i="87"/>
  <c r="AL122" i="87" s="1"/>
  <c r="B123" i="87"/>
  <c r="J123" i="87"/>
  <c r="L123" i="87"/>
  <c r="N123" i="87"/>
  <c r="P123" i="87"/>
  <c r="R123" i="87"/>
  <c r="T123" i="87"/>
  <c r="V123" i="87"/>
  <c r="W123" i="87"/>
  <c r="X123" i="87" s="1"/>
  <c r="Y123" i="87"/>
  <c r="AA123" i="87"/>
  <c r="AH123" i="87"/>
  <c r="AI123" i="87" s="1"/>
  <c r="AK123" i="87"/>
  <c r="AL123" i="87" s="1"/>
  <c r="B124" i="87"/>
  <c r="J124" i="87"/>
  <c r="L124" i="87"/>
  <c r="N124" i="87"/>
  <c r="P124" i="87"/>
  <c r="R124" i="87"/>
  <c r="T124" i="87"/>
  <c r="V124" i="87"/>
  <c r="W124" i="87"/>
  <c r="X124" i="87" s="1"/>
  <c r="Y124" i="87"/>
  <c r="AA124" i="87"/>
  <c r="AH124" i="87"/>
  <c r="AI124" i="87" s="1"/>
  <c r="AK124" i="87"/>
  <c r="AL124" i="87" s="1"/>
  <c r="B125" i="87"/>
  <c r="J125" i="87"/>
  <c r="L125" i="87"/>
  <c r="N125" i="87"/>
  <c r="P125" i="87"/>
  <c r="R125" i="87"/>
  <c r="T125" i="87"/>
  <c r="V125" i="87"/>
  <c r="W125" i="87"/>
  <c r="X125" i="87" s="1"/>
  <c r="Y125" i="87"/>
  <c r="AA125" i="87"/>
  <c r="AH125" i="87"/>
  <c r="AI125" i="87" s="1"/>
  <c r="AK125" i="87"/>
  <c r="AL125" i="87" s="1"/>
  <c r="B126" i="87"/>
  <c r="J126" i="87"/>
  <c r="L126" i="87"/>
  <c r="N126" i="87"/>
  <c r="P126" i="87"/>
  <c r="R126" i="87"/>
  <c r="T126" i="87"/>
  <c r="V126" i="87"/>
  <c r="W126" i="87"/>
  <c r="X126" i="87" s="1"/>
  <c r="Y126" i="87"/>
  <c r="AA126" i="87"/>
  <c r="AH126" i="87"/>
  <c r="AI126" i="87" s="1"/>
  <c r="AK126" i="87"/>
  <c r="AL126" i="87" s="1"/>
  <c r="B127" i="87"/>
  <c r="J127" i="87"/>
  <c r="L127" i="87"/>
  <c r="N127" i="87"/>
  <c r="P127" i="87"/>
  <c r="R127" i="87"/>
  <c r="T127" i="87"/>
  <c r="V127" i="87"/>
  <c r="W127" i="87"/>
  <c r="X127" i="87" s="1"/>
  <c r="Y127" i="87"/>
  <c r="AA127" i="87"/>
  <c r="AH127" i="87"/>
  <c r="AI127" i="87" s="1"/>
  <c r="AK127" i="87"/>
  <c r="AL127" i="87" s="1"/>
  <c r="B128" i="87"/>
  <c r="J128" i="87"/>
  <c r="L128" i="87"/>
  <c r="N128" i="87"/>
  <c r="P128" i="87"/>
  <c r="R128" i="87"/>
  <c r="T128" i="87"/>
  <c r="V128" i="87"/>
  <c r="W128" i="87"/>
  <c r="X128" i="87" s="1"/>
  <c r="Y128" i="87"/>
  <c r="AA128" i="87"/>
  <c r="AH128" i="87"/>
  <c r="AI128" i="87" s="1"/>
  <c r="AK128" i="87"/>
  <c r="AL128" i="87" s="1"/>
  <c r="B129" i="87"/>
  <c r="J129" i="87"/>
  <c r="L129" i="87"/>
  <c r="N129" i="87"/>
  <c r="P129" i="87"/>
  <c r="R129" i="87"/>
  <c r="T129" i="87"/>
  <c r="V129" i="87"/>
  <c r="W129" i="87"/>
  <c r="X129" i="87" s="1"/>
  <c r="Y129" i="87"/>
  <c r="AA129" i="87"/>
  <c r="AH129" i="87"/>
  <c r="AI129" i="87" s="1"/>
  <c r="AK129" i="87"/>
  <c r="AL129" i="87" s="1"/>
  <c r="B130" i="87"/>
  <c r="J130" i="87"/>
  <c r="L130" i="87"/>
  <c r="N130" i="87"/>
  <c r="P130" i="87"/>
  <c r="R130" i="87"/>
  <c r="T130" i="87"/>
  <c r="V130" i="87"/>
  <c r="W130" i="87"/>
  <c r="X130" i="87" s="1"/>
  <c r="Y130" i="87"/>
  <c r="AA130" i="87"/>
  <c r="AH130" i="87"/>
  <c r="AI130" i="87" s="1"/>
  <c r="AK130" i="87"/>
  <c r="AL130" i="87" s="1"/>
  <c r="B131" i="87"/>
  <c r="J131" i="87"/>
  <c r="L131" i="87"/>
  <c r="N131" i="87"/>
  <c r="P131" i="87"/>
  <c r="R131" i="87"/>
  <c r="T131" i="87"/>
  <c r="V131" i="87"/>
  <c r="W131" i="87"/>
  <c r="X131" i="87" s="1"/>
  <c r="Y131" i="87"/>
  <c r="AA131" i="87"/>
  <c r="AH131" i="87"/>
  <c r="AI131" i="87" s="1"/>
  <c r="AK131" i="87"/>
  <c r="AL131" i="87" s="1"/>
  <c r="B132" i="87"/>
  <c r="J132" i="87"/>
  <c r="L132" i="87"/>
  <c r="N132" i="87"/>
  <c r="P132" i="87"/>
  <c r="R132" i="87"/>
  <c r="T132" i="87"/>
  <c r="V132" i="87"/>
  <c r="W132" i="87"/>
  <c r="X132" i="87" s="1"/>
  <c r="Y132" i="87"/>
  <c r="AA132" i="87"/>
  <c r="AH132" i="87"/>
  <c r="AI132" i="87" s="1"/>
  <c r="AK132" i="87"/>
  <c r="AL132" i="87" s="1"/>
  <c r="B133" i="87"/>
  <c r="J133" i="87"/>
  <c r="L133" i="87"/>
  <c r="N133" i="87"/>
  <c r="P133" i="87"/>
  <c r="R133" i="87"/>
  <c r="T133" i="87"/>
  <c r="V133" i="87"/>
  <c r="W133" i="87"/>
  <c r="X133" i="87" s="1"/>
  <c r="Y133" i="87"/>
  <c r="AA133" i="87"/>
  <c r="AH133" i="87"/>
  <c r="AI133" i="87" s="1"/>
  <c r="AK133" i="87"/>
  <c r="AL133" i="87" s="1"/>
  <c r="B134" i="87"/>
  <c r="J134" i="87"/>
  <c r="L134" i="87"/>
  <c r="N134" i="87"/>
  <c r="P134" i="87"/>
  <c r="R134" i="87"/>
  <c r="T134" i="87"/>
  <c r="V134" i="87"/>
  <c r="W134" i="87"/>
  <c r="X134" i="87" s="1"/>
  <c r="Y134" i="87"/>
  <c r="AA134" i="87"/>
  <c r="AH134" i="87"/>
  <c r="AI134" i="87" s="1"/>
  <c r="AK134" i="87"/>
  <c r="AL134" i="87" s="1"/>
  <c r="B135" i="87"/>
  <c r="J135" i="87"/>
  <c r="L135" i="87"/>
  <c r="N135" i="87"/>
  <c r="P135" i="87"/>
  <c r="R135" i="87"/>
  <c r="T135" i="87"/>
  <c r="V135" i="87"/>
  <c r="W135" i="87"/>
  <c r="X135" i="87" s="1"/>
  <c r="Y135" i="87"/>
  <c r="AA135" i="87"/>
  <c r="AH135" i="87"/>
  <c r="AI135" i="87" s="1"/>
  <c r="AK135" i="87"/>
  <c r="AL135" i="87" s="1"/>
  <c r="B136" i="87"/>
  <c r="J136" i="87"/>
  <c r="L136" i="87"/>
  <c r="N136" i="87"/>
  <c r="P136" i="87"/>
  <c r="R136" i="87"/>
  <c r="T136" i="87"/>
  <c r="V136" i="87"/>
  <c r="W136" i="87"/>
  <c r="X136" i="87" s="1"/>
  <c r="Y136" i="87"/>
  <c r="AD136" i="87" s="1"/>
  <c r="AE136" i="87" s="1"/>
  <c r="AF136" i="87" s="1"/>
  <c r="AA136" i="87"/>
  <c r="AH136" i="87"/>
  <c r="AI136" i="87" s="1"/>
  <c r="AK136" i="87"/>
  <c r="AL136" i="87" s="1"/>
  <c r="B137" i="87"/>
  <c r="J137" i="87"/>
  <c r="L137" i="87"/>
  <c r="N137" i="87"/>
  <c r="P137" i="87"/>
  <c r="R137" i="87"/>
  <c r="T137" i="87"/>
  <c r="V137" i="87"/>
  <c r="W137" i="87"/>
  <c r="X137" i="87" s="1"/>
  <c r="Y137" i="87"/>
  <c r="AA137" i="87"/>
  <c r="AH137" i="87"/>
  <c r="AI137" i="87" s="1"/>
  <c r="AK137" i="87"/>
  <c r="AL137" i="87" s="1"/>
  <c r="B138" i="87"/>
  <c r="J138" i="87"/>
  <c r="L138" i="87"/>
  <c r="N138" i="87"/>
  <c r="P138" i="87"/>
  <c r="R138" i="87"/>
  <c r="T138" i="87"/>
  <c r="V138" i="87"/>
  <c r="W138" i="87"/>
  <c r="X138" i="87" s="1"/>
  <c r="Y138" i="87"/>
  <c r="AA138" i="87"/>
  <c r="AH138" i="87"/>
  <c r="AI138" i="87" s="1"/>
  <c r="AK138" i="87"/>
  <c r="AL138" i="87" s="1"/>
  <c r="B139" i="87"/>
  <c r="J139" i="87"/>
  <c r="L139" i="87"/>
  <c r="N139" i="87"/>
  <c r="P139" i="87"/>
  <c r="R139" i="87"/>
  <c r="T139" i="87"/>
  <c r="V139" i="87"/>
  <c r="W139" i="87"/>
  <c r="X139" i="87"/>
  <c r="Y139" i="87"/>
  <c r="AA139" i="87"/>
  <c r="AH139" i="87"/>
  <c r="AI139" i="87" s="1"/>
  <c r="AK139" i="87"/>
  <c r="AL139" i="87" s="1"/>
  <c r="B140" i="87"/>
  <c r="J140" i="87"/>
  <c r="L140" i="87"/>
  <c r="N140" i="87"/>
  <c r="P140" i="87"/>
  <c r="R140" i="87"/>
  <c r="T140" i="87"/>
  <c r="V140" i="87"/>
  <c r="W140" i="87"/>
  <c r="X140" i="87" s="1"/>
  <c r="Y140" i="87"/>
  <c r="AA140" i="87"/>
  <c r="AH140" i="87"/>
  <c r="AI140" i="87" s="1"/>
  <c r="AK140" i="87"/>
  <c r="AL140" i="87" s="1"/>
  <c r="B141" i="87"/>
  <c r="J141" i="87"/>
  <c r="L141" i="87"/>
  <c r="N141" i="87"/>
  <c r="P141" i="87"/>
  <c r="R141" i="87"/>
  <c r="T141" i="87"/>
  <c r="V141" i="87"/>
  <c r="W141" i="87"/>
  <c r="X141" i="87" s="1"/>
  <c r="Y141" i="87"/>
  <c r="AA141" i="87"/>
  <c r="AH141" i="87"/>
  <c r="AI141" i="87" s="1"/>
  <c r="AK141" i="87"/>
  <c r="AL141" i="87" s="1"/>
  <c r="B142" i="87"/>
  <c r="J142" i="87"/>
  <c r="L142" i="87"/>
  <c r="N142" i="87"/>
  <c r="P142" i="87"/>
  <c r="R142" i="87"/>
  <c r="T142" i="87"/>
  <c r="V142" i="87"/>
  <c r="W142" i="87"/>
  <c r="X142" i="87" s="1"/>
  <c r="Y142" i="87"/>
  <c r="AA142" i="87"/>
  <c r="AH142" i="87"/>
  <c r="AI142" i="87" s="1"/>
  <c r="AK142" i="87"/>
  <c r="AL142" i="87" s="1"/>
  <c r="B143" i="87"/>
  <c r="J143" i="87"/>
  <c r="L143" i="87"/>
  <c r="N143" i="87"/>
  <c r="P143" i="87"/>
  <c r="R143" i="87"/>
  <c r="T143" i="87"/>
  <c r="V143" i="87"/>
  <c r="W143" i="87"/>
  <c r="X143" i="87" s="1"/>
  <c r="Y143" i="87"/>
  <c r="AA143" i="87"/>
  <c r="AH143" i="87"/>
  <c r="AI143" i="87" s="1"/>
  <c r="AK143" i="87"/>
  <c r="AL143" i="87" s="1"/>
  <c r="B144" i="87"/>
  <c r="J144" i="87"/>
  <c r="L144" i="87"/>
  <c r="N144" i="87"/>
  <c r="P144" i="87"/>
  <c r="R144" i="87"/>
  <c r="T144" i="87"/>
  <c r="V144" i="87"/>
  <c r="W144" i="87"/>
  <c r="X144" i="87" s="1"/>
  <c r="Y144" i="87"/>
  <c r="AA144" i="87"/>
  <c r="AH144" i="87"/>
  <c r="AI144" i="87" s="1"/>
  <c r="AK144" i="87"/>
  <c r="AL144" i="87" s="1"/>
  <c r="B145" i="87"/>
  <c r="J145" i="87"/>
  <c r="L145" i="87"/>
  <c r="N145" i="87"/>
  <c r="P145" i="87"/>
  <c r="R145" i="87"/>
  <c r="T145" i="87"/>
  <c r="V145" i="87"/>
  <c r="W145" i="87"/>
  <c r="X145" i="87" s="1"/>
  <c r="Y145" i="87"/>
  <c r="AA145" i="87"/>
  <c r="AH145" i="87"/>
  <c r="AI145" i="87" s="1"/>
  <c r="AK145" i="87"/>
  <c r="AL145" i="87" s="1"/>
  <c r="B146" i="87"/>
  <c r="J146" i="87"/>
  <c r="L146" i="87"/>
  <c r="N146" i="87"/>
  <c r="P146" i="87"/>
  <c r="R146" i="87"/>
  <c r="T146" i="87"/>
  <c r="V146" i="87"/>
  <c r="W146" i="87"/>
  <c r="X146" i="87" s="1"/>
  <c r="Y146" i="87"/>
  <c r="AA146" i="87"/>
  <c r="AH146" i="87"/>
  <c r="AI146" i="87" s="1"/>
  <c r="AK146" i="87"/>
  <c r="AL146" i="87" s="1"/>
  <c r="B147" i="87"/>
  <c r="J147" i="87"/>
  <c r="L147" i="87"/>
  <c r="N147" i="87"/>
  <c r="P147" i="87"/>
  <c r="R147" i="87"/>
  <c r="T147" i="87"/>
  <c r="V147" i="87"/>
  <c r="W147" i="87"/>
  <c r="X147" i="87" s="1"/>
  <c r="Y147" i="87"/>
  <c r="AA147" i="87"/>
  <c r="AH147" i="87"/>
  <c r="AI147" i="87" s="1"/>
  <c r="AK147" i="87"/>
  <c r="AL147" i="87" s="1"/>
  <c r="B148" i="87"/>
  <c r="J148" i="87"/>
  <c r="L148" i="87"/>
  <c r="N148" i="87"/>
  <c r="P148" i="87"/>
  <c r="R148" i="87"/>
  <c r="T148" i="87"/>
  <c r="V148" i="87"/>
  <c r="W148" i="87"/>
  <c r="X148" i="87" s="1"/>
  <c r="Y148" i="87"/>
  <c r="AD148" i="87" s="1"/>
  <c r="AE148" i="87" s="1"/>
  <c r="AF148" i="87" s="1"/>
  <c r="AA148" i="87"/>
  <c r="AH148" i="87"/>
  <c r="AI148" i="87" s="1"/>
  <c r="AK148" i="87"/>
  <c r="AL148" i="87" s="1"/>
  <c r="B149" i="87"/>
  <c r="J149" i="87"/>
  <c r="L149" i="87"/>
  <c r="N149" i="87"/>
  <c r="P149" i="87"/>
  <c r="R149" i="87"/>
  <c r="T149" i="87"/>
  <c r="V149" i="87"/>
  <c r="W149" i="87"/>
  <c r="X149" i="87" s="1"/>
  <c r="Y149" i="87"/>
  <c r="AA149" i="87"/>
  <c r="AH149" i="87"/>
  <c r="AI149" i="87" s="1"/>
  <c r="AK149" i="87"/>
  <c r="AL149" i="87" s="1"/>
  <c r="B150" i="87"/>
  <c r="J150" i="87"/>
  <c r="L150" i="87"/>
  <c r="N150" i="87"/>
  <c r="P150" i="87"/>
  <c r="R150" i="87"/>
  <c r="T150" i="87"/>
  <c r="V150" i="87"/>
  <c r="W150" i="87"/>
  <c r="X150" i="87" s="1"/>
  <c r="Y150" i="87"/>
  <c r="AA150" i="87"/>
  <c r="AH150" i="87"/>
  <c r="AI150" i="87" s="1"/>
  <c r="AK150" i="87"/>
  <c r="AL150" i="87" s="1"/>
  <c r="B151" i="87"/>
  <c r="J151" i="87"/>
  <c r="L151" i="87"/>
  <c r="N151" i="87"/>
  <c r="P151" i="87"/>
  <c r="R151" i="87"/>
  <c r="T151" i="87"/>
  <c r="V151" i="87"/>
  <c r="W151" i="87"/>
  <c r="X151" i="87" s="1"/>
  <c r="Y151" i="87"/>
  <c r="AA151" i="87"/>
  <c r="AH151" i="87"/>
  <c r="AI151" i="87" s="1"/>
  <c r="AK151" i="87"/>
  <c r="AL151" i="87" s="1"/>
  <c r="B152" i="87"/>
  <c r="J152" i="87"/>
  <c r="L152" i="87"/>
  <c r="N152" i="87"/>
  <c r="P152" i="87"/>
  <c r="R152" i="87"/>
  <c r="T152" i="87"/>
  <c r="V152" i="87"/>
  <c r="W152" i="87"/>
  <c r="X152" i="87" s="1"/>
  <c r="Y152" i="87"/>
  <c r="AA152" i="87"/>
  <c r="AH152" i="87"/>
  <c r="AI152" i="87" s="1"/>
  <c r="AK152" i="87"/>
  <c r="AL152" i="87" s="1"/>
  <c r="B153" i="87"/>
  <c r="J153" i="87"/>
  <c r="L153" i="87"/>
  <c r="N153" i="87"/>
  <c r="P153" i="87"/>
  <c r="R153" i="87"/>
  <c r="T153" i="87"/>
  <c r="V153" i="87"/>
  <c r="W153" i="87"/>
  <c r="X153" i="87" s="1"/>
  <c r="Y153" i="87"/>
  <c r="AA153" i="87"/>
  <c r="AH153" i="87"/>
  <c r="AI153" i="87" s="1"/>
  <c r="AK153" i="87"/>
  <c r="AL153" i="87" s="1"/>
  <c r="B154" i="87"/>
  <c r="J154" i="87"/>
  <c r="L154" i="87"/>
  <c r="N154" i="87"/>
  <c r="P154" i="87"/>
  <c r="R154" i="87"/>
  <c r="T154" i="87"/>
  <c r="V154" i="87"/>
  <c r="W154" i="87"/>
  <c r="X154" i="87" s="1"/>
  <c r="Y154" i="87"/>
  <c r="AD154" i="87" s="1"/>
  <c r="AE154" i="87" s="1"/>
  <c r="AF154" i="87" s="1"/>
  <c r="AA154" i="87"/>
  <c r="AH154" i="87"/>
  <c r="AI154" i="87" s="1"/>
  <c r="AK154" i="87"/>
  <c r="AL154" i="87" s="1"/>
  <c r="B155" i="87"/>
  <c r="J155" i="87"/>
  <c r="L155" i="87"/>
  <c r="N155" i="87"/>
  <c r="P155" i="87"/>
  <c r="R155" i="87"/>
  <c r="T155" i="87"/>
  <c r="V155" i="87"/>
  <c r="W155" i="87"/>
  <c r="X155" i="87" s="1"/>
  <c r="Y155" i="87"/>
  <c r="AA155" i="87"/>
  <c r="AH155" i="87"/>
  <c r="AI155" i="87" s="1"/>
  <c r="AK155" i="87"/>
  <c r="AL155" i="87" s="1"/>
  <c r="B156" i="87"/>
  <c r="J156" i="87"/>
  <c r="L156" i="87"/>
  <c r="N156" i="87"/>
  <c r="P156" i="87"/>
  <c r="R156" i="87"/>
  <c r="T156" i="87"/>
  <c r="V156" i="87"/>
  <c r="W156" i="87"/>
  <c r="Y156" i="87"/>
  <c r="AA156" i="87"/>
  <c r="AH156" i="87"/>
  <c r="AI156" i="87" s="1"/>
  <c r="AK156" i="87"/>
  <c r="AL156" i="87" s="1"/>
  <c r="B157" i="87"/>
  <c r="J157" i="87"/>
  <c r="L157" i="87"/>
  <c r="N157" i="87"/>
  <c r="P157" i="87"/>
  <c r="R157" i="87"/>
  <c r="T157" i="87"/>
  <c r="V157" i="87"/>
  <c r="W157" i="87"/>
  <c r="X157" i="87" s="1"/>
  <c r="Y157" i="87"/>
  <c r="AA157" i="87"/>
  <c r="AH157" i="87"/>
  <c r="AI157" i="87" s="1"/>
  <c r="AK157" i="87"/>
  <c r="AL157" i="87" s="1"/>
  <c r="B158" i="87"/>
  <c r="J158" i="87"/>
  <c r="L158" i="87"/>
  <c r="N158" i="87"/>
  <c r="P158" i="87"/>
  <c r="R158" i="87"/>
  <c r="T158" i="87"/>
  <c r="V158" i="87"/>
  <c r="W158" i="87"/>
  <c r="X158" i="87" s="1"/>
  <c r="Y158" i="87"/>
  <c r="AA158" i="87"/>
  <c r="AH158" i="87"/>
  <c r="AI158" i="87" s="1"/>
  <c r="AK158" i="87"/>
  <c r="AL158" i="87" s="1"/>
  <c r="B159" i="87"/>
  <c r="J159" i="87"/>
  <c r="L159" i="87"/>
  <c r="N159" i="87"/>
  <c r="P159" i="87"/>
  <c r="R159" i="87"/>
  <c r="T159" i="87"/>
  <c r="V159" i="87"/>
  <c r="W159" i="87"/>
  <c r="X159" i="87" s="1"/>
  <c r="Y159" i="87"/>
  <c r="AA159" i="87"/>
  <c r="AH159" i="87"/>
  <c r="AI159" i="87" s="1"/>
  <c r="AK159" i="87"/>
  <c r="AL159" i="87" s="1"/>
  <c r="B160" i="87"/>
  <c r="J160" i="87"/>
  <c r="L160" i="87"/>
  <c r="N160" i="87"/>
  <c r="P160" i="87"/>
  <c r="R160" i="87"/>
  <c r="T160" i="87"/>
  <c r="V160" i="87"/>
  <c r="W160" i="87"/>
  <c r="X160" i="87" s="1"/>
  <c r="Y160" i="87"/>
  <c r="AA160" i="87"/>
  <c r="AH160" i="87"/>
  <c r="AI160" i="87" s="1"/>
  <c r="AK160" i="87"/>
  <c r="AL160" i="87" s="1"/>
  <c r="B161" i="87"/>
  <c r="J161" i="87"/>
  <c r="L161" i="87"/>
  <c r="N161" i="87"/>
  <c r="P161" i="87"/>
  <c r="R161" i="87"/>
  <c r="T161" i="87"/>
  <c r="V161" i="87"/>
  <c r="W161" i="87"/>
  <c r="X161" i="87" s="1"/>
  <c r="Y161" i="87"/>
  <c r="AA161" i="87"/>
  <c r="AH161" i="87"/>
  <c r="AI161" i="87" s="1"/>
  <c r="AK161" i="87"/>
  <c r="AL161" i="87" s="1"/>
  <c r="B162" i="87"/>
  <c r="J162" i="87"/>
  <c r="L162" i="87"/>
  <c r="N162" i="87"/>
  <c r="P162" i="87"/>
  <c r="R162" i="87"/>
  <c r="T162" i="87"/>
  <c r="V162" i="87"/>
  <c r="W162" i="87"/>
  <c r="X162" i="87" s="1"/>
  <c r="Y162" i="87"/>
  <c r="AA162" i="87"/>
  <c r="AH162" i="87"/>
  <c r="AI162" i="87" s="1"/>
  <c r="AK162" i="87"/>
  <c r="AL162" i="87" s="1"/>
  <c r="B163" i="87"/>
  <c r="J163" i="87"/>
  <c r="L163" i="87"/>
  <c r="N163" i="87"/>
  <c r="P163" i="87"/>
  <c r="R163" i="87"/>
  <c r="T163" i="87"/>
  <c r="V163" i="87"/>
  <c r="W163" i="87"/>
  <c r="X163" i="87" s="1"/>
  <c r="Y163" i="87"/>
  <c r="AA163" i="87"/>
  <c r="AH163" i="87"/>
  <c r="AI163" i="87" s="1"/>
  <c r="AK163" i="87"/>
  <c r="AL163" i="87" s="1"/>
  <c r="B164" i="87"/>
  <c r="J164" i="87"/>
  <c r="L164" i="87"/>
  <c r="N164" i="87"/>
  <c r="P164" i="87"/>
  <c r="R164" i="87"/>
  <c r="T164" i="87"/>
  <c r="V164" i="87"/>
  <c r="W164" i="87"/>
  <c r="X164" i="87" s="1"/>
  <c r="Y164" i="87"/>
  <c r="AA164" i="87"/>
  <c r="AH164" i="87"/>
  <c r="AI164" i="87" s="1"/>
  <c r="AK164" i="87"/>
  <c r="AL164" i="87" s="1"/>
  <c r="B165" i="87"/>
  <c r="J165" i="87"/>
  <c r="L165" i="87"/>
  <c r="N165" i="87"/>
  <c r="P165" i="87"/>
  <c r="R165" i="87"/>
  <c r="T165" i="87"/>
  <c r="V165" i="87"/>
  <c r="W165" i="87"/>
  <c r="Y165" i="87"/>
  <c r="AA165" i="87"/>
  <c r="AH165" i="87"/>
  <c r="AI165" i="87" s="1"/>
  <c r="AK165" i="87"/>
  <c r="AL165" i="87" s="1"/>
  <c r="B166" i="87"/>
  <c r="J166" i="87"/>
  <c r="L166" i="87"/>
  <c r="N166" i="87"/>
  <c r="P166" i="87"/>
  <c r="R166" i="87"/>
  <c r="T166" i="87"/>
  <c r="V166" i="87"/>
  <c r="W166" i="87"/>
  <c r="X166" i="87" s="1"/>
  <c r="Y166" i="87"/>
  <c r="AA166" i="87"/>
  <c r="AH166" i="87"/>
  <c r="AI166" i="87" s="1"/>
  <c r="AK166" i="87"/>
  <c r="AL166" i="87" s="1"/>
  <c r="B167" i="87"/>
  <c r="J167" i="87"/>
  <c r="L167" i="87"/>
  <c r="N167" i="87"/>
  <c r="P167" i="87"/>
  <c r="R167" i="87"/>
  <c r="T167" i="87"/>
  <c r="V167" i="87"/>
  <c r="W167" i="87"/>
  <c r="X167" i="87" s="1"/>
  <c r="Y167" i="87"/>
  <c r="AA167" i="87"/>
  <c r="AH167" i="87"/>
  <c r="AI167" i="87" s="1"/>
  <c r="AK167" i="87"/>
  <c r="AL167" i="87" s="1"/>
  <c r="B168" i="87"/>
  <c r="J168" i="87"/>
  <c r="L168" i="87"/>
  <c r="N168" i="87"/>
  <c r="P168" i="87"/>
  <c r="R168" i="87"/>
  <c r="T168" i="87"/>
  <c r="V168" i="87"/>
  <c r="W168" i="87"/>
  <c r="X168" i="87"/>
  <c r="Y168" i="87"/>
  <c r="AA168" i="87"/>
  <c r="AH168" i="87"/>
  <c r="AI168" i="87" s="1"/>
  <c r="AK168" i="87"/>
  <c r="AL168" i="87" s="1"/>
  <c r="B169" i="87"/>
  <c r="J169" i="87"/>
  <c r="L169" i="87"/>
  <c r="N169" i="87"/>
  <c r="P169" i="87"/>
  <c r="R169" i="87"/>
  <c r="T169" i="87"/>
  <c r="V169" i="87"/>
  <c r="W169" i="87"/>
  <c r="X169" i="87" s="1"/>
  <c r="Y169" i="87"/>
  <c r="AA169" i="87"/>
  <c r="AH169" i="87"/>
  <c r="AI169" i="87" s="1"/>
  <c r="AK169" i="87"/>
  <c r="AL169" i="87" s="1"/>
  <c r="B170" i="87"/>
  <c r="J170" i="87"/>
  <c r="L170" i="87"/>
  <c r="N170" i="87"/>
  <c r="P170" i="87"/>
  <c r="R170" i="87"/>
  <c r="T170" i="87"/>
  <c r="V170" i="87"/>
  <c r="W170" i="87"/>
  <c r="X170" i="87" s="1"/>
  <c r="Y170" i="87"/>
  <c r="AD170" i="87" s="1"/>
  <c r="AE170" i="87" s="1"/>
  <c r="AF170" i="87" s="1"/>
  <c r="AA170" i="87"/>
  <c r="AH170" i="87"/>
  <c r="AI170" i="87" s="1"/>
  <c r="AK170" i="87"/>
  <c r="AL170" i="87" s="1"/>
  <c r="B171" i="87"/>
  <c r="J171" i="87"/>
  <c r="L171" i="87"/>
  <c r="N171" i="87"/>
  <c r="P171" i="87"/>
  <c r="R171" i="87"/>
  <c r="T171" i="87"/>
  <c r="V171" i="87"/>
  <c r="W171" i="87"/>
  <c r="X171" i="87" s="1"/>
  <c r="Y171" i="87"/>
  <c r="AA171" i="87"/>
  <c r="AH171" i="87"/>
  <c r="AI171" i="87" s="1"/>
  <c r="AK171" i="87"/>
  <c r="AL171" i="87" s="1"/>
  <c r="B172" i="87"/>
  <c r="J172" i="87"/>
  <c r="L172" i="87"/>
  <c r="N172" i="87"/>
  <c r="P172" i="87"/>
  <c r="R172" i="87"/>
  <c r="T172" i="87"/>
  <c r="V172" i="87"/>
  <c r="W172" i="87"/>
  <c r="X172" i="87" s="1"/>
  <c r="Y172" i="87"/>
  <c r="AA172" i="87"/>
  <c r="AH172" i="87"/>
  <c r="AI172" i="87" s="1"/>
  <c r="AK172" i="87"/>
  <c r="AL172" i="87" s="1"/>
  <c r="B173" i="87"/>
  <c r="J173" i="87"/>
  <c r="L173" i="87"/>
  <c r="N173" i="87"/>
  <c r="P173" i="87"/>
  <c r="R173" i="87"/>
  <c r="T173" i="87"/>
  <c r="V173" i="87"/>
  <c r="W173" i="87"/>
  <c r="X173" i="87" s="1"/>
  <c r="Y173" i="87"/>
  <c r="AA173" i="87"/>
  <c r="AH173" i="87"/>
  <c r="AI173" i="87" s="1"/>
  <c r="AK173" i="87"/>
  <c r="AL173" i="87" s="1"/>
  <c r="B174" i="87"/>
  <c r="J174" i="87"/>
  <c r="L174" i="87"/>
  <c r="N174" i="87"/>
  <c r="P174" i="87"/>
  <c r="R174" i="87"/>
  <c r="T174" i="87"/>
  <c r="V174" i="87"/>
  <c r="W174" i="87"/>
  <c r="X174" i="87" s="1"/>
  <c r="Y174" i="87"/>
  <c r="AA174" i="87"/>
  <c r="AH174" i="87"/>
  <c r="AI174" i="87" s="1"/>
  <c r="AK174" i="87"/>
  <c r="AL174" i="87" s="1"/>
  <c r="B175" i="87"/>
  <c r="J175" i="87"/>
  <c r="L175" i="87"/>
  <c r="N175" i="87"/>
  <c r="P175" i="87"/>
  <c r="R175" i="87"/>
  <c r="T175" i="87"/>
  <c r="V175" i="87"/>
  <c r="W175" i="87"/>
  <c r="X175" i="87" s="1"/>
  <c r="Y175" i="87"/>
  <c r="AA175" i="87"/>
  <c r="AH175" i="87"/>
  <c r="AI175" i="87" s="1"/>
  <c r="AK175" i="87"/>
  <c r="AL175" i="87" s="1"/>
  <c r="B176" i="87"/>
  <c r="J176" i="87"/>
  <c r="L176" i="87"/>
  <c r="N176" i="87"/>
  <c r="P176" i="87"/>
  <c r="R176" i="87"/>
  <c r="T176" i="87"/>
  <c r="V176" i="87"/>
  <c r="W176" i="87"/>
  <c r="X176" i="87" s="1"/>
  <c r="Y176" i="87"/>
  <c r="AA176" i="87"/>
  <c r="AH176" i="87"/>
  <c r="AI176" i="87" s="1"/>
  <c r="AK176" i="87"/>
  <c r="AL176" i="87" s="1"/>
  <c r="B177" i="87"/>
  <c r="J177" i="87"/>
  <c r="L177" i="87"/>
  <c r="N177" i="87"/>
  <c r="P177" i="87"/>
  <c r="R177" i="87"/>
  <c r="T177" i="87"/>
  <c r="V177" i="87"/>
  <c r="W177" i="87"/>
  <c r="X177" i="87"/>
  <c r="Y177" i="87"/>
  <c r="AA177" i="87"/>
  <c r="AH177" i="87"/>
  <c r="AI177" i="87" s="1"/>
  <c r="AK177" i="87"/>
  <c r="AL177" i="87" s="1"/>
  <c r="B178" i="87"/>
  <c r="J178" i="87"/>
  <c r="L178" i="87"/>
  <c r="N178" i="87"/>
  <c r="P178" i="87"/>
  <c r="R178" i="87"/>
  <c r="T178" i="87"/>
  <c r="V178" i="87"/>
  <c r="W178" i="87"/>
  <c r="X178" i="87" s="1"/>
  <c r="Y178" i="87"/>
  <c r="AD178" i="87" s="1"/>
  <c r="AE178" i="87" s="1"/>
  <c r="AF178" i="87" s="1"/>
  <c r="AG178" i="87" s="1"/>
  <c r="AA178" i="87"/>
  <c r="AH178" i="87"/>
  <c r="AI178" i="87" s="1"/>
  <c r="AK178" i="87"/>
  <c r="AL178" i="87" s="1"/>
  <c r="B179" i="87"/>
  <c r="J179" i="87"/>
  <c r="L179" i="87"/>
  <c r="N179" i="87"/>
  <c r="P179" i="87"/>
  <c r="R179" i="87"/>
  <c r="T179" i="87"/>
  <c r="V179" i="87"/>
  <c r="W179" i="87"/>
  <c r="X179" i="87" s="1"/>
  <c r="Y179" i="87"/>
  <c r="AA179" i="87"/>
  <c r="AH179" i="87"/>
  <c r="AI179" i="87" s="1"/>
  <c r="AK179" i="87"/>
  <c r="AL179" i="87" s="1"/>
  <c r="B180" i="87"/>
  <c r="J180" i="87"/>
  <c r="L180" i="87"/>
  <c r="N180" i="87"/>
  <c r="P180" i="87"/>
  <c r="R180" i="87"/>
  <c r="T180" i="87"/>
  <c r="V180" i="87"/>
  <c r="W180" i="87"/>
  <c r="Y180" i="87"/>
  <c r="AA180" i="87"/>
  <c r="AH180" i="87"/>
  <c r="AI180" i="87" s="1"/>
  <c r="AK180" i="87"/>
  <c r="AL180" i="87" s="1"/>
  <c r="B181" i="87"/>
  <c r="J181" i="87"/>
  <c r="L181" i="87"/>
  <c r="N181" i="87"/>
  <c r="P181" i="87"/>
  <c r="R181" i="87"/>
  <c r="T181" i="87"/>
  <c r="V181" i="87"/>
  <c r="W181" i="87"/>
  <c r="X181" i="87" s="1"/>
  <c r="Y181" i="87"/>
  <c r="AA181" i="87"/>
  <c r="AH181" i="87"/>
  <c r="AI181" i="87" s="1"/>
  <c r="AK181" i="87"/>
  <c r="AL181" i="87" s="1"/>
  <c r="B182" i="87"/>
  <c r="J182" i="87"/>
  <c r="L182" i="87"/>
  <c r="N182" i="87"/>
  <c r="P182" i="87"/>
  <c r="R182" i="87"/>
  <c r="T182" i="87"/>
  <c r="V182" i="87"/>
  <c r="W182" i="87"/>
  <c r="X182" i="87" s="1"/>
  <c r="Y182" i="87"/>
  <c r="AA182" i="87"/>
  <c r="AH182" i="87"/>
  <c r="AI182" i="87" s="1"/>
  <c r="AK182" i="87"/>
  <c r="AL182" i="87" s="1"/>
  <c r="B183" i="87"/>
  <c r="J183" i="87"/>
  <c r="L183" i="87"/>
  <c r="N183" i="87"/>
  <c r="P183" i="87"/>
  <c r="R183" i="87"/>
  <c r="T183" i="87"/>
  <c r="V183" i="87"/>
  <c r="W183" i="87"/>
  <c r="X183" i="87" s="1"/>
  <c r="Y183" i="87"/>
  <c r="AA183" i="87"/>
  <c r="AH183" i="87"/>
  <c r="AI183" i="87" s="1"/>
  <c r="AK183" i="87"/>
  <c r="AL183" i="87" s="1"/>
  <c r="B184" i="87"/>
  <c r="J184" i="87"/>
  <c r="L184" i="87"/>
  <c r="N184" i="87"/>
  <c r="P184" i="87"/>
  <c r="R184" i="87"/>
  <c r="T184" i="87"/>
  <c r="V184" i="87"/>
  <c r="W184" i="87"/>
  <c r="X184" i="87" s="1"/>
  <c r="Y184" i="87"/>
  <c r="AA184" i="87"/>
  <c r="AH184" i="87"/>
  <c r="AI184" i="87" s="1"/>
  <c r="AK184" i="87"/>
  <c r="AL184" i="87" s="1"/>
  <c r="B185" i="87"/>
  <c r="J185" i="87"/>
  <c r="L185" i="87"/>
  <c r="N185" i="87"/>
  <c r="P185" i="87"/>
  <c r="R185" i="87"/>
  <c r="T185" i="87"/>
  <c r="V185" i="87"/>
  <c r="W185" i="87"/>
  <c r="X185" i="87" s="1"/>
  <c r="Y185" i="87"/>
  <c r="AA185" i="87"/>
  <c r="AH185" i="87"/>
  <c r="AI185" i="87" s="1"/>
  <c r="AK185" i="87"/>
  <c r="AL185" i="87" s="1"/>
  <c r="B186" i="87"/>
  <c r="J186" i="87"/>
  <c r="L186" i="87"/>
  <c r="N186" i="87"/>
  <c r="P186" i="87"/>
  <c r="R186" i="87"/>
  <c r="T186" i="87"/>
  <c r="V186" i="87"/>
  <c r="W186" i="87"/>
  <c r="X186" i="87" s="1"/>
  <c r="Y186" i="87"/>
  <c r="AA186" i="87"/>
  <c r="AH186" i="87"/>
  <c r="AI186" i="87" s="1"/>
  <c r="AK186" i="87"/>
  <c r="AL186" i="87" s="1"/>
  <c r="B187" i="87"/>
  <c r="J187" i="87"/>
  <c r="L187" i="87"/>
  <c r="N187" i="87"/>
  <c r="P187" i="87"/>
  <c r="R187" i="87"/>
  <c r="T187" i="87"/>
  <c r="V187" i="87"/>
  <c r="W187" i="87"/>
  <c r="X187" i="87" s="1"/>
  <c r="Y187" i="87"/>
  <c r="AD187" i="87" s="1"/>
  <c r="AE187" i="87" s="1"/>
  <c r="AF187" i="87" s="1"/>
  <c r="AA187" i="87"/>
  <c r="AH187" i="87"/>
  <c r="AI187" i="87" s="1"/>
  <c r="AK187" i="87"/>
  <c r="AL187" i="87" s="1"/>
  <c r="B188" i="87"/>
  <c r="J188" i="87"/>
  <c r="L188" i="87"/>
  <c r="N188" i="87"/>
  <c r="P188" i="87"/>
  <c r="R188" i="87"/>
  <c r="T188" i="87"/>
  <c r="V188" i="87"/>
  <c r="W188" i="87"/>
  <c r="X188" i="87" s="1"/>
  <c r="Y188" i="87"/>
  <c r="AA188" i="87"/>
  <c r="AH188" i="87"/>
  <c r="AI188" i="87" s="1"/>
  <c r="AK188" i="87"/>
  <c r="AL188" i="87" s="1"/>
  <c r="B189" i="87"/>
  <c r="J189" i="87"/>
  <c r="L189" i="87"/>
  <c r="N189" i="87"/>
  <c r="P189" i="87"/>
  <c r="R189" i="87"/>
  <c r="T189" i="87"/>
  <c r="V189" i="87"/>
  <c r="W189" i="87"/>
  <c r="X189" i="87" s="1"/>
  <c r="Y189" i="87"/>
  <c r="AA189" i="87"/>
  <c r="AH189" i="87"/>
  <c r="AI189" i="87" s="1"/>
  <c r="AK189" i="87"/>
  <c r="AL189" i="87" s="1"/>
  <c r="B190" i="87"/>
  <c r="J190" i="87"/>
  <c r="L190" i="87"/>
  <c r="N190" i="87"/>
  <c r="P190" i="87"/>
  <c r="R190" i="87"/>
  <c r="T190" i="87"/>
  <c r="V190" i="87"/>
  <c r="W190" i="87"/>
  <c r="X190" i="87" s="1"/>
  <c r="Y190" i="87"/>
  <c r="AA190" i="87"/>
  <c r="AH190" i="87"/>
  <c r="AI190" i="87" s="1"/>
  <c r="AK190" i="87"/>
  <c r="AL190" i="87" s="1"/>
  <c r="B191" i="87"/>
  <c r="J191" i="87"/>
  <c r="L191" i="87"/>
  <c r="N191" i="87"/>
  <c r="P191" i="87"/>
  <c r="R191" i="87"/>
  <c r="T191" i="87"/>
  <c r="V191" i="87"/>
  <c r="W191" i="87"/>
  <c r="X191" i="87" s="1"/>
  <c r="Y191" i="87"/>
  <c r="AA191" i="87"/>
  <c r="AH191" i="87"/>
  <c r="AI191" i="87" s="1"/>
  <c r="AK191" i="87"/>
  <c r="AL191" i="87" s="1"/>
  <c r="B192" i="87"/>
  <c r="J192" i="87"/>
  <c r="L192" i="87"/>
  <c r="N192" i="87"/>
  <c r="P192" i="87"/>
  <c r="R192" i="87"/>
  <c r="T192" i="87"/>
  <c r="V192" i="87"/>
  <c r="W192" i="87"/>
  <c r="Y192" i="87"/>
  <c r="AA192" i="87"/>
  <c r="AH192" i="87"/>
  <c r="AI192" i="87" s="1"/>
  <c r="AK192" i="87"/>
  <c r="AL192" i="87" s="1"/>
  <c r="B193" i="87"/>
  <c r="J193" i="87"/>
  <c r="L193" i="87"/>
  <c r="N193" i="87"/>
  <c r="P193" i="87"/>
  <c r="R193" i="87"/>
  <c r="T193" i="87"/>
  <c r="V193" i="87"/>
  <c r="W193" i="87"/>
  <c r="X193" i="87" s="1"/>
  <c r="Y193" i="87"/>
  <c r="AA193" i="87"/>
  <c r="AH193" i="87"/>
  <c r="AI193" i="87" s="1"/>
  <c r="AK193" i="87"/>
  <c r="AL193" i="87" s="1"/>
  <c r="B194" i="87"/>
  <c r="J194" i="87"/>
  <c r="L194" i="87"/>
  <c r="N194" i="87"/>
  <c r="P194" i="87"/>
  <c r="R194" i="87"/>
  <c r="T194" i="87"/>
  <c r="V194" i="87"/>
  <c r="W194" i="87"/>
  <c r="X194" i="87" s="1"/>
  <c r="Y194" i="87"/>
  <c r="AA194" i="87"/>
  <c r="AH194" i="87"/>
  <c r="AI194" i="87" s="1"/>
  <c r="AK194" i="87"/>
  <c r="AL194" i="87" s="1"/>
  <c r="B195" i="87"/>
  <c r="J195" i="87"/>
  <c r="L195" i="87"/>
  <c r="N195" i="87"/>
  <c r="P195" i="87"/>
  <c r="R195" i="87"/>
  <c r="T195" i="87"/>
  <c r="V195" i="87"/>
  <c r="W195" i="87"/>
  <c r="Y195" i="87"/>
  <c r="AA195" i="87"/>
  <c r="AH195" i="87"/>
  <c r="AI195" i="87" s="1"/>
  <c r="AK195" i="87"/>
  <c r="AL195" i="87" s="1"/>
  <c r="B196" i="87"/>
  <c r="J196" i="87"/>
  <c r="L196" i="87"/>
  <c r="N196" i="87"/>
  <c r="P196" i="87"/>
  <c r="R196" i="87"/>
  <c r="T196" i="87"/>
  <c r="V196" i="87"/>
  <c r="W196" i="87"/>
  <c r="Y196" i="87"/>
  <c r="AA196" i="87"/>
  <c r="AH196" i="87"/>
  <c r="AI196" i="87" s="1"/>
  <c r="AK196" i="87"/>
  <c r="AL196" i="87" s="1"/>
  <c r="B197" i="87"/>
  <c r="J197" i="87"/>
  <c r="L197" i="87"/>
  <c r="N197" i="87"/>
  <c r="P197" i="87"/>
  <c r="R197" i="87"/>
  <c r="T197" i="87"/>
  <c r="V197" i="87"/>
  <c r="W197" i="87"/>
  <c r="X197" i="87" s="1"/>
  <c r="Y197" i="87"/>
  <c r="AD197" i="87" s="1"/>
  <c r="AE197" i="87" s="1"/>
  <c r="AF197" i="87" s="1"/>
  <c r="AA197" i="87"/>
  <c r="AH197" i="87"/>
  <c r="AI197" i="87" s="1"/>
  <c r="AK197" i="87"/>
  <c r="AL197" i="87" s="1"/>
  <c r="B198" i="87"/>
  <c r="J198" i="87"/>
  <c r="L198" i="87"/>
  <c r="N198" i="87"/>
  <c r="P198" i="87"/>
  <c r="R198" i="87"/>
  <c r="T198" i="87"/>
  <c r="V198" i="87"/>
  <c r="W198" i="87"/>
  <c r="X198" i="87" s="1"/>
  <c r="Y198" i="87"/>
  <c r="AD198" i="87" s="1"/>
  <c r="AE198" i="87" s="1"/>
  <c r="AF198" i="87" s="1"/>
  <c r="AG198" i="87" s="1"/>
  <c r="AA198" i="87"/>
  <c r="AH198" i="87"/>
  <c r="AI198" i="87" s="1"/>
  <c r="AK198" i="87"/>
  <c r="AL198" i="87" s="1"/>
  <c r="B199" i="87"/>
  <c r="J199" i="87"/>
  <c r="L199" i="87"/>
  <c r="N199" i="87"/>
  <c r="P199" i="87"/>
  <c r="R199" i="87"/>
  <c r="T199" i="87"/>
  <c r="V199" i="87"/>
  <c r="W199" i="87"/>
  <c r="X199" i="87" s="1"/>
  <c r="Y199" i="87"/>
  <c r="AA199" i="87"/>
  <c r="AH199" i="87"/>
  <c r="AI199" i="87" s="1"/>
  <c r="AK199" i="87"/>
  <c r="AL199" i="87" s="1"/>
  <c r="B200" i="87"/>
  <c r="J200" i="87"/>
  <c r="L200" i="87"/>
  <c r="N200" i="87"/>
  <c r="P200" i="87"/>
  <c r="R200" i="87"/>
  <c r="T200" i="87"/>
  <c r="V200" i="87"/>
  <c r="W200" i="87"/>
  <c r="X200" i="87" s="1"/>
  <c r="Y200" i="87"/>
  <c r="AA200" i="87"/>
  <c r="AH200" i="87"/>
  <c r="AI200" i="87" s="1"/>
  <c r="AK200" i="87"/>
  <c r="AL200" i="87" s="1"/>
  <c r="B201" i="87"/>
  <c r="J201" i="87"/>
  <c r="L201" i="87"/>
  <c r="N201" i="87"/>
  <c r="P201" i="87"/>
  <c r="R201" i="87"/>
  <c r="T201" i="87"/>
  <c r="V201" i="87"/>
  <c r="W201" i="87"/>
  <c r="X201" i="87" s="1"/>
  <c r="Y201" i="87"/>
  <c r="AA201" i="87"/>
  <c r="AH201" i="87"/>
  <c r="AI201" i="87" s="1"/>
  <c r="AK201" i="87"/>
  <c r="AL201" i="87" s="1"/>
  <c r="B202" i="87"/>
  <c r="J202" i="87"/>
  <c r="L202" i="87"/>
  <c r="N202" i="87"/>
  <c r="P202" i="87"/>
  <c r="R202" i="87"/>
  <c r="T202" i="87"/>
  <c r="V202" i="87"/>
  <c r="W202" i="87"/>
  <c r="X202" i="87" s="1"/>
  <c r="Y202" i="87"/>
  <c r="AD202" i="87" s="1"/>
  <c r="AE202" i="87" s="1"/>
  <c r="AF202" i="87" s="1"/>
  <c r="AG202" i="87" s="1"/>
  <c r="AA202" i="87"/>
  <c r="AH202" i="87"/>
  <c r="AI202" i="87" s="1"/>
  <c r="AK202" i="87"/>
  <c r="AL202" i="87" s="1"/>
  <c r="B203" i="87"/>
  <c r="J203" i="87"/>
  <c r="L203" i="87"/>
  <c r="N203" i="87"/>
  <c r="P203" i="87"/>
  <c r="R203" i="87"/>
  <c r="T203" i="87"/>
  <c r="V203" i="87"/>
  <c r="W203" i="87"/>
  <c r="X203" i="87" s="1"/>
  <c r="Y203" i="87"/>
  <c r="AA203" i="87"/>
  <c r="AH203" i="87"/>
  <c r="AI203" i="87" s="1"/>
  <c r="AK203" i="87"/>
  <c r="AL203" i="87" s="1"/>
  <c r="B204" i="87"/>
  <c r="J204" i="87"/>
  <c r="L204" i="87"/>
  <c r="N204" i="87"/>
  <c r="P204" i="87"/>
  <c r="R204" i="87"/>
  <c r="T204" i="87"/>
  <c r="V204" i="87"/>
  <c r="W204" i="87"/>
  <c r="Y204" i="87"/>
  <c r="AA204" i="87"/>
  <c r="AH204" i="87"/>
  <c r="AI204" i="87" s="1"/>
  <c r="AK204" i="87"/>
  <c r="AL204" i="87" s="1"/>
  <c r="B205" i="87"/>
  <c r="J205" i="87"/>
  <c r="L205" i="87"/>
  <c r="N205" i="87"/>
  <c r="P205" i="87"/>
  <c r="R205" i="87"/>
  <c r="T205" i="87"/>
  <c r="V205" i="87"/>
  <c r="W205" i="87"/>
  <c r="X205" i="87" s="1"/>
  <c r="Y205" i="87"/>
  <c r="AA205" i="87"/>
  <c r="AH205" i="87"/>
  <c r="AI205" i="87" s="1"/>
  <c r="AK205" i="87"/>
  <c r="AL205" i="87" s="1"/>
  <c r="B206" i="87"/>
  <c r="J206" i="87"/>
  <c r="L206" i="87"/>
  <c r="N206" i="87"/>
  <c r="P206" i="87"/>
  <c r="R206" i="87"/>
  <c r="T206" i="87"/>
  <c r="V206" i="87"/>
  <c r="W206" i="87"/>
  <c r="X206" i="87" s="1"/>
  <c r="Y206" i="87"/>
  <c r="AA206" i="87"/>
  <c r="AH206" i="87"/>
  <c r="AI206" i="87" s="1"/>
  <c r="AK206" i="87"/>
  <c r="AL206" i="87" s="1"/>
  <c r="B207" i="87"/>
  <c r="J207" i="87"/>
  <c r="L207" i="87"/>
  <c r="N207" i="87"/>
  <c r="P207" i="87"/>
  <c r="R207" i="87"/>
  <c r="T207" i="87"/>
  <c r="V207" i="87"/>
  <c r="W207" i="87"/>
  <c r="X207" i="87" s="1"/>
  <c r="Y207" i="87"/>
  <c r="AA207" i="87"/>
  <c r="AH207" i="87"/>
  <c r="AI207" i="87" s="1"/>
  <c r="AK207" i="87"/>
  <c r="AL207" i="87" s="1"/>
  <c r="B208" i="87"/>
  <c r="J208" i="87"/>
  <c r="L208" i="87"/>
  <c r="N208" i="87"/>
  <c r="P208" i="87"/>
  <c r="R208" i="87"/>
  <c r="T208" i="87"/>
  <c r="V208" i="87"/>
  <c r="W208" i="87"/>
  <c r="X208" i="87" s="1"/>
  <c r="Y208" i="87"/>
  <c r="AD208" i="87" s="1"/>
  <c r="AE208" i="87" s="1"/>
  <c r="AF208" i="87" s="1"/>
  <c r="AG208" i="87" s="1"/>
  <c r="AA208" i="87"/>
  <c r="AH208" i="87"/>
  <c r="AI208" i="87" s="1"/>
  <c r="AK208" i="87"/>
  <c r="AL208" i="87" s="1"/>
  <c r="B209" i="87"/>
  <c r="J209" i="87"/>
  <c r="L209" i="87"/>
  <c r="N209" i="87"/>
  <c r="P209" i="87"/>
  <c r="R209" i="87"/>
  <c r="T209" i="87"/>
  <c r="V209" i="87"/>
  <c r="W209" i="87"/>
  <c r="X209" i="87" s="1"/>
  <c r="Y209" i="87"/>
  <c r="AA209" i="87"/>
  <c r="AH209" i="87"/>
  <c r="AI209" i="87" s="1"/>
  <c r="AK209" i="87"/>
  <c r="AL209" i="87" s="1"/>
  <c r="B210" i="87"/>
  <c r="J210" i="87"/>
  <c r="L210" i="87"/>
  <c r="N210" i="87"/>
  <c r="P210" i="87"/>
  <c r="R210" i="87"/>
  <c r="T210" i="87"/>
  <c r="V210" i="87"/>
  <c r="W210" i="87"/>
  <c r="Y210" i="87"/>
  <c r="AA210" i="87"/>
  <c r="AH210" i="87"/>
  <c r="AI210" i="87" s="1"/>
  <c r="AK210" i="87"/>
  <c r="AL210" i="87" s="1"/>
  <c r="B211" i="87"/>
  <c r="J211" i="87"/>
  <c r="L211" i="87"/>
  <c r="N211" i="87"/>
  <c r="P211" i="87"/>
  <c r="R211" i="87"/>
  <c r="T211" i="87"/>
  <c r="V211" i="87"/>
  <c r="W211" i="87"/>
  <c r="X211" i="87" s="1"/>
  <c r="Y211" i="87"/>
  <c r="AA211" i="87"/>
  <c r="AH211" i="87"/>
  <c r="AI211" i="87" s="1"/>
  <c r="AK211" i="87"/>
  <c r="AL211" i="87" s="1"/>
  <c r="B212" i="87"/>
  <c r="J212" i="87"/>
  <c r="L212" i="87"/>
  <c r="N212" i="87"/>
  <c r="P212" i="87"/>
  <c r="R212" i="87"/>
  <c r="T212" i="87"/>
  <c r="V212" i="87"/>
  <c r="W212" i="87"/>
  <c r="X212" i="87" s="1"/>
  <c r="Y212" i="87"/>
  <c r="AA212" i="87"/>
  <c r="AH212" i="87"/>
  <c r="AI212" i="87" s="1"/>
  <c r="AK212" i="87"/>
  <c r="AL212" i="87" s="1"/>
  <c r="B213" i="87"/>
  <c r="J213" i="87"/>
  <c r="L213" i="87"/>
  <c r="N213" i="87"/>
  <c r="P213" i="87"/>
  <c r="R213" i="87"/>
  <c r="T213" i="87"/>
  <c r="V213" i="87"/>
  <c r="W213" i="87"/>
  <c r="X213" i="87"/>
  <c r="Y213" i="87"/>
  <c r="AD213" i="87" s="1"/>
  <c r="AE213" i="87" s="1"/>
  <c r="AF213" i="87" s="1"/>
  <c r="AA213" i="87"/>
  <c r="AH213" i="87"/>
  <c r="AI213" i="87" s="1"/>
  <c r="AK213" i="87"/>
  <c r="AL213" i="87" s="1"/>
  <c r="B214" i="87"/>
  <c r="J214" i="87"/>
  <c r="L214" i="87"/>
  <c r="N214" i="87"/>
  <c r="P214" i="87"/>
  <c r="R214" i="87"/>
  <c r="T214" i="87"/>
  <c r="V214" i="87"/>
  <c r="W214" i="87"/>
  <c r="X214" i="87" s="1"/>
  <c r="Y214" i="87"/>
  <c r="AA214" i="87"/>
  <c r="AH214" i="87"/>
  <c r="AI214" i="87" s="1"/>
  <c r="AK214" i="87"/>
  <c r="AL214" i="87" s="1"/>
  <c r="B215" i="87"/>
  <c r="J215" i="87"/>
  <c r="L215" i="87"/>
  <c r="N215" i="87"/>
  <c r="P215" i="87"/>
  <c r="R215" i="87"/>
  <c r="T215" i="87"/>
  <c r="V215" i="87"/>
  <c r="W215" i="87"/>
  <c r="X215" i="87" s="1"/>
  <c r="Y215" i="87"/>
  <c r="AA215" i="87"/>
  <c r="AH215" i="87"/>
  <c r="AI215" i="87" s="1"/>
  <c r="AK215" i="87"/>
  <c r="AL215" i="87" s="1"/>
  <c r="B216" i="87"/>
  <c r="J216" i="87"/>
  <c r="L216" i="87"/>
  <c r="N216" i="87"/>
  <c r="P216" i="87"/>
  <c r="R216" i="87"/>
  <c r="T216" i="87"/>
  <c r="V216" i="87"/>
  <c r="W216" i="87"/>
  <c r="X216" i="87" s="1"/>
  <c r="Y216" i="87"/>
  <c r="AA216" i="87"/>
  <c r="AH216" i="87"/>
  <c r="AI216" i="87" s="1"/>
  <c r="AK216" i="87"/>
  <c r="AL216" i="87" s="1"/>
  <c r="B217" i="87"/>
  <c r="J217" i="87"/>
  <c r="L217" i="87"/>
  <c r="N217" i="87"/>
  <c r="P217" i="87"/>
  <c r="R217" i="87"/>
  <c r="T217" i="87"/>
  <c r="V217" i="87"/>
  <c r="W217" i="87"/>
  <c r="X217" i="87" s="1"/>
  <c r="Y217" i="87"/>
  <c r="AA217" i="87"/>
  <c r="AH217" i="87"/>
  <c r="AI217" i="87" s="1"/>
  <c r="AK217" i="87"/>
  <c r="AL217" i="87" s="1"/>
  <c r="B218" i="87"/>
  <c r="J218" i="87"/>
  <c r="L218" i="87"/>
  <c r="N218" i="87"/>
  <c r="P218" i="87"/>
  <c r="R218" i="87"/>
  <c r="T218" i="87"/>
  <c r="V218" i="87"/>
  <c r="W218" i="87"/>
  <c r="X218" i="87" s="1"/>
  <c r="Y218" i="87"/>
  <c r="AA218" i="87"/>
  <c r="AH218" i="87"/>
  <c r="AI218" i="87" s="1"/>
  <c r="AK218" i="87"/>
  <c r="AL218" i="87" s="1"/>
  <c r="B219" i="87"/>
  <c r="J219" i="87"/>
  <c r="L219" i="87"/>
  <c r="N219" i="87"/>
  <c r="P219" i="87"/>
  <c r="R219" i="87"/>
  <c r="T219" i="87"/>
  <c r="V219" i="87"/>
  <c r="W219" i="87"/>
  <c r="Y219" i="87"/>
  <c r="AA219" i="87"/>
  <c r="AH219" i="87"/>
  <c r="AI219" i="87" s="1"/>
  <c r="AK219" i="87"/>
  <c r="AL219" i="87" s="1"/>
  <c r="B220" i="87"/>
  <c r="J220" i="87"/>
  <c r="L220" i="87"/>
  <c r="N220" i="87"/>
  <c r="P220" i="87"/>
  <c r="R220" i="87"/>
  <c r="T220" i="87"/>
  <c r="V220" i="87"/>
  <c r="W220" i="87"/>
  <c r="X220" i="87" s="1"/>
  <c r="Y220" i="87"/>
  <c r="AA220" i="87"/>
  <c r="AH220" i="87"/>
  <c r="AI220" i="87" s="1"/>
  <c r="AK220" i="87"/>
  <c r="AL220" i="87" s="1"/>
  <c r="B221" i="87"/>
  <c r="J221" i="87"/>
  <c r="L221" i="87"/>
  <c r="N221" i="87"/>
  <c r="P221" i="87"/>
  <c r="R221" i="87"/>
  <c r="T221" i="87"/>
  <c r="V221" i="87"/>
  <c r="W221" i="87"/>
  <c r="X221" i="87"/>
  <c r="Y221" i="87"/>
  <c r="AA221" i="87"/>
  <c r="AH221" i="87"/>
  <c r="AI221" i="87" s="1"/>
  <c r="AK221" i="87"/>
  <c r="AL221" i="87" s="1"/>
  <c r="B222" i="87"/>
  <c r="J222" i="87"/>
  <c r="L222" i="87"/>
  <c r="N222" i="87"/>
  <c r="P222" i="87"/>
  <c r="R222" i="87"/>
  <c r="T222" i="87"/>
  <c r="V222" i="87"/>
  <c r="W222" i="87"/>
  <c r="X222" i="87" s="1"/>
  <c r="Y222" i="87"/>
  <c r="AA222" i="87"/>
  <c r="AH222" i="87"/>
  <c r="AI222" i="87" s="1"/>
  <c r="AK222" i="87"/>
  <c r="AL222" i="87" s="1"/>
  <c r="B223" i="87"/>
  <c r="J223" i="87"/>
  <c r="L223" i="87"/>
  <c r="N223" i="87"/>
  <c r="P223" i="87"/>
  <c r="R223" i="87"/>
  <c r="T223" i="87"/>
  <c r="V223" i="87"/>
  <c r="W223" i="87"/>
  <c r="X223" i="87" s="1"/>
  <c r="Y223" i="87"/>
  <c r="AA223" i="87"/>
  <c r="AH223" i="87"/>
  <c r="AI223" i="87" s="1"/>
  <c r="AK223" i="87"/>
  <c r="AL223" i="87" s="1"/>
  <c r="B224" i="87"/>
  <c r="J224" i="87"/>
  <c r="L224" i="87"/>
  <c r="N224" i="87"/>
  <c r="P224" i="87"/>
  <c r="R224" i="87"/>
  <c r="T224" i="87"/>
  <c r="V224" i="87"/>
  <c r="W224" i="87"/>
  <c r="X224" i="87" s="1"/>
  <c r="Y224" i="87"/>
  <c r="AA224" i="87"/>
  <c r="AH224" i="87"/>
  <c r="AI224" i="87" s="1"/>
  <c r="AK224" i="87"/>
  <c r="AL224" i="87" s="1"/>
  <c r="B225" i="87"/>
  <c r="J225" i="87"/>
  <c r="L225" i="87"/>
  <c r="N225" i="87"/>
  <c r="P225" i="87"/>
  <c r="R225" i="87"/>
  <c r="T225" i="87"/>
  <c r="V225" i="87"/>
  <c r="W225" i="87"/>
  <c r="X225" i="87" s="1"/>
  <c r="Y225" i="87"/>
  <c r="AA225" i="87"/>
  <c r="AH225" i="87"/>
  <c r="AI225" i="87" s="1"/>
  <c r="AK225" i="87"/>
  <c r="AL225" i="87" s="1"/>
  <c r="B226" i="87"/>
  <c r="J226" i="87"/>
  <c r="L226" i="87"/>
  <c r="N226" i="87"/>
  <c r="P226" i="87"/>
  <c r="R226" i="87"/>
  <c r="T226" i="87"/>
  <c r="V226" i="87"/>
  <c r="W226" i="87"/>
  <c r="X226" i="87" s="1"/>
  <c r="Y226" i="87"/>
  <c r="AA226" i="87"/>
  <c r="AH226" i="87"/>
  <c r="AI226" i="87" s="1"/>
  <c r="AK226" i="87"/>
  <c r="AL226" i="87" s="1"/>
  <c r="B227" i="87"/>
  <c r="J227" i="87"/>
  <c r="L227" i="87"/>
  <c r="N227" i="87"/>
  <c r="P227" i="87"/>
  <c r="R227" i="87"/>
  <c r="T227" i="87"/>
  <c r="V227" i="87"/>
  <c r="W227" i="87"/>
  <c r="X227" i="87" s="1"/>
  <c r="Y227" i="87"/>
  <c r="AA227" i="87"/>
  <c r="AH227" i="87"/>
  <c r="AI227" i="87" s="1"/>
  <c r="AK227" i="87"/>
  <c r="AL227" i="87" s="1"/>
  <c r="B228" i="87"/>
  <c r="J228" i="87"/>
  <c r="L228" i="87"/>
  <c r="N228" i="87"/>
  <c r="P228" i="87"/>
  <c r="R228" i="87"/>
  <c r="T228" i="87"/>
  <c r="V228" i="87"/>
  <c r="W228" i="87"/>
  <c r="X228" i="87" s="1"/>
  <c r="Y228" i="87"/>
  <c r="AA228" i="87"/>
  <c r="AH228" i="87"/>
  <c r="AI228" i="87" s="1"/>
  <c r="AK228" i="87"/>
  <c r="AL228" i="87" s="1"/>
  <c r="B229" i="87"/>
  <c r="J229" i="87"/>
  <c r="L229" i="87"/>
  <c r="N229" i="87"/>
  <c r="P229" i="87"/>
  <c r="R229" i="87"/>
  <c r="T229" i="87"/>
  <c r="V229" i="87"/>
  <c r="W229" i="87"/>
  <c r="X229" i="87" s="1"/>
  <c r="Y229" i="87"/>
  <c r="AA229" i="87"/>
  <c r="AH229" i="87"/>
  <c r="AI229" i="87" s="1"/>
  <c r="AK229" i="87"/>
  <c r="AL229" i="87" s="1"/>
  <c r="B230" i="87"/>
  <c r="J230" i="87"/>
  <c r="L230" i="87"/>
  <c r="N230" i="87"/>
  <c r="P230" i="87"/>
  <c r="R230" i="87"/>
  <c r="T230" i="87"/>
  <c r="V230" i="87"/>
  <c r="W230" i="87"/>
  <c r="X230" i="87" s="1"/>
  <c r="Y230" i="87"/>
  <c r="AD230" i="87" s="1"/>
  <c r="AE230" i="87" s="1"/>
  <c r="AF230" i="87" s="1"/>
  <c r="AA230" i="87"/>
  <c r="AH230" i="87"/>
  <c r="AI230" i="87" s="1"/>
  <c r="AK230" i="87"/>
  <c r="AL230" i="87" s="1"/>
  <c r="B231" i="87"/>
  <c r="J231" i="87"/>
  <c r="L231" i="87"/>
  <c r="N231" i="87"/>
  <c r="P231" i="87"/>
  <c r="R231" i="87"/>
  <c r="T231" i="87"/>
  <c r="V231" i="87"/>
  <c r="W231" i="87"/>
  <c r="X231" i="87" s="1"/>
  <c r="Y231" i="87"/>
  <c r="AA231" i="87"/>
  <c r="AH231" i="87"/>
  <c r="AI231" i="87" s="1"/>
  <c r="AK231" i="87"/>
  <c r="AL231" i="87" s="1"/>
  <c r="B232" i="87"/>
  <c r="J232" i="87"/>
  <c r="L232" i="87"/>
  <c r="N232" i="87"/>
  <c r="P232" i="87"/>
  <c r="R232" i="87"/>
  <c r="T232" i="87"/>
  <c r="V232" i="87"/>
  <c r="W232" i="87"/>
  <c r="X232" i="87" s="1"/>
  <c r="Y232" i="87"/>
  <c r="AA232" i="87"/>
  <c r="AH232" i="87"/>
  <c r="AI232" i="87" s="1"/>
  <c r="AK232" i="87"/>
  <c r="AL232" i="87" s="1"/>
  <c r="B233" i="87"/>
  <c r="J233" i="87"/>
  <c r="L233" i="87"/>
  <c r="N233" i="87"/>
  <c r="P233" i="87"/>
  <c r="R233" i="87"/>
  <c r="T233" i="87"/>
  <c r="V233" i="87"/>
  <c r="W233" i="87"/>
  <c r="X233" i="87" s="1"/>
  <c r="Y233" i="87"/>
  <c r="AA233" i="87"/>
  <c r="AH233" i="87"/>
  <c r="AI233" i="87" s="1"/>
  <c r="AK233" i="87"/>
  <c r="AL233" i="87" s="1"/>
  <c r="B234" i="87"/>
  <c r="J234" i="87"/>
  <c r="L234" i="87"/>
  <c r="N234" i="87"/>
  <c r="P234" i="87"/>
  <c r="R234" i="87"/>
  <c r="T234" i="87"/>
  <c r="V234" i="87"/>
  <c r="W234" i="87"/>
  <c r="X234" i="87" s="1"/>
  <c r="Y234" i="87"/>
  <c r="AA234" i="87"/>
  <c r="AH234" i="87"/>
  <c r="AI234" i="87" s="1"/>
  <c r="AK234" i="87"/>
  <c r="AL234" i="87" s="1"/>
  <c r="B235" i="87"/>
  <c r="J235" i="87"/>
  <c r="L235" i="87"/>
  <c r="N235" i="87"/>
  <c r="P235" i="87"/>
  <c r="R235" i="87"/>
  <c r="T235" i="87"/>
  <c r="V235" i="87"/>
  <c r="W235" i="87"/>
  <c r="X235" i="87" s="1"/>
  <c r="Y235" i="87"/>
  <c r="AA235" i="87"/>
  <c r="AH235" i="87"/>
  <c r="AI235" i="87" s="1"/>
  <c r="AK235" i="87"/>
  <c r="AL235" i="87" s="1"/>
  <c r="B236" i="87"/>
  <c r="J236" i="87"/>
  <c r="L236" i="87"/>
  <c r="N236" i="87"/>
  <c r="P236" i="87"/>
  <c r="R236" i="87"/>
  <c r="T236" i="87"/>
  <c r="V236" i="87"/>
  <c r="W236" i="87"/>
  <c r="X236" i="87" s="1"/>
  <c r="Y236" i="87"/>
  <c r="AA236" i="87"/>
  <c r="AH236" i="87"/>
  <c r="AI236" i="87" s="1"/>
  <c r="AK236" i="87"/>
  <c r="AL236" i="87" s="1"/>
  <c r="B237" i="87"/>
  <c r="J237" i="87"/>
  <c r="L237" i="87"/>
  <c r="N237" i="87"/>
  <c r="P237" i="87"/>
  <c r="R237" i="87"/>
  <c r="T237" i="87"/>
  <c r="V237" i="87"/>
  <c r="W237" i="87"/>
  <c r="X237" i="87" s="1"/>
  <c r="Y237" i="87"/>
  <c r="AA237" i="87"/>
  <c r="AH237" i="87"/>
  <c r="AI237" i="87" s="1"/>
  <c r="AK237" i="87"/>
  <c r="AL237" i="87" s="1"/>
  <c r="B238" i="87"/>
  <c r="J238" i="87"/>
  <c r="L238" i="87"/>
  <c r="N238" i="87"/>
  <c r="P238" i="87"/>
  <c r="R238" i="87"/>
  <c r="T238" i="87"/>
  <c r="V238" i="87"/>
  <c r="W238" i="87"/>
  <c r="X238" i="87" s="1"/>
  <c r="Y238" i="87"/>
  <c r="AA238" i="87"/>
  <c r="AH238" i="87"/>
  <c r="AI238" i="87" s="1"/>
  <c r="AK238" i="87"/>
  <c r="AL238" i="87" s="1"/>
  <c r="B239" i="87"/>
  <c r="J239" i="87"/>
  <c r="L239" i="87"/>
  <c r="N239" i="87"/>
  <c r="P239" i="87"/>
  <c r="R239" i="87"/>
  <c r="T239" i="87"/>
  <c r="V239" i="87"/>
  <c r="W239" i="87"/>
  <c r="X239" i="87" s="1"/>
  <c r="Y239" i="87"/>
  <c r="AA239" i="87"/>
  <c r="AH239" i="87"/>
  <c r="AI239" i="87" s="1"/>
  <c r="AK239" i="87"/>
  <c r="AL239" i="87" s="1"/>
  <c r="B240" i="87"/>
  <c r="J240" i="87"/>
  <c r="L240" i="87"/>
  <c r="N240" i="87"/>
  <c r="P240" i="87"/>
  <c r="R240" i="87"/>
  <c r="T240" i="87"/>
  <c r="V240" i="87"/>
  <c r="W240" i="87"/>
  <c r="X240" i="87" s="1"/>
  <c r="Y240" i="87"/>
  <c r="AA240" i="87"/>
  <c r="AH240" i="87"/>
  <c r="AI240" i="87" s="1"/>
  <c r="AK240" i="87"/>
  <c r="AL240" i="87" s="1"/>
  <c r="B241" i="87"/>
  <c r="J241" i="87"/>
  <c r="L241" i="87"/>
  <c r="N241" i="87"/>
  <c r="P241" i="87"/>
  <c r="R241" i="87"/>
  <c r="T241" i="87"/>
  <c r="V241" i="87"/>
  <c r="W241" i="87"/>
  <c r="X241" i="87" s="1"/>
  <c r="Y241" i="87"/>
  <c r="AA241" i="87"/>
  <c r="AH241" i="87"/>
  <c r="AI241" i="87" s="1"/>
  <c r="AK241" i="87"/>
  <c r="AL241" i="87" s="1"/>
  <c r="B242" i="87"/>
  <c r="J242" i="87"/>
  <c r="L242" i="87"/>
  <c r="N242" i="87"/>
  <c r="P242" i="87"/>
  <c r="R242" i="87"/>
  <c r="T242" i="87"/>
  <c r="V242" i="87"/>
  <c r="W242" i="87"/>
  <c r="X242" i="87" s="1"/>
  <c r="Y242" i="87"/>
  <c r="AD242" i="87" s="1"/>
  <c r="AE242" i="87" s="1"/>
  <c r="AF242" i="87" s="1"/>
  <c r="AA242" i="87"/>
  <c r="AH242" i="87"/>
  <c r="AI242" i="87" s="1"/>
  <c r="AK242" i="87"/>
  <c r="AL242" i="87" s="1"/>
  <c r="B243" i="87"/>
  <c r="J243" i="87"/>
  <c r="L243" i="87"/>
  <c r="N243" i="87"/>
  <c r="P243" i="87"/>
  <c r="R243" i="87"/>
  <c r="T243" i="87"/>
  <c r="V243" i="87"/>
  <c r="W243" i="87"/>
  <c r="X243" i="87" s="1"/>
  <c r="Y243" i="87"/>
  <c r="AA243" i="87"/>
  <c r="AH243" i="87"/>
  <c r="AI243" i="87" s="1"/>
  <c r="AK243" i="87"/>
  <c r="AL243" i="87" s="1"/>
  <c r="B244" i="87"/>
  <c r="J244" i="87"/>
  <c r="L244" i="87"/>
  <c r="N244" i="87"/>
  <c r="P244" i="87"/>
  <c r="R244" i="87"/>
  <c r="T244" i="87"/>
  <c r="V244" i="87"/>
  <c r="W244" i="87"/>
  <c r="X244" i="87" s="1"/>
  <c r="Y244" i="87"/>
  <c r="AA244" i="87"/>
  <c r="AH244" i="87"/>
  <c r="AI244" i="87" s="1"/>
  <c r="AK244" i="87"/>
  <c r="AL244" i="87" s="1"/>
  <c r="B245" i="87"/>
  <c r="J245" i="87"/>
  <c r="L245" i="87"/>
  <c r="N245" i="87"/>
  <c r="P245" i="87"/>
  <c r="R245" i="87"/>
  <c r="T245" i="87"/>
  <c r="V245" i="87"/>
  <c r="W245" i="87"/>
  <c r="X245" i="87" s="1"/>
  <c r="Y245" i="87"/>
  <c r="AD245" i="87" s="1"/>
  <c r="AE245" i="87" s="1"/>
  <c r="AF245" i="87" s="1"/>
  <c r="AA245" i="87"/>
  <c r="AH245" i="87"/>
  <c r="AI245" i="87" s="1"/>
  <c r="AK245" i="87"/>
  <c r="AL245" i="87" s="1"/>
  <c r="B246" i="87"/>
  <c r="J246" i="87"/>
  <c r="L246" i="87"/>
  <c r="N246" i="87"/>
  <c r="P246" i="87"/>
  <c r="R246" i="87"/>
  <c r="T246" i="87"/>
  <c r="V246" i="87"/>
  <c r="W246" i="87"/>
  <c r="X246" i="87" s="1"/>
  <c r="Y246" i="87"/>
  <c r="AA246" i="87"/>
  <c r="AH246" i="87"/>
  <c r="AI246" i="87" s="1"/>
  <c r="AK246" i="87"/>
  <c r="AL246" i="87" s="1"/>
  <c r="B247" i="87"/>
  <c r="J247" i="87"/>
  <c r="L247" i="87"/>
  <c r="N247" i="87"/>
  <c r="P247" i="87"/>
  <c r="R247" i="87"/>
  <c r="T247" i="87"/>
  <c r="V247" i="87"/>
  <c r="W247" i="87"/>
  <c r="X247" i="87" s="1"/>
  <c r="Y247" i="87"/>
  <c r="AA247" i="87"/>
  <c r="AH247" i="87"/>
  <c r="AI247" i="87" s="1"/>
  <c r="AK247" i="87"/>
  <c r="AL247" i="87" s="1"/>
  <c r="B248" i="87"/>
  <c r="J248" i="87"/>
  <c r="L248" i="87"/>
  <c r="N248" i="87"/>
  <c r="P248" i="87"/>
  <c r="R248" i="87"/>
  <c r="T248" i="87"/>
  <c r="V248" i="87"/>
  <c r="W248" i="87"/>
  <c r="X248" i="87" s="1"/>
  <c r="Y248" i="87"/>
  <c r="AD248" i="87" s="1"/>
  <c r="AE248" i="87" s="1"/>
  <c r="AF248" i="87" s="1"/>
  <c r="AA248" i="87"/>
  <c r="AH248" i="87"/>
  <c r="AI248" i="87" s="1"/>
  <c r="AK248" i="87"/>
  <c r="AL248" i="87" s="1"/>
  <c r="B249" i="87"/>
  <c r="J249" i="87"/>
  <c r="L249" i="87"/>
  <c r="N249" i="87"/>
  <c r="P249" i="87"/>
  <c r="R249" i="87"/>
  <c r="T249" i="87"/>
  <c r="V249" i="87"/>
  <c r="W249" i="87"/>
  <c r="X249" i="87" s="1"/>
  <c r="Y249" i="87"/>
  <c r="AA249" i="87"/>
  <c r="B250" i="87"/>
  <c r="J250" i="87"/>
  <c r="L250" i="87"/>
  <c r="N250" i="87"/>
  <c r="P250" i="87"/>
  <c r="R250" i="87"/>
  <c r="T250" i="87"/>
  <c r="V250" i="87"/>
  <c r="W250" i="87"/>
  <c r="X250" i="87" s="1"/>
  <c r="Y250" i="87"/>
  <c r="AD250" i="87" s="1"/>
  <c r="AE250" i="87" s="1"/>
  <c r="AF250" i="87" s="1"/>
  <c r="AA250" i="87"/>
  <c r="AH250" i="87"/>
  <c r="AI250" i="87" s="1"/>
  <c r="AK250" i="87"/>
  <c r="AL250" i="87" s="1"/>
  <c r="B251" i="87"/>
  <c r="J251" i="87"/>
  <c r="L251" i="87"/>
  <c r="N251" i="87"/>
  <c r="P251" i="87"/>
  <c r="R251" i="87"/>
  <c r="T251" i="87"/>
  <c r="V251" i="87"/>
  <c r="W251" i="87"/>
  <c r="X251" i="87" s="1"/>
  <c r="Y251" i="87"/>
  <c r="AA251" i="87"/>
  <c r="AH251" i="87"/>
  <c r="AI251" i="87" s="1"/>
  <c r="AK251" i="87"/>
  <c r="AL251" i="87" s="1"/>
  <c r="AD231" i="87" l="1"/>
  <c r="AE231" i="87" s="1"/>
  <c r="AF231" i="87" s="1"/>
  <c r="AD152" i="87"/>
  <c r="AE152" i="87" s="1"/>
  <c r="AF152" i="87" s="1"/>
  <c r="AB152" i="87"/>
  <c r="AC152" i="87" s="1"/>
  <c r="AD83" i="87"/>
  <c r="AE83" i="87" s="1"/>
  <c r="AF83" i="87" s="1"/>
  <c r="AG83" i="87" s="1"/>
  <c r="AD49" i="87"/>
  <c r="AE49" i="87" s="1"/>
  <c r="AF49" i="87" s="1"/>
  <c r="AD216" i="87"/>
  <c r="AE216" i="87" s="1"/>
  <c r="AF216" i="87" s="1"/>
  <c r="AG216" i="87" s="1"/>
  <c r="AD160" i="87"/>
  <c r="AE160" i="87" s="1"/>
  <c r="AF160" i="87" s="1"/>
  <c r="AG160" i="87" s="1"/>
  <c r="AD249" i="87"/>
  <c r="AE249" i="87" s="1"/>
  <c r="AF249" i="87" s="1"/>
  <c r="AD169" i="87"/>
  <c r="AE169" i="87" s="1"/>
  <c r="AF169" i="87" s="1"/>
  <c r="AG169" i="87" s="1"/>
  <c r="AD55" i="87"/>
  <c r="AE55" i="87" s="1"/>
  <c r="AF55" i="87" s="1"/>
  <c r="AJ55" i="87" s="1"/>
  <c r="AD87" i="87"/>
  <c r="AE87" i="87" s="1"/>
  <c r="AF87" i="87" s="1"/>
  <c r="AJ87" i="87" s="1"/>
  <c r="AD53" i="87"/>
  <c r="AE53" i="87" s="1"/>
  <c r="AF53" i="87" s="1"/>
  <c r="AJ53" i="87" s="1"/>
  <c r="AD206" i="87"/>
  <c r="AE206" i="87" s="1"/>
  <c r="AF206" i="87" s="1"/>
  <c r="AB186" i="87"/>
  <c r="AC186" i="87" s="1"/>
  <c r="AD56" i="87"/>
  <c r="AE56" i="87" s="1"/>
  <c r="AF56" i="87" s="1"/>
  <c r="AG56" i="87" s="1"/>
  <c r="AB241" i="87"/>
  <c r="AC241" i="87" s="1"/>
  <c r="AD222" i="87"/>
  <c r="AE222" i="87" s="1"/>
  <c r="AF222" i="87" s="1"/>
  <c r="AG222" i="87" s="1"/>
  <c r="AD144" i="87"/>
  <c r="AE144" i="87" s="1"/>
  <c r="AF144" i="87" s="1"/>
  <c r="AD233" i="87"/>
  <c r="AE233" i="87" s="1"/>
  <c r="AF233" i="87" s="1"/>
  <c r="AD182" i="87"/>
  <c r="AE182" i="87" s="1"/>
  <c r="AF182" i="87" s="1"/>
  <c r="AD122" i="87"/>
  <c r="AE122" i="87" s="1"/>
  <c r="AF122" i="87" s="1"/>
  <c r="AD54" i="87"/>
  <c r="AE54" i="87" s="1"/>
  <c r="AF54" i="87" s="1"/>
  <c r="AD43" i="87"/>
  <c r="AE43" i="87" s="1"/>
  <c r="AF43" i="87" s="1"/>
  <c r="AJ43" i="87" s="1"/>
  <c r="AD40" i="87"/>
  <c r="AE40" i="87" s="1"/>
  <c r="AF40" i="87" s="1"/>
  <c r="AD37" i="87"/>
  <c r="AE37" i="87" s="1"/>
  <c r="AF37" i="87" s="1"/>
  <c r="AB217" i="87"/>
  <c r="AC217" i="87" s="1"/>
  <c r="AD185" i="87"/>
  <c r="AE185" i="87" s="1"/>
  <c r="AF185" i="87" s="1"/>
  <c r="AD177" i="87"/>
  <c r="AE177" i="87" s="1"/>
  <c r="AF177" i="87" s="1"/>
  <c r="AD162" i="87"/>
  <c r="AE162" i="87" s="1"/>
  <c r="AF162" i="87" s="1"/>
  <c r="AD103" i="87"/>
  <c r="AE103" i="87" s="1"/>
  <c r="AF103" i="87" s="1"/>
  <c r="AJ103" i="87" s="1"/>
  <c r="AD26" i="87"/>
  <c r="AE26" i="87" s="1"/>
  <c r="AF26" i="87" s="1"/>
  <c r="AJ26" i="87" s="1"/>
  <c r="AD18" i="87"/>
  <c r="AE18" i="87" s="1"/>
  <c r="AF18" i="87" s="1"/>
  <c r="AB242" i="87"/>
  <c r="AC242" i="87" s="1"/>
  <c r="AD90" i="87"/>
  <c r="AE90" i="87" s="1"/>
  <c r="AF90" i="87" s="1"/>
  <c r="AB70" i="87"/>
  <c r="AC70" i="87" s="1"/>
  <c r="AD67" i="87"/>
  <c r="AE67" i="87" s="1"/>
  <c r="AF67" i="87" s="1"/>
  <c r="AJ67" i="87" s="1"/>
  <c r="AB223" i="87"/>
  <c r="AC223" i="87" s="1"/>
  <c r="AB91" i="87"/>
  <c r="AC91" i="87" s="1"/>
  <c r="AB54" i="87"/>
  <c r="AC54" i="87" s="1"/>
  <c r="AD239" i="87"/>
  <c r="AE239" i="87" s="1"/>
  <c r="AF239" i="87" s="1"/>
  <c r="AB110" i="87"/>
  <c r="AC110" i="87" s="1"/>
  <c r="AD109" i="87"/>
  <c r="AE109" i="87" s="1"/>
  <c r="AF109" i="87" s="1"/>
  <c r="AJ109" i="87" s="1"/>
  <c r="AD118" i="87"/>
  <c r="AE118" i="87" s="1"/>
  <c r="AF118" i="87" s="1"/>
  <c r="AD117" i="87"/>
  <c r="AE117" i="87" s="1"/>
  <c r="AF117" i="87" s="1"/>
  <c r="AJ117" i="87" s="1"/>
  <c r="AD80" i="87"/>
  <c r="AE80" i="87" s="1"/>
  <c r="AF80" i="87" s="1"/>
  <c r="AD59" i="87"/>
  <c r="AE59" i="87" s="1"/>
  <c r="AF59" i="87" s="1"/>
  <c r="AJ59" i="87" s="1"/>
  <c r="AD236" i="87"/>
  <c r="AE236" i="87" s="1"/>
  <c r="AF236" i="87" s="1"/>
  <c r="AJ236" i="87" s="1"/>
  <c r="AD193" i="87"/>
  <c r="AE193" i="87" s="1"/>
  <c r="AF193" i="87" s="1"/>
  <c r="AJ193" i="87" s="1"/>
  <c r="AD174" i="87"/>
  <c r="AE174" i="87" s="1"/>
  <c r="AF174" i="87" s="1"/>
  <c r="AD146" i="87"/>
  <c r="AE146" i="87" s="1"/>
  <c r="AF146" i="87" s="1"/>
  <c r="AD137" i="87"/>
  <c r="AE137" i="87" s="1"/>
  <c r="AF137" i="87" s="1"/>
  <c r="AG137" i="87" s="1"/>
  <c r="AD127" i="87"/>
  <c r="AE127" i="87" s="1"/>
  <c r="AF127" i="87" s="1"/>
  <c r="AD98" i="87"/>
  <c r="AE98" i="87" s="1"/>
  <c r="AF98" i="87" s="1"/>
  <c r="AJ98" i="87" s="1"/>
  <c r="AD88" i="87"/>
  <c r="AE88" i="87" s="1"/>
  <c r="AF88" i="87" s="1"/>
  <c r="AD68" i="87"/>
  <c r="AE68" i="87" s="1"/>
  <c r="AF68" i="87" s="1"/>
  <c r="AD22" i="87"/>
  <c r="AE22" i="87" s="1"/>
  <c r="AF22" i="87" s="1"/>
  <c r="AB74" i="87"/>
  <c r="AC74" i="87" s="1"/>
  <c r="AD227" i="87"/>
  <c r="AE227" i="87" s="1"/>
  <c r="AF227" i="87" s="1"/>
  <c r="AD145" i="87"/>
  <c r="AE145" i="87" s="1"/>
  <c r="AF145" i="87" s="1"/>
  <c r="AJ145" i="87" s="1"/>
  <c r="AD106" i="87"/>
  <c r="AE106" i="87" s="1"/>
  <c r="AF106" i="87" s="1"/>
  <c r="AG106" i="87" s="1"/>
  <c r="AD243" i="87"/>
  <c r="AE243" i="87" s="1"/>
  <c r="AF243" i="87" s="1"/>
  <c r="AD30" i="87"/>
  <c r="AE30" i="87" s="1"/>
  <c r="AF30" i="87" s="1"/>
  <c r="AD21" i="87"/>
  <c r="AE21" i="87" s="1"/>
  <c r="AF21" i="87" s="1"/>
  <c r="AD225" i="87"/>
  <c r="AE225" i="87" s="1"/>
  <c r="AF225" i="87" s="1"/>
  <c r="AB144" i="87"/>
  <c r="AC144" i="87" s="1"/>
  <c r="AD143" i="87"/>
  <c r="AE143" i="87" s="1"/>
  <c r="AF143" i="87" s="1"/>
  <c r="AB104" i="87"/>
  <c r="AC104" i="87" s="1"/>
  <c r="AD77" i="87"/>
  <c r="AE77" i="87" s="1"/>
  <c r="AF77" i="87" s="1"/>
  <c r="AD189" i="87"/>
  <c r="AE189" i="87" s="1"/>
  <c r="AF189" i="87" s="1"/>
  <c r="AD161" i="87"/>
  <c r="AE161" i="87" s="1"/>
  <c r="AF161" i="87" s="1"/>
  <c r="AD142" i="87"/>
  <c r="AE142" i="87" s="1"/>
  <c r="AF142" i="87" s="1"/>
  <c r="AG142" i="87" s="1"/>
  <c r="AD134" i="87"/>
  <c r="AE134" i="87" s="1"/>
  <c r="AF134" i="87" s="1"/>
  <c r="AG134" i="87" s="1"/>
  <c r="AD124" i="87"/>
  <c r="AE124" i="87" s="1"/>
  <c r="AF124" i="87" s="1"/>
  <c r="AB37" i="87"/>
  <c r="AC37" i="87" s="1"/>
  <c r="N7" i="57"/>
  <c r="M7" i="57"/>
  <c r="AD199" i="87"/>
  <c r="AE199" i="87" s="1"/>
  <c r="AF199" i="87" s="1"/>
  <c r="AD166" i="87"/>
  <c r="AE166" i="87" s="1"/>
  <c r="AF166" i="87" s="1"/>
  <c r="AG166" i="87" s="1"/>
  <c r="AD129" i="87"/>
  <c r="AE129" i="87" s="1"/>
  <c r="AF129" i="87" s="1"/>
  <c r="AJ129" i="87" s="1"/>
  <c r="AD112" i="87"/>
  <c r="AE112" i="87" s="1"/>
  <c r="AF112" i="87" s="1"/>
  <c r="AD110" i="87"/>
  <c r="AE110" i="87" s="1"/>
  <c r="AF110" i="87" s="1"/>
  <c r="AD97" i="87"/>
  <c r="AE97" i="87" s="1"/>
  <c r="AF97" i="87" s="1"/>
  <c r="AJ97" i="87" s="1"/>
  <c r="AD60" i="87"/>
  <c r="AE60" i="87" s="1"/>
  <c r="AF60" i="87" s="1"/>
  <c r="AJ60" i="87" s="1"/>
  <c r="AD38" i="87"/>
  <c r="AE38" i="87" s="1"/>
  <c r="AF38" i="87" s="1"/>
  <c r="AJ38" i="87" s="1"/>
  <c r="AD32" i="87"/>
  <c r="AE32" i="87" s="1"/>
  <c r="AF32" i="87" s="1"/>
  <c r="AJ32" i="87" s="1"/>
  <c r="AD17" i="87"/>
  <c r="AE17" i="87" s="1"/>
  <c r="AF17" i="87" s="1"/>
  <c r="AG17" i="87" s="1"/>
  <c r="AD215" i="87"/>
  <c r="AE215" i="87" s="1"/>
  <c r="AF215" i="87" s="1"/>
  <c r="AD153" i="87"/>
  <c r="AE153" i="87" s="1"/>
  <c r="AF153" i="87" s="1"/>
  <c r="AD111" i="87"/>
  <c r="AE111" i="87" s="1"/>
  <c r="AF111" i="87" s="1"/>
  <c r="AJ111" i="87" s="1"/>
  <c r="AD91" i="87"/>
  <c r="AE91" i="87" s="1"/>
  <c r="AF91" i="87" s="1"/>
  <c r="AJ91" i="87" s="1"/>
  <c r="AD241" i="87"/>
  <c r="AE241" i="87" s="1"/>
  <c r="AF241" i="87" s="1"/>
  <c r="AD237" i="87"/>
  <c r="AE237" i="87" s="1"/>
  <c r="AF237" i="87" s="1"/>
  <c r="AD229" i="87"/>
  <c r="AE229" i="87" s="1"/>
  <c r="AF229" i="87" s="1"/>
  <c r="AD221" i="87"/>
  <c r="AE221" i="87" s="1"/>
  <c r="AF221" i="87" s="1"/>
  <c r="AD212" i="87"/>
  <c r="AE212" i="87" s="1"/>
  <c r="AF212" i="87" s="1"/>
  <c r="AJ212" i="87" s="1"/>
  <c r="AD201" i="87"/>
  <c r="AE201" i="87" s="1"/>
  <c r="AF201" i="87" s="1"/>
  <c r="AJ201" i="87" s="1"/>
  <c r="AD184" i="87"/>
  <c r="AE184" i="87" s="1"/>
  <c r="AF184" i="87" s="1"/>
  <c r="AG184" i="87" s="1"/>
  <c r="AD176" i="87"/>
  <c r="AE176" i="87" s="1"/>
  <c r="AF176" i="87" s="1"/>
  <c r="AD168" i="87"/>
  <c r="AE168" i="87" s="1"/>
  <c r="AF168" i="87" s="1"/>
  <c r="AD157" i="87"/>
  <c r="AE157" i="87" s="1"/>
  <c r="AF157" i="87" s="1"/>
  <c r="AD151" i="87"/>
  <c r="AE151" i="87" s="1"/>
  <c r="AF151" i="87" s="1"/>
  <c r="AD147" i="87"/>
  <c r="AE147" i="87" s="1"/>
  <c r="AF147" i="87" s="1"/>
  <c r="AD141" i="87"/>
  <c r="AE141" i="87" s="1"/>
  <c r="AF141" i="87" s="1"/>
  <c r="AD126" i="87"/>
  <c r="AE126" i="87" s="1"/>
  <c r="AF126" i="87" s="1"/>
  <c r="AJ126" i="87" s="1"/>
  <c r="AD108" i="87"/>
  <c r="AE108" i="87" s="1"/>
  <c r="AF108" i="87" s="1"/>
  <c r="AG108" i="87" s="1"/>
  <c r="AD104" i="87"/>
  <c r="AE104" i="87" s="1"/>
  <c r="AF104" i="87" s="1"/>
  <c r="AB81" i="87"/>
  <c r="AC81" i="87" s="1"/>
  <c r="AD78" i="87"/>
  <c r="AE78" i="87" s="1"/>
  <c r="AF78" i="87" s="1"/>
  <c r="AJ78" i="87" s="1"/>
  <c r="AD74" i="87"/>
  <c r="AE74" i="87" s="1"/>
  <c r="AF74" i="87" s="1"/>
  <c r="AD52" i="87"/>
  <c r="AE52" i="87" s="1"/>
  <c r="AF52" i="87" s="1"/>
  <c r="AG52" i="87" s="1"/>
  <c r="AD47" i="87"/>
  <c r="AE47" i="87" s="1"/>
  <c r="AF47" i="87" s="1"/>
  <c r="AJ47" i="87" s="1"/>
  <c r="AD42" i="87"/>
  <c r="AE42" i="87" s="1"/>
  <c r="AF42" i="87" s="1"/>
  <c r="AD28" i="87"/>
  <c r="AE28" i="87" s="1"/>
  <c r="AF28" i="87" s="1"/>
  <c r="AD24" i="87"/>
  <c r="AE24" i="87" s="1"/>
  <c r="AF24" i="87" s="1"/>
  <c r="AD251" i="87"/>
  <c r="AE251" i="87" s="1"/>
  <c r="AF251" i="87" s="1"/>
  <c r="AD232" i="87"/>
  <c r="AE232" i="87" s="1"/>
  <c r="AF232" i="87" s="1"/>
  <c r="AD183" i="87"/>
  <c r="AE183" i="87" s="1"/>
  <c r="AF183" i="87" s="1"/>
  <c r="AJ183" i="87" s="1"/>
  <c r="AD179" i="87"/>
  <c r="AE179" i="87" s="1"/>
  <c r="AF179" i="87" s="1"/>
  <c r="AD171" i="87"/>
  <c r="AE171" i="87" s="1"/>
  <c r="AF171" i="87" s="1"/>
  <c r="AJ171" i="87" s="1"/>
  <c r="AD150" i="87"/>
  <c r="AE150" i="87" s="1"/>
  <c r="AF150" i="87" s="1"/>
  <c r="AJ150" i="87" s="1"/>
  <c r="AD99" i="87"/>
  <c r="AE99" i="87" s="1"/>
  <c r="AF99" i="87" s="1"/>
  <c r="AD81" i="87"/>
  <c r="AE81" i="87" s="1"/>
  <c r="AF81" i="87" s="1"/>
  <c r="AB76" i="87"/>
  <c r="AC76" i="87" s="1"/>
  <c r="AD73" i="87"/>
  <c r="AE73" i="87" s="1"/>
  <c r="AF73" i="87" s="1"/>
  <c r="AD69" i="87"/>
  <c r="AE69" i="87" s="1"/>
  <c r="AF69" i="87" s="1"/>
  <c r="AD19" i="87"/>
  <c r="AE19" i="87" s="1"/>
  <c r="AF19" i="87" s="1"/>
  <c r="AD246" i="87"/>
  <c r="AE246" i="87" s="1"/>
  <c r="AF246" i="87" s="1"/>
  <c r="AD240" i="87"/>
  <c r="AE240" i="87" s="1"/>
  <c r="AF240" i="87" s="1"/>
  <c r="AD235" i="87"/>
  <c r="AE235" i="87" s="1"/>
  <c r="AF235" i="87" s="1"/>
  <c r="AD207" i="87"/>
  <c r="AE207" i="87" s="1"/>
  <c r="AF207" i="87" s="1"/>
  <c r="AD194" i="87"/>
  <c r="AE194" i="87" s="1"/>
  <c r="AF194" i="87" s="1"/>
  <c r="AG194" i="87" s="1"/>
  <c r="AD186" i="87"/>
  <c r="AE186" i="87" s="1"/>
  <c r="AF186" i="87" s="1"/>
  <c r="AG186" i="87" s="1"/>
  <c r="AD140" i="87"/>
  <c r="AE140" i="87" s="1"/>
  <c r="AF140" i="87" s="1"/>
  <c r="AD131" i="87"/>
  <c r="AE131" i="87" s="1"/>
  <c r="AF131" i="87" s="1"/>
  <c r="AJ131" i="87" s="1"/>
  <c r="AD128" i="87"/>
  <c r="AE128" i="87" s="1"/>
  <c r="AF128" i="87" s="1"/>
  <c r="AB120" i="87"/>
  <c r="AC120" i="87" s="1"/>
  <c r="AD113" i="87"/>
  <c r="AE113" i="87" s="1"/>
  <c r="AF113" i="87" s="1"/>
  <c r="AD107" i="87"/>
  <c r="AE107" i="87" s="1"/>
  <c r="AF107" i="87" s="1"/>
  <c r="AD102" i="87"/>
  <c r="AE102" i="87" s="1"/>
  <c r="AF102" i="87" s="1"/>
  <c r="AG102" i="87" s="1"/>
  <c r="AD84" i="87"/>
  <c r="AE84" i="87" s="1"/>
  <c r="AF84" i="87" s="1"/>
  <c r="AD76" i="87"/>
  <c r="AE76" i="87" s="1"/>
  <c r="AF76" i="87" s="1"/>
  <c r="AD45" i="87"/>
  <c r="AE45" i="87" s="1"/>
  <c r="AF45" i="87" s="1"/>
  <c r="AD27" i="87"/>
  <c r="AE27" i="87" s="1"/>
  <c r="AF27" i="87" s="1"/>
  <c r="AJ27" i="87" s="1"/>
  <c r="AB251" i="87"/>
  <c r="AC251" i="87" s="1"/>
  <c r="AB249" i="87"/>
  <c r="AC249" i="87" s="1"/>
  <c r="AB248" i="87"/>
  <c r="AC248" i="87" s="1"/>
  <c r="AB247" i="87"/>
  <c r="AC247" i="87" s="1"/>
  <c r="AB246" i="87"/>
  <c r="AC246" i="87" s="1"/>
  <c r="AB245" i="87"/>
  <c r="AC245" i="87" s="1"/>
  <c r="AB244" i="87"/>
  <c r="AC244" i="87" s="1"/>
  <c r="AB239" i="87"/>
  <c r="AC239" i="87" s="1"/>
  <c r="AB238" i="87"/>
  <c r="AC238" i="87" s="1"/>
  <c r="AB237" i="87"/>
  <c r="AC237" i="87" s="1"/>
  <c r="AB236" i="87"/>
  <c r="AC236" i="87" s="1"/>
  <c r="AB235" i="87"/>
  <c r="AC235" i="87" s="1"/>
  <c r="AB234" i="87"/>
  <c r="AC234" i="87" s="1"/>
  <c r="AB233" i="87"/>
  <c r="AC233" i="87" s="1"/>
  <c r="AB231" i="87"/>
  <c r="AC231" i="87" s="1"/>
  <c r="AB230" i="87"/>
  <c r="AC230" i="87" s="1"/>
  <c r="AB229" i="87"/>
  <c r="AC229" i="87" s="1"/>
  <c r="AB228" i="87"/>
  <c r="AC228" i="87" s="1"/>
  <c r="AB227" i="87"/>
  <c r="AC227" i="87" s="1"/>
  <c r="AB226" i="87"/>
  <c r="AC226" i="87" s="1"/>
  <c r="AB225" i="87"/>
  <c r="AC225" i="87" s="1"/>
  <c r="AB224" i="87"/>
  <c r="AC224" i="87" s="1"/>
  <c r="AB220" i="87"/>
  <c r="AC220" i="87" s="1"/>
  <c r="AD219" i="87"/>
  <c r="AE219" i="87" s="1"/>
  <c r="AF219" i="87" s="1"/>
  <c r="AJ219" i="87" s="1"/>
  <c r="AB218" i="87"/>
  <c r="AC218" i="87" s="1"/>
  <c r="AB216" i="87"/>
  <c r="AC216" i="87" s="1"/>
  <c r="AB215" i="87"/>
  <c r="AC215" i="87" s="1"/>
  <c r="AB213" i="87"/>
  <c r="AC213" i="87" s="1"/>
  <c r="AB212" i="87"/>
  <c r="AC212" i="87" s="1"/>
  <c r="AD210" i="87"/>
  <c r="AE210" i="87" s="1"/>
  <c r="AF210" i="87" s="1"/>
  <c r="AB209" i="87"/>
  <c r="AC209" i="87" s="1"/>
  <c r="AB206" i="87"/>
  <c r="AC206" i="87" s="1"/>
  <c r="AD204" i="87"/>
  <c r="AE204" i="87" s="1"/>
  <c r="AF204" i="87" s="1"/>
  <c r="AB203" i="87"/>
  <c r="AC203" i="87" s="1"/>
  <c r="AB200" i="87"/>
  <c r="AC200" i="87" s="1"/>
  <c r="AB198" i="87"/>
  <c r="AC198" i="87" s="1"/>
  <c r="AB194" i="87"/>
  <c r="AC194" i="87" s="1"/>
  <c r="AB191" i="87"/>
  <c r="AC191" i="87" s="1"/>
  <c r="AB190" i="87"/>
  <c r="AC190" i="87" s="1"/>
  <c r="AB188" i="87"/>
  <c r="AC188" i="87" s="1"/>
  <c r="AB183" i="87"/>
  <c r="AC183" i="87" s="1"/>
  <c r="AB182" i="87"/>
  <c r="AC182" i="87" s="1"/>
  <c r="AD180" i="87"/>
  <c r="AE180" i="87" s="1"/>
  <c r="AF180" i="87" s="1"/>
  <c r="AB177" i="87"/>
  <c r="AC177" i="87" s="1"/>
  <c r="AB176" i="87"/>
  <c r="AC176" i="87" s="1"/>
  <c r="AB175" i="87"/>
  <c r="AC175" i="87" s="1"/>
  <c r="AB174" i="87"/>
  <c r="AC174" i="87" s="1"/>
  <c r="AB173" i="87"/>
  <c r="AC173" i="87" s="1"/>
  <c r="AB170" i="87"/>
  <c r="AC170" i="87" s="1"/>
  <c r="AB168" i="87"/>
  <c r="AC168" i="87" s="1"/>
  <c r="AB167" i="87"/>
  <c r="AC167" i="87" s="1"/>
  <c r="AD165" i="87"/>
  <c r="AE165" i="87" s="1"/>
  <c r="AF165" i="87" s="1"/>
  <c r="AB164" i="87"/>
  <c r="AC164" i="87" s="1"/>
  <c r="AB163" i="87"/>
  <c r="AC163" i="87" s="1"/>
  <c r="AB162" i="87"/>
  <c r="AC162" i="87" s="1"/>
  <c r="AB159" i="87"/>
  <c r="AC159" i="87" s="1"/>
  <c r="AD159" i="87"/>
  <c r="AE159" i="87" s="1"/>
  <c r="AF159" i="87" s="1"/>
  <c r="AB158" i="87"/>
  <c r="AC158" i="87" s="1"/>
  <c r="AD156" i="87"/>
  <c r="AE156" i="87" s="1"/>
  <c r="AF156" i="87" s="1"/>
  <c r="AB155" i="87"/>
  <c r="AC155" i="87" s="1"/>
  <c r="AB150" i="87"/>
  <c r="AC150" i="87" s="1"/>
  <c r="AB149" i="87"/>
  <c r="AC149" i="87" s="1"/>
  <c r="AB147" i="87"/>
  <c r="AC147" i="87" s="1"/>
  <c r="AB146" i="87"/>
  <c r="AC146" i="87" s="1"/>
  <c r="AB145" i="87"/>
  <c r="AC145" i="87" s="1"/>
  <c r="AB141" i="87"/>
  <c r="AC141" i="87" s="1"/>
  <c r="AB140" i="87"/>
  <c r="AC140" i="87" s="1"/>
  <c r="AB139" i="87"/>
  <c r="AC139" i="87" s="1"/>
  <c r="AB138" i="87"/>
  <c r="AC138" i="87" s="1"/>
  <c r="AB137" i="87"/>
  <c r="AC137" i="87" s="1"/>
  <c r="AB136" i="87"/>
  <c r="AC136" i="87" s="1"/>
  <c r="AB134" i="87"/>
  <c r="AC134" i="87" s="1"/>
  <c r="AB132" i="87"/>
  <c r="AC132" i="87" s="1"/>
  <c r="AB131" i="87"/>
  <c r="AC131" i="87" s="1"/>
  <c r="AB130" i="87"/>
  <c r="AC130" i="87" s="1"/>
  <c r="AB129" i="87"/>
  <c r="AC129" i="87" s="1"/>
  <c r="AB127" i="87"/>
  <c r="AC127" i="87" s="1"/>
  <c r="AB126" i="87"/>
  <c r="AC126" i="87" s="1"/>
  <c r="AB125" i="87"/>
  <c r="AC125" i="87" s="1"/>
  <c r="AD125" i="87"/>
  <c r="AE125" i="87" s="1"/>
  <c r="AF125" i="87" s="1"/>
  <c r="AB124" i="87"/>
  <c r="AC124" i="87" s="1"/>
  <c r="AB122" i="87"/>
  <c r="AC122" i="87" s="1"/>
  <c r="AD119" i="87"/>
  <c r="AE119" i="87" s="1"/>
  <c r="AF119" i="87" s="1"/>
  <c r="AB118" i="87"/>
  <c r="AC118" i="87" s="1"/>
  <c r="AB117" i="87"/>
  <c r="AC117" i="87" s="1"/>
  <c r="AB116" i="87"/>
  <c r="AC116" i="87" s="1"/>
  <c r="AB114" i="87"/>
  <c r="AC114" i="87" s="1"/>
  <c r="AB113" i="87"/>
  <c r="AC113" i="87" s="1"/>
  <c r="AB112" i="87"/>
  <c r="AC112" i="87" s="1"/>
  <c r="AB108" i="87"/>
  <c r="AC108" i="87" s="1"/>
  <c r="AB107" i="87"/>
  <c r="AC107" i="87" s="1"/>
  <c r="AB106" i="87"/>
  <c r="AC106" i="87" s="1"/>
  <c r="AB105" i="87"/>
  <c r="AC105" i="87" s="1"/>
  <c r="AB103" i="87"/>
  <c r="AC103" i="87" s="1"/>
  <c r="AB102" i="87"/>
  <c r="AC102" i="87" s="1"/>
  <c r="AB101" i="87"/>
  <c r="AC101" i="87" s="1"/>
  <c r="AD101" i="87"/>
  <c r="AE101" i="87" s="1"/>
  <c r="AF101" i="87" s="1"/>
  <c r="AJ101" i="87" s="1"/>
  <c r="AB97" i="87"/>
  <c r="AC97" i="87" s="1"/>
  <c r="AB96" i="87"/>
  <c r="AC96" i="87" s="1"/>
  <c r="AB95" i="87"/>
  <c r="AC95" i="87" s="1"/>
  <c r="AB93" i="87"/>
  <c r="AC93" i="87" s="1"/>
  <c r="AB92" i="87"/>
  <c r="AC92" i="87" s="1"/>
  <c r="AB90" i="87"/>
  <c r="AC90" i="87" s="1"/>
  <c r="AB89" i="87"/>
  <c r="AC89" i="87" s="1"/>
  <c r="AB88" i="87"/>
  <c r="AC88" i="87" s="1"/>
  <c r="AB86" i="87"/>
  <c r="AC86" i="87" s="1"/>
  <c r="AB85" i="87"/>
  <c r="AC85" i="87" s="1"/>
  <c r="AB84" i="87"/>
  <c r="AC84" i="87" s="1"/>
  <c r="AB83" i="87"/>
  <c r="AC83" i="87" s="1"/>
  <c r="AB82" i="87"/>
  <c r="AC82" i="87" s="1"/>
  <c r="AB79" i="87"/>
  <c r="AC79" i="87" s="1"/>
  <c r="AD79" i="87"/>
  <c r="AE79" i="87" s="1"/>
  <c r="AF79" i="87" s="1"/>
  <c r="AB77" i="87"/>
  <c r="AC77" i="87" s="1"/>
  <c r="AB75" i="87"/>
  <c r="AC75" i="87" s="1"/>
  <c r="AB72" i="87"/>
  <c r="AC72" i="87" s="1"/>
  <c r="AB71" i="87"/>
  <c r="AC71" i="87" s="1"/>
  <c r="AB68" i="87"/>
  <c r="AC68" i="87" s="1"/>
  <c r="AB67" i="87"/>
  <c r="AC67" i="87" s="1"/>
  <c r="AB66" i="87"/>
  <c r="AC66" i="87" s="1"/>
  <c r="AB65" i="87"/>
  <c r="AC65" i="87" s="1"/>
  <c r="AB63" i="87"/>
  <c r="AC63" i="87" s="1"/>
  <c r="AB62" i="87"/>
  <c r="AC62" i="87" s="1"/>
  <c r="AB61" i="87"/>
  <c r="AC61" i="87" s="1"/>
  <c r="AB59" i="87"/>
  <c r="AC59" i="87" s="1"/>
  <c r="AB58" i="87"/>
  <c r="AC58" i="87" s="1"/>
  <c r="AB57" i="87"/>
  <c r="AC57" i="87" s="1"/>
  <c r="AB56" i="87"/>
  <c r="AC56" i="87" s="1"/>
  <c r="AB52" i="87"/>
  <c r="AC52" i="87" s="1"/>
  <c r="AB51" i="87"/>
  <c r="AC51" i="87" s="1"/>
  <c r="AB48" i="87"/>
  <c r="AC48" i="87" s="1"/>
  <c r="AB47" i="87"/>
  <c r="AC47" i="87" s="1"/>
  <c r="AB46" i="87"/>
  <c r="AC46" i="87" s="1"/>
  <c r="AB44" i="87"/>
  <c r="AC44" i="87" s="1"/>
  <c r="AB43" i="87"/>
  <c r="AC43" i="87" s="1"/>
  <c r="AB39" i="87"/>
  <c r="AC39" i="87" s="1"/>
  <c r="AB38" i="87"/>
  <c r="AC38" i="87" s="1"/>
  <c r="AB34" i="87"/>
  <c r="AC34" i="87" s="1"/>
  <c r="AB33" i="87"/>
  <c r="AC33" i="87" s="1"/>
  <c r="AB31" i="87"/>
  <c r="AC31" i="87" s="1"/>
  <c r="AB29" i="87"/>
  <c r="AC29" i="87" s="1"/>
  <c r="AB28" i="87"/>
  <c r="AC28" i="87" s="1"/>
  <c r="AB25" i="87"/>
  <c r="AC25" i="87" s="1"/>
  <c r="AB22" i="87"/>
  <c r="AC22" i="87" s="1"/>
  <c r="AB19" i="87"/>
  <c r="AC19" i="87" s="1"/>
  <c r="AB17" i="87"/>
  <c r="AC17" i="87" s="1"/>
  <c r="AB16" i="87"/>
  <c r="AC16" i="87" s="1"/>
  <c r="AD247" i="87"/>
  <c r="AE247" i="87" s="1"/>
  <c r="AF247" i="87" s="1"/>
  <c r="X219" i="87"/>
  <c r="AB219" i="87" s="1"/>
  <c r="AC219" i="87" s="1"/>
  <c r="AD211" i="87"/>
  <c r="AE211" i="87" s="1"/>
  <c r="AF211" i="87" s="1"/>
  <c r="X210" i="87"/>
  <c r="AB210" i="87" s="1"/>
  <c r="AC210" i="87" s="1"/>
  <c r="AD205" i="87"/>
  <c r="AE205" i="87" s="1"/>
  <c r="AF205" i="87" s="1"/>
  <c r="X204" i="87"/>
  <c r="AB204" i="87" s="1"/>
  <c r="AC204" i="87" s="1"/>
  <c r="AD200" i="87"/>
  <c r="AE200" i="87" s="1"/>
  <c r="AF200" i="87" s="1"/>
  <c r="AD167" i="87"/>
  <c r="AE167" i="87" s="1"/>
  <c r="AF167" i="87" s="1"/>
  <c r="X165" i="87"/>
  <c r="AB165" i="87" s="1"/>
  <c r="AC165" i="87" s="1"/>
  <c r="AD158" i="87"/>
  <c r="AE158" i="87" s="1"/>
  <c r="AF158" i="87" s="1"/>
  <c r="AJ158" i="87" s="1"/>
  <c r="AB157" i="87"/>
  <c r="AC157" i="87" s="1"/>
  <c r="X156" i="87"/>
  <c r="AB156" i="87" s="1"/>
  <c r="AC156" i="87" s="1"/>
  <c r="AD149" i="87"/>
  <c r="AE149" i="87" s="1"/>
  <c r="AF149" i="87" s="1"/>
  <c r="AB148" i="87"/>
  <c r="AC148" i="87" s="1"/>
  <c r="AD139" i="87"/>
  <c r="AE139" i="87" s="1"/>
  <c r="AF139" i="87" s="1"/>
  <c r="AJ139" i="87" s="1"/>
  <c r="AD133" i="87"/>
  <c r="AE133" i="87" s="1"/>
  <c r="AF133" i="87" s="1"/>
  <c r="AD121" i="87"/>
  <c r="AE121" i="87" s="1"/>
  <c r="AF121" i="87" s="1"/>
  <c r="AJ121" i="87" s="1"/>
  <c r="X119" i="87"/>
  <c r="AB119" i="87" s="1"/>
  <c r="AC119" i="87" s="1"/>
  <c r="AD93" i="87"/>
  <c r="AE93" i="87" s="1"/>
  <c r="AF93" i="87" s="1"/>
  <c r="AD86" i="87"/>
  <c r="AE86" i="87" s="1"/>
  <c r="AF86" i="87" s="1"/>
  <c r="AJ86" i="87" s="1"/>
  <c r="AB80" i="87"/>
  <c r="AC80" i="87" s="1"/>
  <c r="AB78" i="87"/>
  <c r="AC78" i="87" s="1"/>
  <c r="AD63" i="87"/>
  <c r="AE63" i="87" s="1"/>
  <c r="AF63" i="87" s="1"/>
  <c r="AG63" i="87" s="1"/>
  <c r="AD48" i="87"/>
  <c r="AE48" i="87" s="1"/>
  <c r="AF48" i="87" s="1"/>
  <c r="AB42" i="87"/>
  <c r="AC42" i="87" s="1"/>
  <c r="AD39" i="87"/>
  <c r="AE39" i="87" s="1"/>
  <c r="AF39" i="87" s="1"/>
  <c r="AD34" i="87"/>
  <c r="AE34" i="87" s="1"/>
  <c r="AF34" i="87" s="1"/>
  <c r="AD25" i="87"/>
  <c r="AE25" i="87" s="1"/>
  <c r="AF25" i="87" s="1"/>
  <c r="AB24" i="87"/>
  <c r="AC24" i="87" s="1"/>
  <c r="AB21" i="87"/>
  <c r="AC21" i="87" s="1"/>
  <c r="AB13" i="87"/>
  <c r="AC13" i="87" s="1"/>
  <c r="AB18" i="87"/>
  <c r="AC18" i="87" s="1"/>
  <c r="AB240" i="87"/>
  <c r="AC240" i="87" s="1"/>
  <c r="AD234" i="87"/>
  <c r="AE234" i="87" s="1"/>
  <c r="AF234" i="87" s="1"/>
  <c r="AG234" i="87" s="1"/>
  <c r="AB232" i="87"/>
  <c r="AC232" i="87" s="1"/>
  <c r="AB222" i="87"/>
  <c r="AC222" i="87" s="1"/>
  <c r="AB221" i="87"/>
  <c r="AC221" i="87" s="1"/>
  <c r="AB207" i="87"/>
  <c r="AC207" i="87" s="1"/>
  <c r="AB189" i="87"/>
  <c r="AC189" i="87" s="1"/>
  <c r="AB142" i="87"/>
  <c r="AC142" i="87" s="1"/>
  <c r="AB109" i="87"/>
  <c r="AC109" i="87" s="1"/>
  <c r="AB87" i="87"/>
  <c r="AC87" i="87" s="1"/>
  <c r="AB64" i="87"/>
  <c r="AC64" i="87" s="1"/>
  <c r="AB49" i="87"/>
  <c r="AC49" i="87" s="1"/>
  <c r="AB40" i="87"/>
  <c r="AC40" i="87" s="1"/>
  <c r="AB35" i="87"/>
  <c r="AC35" i="87" s="1"/>
  <c r="AB26" i="87"/>
  <c r="AC26" i="87" s="1"/>
  <c r="AB171" i="87"/>
  <c r="AC171" i="87" s="1"/>
  <c r="AB161" i="87"/>
  <c r="AC161" i="87" s="1"/>
  <c r="AD244" i="87"/>
  <c r="AE244" i="87" s="1"/>
  <c r="AF244" i="87" s="1"/>
  <c r="AD224" i="87"/>
  <c r="AE224" i="87" s="1"/>
  <c r="AF224" i="87" s="1"/>
  <c r="AJ224" i="87" s="1"/>
  <c r="AB214" i="87"/>
  <c r="AC214" i="87" s="1"/>
  <c r="AB197" i="87"/>
  <c r="AC197" i="87" s="1"/>
  <c r="AD188" i="87"/>
  <c r="AE188" i="87" s="1"/>
  <c r="AF188" i="87" s="1"/>
  <c r="AB185" i="87"/>
  <c r="AC185" i="87" s="1"/>
  <c r="AB179" i="87"/>
  <c r="AC179" i="87" s="1"/>
  <c r="AB153" i="87"/>
  <c r="AC153" i="87" s="1"/>
  <c r="AB143" i="87"/>
  <c r="AC143" i="87" s="1"/>
  <c r="AB128" i="87"/>
  <c r="AC128" i="87" s="1"/>
  <c r="AB123" i="87"/>
  <c r="AC123" i="87" s="1"/>
  <c r="AD116" i="87"/>
  <c r="AE116" i="87" s="1"/>
  <c r="AF116" i="87" s="1"/>
  <c r="AB99" i="87"/>
  <c r="AC99" i="87" s="1"/>
  <c r="AD94" i="87"/>
  <c r="AE94" i="87" s="1"/>
  <c r="AF94" i="87" s="1"/>
  <c r="AD85" i="87"/>
  <c r="AE85" i="87" s="1"/>
  <c r="AF85" i="87" s="1"/>
  <c r="AJ85" i="87" s="1"/>
  <c r="AD75" i="87"/>
  <c r="AE75" i="87" s="1"/>
  <c r="AF75" i="87" s="1"/>
  <c r="AJ75" i="87" s="1"/>
  <c r="AB73" i="87"/>
  <c r="AC73" i="87" s="1"/>
  <c r="AD65" i="87"/>
  <c r="AE65" i="87" s="1"/>
  <c r="AF65" i="87" s="1"/>
  <c r="AJ65" i="87" s="1"/>
  <c r="AB60" i="87"/>
  <c r="AC60" i="87" s="1"/>
  <c r="AD46" i="87"/>
  <c r="AE46" i="87" s="1"/>
  <c r="AF46" i="87" s="1"/>
  <c r="AB45" i="87"/>
  <c r="AC45" i="87" s="1"/>
  <c r="AB30" i="87"/>
  <c r="AC30" i="87" s="1"/>
  <c r="AB201" i="87"/>
  <c r="AC201" i="87" s="1"/>
  <c r="AB151" i="87"/>
  <c r="AC151" i="87" s="1"/>
  <c r="AB250" i="87"/>
  <c r="AC250" i="87" s="1"/>
  <c r="AB243" i="87"/>
  <c r="AC243" i="87" s="1"/>
  <c r="AD209" i="87"/>
  <c r="AE209" i="87" s="1"/>
  <c r="AF209" i="87" s="1"/>
  <c r="AD203" i="87"/>
  <c r="AE203" i="87" s="1"/>
  <c r="AF203" i="87" s="1"/>
  <c r="AB193" i="87"/>
  <c r="AC193" i="87" s="1"/>
  <c r="AD190" i="87"/>
  <c r="AE190" i="87" s="1"/>
  <c r="AF190" i="87" s="1"/>
  <c r="AB187" i="87"/>
  <c r="AC187" i="87" s="1"/>
  <c r="AD173" i="87"/>
  <c r="AE173" i="87" s="1"/>
  <c r="AF173" i="87" s="1"/>
  <c r="AD155" i="87"/>
  <c r="AE155" i="87" s="1"/>
  <c r="AF155" i="87" s="1"/>
  <c r="AJ155" i="87" s="1"/>
  <c r="AB154" i="87"/>
  <c r="AC154" i="87" s="1"/>
  <c r="AB135" i="87"/>
  <c r="AC135" i="87" s="1"/>
  <c r="AD105" i="87"/>
  <c r="AE105" i="87" s="1"/>
  <c r="AF105" i="87" s="1"/>
  <c r="AD70" i="87"/>
  <c r="AE70" i="87" s="1"/>
  <c r="AF70" i="87" s="1"/>
  <c r="AD36" i="87"/>
  <c r="AE36" i="87" s="1"/>
  <c r="AF36" i="87" s="1"/>
  <c r="AB32" i="87"/>
  <c r="AC32" i="87" s="1"/>
  <c r="AB27" i="87"/>
  <c r="AC27" i="87" s="1"/>
  <c r="AB23" i="87"/>
  <c r="AC23" i="87" s="1"/>
  <c r="AD71" i="87"/>
  <c r="AE71" i="87" s="1"/>
  <c r="AF71" i="87" s="1"/>
  <c r="AD51" i="87"/>
  <c r="AE51" i="87" s="1"/>
  <c r="AF51" i="87" s="1"/>
  <c r="AB36" i="87"/>
  <c r="AC36" i="87" s="1"/>
  <c r="AD33" i="87"/>
  <c r="AE33" i="87" s="1"/>
  <c r="AF33" i="87" s="1"/>
  <c r="AJ33" i="87" s="1"/>
  <c r="AD228" i="87"/>
  <c r="AE228" i="87" s="1"/>
  <c r="AF228" i="87" s="1"/>
  <c r="AJ228" i="87" s="1"/>
  <c r="AD181" i="87"/>
  <c r="AE181" i="87" s="1"/>
  <c r="AF181" i="87" s="1"/>
  <c r="AG181" i="87" s="1"/>
  <c r="AD238" i="87"/>
  <c r="AE238" i="87" s="1"/>
  <c r="AF238" i="87" s="1"/>
  <c r="AD218" i="87"/>
  <c r="AE218" i="87" s="1"/>
  <c r="AF218" i="87" s="1"/>
  <c r="AJ218" i="87" s="1"/>
  <c r="AD191" i="87"/>
  <c r="AE191" i="87" s="1"/>
  <c r="AF191" i="87" s="1"/>
  <c r="AD164" i="87"/>
  <c r="AE164" i="87" s="1"/>
  <c r="AF164" i="87" s="1"/>
  <c r="AD100" i="87"/>
  <c r="AE100" i="87" s="1"/>
  <c r="AF100" i="87" s="1"/>
  <c r="AD66" i="87"/>
  <c r="AE66" i="87" s="1"/>
  <c r="AF66" i="87" s="1"/>
  <c r="AD57" i="87"/>
  <c r="AE57" i="87" s="1"/>
  <c r="AF57" i="87" s="1"/>
  <c r="AD16" i="87"/>
  <c r="AE16" i="87" s="1"/>
  <c r="AF16" i="87" s="1"/>
  <c r="W11" i="87"/>
  <c r="X11" i="87" s="1"/>
  <c r="AB11" i="87" s="1"/>
  <c r="AC11" i="87" s="1"/>
  <c r="M9" i="57"/>
  <c r="N10" i="57"/>
  <c r="O11" i="57"/>
  <c r="P12" i="57"/>
  <c r="Q13" i="57"/>
  <c r="M15" i="57"/>
  <c r="N16" i="57"/>
  <c r="O17" i="57"/>
  <c r="P18" i="57"/>
  <c r="Q19" i="57"/>
  <c r="M21" i="57"/>
  <c r="N22" i="57"/>
  <c r="O23" i="57"/>
  <c r="P24" i="57"/>
  <c r="Q25" i="57"/>
  <c r="M27" i="57"/>
  <c r="N28" i="57"/>
  <c r="O29" i="57"/>
  <c r="P30" i="57"/>
  <c r="Q31" i="57"/>
  <c r="M33" i="57"/>
  <c r="N34" i="57"/>
  <c r="O35" i="57"/>
  <c r="P36" i="57"/>
  <c r="Q37" i="57"/>
  <c r="M39" i="57"/>
  <c r="N40" i="57"/>
  <c r="O41" i="57"/>
  <c r="P42" i="57"/>
  <c r="Q43" i="57"/>
  <c r="M45" i="57"/>
  <c r="N46" i="57"/>
  <c r="O47" i="57"/>
  <c r="P48" i="57"/>
  <c r="Q49" i="57"/>
  <c r="M51" i="57"/>
  <c r="N52" i="57"/>
  <c r="O53" i="57"/>
  <c r="P54" i="57"/>
  <c r="Q55" i="57"/>
  <c r="M57" i="57"/>
  <c r="N58" i="57"/>
  <c r="O59" i="57"/>
  <c r="P60" i="57"/>
  <c r="Q61" i="57"/>
  <c r="M63" i="57"/>
  <c r="N64" i="57"/>
  <c r="O65" i="57"/>
  <c r="P66" i="57"/>
  <c r="Q67" i="57"/>
  <c r="M69" i="57"/>
  <c r="N70" i="57"/>
  <c r="O71" i="57"/>
  <c r="P72" i="57"/>
  <c r="Q73" i="57"/>
  <c r="M75" i="57"/>
  <c r="N76" i="57"/>
  <c r="O77" i="57"/>
  <c r="P78" i="57"/>
  <c r="M8" i="57"/>
  <c r="N9" i="57"/>
  <c r="O10" i="57"/>
  <c r="P11" i="57"/>
  <c r="Q12" i="57"/>
  <c r="M14" i="57"/>
  <c r="N15" i="57"/>
  <c r="O16" i="57"/>
  <c r="P17" i="57"/>
  <c r="Q18" i="57"/>
  <c r="M20" i="57"/>
  <c r="N21" i="57"/>
  <c r="O22" i="57"/>
  <c r="P23" i="57"/>
  <c r="Q24" i="57"/>
  <c r="M26" i="57"/>
  <c r="N27" i="57"/>
  <c r="O28" i="57"/>
  <c r="P29" i="57"/>
  <c r="Q30" i="57"/>
  <c r="M32" i="57"/>
  <c r="N33" i="57"/>
  <c r="O34" i="57"/>
  <c r="P35" i="57"/>
  <c r="Q36" i="57"/>
  <c r="M38" i="57"/>
  <c r="N39" i="57"/>
  <c r="O40" i="57"/>
  <c r="P41" i="57"/>
  <c r="Q42" i="57"/>
  <c r="M44" i="57"/>
  <c r="N45" i="57"/>
  <c r="O46" i="57"/>
  <c r="P47" i="57"/>
  <c r="Q48" i="57"/>
  <c r="M50" i="57"/>
  <c r="N51" i="57"/>
  <c r="O52" i="57"/>
  <c r="P53" i="57"/>
  <c r="Q54" i="57"/>
  <c r="M56" i="57"/>
  <c r="N57" i="57"/>
  <c r="O58" i="57"/>
  <c r="P59" i="57"/>
  <c r="Q60" i="57"/>
  <c r="M62" i="57"/>
  <c r="N63" i="57"/>
  <c r="O64" i="57"/>
  <c r="P65" i="57"/>
  <c r="Q66" i="57"/>
  <c r="M68" i="57"/>
  <c r="N69" i="57"/>
  <c r="O70" i="57"/>
  <c r="P71" i="57"/>
  <c r="Q72" i="57"/>
  <c r="M74" i="57"/>
  <c r="N75" i="57"/>
  <c r="O76" i="57"/>
  <c r="P77" i="57"/>
  <c r="Q78" i="57"/>
  <c r="N8" i="57"/>
  <c r="O9" i="57"/>
  <c r="P10" i="57"/>
  <c r="Q11" i="57"/>
  <c r="M13" i="57"/>
  <c r="N14" i="57"/>
  <c r="O15" i="57"/>
  <c r="P16" i="57"/>
  <c r="Q17" i="57"/>
  <c r="M19" i="57"/>
  <c r="N20" i="57"/>
  <c r="O21" i="57"/>
  <c r="P22" i="57"/>
  <c r="Q23" i="57"/>
  <c r="M25" i="57"/>
  <c r="N26" i="57"/>
  <c r="O27" i="57"/>
  <c r="P28" i="57"/>
  <c r="Q29" i="57"/>
  <c r="M31" i="57"/>
  <c r="N32" i="57"/>
  <c r="O33" i="57"/>
  <c r="P34" i="57"/>
  <c r="Q35" i="57"/>
  <c r="M37" i="57"/>
  <c r="N38" i="57"/>
  <c r="O39" i="57"/>
  <c r="P40" i="57"/>
  <c r="Q41" i="57"/>
  <c r="M43" i="57"/>
  <c r="N44" i="57"/>
  <c r="O45" i="57"/>
  <c r="P46" i="57"/>
  <c r="Q47" i="57"/>
  <c r="M49" i="57"/>
  <c r="N50" i="57"/>
  <c r="O51" i="57"/>
  <c r="P52" i="57"/>
  <c r="Q53" i="57"/>
  <c r="M55" i="57"/>
  <c r="N56" i="57"/>
  <c r="O57" i="57"/>
  <c r="P58" i="57"/>
  <c r="Q59" i="57"/>
  <c r="M61" i="57"/>
  <c r="N62" i="57"/>
  <c r="O63" i="57"/>
  <c r="P64" i="57"/>
  <c r="Q65" i="57"/>
  <c r="M67" i="57"/>
  <c r="N68" i="57"/>
  <c r="O69" i="57"/>
  <c r="P70" i="57"/>
  <c r="Q71" i="57"/>
  <c r="M73" i="57"/>
  <c r="N74" i="57"/>
  <c r="O75" i="57"/>
  <c r="P76" i="57"/>
  <c r="Q77" i="57"/>
  <c r="M79" i="57"/>
  <c r="N80" i="57"/>
  <c r="O8" i="57"/>
  <c r="P9" i="57"/>
  <c r="Q10" i="57"/>
  <c r="M12" i="57"/>
  <c r="N13" i="57"/>
  <c r="O14" i="57"/>
  <c r="P15" i="57"/>
  <c r="Q16" i="57"/>
  <c r="M18" i="57"/>
  <c r="N19" i="57"/>
  <c r="O20" i="57"/>
  <c r="P21" i="57"/>
  <c r="Q22" i="57"/>
  <c r="M24" i="57"/>
  <c r="N25" i="57"/>
  <c r="O26" i="57"/>
  <c r="P27" i="57"/>
  <c r="Q28" i="57"/>
  <c r="M30" i="57"/>
  <c r="N31" i="57"/>
  <c r="O32" i="57"/>
  <c r="P33" i="57"/>
  <c r="Q34" i="57"/>
  <c r="M36" i="57"/>
  <c r="N37" i="57"/>
  <c r="O38" i="57"/>
  <c r="P39" i="57"/>
  <c r="Q40" i="57"/>
  <c r="M42" i="57"/>
  <c r="N43" i="57"/>
  <c r="O44" i="57"/>
  <c r="P45" i="57"/>
  <c r="Q46" i="57"/>
  <c r="M48" i="57"/>
  <c r="N49" i="57"/>
  <c r="O50" i="57"/>
  <c r="P51" i="57"/>
  <c r="Q52" i="57"/>
  <c r="M54" i="57"/>
  <c r="N55" i="57"/>
  <c r="O56" i="57"/>
  <c r="P57" i="57"/>
  <c r="Q58" i="57"/>
  <c r="M60" i="57"/>
  <c r="P8" i="57"/>
  <c r="Q9" i="57"/>
  <c r="M11" i="57"/>
  <c r="N12" i="57"/>
  <c r="O13" i="57"/>
  <c r="P14" i="57"/>
  <c r="Q15" i="57"/>
  <c r="M17" i="57"/>
  <c r="N18" i="57"/>
  <c r="O19" i="57"/>
  <c r="P20" i="57"/>
  <c r="Q21" i="57"/>
  <c r="M23" i="57"/>
  <c r="N24" i="57"/>
  <c r="O25" i="57"/>
  <c r="P26" i="57"/>
  <c r="Q27" i="57"/>
  <c r="M29" i="57"/>
  <c r="N30" i="57"/>
  <c r="O31" i="57"/>
  <c r="P32" i="57"/>
  <c r="Q33" i="57"/>
  <c r="M35" i="57"/>
  <c r="N36" i="57"/>
  <c r="O37" i="57"/>
  <c r="P38" i="57"/>
  <c r="Q39" i="57"/>
  <c r="M41" i="57"/>
  <c r="N42" i="57"/>
  <c r="O43" i="57"/>
  <c r="P44" i="57"/>
  <c r="Q45" i="57"/>
  <c r="M47" i="57"/>
  <c r="N48" i="57"/>
  <c r="O49" i="57"/>
  <c r="P50" i="57"/>
  <c r="Q51" i="57"/>
  <c r="M53" i="57"/>
  <c r="N54" i="57"/>
  <c r="O55" i="57"/>
  <c r="P56" i="57"/>
  <c r="Q57" i="57"/>
  <c r="M59" i="57"/>
  <c r="N60" i="57"/>
  <c r="O61" i="57"/>
  <c r="P62" i="57"/>
  <c r="Q63" i="57"/>
  <c r="M65" i="57"/>
  <c r="N66" i="57"/>
  <c r="O67" i="57"/>
  <c r="P68" i="57"/>
  <c r="Q69" i="57"/>
  <c r="M71" i="57"/>
  <c r="N72" i="57"/>
  <c r="O73" i="57"/>
  <c r="P74" i="57"/>
  <c r="Q75" i="57"/>
  <c r="M77" i="57"/>
  <c r="N78" i="57"/>
  <c r="O79" i="57"/>
  <c r="P80" i="57"/>
  <c r="Q81" i="57"/>
  <c r="M83" i="57"/>
  <c r="N84" i="57"/>
  <c r="O85" i="57"/>
  <c r="P86" i="57"/>
  <c r="Q87" i="57"/>
  <c r="M89" i="57"/>
  <c r="N90" i="57"/>
  <c r="O91" i="57"/>
  <c r="P92" i="57"/>
  <c r="Q93" i="57"/>
  <c r="M95" i="57"/>
  <c r="N96" i="57"/>
  <c r="O97" i="57"/>
  <c r="P98" i="57"/>
  <c r="Q99" i="57"/>
  <c r="M101" i="57"/>
  <c r="N102" i="57"/>
  <c r="O103" i="57"/>
  <c r="P104" i="57"/>
  <c r="Q105" i="57"/>
  <c r="M107" i="57"/>
  <c r="N108" i="57"/>
  <c r="O109" i="57"/>
  <c r="Q8" i="57"/>
  <c r="M16" i="57"/>
  <c r="N23" i="57"/>
  <c r="O30" i="57"/>
  <c r="P37" i="57"/>
  <c r="Q44" i="57"/>
  <c r="M52" i="57"/>
  <c r="N59" i="57"/>
  <c r="P63" i="57"/>
  <c r="N67" i="57"/>
  <c r="Q70" i="57"/>
  <c r="O74" i="57"/>
  <c r="M78" i="57"/>
  <c r="O80" i="57"/>
  <c r="M82" i="57"/>
  <c r="O83" i="57"/>
  <c r="Q84" i="57"/>
  <c r="N86" i="57"/>
  <c r="P87" i="57"/>
  <c r="N89" i="57"/>
  <c r="P90" i="57"/>
  <c r="M92" i="57"/>
  <c r="O93" i="57"/>
  <c r="Q94" i="57"/>
  <c r="O96" i="57"/>
  <c r="Q97" i="57"/>
  <c r="N99" i="57"/>
  <c r="P100" i="57"/>
  <c r="M102" i="57"/>
  <c r="P103" i="57"/>
  <c r="M105" i="57"/>
  <c r="O106" i="57"/>
  <c r="Q107" i="57"/>
  <c r="N109" i="57"/>
  <c r="P110" i="57"/>
  <c r="Q111" i="57"/>
  <c r="M113" i="57"/>
  <c r="N114" i="57"/>
  <c r="O115" i="57"/>
  <c r="P116" i="57"/>
  <c r="Q117" i="57"/>
  <c r="M119" i="57"/>
  <c r="N120" i="57"/>
  <c r="O121" i="57"/>
  <c r="P122" i="57"/>
  <c r="Q123" i="57"/>
  <c r="M125" i="57"/>
  <c r="N126" i="57"/>
  <c r="O127" i="57"/>
  <c r="P128" i="57"/>
  <c r="Q129" i="57"/>
  <c r="M131" i="57"/>
  <c r="N132" i="57"/>
  <c r="O133" i="57"/>
  <c r="P134" i="57"/>
  <c r="Q135" i="57"/>
  <c r="M137" i="57"/>
  <c r="N138" i="57"/>
  <c r="O139" i="57"/>
  <c r="P140" i="57"/>
  <c r="Q141" i="57"/>
  <c r="M143" i="57"/>
  <c r="N144" i="57"/>
  <c r="O145" i="57"/>
  <c r="P146" i="57"/>
  <c r="Q147" i="57"/>
  <c r="M149" i="57"/>
  <c r="N150" i="57"/>
  <c r="O151" i="57"/>
  <c r="P152" i="57"/>
  <c r="Q153" i="57"/>
  <c r="M155" i="57"/>
  <c r="N156" i="57"/>
  <c r="O157" i="57"/>
  <c r="P158" i="57"/>
  <c r="Q159" i="57"/>
  <c r="M161" i="57"/>
  <c r="N162" i="57"/>
  <c r="O163" i="57"/>
  <c r="P164" i="57"/>
  <c r="Q165" i="57"/>
  <c r="M167" i="57"/>
  <c r="N168" i="57"/>
  <c r="O169" i="57"/>
  <c r="P170" i="57"/>
  <c r="M10" i="57"/>
  <c r="N17" i="57"/>
  <c r="O24" i="57"/>
  <c r="P31" i="57"/>
  <c r="Q38" i="57"/>
  <c r="M46" i="57"/>
  <c r="N53" i="57"/>
  <c r="O60" i="57"/>
  <c r="M64" i="57"/>
  <c r="P67" i="57"/>
  <c r="N71" i="57"/>
  <c r="Q74" i="57"/>
  <c r="O78" i="57"/>
  <c r="Q80" i="57"/>
  <c r="N82" i="57"/>
  <c r="P83" i="57"/>
  <c r="M85" i="57"/>
  <c r="O86" i="57"/>
  <c r="M88" i="57"/>
  <c r="O89" i="57"/>
  <c r="Q90" i="57"/>
  <c r="N92" i="57"/>
  <c r="P93" i="57"/>
  <c r="N95" i="57"/>
  <c r="P96" i="57"/>
  <c r="M98" i="57"/>
  <c r="O99" i="57"/>
  <c r="Q100" i="57"/>
  <c r="O102" i="57"/>
  <c r="Q103" i="57"/>
  <c r="N105" i="57"/>
  <c r="P106" i="57"/>
  <c r="M108" i="57"/>
  <c r="P109" i="57"/>
  <c r="Q110" i="57"/>
  <c r="M112" i="57"/>
  <c r="N113" i="57"/>
  <c r="O114" i="57"/>
  <c r="P115" i="57"/>
  <c r="Q116" i="57"/>
  <c r="M118" i="57"/>
  <c r="N119" i="57"/>
  <c r="O120" i="57"/>
  <c r="P121" i="57"/>
  <c r="Q122" i="57"/>
  <c r="M124" i="57"/>
  <c r="N125" i="57"/>
  <c r="O126" i="57"/>
  <c r="P127" i="57"/>
  <c r="Q128" i="57"/>
  <c r="M130" i="57"/>
  <c r="N131" i="57"/>
  <c r="O132" i="57"/>
  <c r="P133" i="57"/>
  <c r="Q134" i="57"/>
  <c r="M136" i="57"/>
  <c r="N137" i="57"/>
  <c r="O138" i="57"/>
  <c r="P139" i="57"/>
  <c r="Q140" i="57"/>
  <c r="M142" i="57"/>
  <c r="N143" i="57"/>
  <c r="O144" i="57"/>
  <c r="P145" i="57"/>
  <c r="Q146" i="57"/>
  <c r="M148" i="57"/>
  <c r="N149" i="57"/>
  <c r="O150" i="57"/>
  <c r="P151" i="57"/>
  <c r="Q152" i="57"/>
  <c r="M154" i="57"/>
  <c r="N155" i="57"/>
  <c r="O156" i="57"/>
  <c r="N11" i="57"/>
  <c r="O18" i="57"/>
  <c r="P25" i="57"/>
  <c r="Q32" i="57"/>
  <c r="M40" i="57"/>
  <c r="N47" i="57"/>
  <c r="O54" i="57"/>
  <c r="N61" i="57"/>
  <c r="Q64" i="57"/>
  <c r="O68" i="57"/>
  <c r="M72" i="57"/>
  <c r="P75" i="57"/>
  <c r="N79" i="57"/>
  <c r="M81" i="57"/>
  <c r="O82" i="57"/>
  <c r="Q83" i="57"/>
  <c r="N85" i="57"/>
  <c r="Q86" i="57"/>
  <c r="N88" i="57"/>
  <c r="P89" i="57"/>
  <c r="M91" i="57"/>
  <c r="O92" i="57"/>
  <c r="M94" i="57"/>
  <c r="O95" i="57"/>
  <c r="Q96" i="57"/>
  <c r="N98" i="57"/>
  <c r="P99" i="57"/>
  <c r="N101" i="57"/>
  <c r="P102" i="57"/>
  <c r="M104" i="57"/>
  <c r="O105" i="57"/>
  <c r="Q106" i="57"/>
  <c r="O108" i="57"/>
  <c r="Q109" i="57"/>
  <c r="M111" i="57"/>
  <c r="N112" i="57"/>
  <c r="O113" i="57"/>
  <c r="P114" i="57"/>
  <c r="Q115" i="57"/>
  <c r="M117" i="57"/>
  <c r="N118" i="57"/>
  <c r="O119" i="57"/>
  <c r="P120" i="57"/>
  <c r="Q121" i="57"/>
  <c r="M123" i="57"/>
  <c r="N124" i="57"/>
  <c r="O125" i="57"/>
  <c r="P126" i="57"/>
  <c r="Q127" i="57"/>
  <c r="M129" i="57"/>
  <c r="N130" i="57"/>
  <c r="O131" i="57"/>
  <c r="P132" i="57"/>
  <c r="Q133" i="57"/>
  <c r="M135" i="57"/>
  <c r="N136" i="57"/>
  <c r="O137" i="57"/>
  <c r="P138" i="57"/>
  <c r="Q139" i="57"/>
  <c r="M141" i="57"/>
  <c r="N142" i="57"/>
  <c r="O143" i="57"/>
  <c r="P144" i="57"/>
  <c r="Q145" i="57"/>
  <c r="M147" i="57"/>
  <c r="N148" i="57"/>
  <c r="O149" i="57"/>
  <c r="P150" i="57"/>
  <c r="Q151" i="57"/>
  <c r="M153" i="57"/>
  <c r="O12" i="57"/>
  <c r="P19" i="57"/>
  <c r="Q26" i="57"/>
  <c r="M34" i="57"/>
  <c r="N41" i="57"/>
  <c r="O48" i="57"/>
  <c r="P55" i="57"/>
  <c r="P61" i="57"/>
  <c r="N65" i="57"/>
  <c r="Q68" i="57"/>
  <c r="O72" i="57"/>
  <c r="M76" i="57"/>
  <c r="P79" i="57"/>
  <c r="N81" i="57"/>
  <c r="P82" i="57"/>
  <c r="M84" i="57"/>
  <c r="P85" i="57"/>
  <c r="M87" i="57"/>
  <c r="O88" i="57"/>
  <c r="Q89" i="57"/>
  <c r="N91" i="57"/>
  <c r="Q92" i="57"/>
  <c r="N94" i="57"/>
  <c r="P95" i="57"/>
  <c r="M97" i="57"/>
  <c r="O98" i="57"/>
  <c r="M100" i="57"/>
  <c r="O101" i="57"/>
  <c r="Q102" i="57"/>
  <c r="N104" i="57"/>
  <c r="P105" i="57"/>
  <c r="N107" i="57"/>
  <c r="P108" i="57"/>
  <c r="M110" i="57"/>
  <c r="N111" i="57"/>
  <c r="O112" i="57"/>
  <c r="P113" i="57"/>
  <c r="Q114" i="57"/>
  <c r="M116" i="57"/>
  <c r="N117" i="57"/>
  <c r="O118" i="57"/>
  <c r="P119" i="57"/>
  <c r="Q120" i="57"/>
  <c r="M122" i="57"/>
  <c r="N123" i="57"/>
  <c r="O124" i="57"/>
  <c r="P125" i="57"/>
  <c r="Q126" i="57"/>
  <c r="M128" i="57"/>
  <c r="N129" i="57"/>
  <c r="O130" i="57"/>
  <c r="P131" i="57"/>
  <c r="Q132" i="57"/>
  <c r="M134" i="57"/>
  <c r="N135" i="57"/>
  <c r="O136" i="57"/>
  <c r="P137" i="57"/>
  <c r="Q138" i="57"/>
  <c r="M140" i="57"/>
  <c r="N141" i="57"/>
  <c r="O142" i="57"/>
  <c r="P143" i="57"/>
  <c r="Q144" i="57"/>
  <c r="M146" i="57"/>
  <c r="N147" i="57"/>
  <c r="O148" i="57"/>
  <c r="P149" i="57"/>
  <c r="Q150" i="57"/>
  <c r="M152" i="57"/>
  <c r="N153" i="57"/>
  <c r="O154" i="57"/>
  <c r="P155" i="57"/>
  <c r="Q156" i="57"/>
  <c r="M158" i="57"/>
  <c r="N159" i="57"/>
  <c r="O160" i="57"/>
  <c r="P161" i="57"/>
  <c r="Q162" i="57"/>
  <c r="M164" i="57"/>
  <c r="N165" i="57"/>
  <c r="O166" i="57"/>
  <c r="P167" i="57"/>
  <c r="Q168" i="57"/>
  <c r="M170" i="57"/>
  <c r="N171" i="57"/>
  <c r="O172" i="57"/>
  <c r="P173" i="57"/>
  <c r="Q174" i="57"/>
  <c r="M176" i="57"/>
  <c r="N177" i="57"/>
  <c r="O178" i="57"/>
  <c r="P179" i="57"/>
  <c r="Q180" i="57"/>
  <c r="M182" i="57"/>
  <c r="N183" i="57"/>
  <c r="O184" i="57"/>
  <c r="P185" i="57"/>
  <c r="Q186" i="57"/>
  <c r="M188" i="57"/>
  <c r="N189" i="57"/>
  <c r="O190" i="57"/>
  <c r="P191" i="57"/>
  <c r="Q192" i="57"/>
  <c r="M194" i="57"/>
  <c r="N195" i="57"/>
  <c r="O196" i="57"/>
  <c r="P197" i="57"/>
  <c r="Q198" i="57"/>
  <c r="M200" i="57"/>
  <c r="N201" i="57"/>
  <c r="O202" i="57"/>
  <c r="P203" i="57"/>
  <c r="Q204" i="57"/>
  <c r="M206" i="57"/>
  <c r="N207" i="57"/>
  <c r="O208" i="57"/>
  <c r="N29" i="57"/>
  <c r="Q50" i="57"/>
  <c r="O66" i="57"/>
  <c r="N77" i="57"/>
  <c r="N83" i="57"/>
  <c r="O87" i="57"/>
  <c r="Q91" i="57"/>
  <c r="M96" i="57"/>
  <c r="O100" i="57"/>
  <c r="Q104" i="57"/>
  <c r="M109" i="57"/>
  <c r="Q112" i="57"/>
  <c r="O116" i="57"/>
  <c r="M120" i="57"/>
  <c r="P123" i="57"/>
  <c r="N127" i="57"/>
  <c r="Q130" i="57"/>
  <c r="O134" i="57"/>
  <c r="M138" i="57"/>
  <c r="P141" i="57"/>
  <c r="N145" i="57"/>
  <c r="Q148" i="57"/>
  <c r="O152" i="57"/>
  <c r="O155" i="57"/>
  <c r="P157" i="57"/>
  <c r="O159" i="57"/>
  <c r="N161" i="57"/>
  <c r="M163" i="57"/>
  <c r="Q164" i="57"/>
  <c r="P166" i="57"/>
  <c r="O168" i="57"/>
  <c r="N170" i="57"/>
  <c r="Q171" i="57"/>
  <c r="N173" i="57"/>
  <c r="P174" i="57"/>
  <c r="N176" i="57"/>
  <c r="P177" i="57"/>
  <c r="M179" i="57"/>
  <c r="O180" i="57"/>
  <c r="Q181" i="57"/>
  <c r="O183" i="57"/>
  <c r="Q184" i="57"/>
  <c r="N186" i="57"/>
  <c r="P187" i="57"/>
  <c r="M189" i="57"/>
  <c r="P190" i="57"/>
  <c r="M192" i="57"/>
  <c r="O193" i="57"/>
  <c r="Q194" i="57"/>
  <c r="N196" i="57"/>
  <c r="Q197" i="57"/>
  <c r="N199" i="57"/>
  <c r="P200" i="57"/>
  <c r="M202" i="57"/>
  <c r="O203" i="57"/>
  <c r="M205" i="57"/>
  <c r="O206" i="57"/>
  <c r="Q207" i="57"/>
  <c r="N209" i="57"/>
  <c r="O210" i="57"/>
  <c r="P211" i="57"/>
  <c r="Q212" i="57"/>
  <c r="M214" i="57"/>
  <c r="N215" i="57"/>
  <c r="O216" i="57"/>
  <c r="P217" i="57"/>
  <c r="Q218" i="57"/>
  <c r="M220" i="57"/>
  <c r="N221" i="57"/>
  <c r="O222" i="57"/>
  <c r="P223" i="57"/>
  <c r="Q224" i="57"/>
  <c r="M226" i="57"/>
  <c r="N227" i="57"/>
  <c r="O228" i="57"/>
  <c r="P229" i="57"/>
  <c r="Q230" i="57"/>
  <c r="M232" i="57"/>
  <c r="N233" i="57"/>
  <c r="O234" i="57"/>
  <c r="P235" i="57"/>
  <c r="Q236" i="57"/>
  <c r="M238" i="57"/>
  <c r="N239" i="57"/>
  <c r="P13" i="57"/>
  <c r="N35" i="57"/>
  <c r="Q56" i="57"/>
  <c r="P69" i="57"/>
  <c r="Q79" i="57"/>
  <c r="O84" i="57"/>
  <c r="P88" i="57"/>
  <c r="M93" i="57"/>
  <c r="N97" i="57"/>
  <c r="P101" i="57"/>
  <c r="M106" i="57"/>
  <c r="N110" i="57"/>
  <c r="Q113" i="57"/>
  <c r="O117" i="57"/>
  <c r="M121" i="57"/>
  <c r="P124" i="57"/>
  <c r="N128" i="57"/>
  <c r="Q131" i="57"/>
  <c r="O135" i="57"/>
  <c r="M139" i="57"/>
  <c r="P142" i="57"/>
  <c r="N146" i="57"/>
  <c r="Q149" i="57"/>
  <c r="O153" i="57"/>
  <c r="Q155" i="57"/>
  <c r="Q157" i="57"/>
  <c r="P159" i="57"/>
  <c r="O161" i="57"/>
  <c r="N163" i="57"/>
  <c r="M165" i="57"/>
  <c r="Q166" i="57"/>
  <c r="P168" i="57"/>
  <c r="O170" i="57"/>
  <c r="M172" i="57"/>
  <c r="O173" i="57"/>
  <c r="M175" i="57"/>
  <c r="O176" i="57"/>
  <c r="Q177" i="57"/>
  <c r="N179" i="57"/>
  <c r="P180" i="57"/>
  <c r="N182" i="57"/>
  <c r="P183" i="57"/>
  <c r="M185" i="57"/>
  <c r="O186" i="57"/>
  <c r="Q187" i="57"/>
  <c r="O189" i="57"/>
  <c r="Q190" i="57"/>
  <c r="N192" i="57"/>
  <c r="P193" i="57"/>
  <c r="M195" i="57"/>
  <c r="P196" i="57"/>
  <c r="M198" i="57"/>
  <c r="O199" i="57"/>
  <c r="Q200" i="57"/>
  <c r="N202" i="57"/>
  <c r="Q203" i="57"/>
  <c r="N205" i="57"/>
  <c r="P206" i="57"/>
  <c r="M208" i="57"/>
  <c r="O209" i="57"/>
  <c r="P210" i="57"/>
  <c r="Q211" i="57"/>
  <c r="M213" i="57"/>
  <c r="N214" i="57"/>
  <c r="O215" i="57"/>
  <c r="P216" i="57"/>
  <c r="Q217" i="57"/>
  <c r="M219" i="57"/>
  <c r="N220" i="57"/>
  <c r="O221" i="57"/>
  <c r="P222" i="57"/>
  <c r="Q223" i="57"/>
  <c r="M225" i="57"/>
  <c r="Q14" i="57"/>
  <c r="O36" i="57"/>
  <c r="M58" i="57"/>
  <c r="M70" i="57"/>
  <c r="M80" i="57"/>
  <c r="P84" i="57"/>
  <c r="Q88" i="57"/>
  <c r="N93" i="57"/>
  <c r="P97" i="57"/>
  <c r="Q101" i="57"/>
  <c r="N106" i="57"/>
  <c r="O110" i="57"/>
  <c r="M114" i="57"/>
  <c r="P117" i="57"/>
  <c r="N121" i="57"/>
  <c r="Q124" i="57"/>
  <c r="O128" i="57"/>
  <c r="M132" i="57"/>
  <c r="P135" i="57"/>
  <c r="N139" i="57"/>
  <c r="Q142" i="57"/>
  <c r="O146" i="57"/>
  <c r="M150" i="57"/>
  <c r="P153" i="57"/>
  <c r="M156" i="57"/>
  <c r="N158" i="57"/>
  <c r="M160" i="57"/>
  <c r="Q161" i="57"/>
  <c r="P163" i="57"/>
  <c r="O165" i="57"/>
  <c r="N167" i="57"/>
  <c r="M169" i="57"/>
  <c r="Q170" i="57"/>
  <c r="N172" i="57"/>
  <c r="Q173" i="57"/>
  <c r="N175" i="57"/>
  <c r="P176" i="57"/>
  <c r="M178" i="57"/>
  <c r="O179" i="57"/>
  <c r="M181" i="57"/>
  <c r="O182" i="57"/>
  <c r="Q183" i="57"/>
  <c r="N185" i="57"/>
  <c r="P186" i="57"/>
  <c r="N188" i="57"/>
  <c r="P189" i="57"/>
  <c r="M191" i="57"/>
  <c r="O192" i="57"/>
  <c r="Q193" i="57"/>
  <c r="O195" i="57"/>
  <c r="Q196" i="57"/>
  <c r="N198" i="57"/>
  <c r="P199" i="57"/>
  <c r="M201" i="57"/>
  <c r="P202" i="57"/>
  <c r="M204" i="57"/>
  <c r="O205" i="57"/>
  <c r="Q206" i="57"/>
  <c r="N208" i="57"/>
  <c r="P209" i="57"/>
  <c r="Q210" i="57"/>
  <c r="M212" i="57"/>
  <c r="N213" i="57"/>
  <c r="O214" i="57"/>
  <c r="P215" i="57"/>
  <c r="Q216" i="57"/>
  <c r="M218" i="57"/>
  <c r="N219" i="57"/>
  <c r="O220" i="57"/>
  <c r="P221" i="57"/>
  <c r="Q222" i="57"/>
  <c r="M224" i="57"/>
  <c r="N225" i="57"/>
  <c r="O226" i="57"/>
  <c r="P227" i="57"/>
  <c r="Q228" i="57"/>
  <c r="M230" i="57"/>
  <c r="N231" i="57"/>
  <c r="O232" i="57"/>
  <c r="P233" i="57"/>
  <c r="Q234" i="57"/>
  <c r="M236" i="57"/>
  <c r="N237" i="57"/>
  <c r="O238" i="57"/>
  <c r="P239" i="57"/>
  <c r="Q20" i="57"/>
  <c r="O42" i="57"/>
  <c r="O62" i="57"/>
  <c r="N73" i="57"/>
  <c r="O81" i="57"/>
  <c r="Q85" i="57"/>
  <c r="M90" i="57"/>
  <c r="O94" i="57"/>
  <c r="Q98" i="57"/>
  <c r="M103" i="57"/>
  <c r="O107" i="57"/>
  <c r="O111" i="57"/>
  <c r="M115" i="57"/>
  <c r="P118" i="57"/>
  <c r="N122" i="57"/>
  <c r="Q125" i="57"/>
  <c r="O129" i="57"/>
  <c r="M133" i="57"/>
  <c r="P136" i="57"/>
  <c r="N140" i="57"/>
  <c r="Q143" i="57"/>
  <c r="O147" i="57"/>
  <c r="M151" i="57"/>
  <c r="N154" i="57"/>
  <c r="P156" i="57"/>
  <c r="O158" i="57"/>
  <c r="N160" i="57"/>
  <c r="M162" i="57"/>
  <c r="Q163" i="57"/>
  <c r="P165" i="57"/>
  <c r="O167" i="57"/>
  <c r="N169" i="57"/>
  <c r="M171" i="57"/>
  <c r="P172" i="57"/>
  <c r="M174" i="57"/>
  <c r="O175" i="57"/>
  <c r="Q176" i="57"/>
  <c r="N178" i="57"/>
  <c r="Q179" i="57"/>
  <c r="N181" i="57"/>
  <c r="P182" i="57"/>
  <c r="M184" i="57"/>
  <c r="O185" i="57"/>
  <c r="M187" i="57"/>
  <c r="O188" i="57"/>
  <c r="Q189" i="57"/>
  <c r="N191" i="57"/>
  <c r="P192" i="57"/>
  <c r="N194" i="57"/>
  <c r="P195" i="57"/>
  <c r="M197" i="57"/>
  <c r="O198" i="57"/>
  <c r="Q199" i="57"/>
  <c r="O201" i="57"/>
  <c r="Q202" i="57"/>
  <c r="N204" i="57"/>
  <c r="P205" i="57"/>
  <c r="M207" i="57"/>
  <c r="P208" i="57"/>
  <c r="Q209" i="57"/>
  <c r="M211" i="57"/>
  <c r="N212" i="57"/>
  <c r="O213" i="57"/>
  <c r="P214" i="57"/>
  <c r="Q215" i="57"/>
  <c r="M217" i="57"/>
  <c r="N218" i="57"/>
  <c r="O219" i="57"/>
  <c r="M22" i="57"/>
  <c r="P43" i="57"/>
  <c r="Q62" i="57"/>
  <c r="P73" i="57"/>
  <c r="P81" i="57"/>
  <c r="M86" i="57"/>
  <c r="O90" i="57"/>
  <c r="P94" i="57"/>
  <c r="M99" i="57"/>
  <c r="N103" i="57"/>
  <c r="P107" i="57"/>
  <c r="P111" i="57"/>
  <c r="N115" i="57"/>
  <c r="Q118" i="57"/>
  <c r="O122" i="57"/>
  <c r="M126" i="57"/>
  <c r="P129" i="57"/>
  <c r="N133" i="57"/>
  <c r="Q136" i="57"/>
  <c r="O140" i="57"/>
  <c r="M144" i="57"/>
  <c r="P147" i="57"/>
  <c r="N151" i="57"/>
  <c r="P154" i="57"/>
  <c r="M157" i="57"/>
  <c r="Q158" i="57"/>
  <c r="P160" i="57"/>
  <c r="O162" i="57"/>
  <c r="N164" i="57"/>
  <c r="M166" i="57"/>
  <c r="Q167" i="57"/>
  <c r="P169" i="57"/>
  <c r="O171" i="57"/>
  <c r="Q172" i="57"/>
  <c r="N174" i="57"/>
  <c r="P175" i="57"/>
  <c r="M177" i="57"/>
  <c r="P178" i="57"/>
  <c r="M180" i="57"/>
  <c r="O181" i="57"/>
  <c r="Q182" i="57"/>
  <c r="N184" i="57"/>
  <c r="Q185" i="57"/>
  <c r="N187" i="57"/>
  <c r="P188" i="57"/>
  <c r="M190" i="57"/>
  <c r="O191" i="57"/>
  <c r="M193" i="57"/>
  <c r="O194" i="57"/>
  <c r="Q195" i="57"/>
  <c r="N197" i="57"/>
  <c r="P198" i="57"/>
  <c r="N200" i="57"/>
  <c r="P201" i="57"/>
  <c r="M203" i="57"/>
  <c r="O204" i="57"/>
  <c r="Q205" i="57"/>
  <c r="O207" i="57"/>
  <c r="Q208" i="57"/>
  <c r="M210" i="57"/>
  <c r="N211" i="57"/>
  <c r="O212" i="57"/>
  <c r="P213" i="57"/>
  <c r="Q214" i="57"/>
  <c r="M216" i="57"/>
  <c r="N217" i="57"/>
  <c r="O218" i="57"/>
  <c r="P219" i="57"/>
  <c r="Q220" i="57"/>
  <c r="M222" i="57"/>
  <c r="N223" i="57"/>
  <c r="O224" i="57"/>
  <c r="P225" i="57"/>
  <c r="Q226" i="57"/>
  <c r="M228" i="57"/>
  <c r="N229" i="57"/>
  <c r="O230" i="57"/>
  <c r="P231" i="57"/>
  <c r="Q232" i="57"/>
  <c r="M234" i="57"/>
  <c r="N235" i="57"/>
  <c r="O236" i="57"/>
  <c r="P237" i="57"/>
  <c r="Q238" i="57"/>
  <c r="M240" i="57"/>
  <c r="N241" i="57"/>
  <c r="O242" i="57"/>
  <c r="P243" i="57"/>
  <c r="Q244" i="57"/>
  <c r="M246" i="57"/>
  <c r="N247" i="57"/>
  <c r="O248" i="57"/>
  <c r="P249" i="57"/>
  <c r="Q250" i="57"/>
  <c r="M252" i="57"/>
  <c r="N253" i="57"/>
  <c r="O254" i="57"/>
  <c r="P255" i="57"/>
  <c r="Q256" i="57"/>
  <c r="M258" i="57"/>
  <c r="N259" i="57"/>
  <c r="O260" i="57"/>
  <c r="P261" i="57"/>
  <c r="Q262" i="57"/>
  <c r="M264" i="57"/>
  <c r="N265" i="57"/>
  <c r="O266" i="57"/>
  <c r="P267" i="57"/>
  <c r="Q268" i="57"/>
  <c r="M270" i="57"/>
  <c r="N271" i="57"/>
  <c r="O272" i="57"/>
  <c r="P273" i="57"/>
  <c r="Q274" i="57"/>
  <c r="M276" i="57"/>
  <c r="N277" i="57"/>
  <c r="O278" i="57"/>
  <c r="P279" i="57"/>
  <c r="Q280" i="57"/>
  <c r="M282" i="57"/>
  <c r="N283" i="57"/>
  <c r="O284" i="57"/>
  <c r="P285" i="57"/>
  <c r="Q286" i="57"/>
  <c r="M288" i="57"/>
  <c r="N289" i="57"/>
  <c r="O290" i="57"/>
  <c r="P291" i="57"/>
  <c r="Q292" i="57"/>
  <c r="M294" i="57"/>
  <c r="N295" i="57"/>
  <c r="O296" i="57"/>
  <c r="P297" i="57"/>
  <c r="Q298" i="57"/>
  <c r="M300" i="57"/>
  <c r="N301" i="57"/>
  <c r="O302" i="57"/>
  <c r="P303" i="57"/>
  <c r="Q304" i="57"/>
  <c r="M306" i="57"/>
  <c r="N307" i="57"/>
  <c r="O308" i="57"/>
  <c r="N87" i="57"/>
  <c r="P112" i="57"/>
  <c r="N134" i="57"/>
  <c r="Q154" i="57"/>
  <c r="N166" i="57"/>
  <c r="Q175" i="57"/>
  <c r="P184" i="57"/>
  <c r="N193" i="57"/>
  <c r="Q201" i="57"/>
  <c r="N210" i="57"/>
  <c r="O217" i="57"/>
  <c r="N222" i="57"/>
  <c r="Q225" i="57"/>
  <c r="N228" i="57"/>
  <c r="P230" i="57"/>
  <c r="M233" i="57"/>
  <c r="O235" i="57"/>
  <c r="Q237" i="57"/>
  <c r="N240" i="57"/>
  <c r="P241" i="57"/>
  <c r="M243" i="57"/>
  <c r="O244" i="57"/>
  <c r="Q245" i="57"/>
  <c r="O247" i="57"/>
  <c r="Q248" i="57"/>
  <c r="N250" i="57"/>
  <c r="P251" i="57"/>
  <c r="M253" i="57"/>
  <c r="P254" i="57"/>
  <c r="M256" i="57"/>
  <c r="O257" i="57"/>
  <c r="Q258" i="57"/>
  <c r="N260" i="57"/>
  <c r="Q261" i="57"/>
  <c r="N263" i="57"/>
  <c r="P264" i="57"/>
  <c r="M266" i="57"/>
  <c r="O267" i="57"/>
  <c r="M269" i="57"/>
  <c r="O270" i="57"/>
  <c r="Q271" i="57"/>
  <c r="N273" i="57"/>
  <c r="P274" i="57"/>
  <c r="N276" i="57"/>
  <c r="P277" i="57"/>
  <c r="M279" i="57"/>
  <c r="O280" i="57"/>
  <c r="Q281" i="57"/>
  <c r="O283" i="57"/>
  <c r="Q284" i="57"/>
  <c r="N286" i="57"/>
  <c r="P287" i="57"/>
  <c r="M289" i="57"/>
  <c r="P290" i="57"/>
  <c r="M292" i="57"/>
  <c r="O293" i="57"/>
  <c r="Q294" i="57"/>
  <c r="N296" i="57"/>
  <c r="Q297" i="57"/>
  <c r="N299" i="57"/>
  <c r="P300" i="57"/>
  <c r="M302" i="57"/>
  <c r="O303" i="57"/>
  <c r="M305" i="57"/>
  <c r="O306" i="57"/>
  <c r="Q307" i="57"/>
  <c r="N309" i="57"/>
  <c r="O310" i="57"/>
  <c r="P311" i="57"/>
  <c r="Q312" i="57"/>
  <c r="M314" i="57"/>
  <c r="N315" i="57"/>
  <c r="O316" i="57"/>
  <c r="P317" i="57"/>
  <c r="Q318" i="57"/>
  <c r="M320" i="57"/>
  <c r="N321" i="57"/>
  <c r="M28" i="57"/>
  <c r="P91" i="57"/>
  <c r="N116" i="57"/>
  <c r="Q137" i="57"/>
  <c r="N157" i="57"/>
  <c r="M168" i="57"/>
  <c r="O177" i="57"/>
  <c r="M186" i="57"/>
  <c r="P194" i="57"/>
  <c r="N203" i="57"/>
  <c r="O211" i="57"/>
  <c r="P218" i="57"/>
  <c r="M223" i="57"/>
  <c r="N226" i="57"/>
  <c r="P228" i="57"/>
  <c r="M231" i="57"/>
  <c r="O233" i="57"/>
  <c r="Q235" i="57"/>
  <c r="N238" i="57"/>
  <c r="O240" i="57"/>
  <c r="Q241" i="57"/>
  <c r="N243" i="57"/>
  <c r="P244" i="57"/>
  <c r="N246" i="57"/>
  <c r="P247" i="57"/>
  <c r="M249" i="57"/>
  <c r="O250" i="57"/>
  <c r="Q251" i="57"/>
  <c r="O253" i="57"/>
  <c r="Q254" i="57"/>
  <c r="N256" i="57"/>
  <c r="P257" i="57"/>
  <c r="M259" i="57"/>
  <c r="P260" i="57"/>
  <c r="M262" i="57"/>
  <c r="O263" i="57"/>
  <c r="Q264" i="57"/>
  <c r="N266" i="57"/>
  <c r="Q267" i="57"/>
  <c r="N269" i="57"/>
  <c r="P270" i="57"/>
  <c r="M272" i="57"/>
  <c r="O273" i="57"/>
  <c r="M275" i="57"/>
  <c r="O276" i="57"/>
  <c r="Q277" i="57"/>
  <c r="N279" i="57"/>
  <c r="P280" i="57"/>
  <c r="N282" i="57"/>
  <c r="P283" i="57"/>
  <c r="M285" i="57"/>
  <c r="O286" i="57"/>
  <c r="Q287" i="57"/>
  <c r="O289" i="57"/>
  <c r="Q290" i="57"/>
  <c r="N292" i="57"/>
  <c r="P293" i="57"/>
  <c r="M295" i="57"/>
  <c r="P296" i="57"/>
  <c r="M298" i="57"/>
  <c r="O299" i="57"/>
  <c r="Q300" i="57"/>
  <c r="N302" i="57"/>
  <c r="Q303" i="57"/>
  <c r="N305" i="57"/>
  <c r="P306" i="57"/>
  <c r="M308" i="57"/>
  <c r="O309" i="57"/>
  <c r="P310" i="57"/>
  <c r="Q311" i="57"/>
  <c r="M313" i="57"/>
  <c r="N314" i="57"/>
  <c r="O315" i="57"/>
  <c r="P316" i="57"/>
  <c r="Q317" i="57"/>
  <c r="M319" i="57"/>
  <c r="N320" i="57"/>
  <c r="O321" i="57"/>
  <c r="P322" i="57"/>
  <c r="Q323" i="57"/>
  <c r="M325" i="57"/>
  <c r="N326" i="57"/>
  <c r="O327" i="57"/>
  <c r="P328" i="57"/>
  <c r="Q329" i="57"/>
  <c r="M331" i="57"/>
  <c r="P49" i="57"/>
  <c r="Q95" i="57"/>
  <c r="Q119" i="57"/>
  <c r="O141" i="57"/>
  <c r="M159" i="57"/>
  <c r="Q169" i="57"/>
  <c r="Q178" i="57"/>
  <c r="O187" i="57"/>
  <c r="M196" i="57"/>
  <c r="P204" i="57"/>
  <c r="P212" i="57"/>
  <c r="Q219" i="57"/>
  <c r="O223" i="57"/>
  <c r="P226" i="57"/>
  <c r="M229" i="57"/>
  <c r="O231" i="57"/>
  <c r="Q233" i="57"/>
  <c r="N236" i="57"/>
  <c r="P238" i="57"/>
  <c r="P240" i="57"/>
  <c r="M242" i="57"/>
  <c r="O243" i="57"/>
  <c r="M245" i="57"/>
  <c r="O246" i="57"/>
  <c r="Q247" i="57"/>
  <c r="N249" i="57"/>
  <c r="P250" i="57"/>
  <c r="N252" i="57"/>
  <c r="P253" i="57"/>
  <c r="M255" i="57"/>
  <c r="O256" i="57"/>
  <c r="Q257" i="57"/>
  <c r="O259" i="57"/>
  <c r="Q260" i="57"/>
  <c r="N262" i="57"/>
  <c r="P263" i="57"/>
  <c r="M265" i="57"/>
  <c r="P266" i="57"/>
  <c r="M268" i="57"/>
  <c r="O269" i="57"/>
  <c r="Q270" i="57"/>
  <c r="N272" i="57"/>
  <c r="Q273" i="57"/>
  <c r="N275" i="57"/>
  <c r="P276" i="57"/>
  <c r="M278" i="57"/>
  <c r="O279" i="57"/>
  <c r="M281" i="57"/>
  <c r="O282" i="57"/>
  <c r="Q283" i="57"/>
  <c r="N285" i="57"/>
  <c r="P286" i="57"/>
  <c r="N288" i="57"/>
  <c r="P289" i="57"/>
  <c r="M291" i="57"/>
  <c r="O292" i="57"/>
  <c r="Q293" i="57"/>
  <c r="O295" i="57"/>
  <c r="Q296" i="57"/>
  <c r="N298" i="57"/>
  <c r="P299" i="57"/>
  <c r="M301" i="57"/>
  <c r="P302" i="57"/>
  <c r="M304" i="57"/>
  <c r="O305" i="57"/>
  <c r="Q306" i="57"/>
  <c r="N308" i="57"/>
  <c r="P309" i="57"/>
  <c r="Q310" i="57"/>
  <c r="M312" i="57"/>
  <c r="N313" i="57"/>
  <c r="O314" i="57"/>
  <c r="P315" i="57"/>
  <c r="Q316" i="57"/>
  <c r="M318" i="57"/>
  <c r="N319" i="57"/>
  <c r="O320" i="57"/>
  <c r="P321" i="57"/>
  <c r="Q322" i="57"/>
  <c r="M324" i="57"/>
  <c r="N325" i="57"/>
  <c r="O326" i="57"/>
  <c r="P327" i="57"/>
  <c r="Q328" i="57"/>
  <c r="M330" i="57"/>
  <c r="N331" i="57"/>
  <c r="O332" i="57"/>
  <c r="P333" i="57"/>
  <c r="Q334" i="57"/>
  <c r="M336" i="57"/>
  <c r="N337" i="57"/>
  <c r="O338" i="57"/>
  <c r="P339" i="57"/>
  <c r="Q340" i="57"/>
  <c r="M342" i="57"/>
  <c r="N343" i="57"/>
  <c r="O344" i="57"/>
  <c r="P345" i="57"/>
  <c r="Q346" i="57"/>
  <c r="M348" i="57"/>
  <c r="N349" i="57"/>
  <c r="O350" i="57"/>
  <c r="P351" i="57"/>
  <c r="Q352" i="57"/>
  <c r="M354" i="57"/>
  <c r="N355" i="57"/>
  <c r="O356" i="57"/>
  <c r="P357" i="57"/>
  <c r="Q358" i="57"/>
  <c r="M360" i="57"/>
  <c r="N361" i="57"/>
  <c r="O362" i="57"/>
  <c r="P363" i="57"/>
  <c r="Q364" i="57"/>
  <c r="M66" i="57"/>
  <c r="N100" i="57"/>
  <c r="O123" i="57"/>
  <c r="M145" i="57"/>
  <c r="Q160" i="57"/>
  <c r="P171" i="57"/>
  <c r="N180" i="57"/>
  <c r="Q188" i="57"/>
  <c r="O197" i="57"/>
  <c r="N206" i="57"/>
  <c r="Q213" i="57"/>
  <c r="P220" i="57"/>
  <c r="N224" i="57"/>
  <c r="M227" i="57"/>
  <c r="O229" i="57"/>
  <c r="Q231" i="57"/>
  <c r="N234" i="57"/>
  <c r="P236" i="57"/>
  <c r="M239" i="57"/>
  <c r="Q240" i="57"/>
  <c r="N242" i="57"/>
  <c r="Q243" i="57"/>
  <c r="N245" i="57"/>
  <c r="P246" i="57"/>
  <c r="M248" i="57"/>
  <c r="O249" i="57"/>
  <c r="M251" i="57"/>
  <c r="O252" i="57"/>
  <c r="Q253" i="57"/>
  <c r="N255" i="57"/>
  <c r="P256" i="57"/>
  <c r="N258" i="57"/>
  <c r="P259" i="57"/>
  <c r="M261" i="57"/>
  <c r="O262" i="57"/>
  <c r="Q263" i="57"/>
  <c r="O265" i="57"/>
  <c r="Q266" i="57"/>
  <c r="N268" i="57"/>
  <c r="P269" i="57"/>
  <c r="M271" i="57"/>
  <c r="P272" i="57"/>
  <c r="M274" i="57"/>
  <c r="O275" i="57"/>
  <c r="Q276" i="57"/>
  <c r="N278" i="57"/>
  <c r="Q279" i="57"/>
  <c r="N281" i="57"/>
  <c r="P282" i="57"/>
  <c r="M284" i="57"/>
  <c r="O285" i="57"/>
  <c r="M287" i="57"/>
  <c r="O288" i="57"/>
  <c r="Q289" i="57"/>
  <c r="N291" i="57"/>
  <c r="P292" i="57"/>
  <c r="N294" i="57"/>
  <c r="P295" i="57"/>
  <c r="M297" i="57"/>
  <c r="O298" i="57"/>
  <c r="Q299" i="57"/>
  <c r="O301" i="57"/>
  <c r="Q302" i="57"/>
  <c r="N304" i="57"/>
  <c r="P305" i="57"/>
  <c r="M307" i="57"/>
  <c r="P308" i="57"/>
  <c r="Q309" i="57"/>
  <c r="M311" i="57"/>
  <c r="N312" i="57"/>
  <c r="O313" i="57"/>
  <c r="P314" i="57"/>
  <c r="Q315" i="57"/>
  <c r="M317" i="57"/>
  <c r="N318" i="57"/>
  <c r="O319" i="57"/>
  <c r="P320" i="57"/>
  <c r="Q321" i="57"/>
  <c r="M323" i="57"/>
  <c r="N324" i="57"/>
  <c r="O325" i="57"/>
  <c r="P326" i="57"/>
  <c r="Q327" i="57"/>
  <c r="M329" i="57"/>
  <c r="N330" i="57"/>
  <c r="Q76" i="57"/>
  <c r="O104" i="57"/>
  <c r="M127" i="57"/>
  <c r="P148" i="57"/>
  <c r="P162" i="57"/>
  <c r="M173" i="57"/>
  <c r="P181" i="57"/>
  <c r="N190" i="57"/>
  <c r="M199" i="57"/>
  <c r="P207" i="57"/>
  <c r="M215" i="57"/>
  <c r="M221" i="57"/>
  <c r="P224" i="57"/>
  <c r="O227" i="57"/>
  <c r="Q229" i="57"/>
  <c r="N232" i="57"/>
  <c r="P234" i="57"/>
  <c r="M237" i="57"/>
  <c r="O239" i="57"/>
  <c r="M241" i="57"/>
  <c r="P242" i="57"/>
  <c r="M244" i="57"/>
  <c r="O245" i="57"/>
  <c r="Q246" i="57"/>
  <c r="N248" i="57"/>
  <c r="Q249" i="57"/>
  <c r="N251" i="57"/>
  <c r="P252" i="57"/>
  <c r="M254" i="57"/>
  <c r="O255" i="57"/>
  <c r="M257" i="57"/>
  <c r="O258" i="57"/>
  <c r="Q259" i="57"/>
  <c r="N261" i="57"/>
  <c r="P262" i="57"/>
  <c r="N264" i="57"/>
  <c r="P265" i="57"/>
  <c r="M267" i="57"/>
  <c r="O268" i="57"/>
  <c r="Q269" i="57"/>
  <c r="O271" i="57"/>
  <c r="Q272" i="57"/>
  <c r="N274" i="57"/>
  <c r="P275" i="57"/>
  <c r="M277" i="57"/>
  <c r="P278" i="57"/>
  <c r="M280" i="57"/>
  <c r="O281" i="57"/>
  <c r="Q282" i="57"/>
  <c r="N284" i="57"/>
  <c r="Q285" i="57"/>
  <c r="N287" i="57"/>
  <c r="P288" i="57"/>
  <c r="M290" i="57"/>
  <c r="O291" i="57"/>
  <c r="M293" i="57"/>
  <c r="O294" i="57"/>
  <c r="Q295" i="57"/>
  <c r="N297" i="57"/>
  <c r="P298" i="57"/>
  <c r="N300" i="57"/>
  <c r="P301" i="57"/>
  <c r="M303" i="57"/>
  <c r="O304" i="57"/>
  <c r="Q305" i="57"/>
  <c r="O307" i="57"/>
  <c r="Q308" i="57"/>
  <c r="M310" i="57"/>
  <c r="N311" i="57"/>
  <c r="O312" i="57"/>
  <c r="P313" i="57"/>
  <c r="Q314" i="57"/>
  <c r="M316" i="57"/>
  <c r="N317" i="57"/>
  <c r="O318" i="57"/>
  <c r="P319" i="57"/>
  <c r="Q320" i="57"/>
  <c r="M322" i="57"/>
  <c r="N323" i="57"/>
  <c r="O324" i="57"/>
  <c r="P325" i="57"/>
  <c r="Q326" i="57"/>
  <c r="M328" i="57"/>
  <c r="N329" i="57"/>
  <c r="O330" i="57"/>
  <c r="P331" i="57"/>
  <c r="Q332" i="57"/>
  <c r="M334" i="57"/>
  <c r="N335" i="57"/>
  <c r="O336" i="57"/>
  <c r="P337" i="57"/>
  <c r="Q338" i="57"/>
  <c r="M340" i="57"/>
  <c r="N341" i="57"/>
  <c r="O342" i="57"/>
  <c r="P343" i="57"/>
  <c r="Q344" i="57"/>
  <c r="M346" i="57"/>
  <c r="N347" i="57"/>
  <c r="O348" i="57"/>
  <c r="P349" i="57"/>
  <c r="Q350" i="57"/>
  <c r="M352" i="57"/>
  <c r="N353" i="57"/>
  <c r="O354" i="57"/>
  <c r="P355" i="57"/>
  <c r="Q356" i="57"/>
  <c r="M358" i="57"/>
  <c r="N359" i="57"/>
  <c r="O360" i="57"/>
  <c r="P361" i="57"/>
  <c r="Q362" i="57"/>
  <c r="M364" i="57"/>
  <c r="N365" i="57"/>
  <c r="O366" i="57"/>
  <c r="P367" i="57"/>
  <c r="Q368" i="57"/>
  <c r="M370" i="57"/>
  <c r="N371" i="57"/>
  <c r="O372" i="57"/>
  <c r="P373" i="57"/>
  <c r="Q374" i="57"/>
  <c r="M376" i="57"/>
  <c r="N377" i="57"/>
  <c r="O378" i="57"/>
  <c r="P379" i="57"/>
  <c r="Q380" i="57"/>
  <c r="M382" i="57"/>
  <c r="N383" i="57"/>
  <c r="O384" i="57"/>
  <c r="P385" i="57"/>
  <c r="Q386" i="57"/>
  <c r="M388" i="57"/>
  <c r="N389" i="57"/>
  <c r="O390" i="57"/>
  <c r="P391" i="57"/>
  <c r="Q392" i="57"/>
  <c r="M394" i="57"/>
  <c r="N395" i="57"/>
  <c r="O396" i="57"/>
  <c r="P397" i="57"/>
  <c r="Q398" i="57"/>
  <c r="M400" i="57"/>
  <c r="N401" i="57"/>
  <c r="O402" i="57"/>
  <c r="P403" i="57"/>
  <c r="Q404" i="57"/>
  <c r="M406" i="57"/>
  <c r="N407" i="57"/>
  <c r="O408" i="57"/>
  <c r="P409" i="57"/>
  <c r="Q410" i="57"/>
  <c r="M412" i="57"/>
  <c r="N413" i="57"/>
  <c r="O414" i="57"/>
  <c r="P415" i="57"/>
  <c r="Q416" i="57"/>
  <c r="M418" i="57"/>
  <c r="N419" i="57"/>
  <c r="O420" i="57"/>
  <c r="P421" i="57"/>
  <c r="Q422" i="57"/>
  <c r="O174" i="57"/>
  <c r="Q221" i="57"/>
  <c r="O237" i="57"/>
  <c r="M247" i="57"/>
  <c r="Q255" i="57"/>
  <c r="O264" i="57"/>
  <c r="M273" i="57"/>
  <c r="P281" i="57"/>
  <c r="N290" i="57"/>
  <c r="M299" i="57"/>
  <c r="P307" i="57"/>
  <c r="M315" i="57"/>
  <c r="N322" i="57"/>
  <c r="Q325" i="57"/>
  <c r="O329" i="57"/>
  <c r="M332" i="57"/>
  <c r="Q333" i="57"/>
  <c r="P335" i="57"/>
  <c r="O337" i="57"/>
  <c r="N339" i="57"/>
  <c r="M341" i="57"/>
  <c r="Q342" i="57"/>
  <c r="P344" i="57"/>
  <c r="O346" i="57"/>
  <c r="N348" i="57"/>
  <c r="M350" i="57"/>
  <c r="Q351" i="57"/>
  <c r="P353" i="57"/>
  <c r="O355" i="57"/>
  <c r="N357" i="57"/>
  <c r="M359" i="57"/>
  <c r="Q360" i="57"/>
  <c r="P362" i="57"/>
  <c r="O364" i="57"/>
  <c r="M366" i="57"/>
  <c r="O367" i="57"/>
  <c r="M369" i="57"/>
  <c r="O370" i="57"/>
  <c r="Q371" i="57"/>
  <c r="N373" i="57"/>
  <c r="P374" i="57"/>
  <c r="N376" i="57"/>
  <c r="P377" i="57"/>
  <c r="M379" i="57"/>
  <c r="O380" i="57"/>
  <c r="Q381" i="57"/>
  <c r="O383" i="57"/>
  <c r="Q384" i="57"/>
  <c r="N386" i="57"/>
  <c r="P387" i="57"/>
  <c r="M389" i="57"/>
  <c r="P390" i="57"/>
  <c r="M392" i="57"/>
  <c r="O393" i="57"/>
  <c r="Q394" i="57"/>
  <c r="N396" i="57"/>
  <c r="Q397" i="57"/>
  <c r="N399" i="57"/>
  <c r="P400" i="57"/>
  <c r="M402" i="57"/>
  <c r="O403" i="57"/>
  <c r="M405" i="57"/>
  <c r="O406" i="57"/>
  <c r="Q407" i="57"/>
  <c r="N409" i="57"/>
  <c r="P410" i="57"/>
  <c r="N412" i="57"/>
  <c r="P413" i="57"/>
  <c r="M415" i="57"/>
  <c r="O416" i="57"/>
  <c r="Q417" i="57"/>
  <c r="O419" i="57"/>
  <c r="Q420" i="57"/>
  <c r="N422" i="57"/>
  <c r="P423" i="57"/>
  <c r="Q424" i="57"/>
  <c r="M426" i="57"/>
  <c r="Q82" i="57"/>
  <c r="M183" i="57"/>
  <c r="O225" i="57"/>
  <c r="Q239" i="57"/>
  <c r="P248" i="57"/>
  <c r="N257" i="57"/>
  <c r="Q265" i="57"/>
  <c r="O274" i="57"/>
  <c r="M283" i="57"/>
  <c r="Q291" i="57"/>
  <c r="O300" i="57"/>
  <c r="M309" i="57"/>
  <c r="N316" i="57"/>
  <c r="O322" i="57"/>
  <c r="M326" i="57"/>
  <c r="P329" i="57"/>
  <c r="N332" i="57"/>
  <c r="N334" i="57"/>
  <c r="Q335" i="57"/>
  <c r="Q337" i="57"/>
  <c r="O339" i="57"/>
  <c r="O341" i="57"/>
  <c r="M343" i="57"/>
  <c r="M345" i="57"/>
  <c r="P346" i="57"/>
  <c r="P348" i="57"/>
  <c r="N350" i="57"/>
  <c r="N352" i="57"/>
  <c r="Q353" i="57"/>
  <c r="Q355" i="57"/>
  <c r="O357" i="57"/>
  <c r="O359" i="57"/>
  <c r="M361" i="57"/>
  <c r="M363" i="57"/>
  <c r="P364" i="57"/>
  <c r="N366" i="57"/>
  <c r="Q367" i="57"/>
  <c r="N369" i="57"/>
  <c r="P370" i="57"/>
  <c r="M372" i="57"/>
  <c r="O373" i="57"/>
  <c r="M375" i="57"/>
  <c r="O376" i="57"/>
  <c r="Q377" i="57"/>
  <c r="N379" i="57"/>
  <c r="P380" i="57"/>
  <c r="N382" i="57"/>
  <c r="P383" i="57"/>
  <c r="M385" i="57"/>
  <c r="O386" i="57"/>
  <c r="Q387" i="57"/>
  <c r="O389" i="57"/>
  <c r="Q390" i="57"/>
  <c r="N392" i="57"/>
  <c r="P393" i="57"/>
  <c r="M395" i="57"/>
  <c r="P396" i="57"/>
  <c r="M398" i="57"/>
  <c r="O399" i="57"/>
  <c r="Q400" i="57"/>
  <c r="N402" i="57"/>
  <c r="Q403" i="57"/>
  <c r="N405" i="57"/>
  <c r="P406" i="57"/>
  <c r="M408" i="57"/>
  <c r="O409" i="57"/>
  <c r="M411" i="57"/>
  <c r="O412" i="57"/>
  <c r="Q413" i="57"/>
  <c r="N415" i="57"/>
  <c r="P416" i="57"/>
  <c r="N418" i="57"/>
  <c r="P419" i="57"/>
  <c r="M421" i="57"/>
  <c r="O422" i="57"/>
  <c r="Q423" i="57"/>
  <c r="M425" i="57"/>
  <c r="N426" i="57"/>
  <c r="Q7" i="57"/>
  <c r="Q365" i="57"/>
  <c r="N390" i="57"/>
  <c r="M399" i="57"/>
  <c r="P404" i="57"/>
  <c r="O410" i="57"/>
  <c r="Q414" i="57"/>
  <c r="P420" i="57"/>
  <c r="Q425" i="57"/>
  <c r="Q108" i="57"/>
  <c r="Q191" i="57"/>
  <c r="Q227" i="57"/>
  <c r="O241" i="57"/>
  <c r="M250" i="57"/>
  <c r="P258" i="57"/>
  <c r="N267" i="57"/>
  <c r="Q275" i="57"/>
  <c r="P284" i="57"/>
  <c r="N293" i="57"/>
  <c r="Q301" i="57"/>
  <c r="N310" i="57"/>
  <c r="O317" i="57"/>
  <c r="O323" i="57"/>
  <c r="M327" i="57"/>
  <c r="P330" i="57"/>
  <c r="P332" i="57"/>
  <c r="O334" i="57"/>
  <c r="N336" i="57"/>
  <c r="M338" i="57"/>
  <c r="Q339" i="57"/>
  <c r="P341" i="57"/>
  <c r="O343" i="57"/>
  <c r="N345" i="57"/>
  <c r="M347" i="57"/>
  <c r="Q348" i="57"/>
  <c r="P350" i="57"/>
  <c r="O352" i="57"/>
  <c r="N354" i="57"/>
  <c r="M356" i="57"/>
  <c r="Q357" i="57"/>
  <c r="P359" i="57"/>
  <c r="O361" i="57"/>
  <c r="N363" i="57"/>
  <c r="M365" i="57"/>
  <c r="P366" i="57"/>
  <c r="M368" i="57"/>
  <c r="O369" i="57"/>
  <c r="Q370" i="57"/>
  <c r="N372" i="57"/>
  <c r="Q373" i="57"/>
  <c r="N375" i="57"/>
  <c r="P376" i="57"/>
  <c r="M378" i="57"/>
  <c r="O379" i="57"/>
  <c r="M381" i="57"/>
  <c r="O382" i="57"/>
  <c r="Q383" i="57"/>
  <c r="N385" i="57"/>
  <c r="P386" i="57"/>
  <c r="N388" i="57"/>
  <c r="P389" i="57"/>
  <c r="M391" i="57"/>
  <c r="O392" i="57"/>
  <c r="Q393" i="57"/>
  <c r="O395" i="57"/>
  <c r="Q396" i="57"/>
  <c r="N398" i="57"/>
  <c r="P399" i="57"/>
  <c r="M401" i="57"/>
  <c r="P402" i="57"/>
  <c r="M404" i="57"/>
  <c r="O405" i="57"/>
  <c r="Q406" i="57"/>
  <c r="N408" i="57"/>
  <c r="Q409" i="57"/>
  <c r="N411" i="57"/>
  <c r="P412" i="57"/>
  <c r="M414" i="57"/>
  <c r="O415" i="57"/>
  <c r="M417" i="57"/>
  <c r="O418" i="57"/>
  <c r="Q419" i="57"/>
  <c r="N421" i="57"/>
  <c r="P422" i="57"/>
  <c r="M424" i="57"/>
  <c r="N425" i="57"/>
  <c r="O426" i="57"/>
  <c r="P7" i="57"/>
  <c r="O7" i="57"/>
  <c r="O353" i="57"/>
  <c r="O377" i="57"/>
  <c r="M383" i="57"/>
  <c r="M386" i="57"/>
  <c r="Q391" i="57"/>
  <c r="M396" i="57"/>
  <c r="Q401" i="57"/>
  <c r="N406" i="57"/>
  <c r="Q411" i="57"/>
  <c r="P417" i="57"/>
  <c r="O423" i="57"/>
  <c r="P130" i="57"/>
  <c r="O200" i="57"/>
  <c r="N230" i="57"/>
  <c r="Q242" i="57"/>
  <c r="O251" i="57"/>
  <c r="M260" i="57"/>
  <c r="P268" i="57"/>
  <c r="O277" i="57"/>
  <c r="M286" i="57"/>
  <c r="P294" i="57"/>
  <c r="N303" i="57"/>
  <c r="O311" i="57"/>
  <c r="P318" i="57"/>
  <c r="P323" i="57"/>
  <c r="N327" i="57"/>
  <c r="Q330" i="57"/>
  <c r="M333" i="57"/>
  <c r="P334" i="57"/>
  <c r="P336" i="57"/>
  <c r="N338" i="57"/>
  <c r="N340" i="57"/>
  <c r="Q341" i="57"/>
  <c r="Q343" i="57"/>
  <c r="O345" i="57"/>
  <c r="O347" i="57"/>
  <c r="M349" i="57"/>
  <c r="M351" i="57"/>
  <c r="P352" i="57"/>
  <c r="P354" i="57"/>
  <c r="N356" i="57"/>
  <c r="N358" i="57"/>
  <c r="Q359" i="57"/>
  <c r="Q361" i="57"/>
  <c r="O363" i="57"/>
  <c r="O365" i="57"/>
  <c r="Q366" i="57"/>
  <c r="N368" i="57"/>
  <c r="P369" i="57"/>
  <c r="M371" i="57"/>
  <c r="P372" i="57"/>
  <c r="M374" i="57"/>
  <c r="O375" i="57"/>
  <c r="Q376" i="57"/>
  <c r="N378" i="57"/>
  <c r="Q379" i="57"/>
  <c r="N381" i="57"/>
  <c r="P382" i="57"/>
  <c r="M384" i="57"/>
  <c r="O385" i="57"/>
  <c r="M387" i="57"/>
  <c r="O388" i="57"/>
  <c r="Q389" i="57"/>
  <c r="N391" i="57"/>
  <c r="P392" i="57"/>
  <c r="N394" i="57"/>
  <c r="P395" i="57"/>
  <c r="M397" i="57"/>
  <c r="O398" i="57"/>
  <c r="Q399" i="57"/>
  <c r="O401" i="57"/>
  <c r="Q402" i="57"/>
  <c r="N404" i="57"/>
  <c r="P405" i="57"/>
  <c r="M407" i="57"/>
  <c r="P408" i="57"/>
  <c r="M410" i="57"/>
  <c r="O411" i="57"/>
  <c r="Q412" i="57"/>
  <c r="N414" i="57"/>
  <c r="Q415" i="57"/>
  <c r="N417" i="57"/>
  <c r="P418" i="57"/>
  <c r="M420" i="57"/>
  <c r="O421" i="57"/>
  <c r="M423" i="57"/>
  <c r="N424" i="57"/>
  <c r="O425" i="57"/>
  <c r="P426" i="57"/>
  <c r="P360" i="57"/>
  <c r="P381" i="57"/>
  <c r="Q388" i="57"/>
  <c r="P394" i="57"/>
  <c r="O400" i="57"/>
  <c r="P407" i="57"/>
  <c r="O413" i="57"/>
  <c r="M419" i="57"/>
  <c r="P424" i="57"/>
  <c r="N152" i="57"/>
  <c r="M209" i="57"/>
  <c r="P232" i="57"/>
  <c r="N244" i="57"/>
  <c r="Q252" i="57"/>
  <c r="O261" i="57"/>
  <c r="N270" i="57"/>
  <c r="Q278" i="57"/>
  <c r="O287" i="57"/>
  <c r="M296" i="57"/>
  <c r="P304" i="57"/>
  <c r="P312" i="57"/>
  <c r="Q319" i="57"/>
  <c r="P324" i="57"/>
  <c r="N328" i="57"/>
  <c r="O331" i="57"/>
  <c r="N333" i="57"/>
  <c r="M335" i="57"/>
  <c r="Q336" i="57"/>
  <c r="P338" i="57"/>
  <c r="O340" i="57"/>
  <c r="N342" i="57"/>
  <c r="M344" i="57"/>
  <c r="Q345" i="57"/>
  <c r="P347" i="57"/>
  <c r="O349" i="57"/>
  <c r="N351" i="57"/>
  <c r="M353" i="57"/>
  <c r="Q354" i="57"/>
  <c r="P356" i="57"/>
  <c r="O358" i="57"/>
  <c r="N360" i="57"/>
  <c r="M362" i="57"/>
  <c r="Q363" i="57"/>
  <c r="P365" i="57"/>
  <c r="M367" i="57"/>
  <c r="O368" i="57"/>
  <c r="Q369" i="57"/>
  <c r="O371" i="57"/>
  <c r="Q372" i="57"/>
  <c r="N374" i="57"/>
  <c r="P375" i="57"/>
  <c r="M377" i="57"/>
  <c r="P378" i="57"/>
  <c r="M380" i="57"/>
  <c r="O381" i="57"/>
  <c r="Q382" i="57"/>
  <c r="N384" i="57"/>
  <c r="Q385" i="57"/>
  <c r="N387" i="57"/>
  <c r="P388" i="57"/>
  <c r="M390" i="57"/>
  <c r="O391" i="57"/>
  <c r="M393" i="57"/>
  <c r="O394" i="57"/>
  <c r="Q395" i="57"/>
  <c r="N397" i="57"/>
  <c r="P398" i="57"/>
  <c r="N400" i="57"/>
  <c r="P401" i="57"/>
  <c r="M403" i="57"/>
  <c r="O404" i="57"/>
  <c r="Q405" i="57"/>
  <c r="O407" i="57"/>
  <c r="Q408" i="57"/>
  <c r="N410" i="57"/>
  <c r="P411" i="57"/>
  <c r="M413" i="57"/>
  <c r="P414" i="57"/>
  <c r="M416" i="57"/>
  <c r="O417" i="57"/>
  <c r="Q418" i="57"/>
  <c r="N420" i="57"/>
  <c r="Q421" i="57"/>
  <c r="N423" i="57"/>
  <c r="O424" i="57"/>
  <c r="P425" i="57"/>
  <c r="Q426" i="57"/>
  <c r="O164" i="57"/>
  <c r="N216" i="57"/>
  <c r="M235" i="57"/>
  <c r="P245" i="57"/>
  <c r="N254" i="57"/>
  <c r="M263" i="57"/>
  <c r="P271" i="57"/>
  <c r="N280" i="57"/>
  <c r="Q288" i="57"/>
  <c r="O297" i="57"/>
  <c r="N306" i="57"/>
  <c r="Q313" i="57"/>
  <c r="M321" i="57"/>
  <c r="Q324" i="57"/>
  <c r="O328" i="57"/>
  <c r="Q331" i="57"/>
  <c r="O333" i="57"/>
  <c r="O335" i="57"/>
  <c r="M337" i="57"/>
  <c r="M339" i="57"/>
  <c r="P340" i="57"/>
  <c r="P342" i="57"/>
  <c r="N344" i="57"/>
  <c r="N346" i="57"/>
  <c r="Q347" i="57"/>
  <c r="Q349" i="57"/>
  <c r="O351" i="57"/>
  <c r="M355" i="57"/>
  <c r="M357" i="57"/>
  <c r="P358" i="57"/>
  <c r="N362" i="57"/>
  <c r="N364" i="57"/>
  <c r="N367" i="57"/>
  <c r="P368" i="57"/>
  <c r="N370" i="57"/>
  <c r="P371" i="57"/>
  <c r="M373" i="57"/>
  <c r="O374" i="57"/>
  <c r="Q375" i="57"/>
  <c r="Q378" i="57"/>
  <c r="N380" i="57"/>
  <c r="P384" i="57"/>
  <c r="O387" i="57"/>
  <c r="N393" i="57"/>
  <c r="O397" i="57"/>
  <c r="N403" i="57"/>
  <c r="M409" i="57"/>
  <c r="N416" i="57"/>
  <c r="M422"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J216" i="87"/>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J108"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J166" i="87"/>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J89" i="87"/>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J222" i="87"/>
  <c r="AM220" i="87"/>
  <c r="AN220" i="87" s="1"/>
  <c r="AM206" i="87"/>
  <c r="AN206" i="87" s="1"/>
  <c r="AM200" i="87"/>
  <c r="AN200" i="87" s="1"/>
  <c r="AJ181" i="87"/>
  <c r="AJ169" i="87"/>
  <c r="AJ137" i="87"/>
  <c r="AM112" i="87"/>
  <c r="AN112" i="87" s="1"/>
  <c r="AM85" i="87"/>
  <c r="AN85" i="87" s="1"/>
  <c r="AM80" i="87"/>
  <c r="AN80" i="87" s="1"/>
  <c r="AM78" i="87"/>
  <c r="AN78" i="87" s="1"/>
  <c r="AM66" i="87"/>
  <c r="AN66" i="87" s="1"/>
  <c r="AM64" i="87"/>
  <c r="AN64" i="87" s="1"/>
  <c r="AM62" i="87"/>
  <c r="AN62" i="87" s="1"/>
  <c r="AM61" i="87"/>
  <c r="AN61" i="87" s="1"/>
  <c r="AG59" i="87"/>
  <c r="AM46" i="87"/>
  <c r="AN46" i="87" s="1"/>
  <c r="AM37" i="87"/>
  <c r="AN37" i="87" s="1"/>
  <c r="AM28" i="87"/>
  <c r="AN28" i="87" s="1"/>
  <c r="AM22" i="87"/>
  <c r="AN22" i="87" s="1"/>
  <c r="AG20" i="87"/>
  <c r="AM167" i="87"/>
  <c r="AN167" i="87" s="1"/>
  <c r="AM209" i="87"/>
  <c r="AN209" i="87" s="1"/>
  <c r="AM203" i="87"/>
  <c r="AN203" i="87" s="1"/>
  <c r="AJ178" i="87"/>
  <c r="AJ160" i="87"/>
  <c r="AM135" i="87"/>
  <c r="AN135" i="87" s="1"/>
  <c r="AG121" i="87"/>
  <c r="AJ120" i="87"/>
  <c r="AM111" i="87"/>
  <c r="AN111" i="87" s="1"/>
  <c r="AM103" i="87"/>
  <c r="AN103" i="87" s="1"/>
  <c r="AM100" i="87"/>
  <c r="AN100" i="87" s="1"/>
  <c r="AG85" i="87"/>
  <c r="AJ83"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J102" i="87"/>
  <c r="AG91" i="87"/>
  <c r="AM81" i="87"/>
  <c r="AN81" i="87" s="1"/>
  <c r="AM76" i="87"/>
  <c r="AN76" i="87" s="1"/>
  <c r="AM72" i="87"/>
  <c r="AN72" i="87" s="1"/>
  <c r="AM35" i="87"/>
  <c r="AN35" i="87" s="1"/>
  <c r="AM205" i="87"/>
  <c r="AN205" i="87" s="1"/>
  <c r="AM191" i="87"/>
  <c r="AN191" i="87" s="1"/>
  <c r="AM188" i="87"/>
  <c r="AN188" i="87" s="1"/>
  <c r="AM226" i="87"/>
  <c r="AN226" i="87" s="1"/>
  <c r="AM213" i="87"/>
  <c r="AN213" i="87" s="1"/>
  <c r="AJ184" i="87"/>
  <c r="AM114" i="87"/>
  <c r="AN114" i="87" s="1"/>
  <c r="AG111" i="87"/>
  <c r="AM102" i="87"/>
  <c r="AN102" i="87" s="1"/>
  <c r="AM58" i="87"/>
  <c r="AN58" i="87" s="1"/>
  <c r="AG238" i="87"/>
  <c r="AJ238" i="87"/>
  <c r="AG244" i="87"/>
  <c r="AJ244" i="87"/>
  <c r="AJ242" i="87"/>
  <c r="AG242" i="87"/>
  <c r="AG215" i="87"/>
  <c r="AJ215" i="87"/>
  <c r="AG213" i="87"/>
  <c r="AJ213" i="87"/>
  <c r="AJ199" i="87"/>
  <c r="AG199" i="87"/>
  <c r="AG250" i="87"/>
  <c r="AJ250" i="87"/>
  <c r="AJ248" i="87"/>
  <c r="AG248" i="87"/>
  <c r="AM227" i="87"/>
  <c r="AN227" i="87" s="1"/>
  <c r="AG190" i="87"/>
  <c r="AJ190" i="87"/>
  <c r="AG249" i="87"/>
  <c r="AH249" i="87" s="1"/>
  <c r="AI249" i="87" s="1"/>
  <c r="AJ249" i="87"/>
  <c r="AK249" i="87" s="1"/>
  <c r="AL249" i="87" s="1"/>
  <c r="AJ247" i="87"/>
  <c r="AG247" i="87"/>
  <c r="AM248" i="87"/>
  <c r="AN248" i="87" s="1"/>
  <c r="AG240" i="87"/>
  <c r="AJ240" i="87"/>
  <c r="AJ231" i="87"/>
  <c r="AG231" i="87"/>
  <c r="AJ229" i="87"/>
  <c r="AG229" i="87"/>
  <c r="AG227" i="87"/>
  <c r="AJ227" i="87"/>
  <c r="AG225" i="87"/>
  <c r="AJ225" i="87"/>
  <c r="AJ211" i="87"/>
  <c r="AG211" i="87"/>
  <c r="AJ205" i="87"/>
  <c r="AG205" i="87"/>
  <c r="AJ200" i="87"/>
  <c r="AG200" i="87"/>
  <c r="AG245" i="87"/>
  <c r="AJ245" i="87"/>
  <c r="AG246" i="87"/>
  <c r="AJ246" i="87"/>
  <c r="AM239" i="87"/>
  <c r="AN239" i="87" s="1"/>
  <c r="AG237" i="87"/>
  <c r="AJ237" i="87"/>
  <c r="AJ235" i="87"/>
  <c r="AG235" i="87"/>
  <c r="AG233" i="87"/>
  <c r="AJ233" i="87"/>
  <c r="AM230" i="87"/>
  <c r="AN230" i="87" s="1"/>
  <c r="AG210" i="87"/>
  <c r="AJ210" i="87"/>
  <c r="AG209" i="87"/>
  <c r="AJ209" i="87"/>
  <c r="AJ207" i="87"/>
  <c r="AG207" i="87"/>
  <c r="AG204" i="87"/>
  <c r="AJ204" i="87"/>
  <c r="AG203" i="87"/>
  <c r="AJ203" i="87"/>
  <c r="AG251" i="87"/>
  <c r="AJ251" i="87"/>
  <c r="AJ243" i="87"/>
  <c r="AG243" i="87"/>
  <c r="AJ241" i="87"/>
  <c r="AG241" i="87"/>
  <c r="AG239" i="87"/>
  <c r="AJ239" i="87"/>
  <c r="AG232" i="87"/>
  <c r="AJ232" i="87"/>
  <c r="AJ230" i="87"/>
  <c r="AG230" i="87"/>
  <c r="AG221" i="87"/>
  <c r="AJ221" i="87"/>
  <c r="AJ206" i="87"/>
  <c r="AG206" i="87"/>
  <c r="AJ164" i="87"/>
  <c r="AG164" i="87"/>
  <c r="AJ127" i="87"/>
  <c r="AG127" i="87"/>
  <c r="AD214" i="87"/>
  <c r="AE214" i="87" s="1"/>
  <c r="AF214" i="87" s="1"/>
  <c r="AB199" i="87"/>
  <c r="AC199" i="87" s="1"/>
  <c r="AJ198" i="87"/>
  <c r="AD195" i="87"/>
  <c r="AE195" i="87" s="1"/>
  <c r="AF195" i="87" s="1"/>
  <c r="X195" i="87"/>
  <c r="AB195" i="87" s="1"/>
  <c r="AC195" i="87" s="1"/>
  <c r="AG180" i="87"/>
  <c r="AJ180" i="87"/>
  <c r="AJ176" i="87"/>
  <c r="AG176" i="87"/>
  <c r="AG187" i="87"/>
  <c r="AJ187" i="87"/>
  <c r="AG149" i="87"/>
  <c r="AJ149" i="87"/>
  <c r="AJ147" i="87"/>
  <c r="AG147" i="87"/>
  <c r="AD226" i="87"/>
  <c r="AE226" i="87" s="1"/>
  <c r="AF226" i="87" s="1"/>
  <c r="AD220" i="87"/>
  <c r="AE220" i="87" s="1"/>
  <c r="AF220" i="87" s="1"/>
  <c r="AG224" i="87"/>
  <c r="AG218" i="87"/>
  <c r="AB211" i="87"/>
  <c r="AC211" i="87" s="1"/>
  <c r="AJ208" i="87"/>
  <c r="AB205" i="87"/>
  <c r="AC205" i="87" s="1"/>
  <c r="AJ202" i="87"/>
  <c r="AG197" i="87"/>
  <c r="AJ197" i="87"/>
  <c r="X196" i="87"/>
  <c r="AB196" i="87" s="1"/>
  <c r="AC196" i="87" s="1"/>
  <c r="AD196" i="87"/>
  <c r="AE196" i="87" s="1"/>
  <c r="AF196" i="87" s="1"/>
  <c r="X192" i="87"/>
  <c r="AB192" i="87" s="1"/>
  <c r="AC192" i="87" s="1"/>
  <c r="AD192" i="87"/>
  <c r="AE192" i="87" s="1"/>
  <c r="AF192" i="87" s="1"/>
  <c r="AJ188" i="87"/>
  <c r="AG188" i="87"/>
  <c r="AG185" i="87"/>
  <c r="AJ185" i="87"/>
  <c r="AG167" i="87"/>
  <c r="AJ167" i="87"/>
  <c r="AJ189" i="87"/>
  <c r="AG189" i="87"/>
  <c r="AM221" i="87"/>
  <c r="AN221" i="87" s="1"/>
  <c r="AD223" i="87"/>
  <c r="AE223" i="87" s="1"/>
  <c r="AF223" i="87" s="1"/>
  <c r="AD217" i="87"/>
  <c r="AE217" i="87" s="1"/>
  <c r="AF217" i="87" s="1"/>
  <c r="AG179" i="87"/>
  <c r="AJ179" i="87"/>
  <c r="AM215" i="87"/>
  <c r="AN215" i="87" s="1"/>
  <c r="AB208" i="87"/>
  <c r="AC208" i="87" s="1"/>
  <c r="AB202" i="87"/>
  <c r="AC202" i="87" s="1"/>
  <c r="AG191" i="87"/>
  <c r="AJ191" i="87"/>
  <c r="AM189" i="87"/>
  <c r="AN189" i="87" s="1"/>
  <c r="AJ182" i="87"/>
  <c r="AG182" i="87"/>
  <c r="AG174" i="87"/>
  <c r="AJ174" i="87"/>
  <c r="AM171" i="87"/>
  <c r="AN171" i="87" s="1"/>
  <c r="AG162" i="87"/>
  <c r="AJ162" i="87"/>
  <c r="AM159" i="87"/>
  <c r="AN159" i="87" s="1"/>
  <c r="AJ153" i="87"/>
  <c r="AG153" i="87"/>
  <c r="AJ140" i="87"/>
  <c r="AG140" i="87"/>
  <c r="AJ133" i="87"/>
  <c r="AG133" i="87"/>
  <c r="AB184" i="87"/>
  <c r="AC184" i="87" s="1"/>
  <c r="AB181" i="87"/>
  <c r="AC181" i="87" s="1"/>
  <c r="AM180" i="87"/>
  <c r="AN180" i="87" s="1"/>
  <c r="X180" i="87"/>
  <c r="AB180" i="87" s="1"/>
  <c r="AC180" i="87" s="1"/>
  <c r="AM179" i="87"/>
  <c r="AN179" i="87" s="1"/>
  <c r="AG173" i="87"/>
  <c r="AJ173" i="87"/>
  <c r="AB172" i="87"/>
  <c r="AC172" i="87" s="1"/>
  <c r="AG161" i="87"/>
  <c r="AJ161" i="87"/>
  <c r="AB160" i="87"/>
  <c r="AC160" i="87" s="1"/>
  <c r="AJ159" i="87"/>
  <c r="AG159" i="87"/>
  <c r="AJ151" i="87"/>
  <c r="AG151" i="87"/>
  <c r="AM144" i="87"/>
  <c r="AN144" i="87" s="1"/>
  <c r="AG124" i="87"/>
  <c r="AJ124" i="87"/>
  <c r="AJ170" i="87"/>
  <c r="AG170" i="87"/>
  <c r="AJ157" i="87"/>
  <c r="AG157" i="87"/>
  <c r="AJ146" i="87"/>
  <c r="AG146" i="87"/>
  <c r="AG144" i="87"/>
  <c r="AJ144" i="87"/>
  <c r="AG118" i="87"/>
  <c r="AJ118" i="87"/>
  <c r="AM185" i="87"/>
  <c r="AN185" i="87" s="1"/>
  <c r="AM177" i="87"/>
  <c r="AN177" i="87" s="1"/>
  <c r="AD175" i="87"/>
  <c r="AE175" i="87" s="1"/>
  <c r="AF175" i="87" s="1"/>
  <c r="AB169" i="87"/>
  <c r="AC169" i="87" s="1"/>
  <c r="AG168" i="87"/>
  <c r="AJ168" i="87"/>
  <c r="AM165" i="87"/>
  <c r="AN165" i="87" s="1"/>
  <c r="AM164" i="87"/>
  <c r="AN164" i="87" s="1"/>
  <c r="AD163" i="87"/>
  <c r="AE163" i="87" s="1"/>
  <c r="AF163" i="87" s="1"/>
  <c r="AM156" i="87"/>
  <c r="AN156" i="87" s="1"/>
  <c r="AJ152" i="87"/>
  <c r="AG152" i="87"/>
  <c r="AG148" i="87"/>
  <c r="AJ148" i="87"/>
  <c r="AM141" i="87"/>
  <c r="AN141" i="87" s="1"/>
  <c r="AG112" i="87"/>
  <c r="AJ112" i="87"/>
  <c r="AB178" i="87"/>
  <c r="AC178" i="87" s="1"/>
  <c r="AJ177" i="87"/>
  <c r="AG177" i="87"/>
  <c r="AD172" i="87"/>
  <c r="AE172" i="87" s="1"/>
  <c r="AF172" i="87" s="1"/>
  <c r="AB166" i="87"/>
  <c r="AC166" i="87" s="1"/>
  <c r="AJ165" i="87"/>
  <c r="AG165" i="87"/>
  <c r="AG156" i="87"/>
  <c r="AJ156" i="87"/>
  <c r="AG154" i="87"/>
  <c r="AJ154" i="87"/>
  <c r="AM147" i="87"/>
  <c r="AN147" i="87" s="1"/>
  <c r="AG143" i="87"/>
  <c r="AJ143" i="87"/>
  <c r="AJ141" i="87"/>
  <c r="AG141" i="87"/>
  <c r="AG136" i="87"/>
  <c r="AJ136" i="87"/>
  <c r="AD135" i="87"/>
  <c r="AE135" i="87" s="1"/>
  <c r="AF135" i="87" s="1"/>
  <c r="AJ122" i="87"/>
  <c r="AG122" i="87"/>
  <c r="AG117" i="87"/>
  <c r="AB115" i="87"/>
  <c r="AC115" i="87" s="1"/>
  <c r="AM109" i="87"/>
  <c r="AN109" i="87" s="1"/>
  <c r="AM107" i="87"/>
  <c r="AN107" i="87" s="1"/>
  <c r="AJ99" i="87"/>
  <c r="AG99" i="87"/>
  <c r="AG139" i="87"/>
  <c r="AB133" i="87"/>
  <c r="AC133" i="87" s="1"/>
  <c r="AD132" i="87"/>
  <c r="AE132" i="87" s="1"/>
  <c r="AF132" i="87" s="1"/>
  <c r="AG131" i="87"/>
  <c r="AD130" i="87"/>
  <c r="AE130" i="87" s="1"/>
  <c r="AF130" i="87" s="1"/>
  <c r="AG129" i="87"/>
  <c r="AM128" i="87"/>
  <c r="AN128" i="87" s="1"/>
  <c r="AG126" i="87"/>
  <c r="AG125" i="87"/>
  <c r="AJ125" i="87"/>
  <c r="AD123" i="87"/>
  <c r="AE123" i="87" s="1"/>
  <c r="AF123" i="87" s="1"/>
  <c r="AB121" i="87"/>
  <c r="AC121" i="87" s="1"/>
  <c r="AJ116" i="87"/>
  <c r="AG116" i="87"/>
  <c r="AG113" i="87"/>
  <c r="AJ113" i="87"/>
  <c r="AB111" i="87"/>
  <c r="AC111" i="87" s="1"/>
  <c r="AJ128" i="87"/>
  <c r="AG128" i="87"/>
  <c r="AG107" i="87"/>
  <c r="AJ107" i="87"/>
  <c r="AG87" i="87"/>
  <c r="AD138" i="87"/>
  <c r="AE138" i="87" s="1"/>
  <c r="AF138" i="87" s="1"/>
  <c r="AM119" i="87"/>
  <c r="AN119" i="87" s="1"/>
  <c r="AD114" i="87"/>
  <c r="AE114" i="87" s="1"/>
  <c r="AF114" i="87" s="1"/>
  <c r="AJ110" i="87"/>
  <c r="AG110" i="87"/>
  <c r="AJ105" i="87"/>
  <c r="AG105" i="87"/>
  <c r="AJ104" i="87"/>
  <c r="AG104" i="87"/>
  <c r="AM130" i="87"/>
  <c r="AN130" i="87" s="1"/>
  <c r="AM106" i="87"/>
  <c r="AN106" i="87" s="1"/>
  <c r="AG94" i="87"/>
  <c r="AJ94" i="87"/>
  <c r="AJ93" i="87"/>
  <c r="AG93" i="87"/>
  <c r="AG88" i="87"/>
  <c r="AJ88" i="87"/>
  <c r="AG119" i="87"/>
  <c r="AJ119" i="87"/>
  <c r="AM118" i="87"/>
  <c r="AN118" i="87" s="1"/>
  <c r="AG100" i="87"/>
  <c r="AJ100" i="87"/>
  <c r="AG98" i="87"/>
  <c r="AG92" i="87"/>
  <c r="AG86" i="87"/>
  <c r="AG77" i="87"/>
  <c r="AJ77" i="87"/>
  <c r="AG76" i="87"/>
  <c r="AJ76" i="87"/>
  <c r="AJ73" i="87"/>
  <c r="AG73" i="87"/>
  <c r="AG72" i="87"/>
  <c r="AJ72" i="87"/>
  <c r="AG70" i="87"/>
  <c r="AJ70" i="87"/>
  <c r="AG96" i="87"/>
  <c r="AJ96" i="87"/>
  <c r="AG103" i="87"/>
  <c r="X100" i="87"/>
  <c r="AB100" i="87" s="1"/>
  <c r="AC100" i="87" s="1"/>
  <c r="AM95" i="87"/>
  <c r="AN95" i="87" s="1"/>
  <c r="AG78" i="87"/>
  <c r="AJ71" i="87"/>
  <c r="AG71" i="87"/>
  <c r="AJ69" i="87"/>
  <c r="AG69" i="87"/>
  <c r="AM99" i="87"/>
  <c r="AN99" i="87" s="1"/>
  <c r="AB94" i="87"/>
  <c r="AC94" i="87" s="1"/>
  <c r="AG80" i="87"/>
  <c r="AJ80" i="87"/>
  <c r="AG66" i="87"/>
  <c r="AJ66" i="87"/>
  <c r="AG62" i="87"/>
  <c r="AJ62" i="87"/>
  <c r="AM108" i="87"/>
  <c r="AN108" i="87" s="1"/>
  <c r="AM93" i="87"/>
  <c r="AN93" i="87" s="1"/>
  <c r="AM87" i="87"/>
  <c r="AN87" i="87" s="1"/>
  <c r="AJ79" i="87"/>
  <c r="AG79" i="87"/>
  <c r="AG68" i="87"/>
  <c r="AJ68" i="87"/>
  <c r="AM101" i="87"/>
  <c r="AN101" i="87" s="1"/>
  <c r="AB98" i="87"/>
  <c r="AC98" i="87" s="1"/>
  <c r="AM96" i="87"/>
  <c r="AN96" i="87" s="1"/>
  <c r="AD95" i="87"/>
  <c r="AE95" i="87" s="1"/>
  <c r="AF95" i="87" s="1"/>
  <c r="AG90" i="87"/>
  <c r="AJ90" i="87"/>
  <c r="AM88" i="87"/>
  <c r="AN88" i="87" s="1"/>
  <c r="AG84" i="87"/>
  <c r="AJ84" i="87"/>
  <c r="AJ81" i="87"/>
  <c r="AG81" i="87"/>
  <c r="AG74" i="87"/>
  <c r="AJ74" i="87"/>
  <c r="AM68" i="87"/>
  <c r="AN68" i="87" s="1"/>
  <c r="AM56" i="87"/>
  <c r="AN56" i="87" s="1"/>
  <c r="AG53" i="87"/>
  <c r="AD82" i="87"/>
  <c r="AE82" i="87" s="1"/>
  <c r="AF82" i="87" s="1"/>
  <c r="AG67" i="87"/>
  <c r="AM63" i="87"/>
  <c r="AN63" i="87" s="1"/>
  <c r="AJ58" i="87"/>
  <c r="AG57" i="87"/>
  <c r="AJ57" i="87"/>
  <c r="AJ54" i="87"/>
  <c r="AG54" i="87"/>
  <c r="AG51" i="87"/>
  <c r="AJ51" i="87"/>
  <c r="AG21" i="87"/>
  <c r="AJ21" i="87"/>
  <c r="AG45" i="87"/>
  <c r="AJ45" i="87"/>
  <c r="AJ42" i="87"/>
  <c r="AG42" i="87"/>
  <c r="AG46" i="87"/>
  <c r="AJ46" i="87"/>
  <c r="AG39" i="87"/>
  <c r="AJ39" i="87"/>
  <c r="AG22" i="87"/>
  <c r="AJ22" i="87"/>
  <c r="AM70" i="87"/>
  <c r="AN70" i="87" s="1"/>
  <c r="AB69" i="87"/>
  <c r="AC69" i="87" s="1"/>
  <c r="AG65" i="87"/>
  <c r="AB53" i="87"/>
  <c r="AC53" i="87" s="1"/>
  <c r="AG49" i="87"/>
  <c r="AJ49" i="87"/>
  <c r="AM47" i="87"/>
  <c r="AN47" i="87" s="1"/>
  <c r="AD64" i="87"/>
  <c r="AE64" i="87" s="1"/>
  <c r="AF64" i="87" s="1"/>
  <c r="AJ56" i="87"/>
  <c r="AB55" i="87"/>
  <c r="AC55" i="87" s="1"/>
  <c r="AJ52" i="87"/>
  <c r="AB50" i="87"/>
  <c r="AC50" i="87" s="1"/>
  <c r="AD50" i="87"/>
  <c r="AE50" i="87" s="1"/>
  <c r="AF50" i="87" s="1"/>
  <c r="AG47" i="87"/>
  <c r="AM43" i="87"/>
  <c r="AN43" i="87" s="1"/>
  <c r="AM42" i="87"/>
  <c r="AN42" i="87" s="1"/>
  <c r="AG32" i="87"/>
  <c r="AG26" i="87"/>
  <c r="AJ25" i="87"/>
  <c r="AG25" i="87"/>
  <c r="AD23" i="87"/>
  <c r="AE23" i="87" s="1"/>
  <c r="AF23" i="87" s="1"/>
  <c r="AG16" i="87"/>
  <c r="AJ16" i="87"/>
  <c r="W12" i="87"/>
  <c r="X12" i="87" s="1"/>
  <c r="AB12" i="87" s="1"/>
  <c r="AC12" i="87" s="1"/>
  <c r="AJ48" i="87"/>
  <c r="AG48" i="87"/>
  <c r="AJ36" i="87"/>
  <c r="AG36" i="87"/>
  <c r="AJ30" i="87"/>
  <c r="AG30" i="87"/>
  <c r="AD14" i="87"/>
  <c r="X14" i="87"/>
  <c r="AB14" i="87" s="1"/>
  <c r="AC14" i="87" s="1"/>
  <c r="AM45" i="87"/>
  <c r="AN45" i="87" s="1"/>
  <c r="AD41" i="87"/>
  <c r="AE41" i="87" s="1"/>
  <c r="AF41" i="87" s="1"/>
  <c r="AD35" i="87"/>
  <c r="AE35" i="87" s="1"/>
  <c r="AF35" i="87" s="1"/>
  <c r="AD29" i="87"/>
  <c r="AE29" i="87" s="1"/>
  <c r="AF29" i="87" s="1"/>
  <c r="AB20" i="87"/>
  <c r="AC20" i="87" s="1"/>
  <c r="AJ17" i="87"/>
  <c r="W10" i="87"/>
  <c r="X10" i="87" s="1"/>
  <c r="AB10" i="87" s="1"/>
  <c r="AC10" i="87" s="1"/>
  <c r="AG27" i="87"/>
  <c r="AJ18" i="87"/>
  <c r="AG18" i="87"/>
  <c r="AD44" i="87"/>
  <c r="AE44" i="87" s="1"/>
  <c r="AF44" i="87" s="1"/>
  <c r="AG40" i="87"/>
  <c r="AJ40" i="87"/>
  <c r="AJ37" i="87"/>
  <c r="AG37" i="87"/>
  <c r="AG34" i="87"/>
  <c r="AJ34" i="87"/>
  <c r="AJ31" i="87"/>
  <c r="AG31" i="87"/>
  <c r="AG28" i="87"/>
  <c r="AJ28" i="87"/>
  <c r="AJ19" i="87"/>
  <c r="AG19" i="87"/>
  <c r="AM49" i="87"/>
  <c r="AN49" i="87" s="1"/>
  <c r="AM48" i="87"/>
  <c r="AN48" i="87" s="1"/>
  <c r="AB41" i="87"/>
  <c r="AC41" i="87" s="1"/>
  <c r="AJ24" i="87"/>
  <c r="AG24" i="87"/>
  <c r="AM23" i="87"/>
  <c r="AN23" i="87" s="1"/>
  <c r="AM21" i="87"/>
  <c r="AN21" i="87" s="1"/>
  <c r="AM16" i="87"/>
  <c r="AN16" i="87" s="1"/>
  <c r="AD13" i="87"/>
  <c r="AG43" i="87" l="1"/>
  <c r="AG219" i="87"/>
  <c r="AJ194" i="87"/>
  <c r="AG33" i="87"/>
  <c r="AG155" i="87"/>
  <c r="AG201" i="87"/>
  <c r="AJ234" i="87"/>
  <c r="AG228" i="87"/>
  <c r="AG60" i="87"/>
  <c r="AG158" i="87"/>
  <c r="AG38" i="87"/>
  <c r="AJ63" i="87"/>
  <c r="AG101" i="87"/>
  <c r="AG150" i="87"/>
  <c r="AJ186" i="87"/>
  <c r="AG193" i="87"/>
  <c r="AJ106" i="87"/>
  <c r="AG171" i="87"/>
  <c r="AG212" i="87"/>
  <c r="AG236" i="87"/>
  <c r="AJ142" i="87"/>
  <c r="AJ134" i="87"/>
  <c r="AG145" i="87"/>
  <c r="AM249" i="87"/>
  <c r="AN249" i="87" s="1"/>
  <c r="AD10" i="87"/>
  <c r="AD12" i="87"/>
  <c r="AG35" i="87"/>
  <c r="AJ35" i="87"/>
  <c r="AG226" i="87"/>
  <c r="AJ226" i="87"/>
  <c r="AG64" i="87"/>
  <c r="AJ64" i="87"/>
  <c r="AJ41" i="87"/>
  <c r="AG41" i="87"/>
  <c r="AE13" i="87"/>
  <c r="AF13" i="87" s="1"/>
  <c r="AG50" i="87"/>
  <c r="AJ50" i="87"/>
  <c r="AG172" i="87"/>
  <c r="AJ172" i="87"/>
  <c r="AG192" i="87"/>
  <c r="AJ192" i="87"/>
  <c r="AG195" i="87"/>
  <c r="AJ195" i="87"/>
  <c r="AJ138" i="87"/>
  <c r="AG138" i="87"/>
  <c r="AG135" i="87"/>
  <c r="AJ135" i="87"/>
  <c r="AJ217" i="87"/>
  <c r="AG217" i="87"/>
  <c r="AG214" i="87"/>
  <c r="AJ214" i="87"/>
  <c r="AG132" i="87"/>
  <c r="AJ132" i="87"/>
  <c r="AG196" i="87"/>
  <c r="AJ196" i="87"/>
  <c r="AE14" i="87"/>
  <c r="AF14" i="87" s="1"/>
  <c r="AG82" i="87"/>
  <c r="AJ82" i="87"/>
  <c r="AG123" i="87"/>
  <c r="AJ123" i="87"/>
  <c r="AG130" i="87"/>
  <c r="AJ130" i="87"/>
  <c r="AG163" i="87"/>
  <c r="AJ163" i="87"/>
  <c r="AG175" i="87"/>
  <c r="AJ175" i="87"/>
  <c r="AJ223" i="87"/>
  <c r="AG223" i="87"/>
  <c r="AJ44" i="87"/>
  <c r="AG44" i="87"/>
  <c r="AG114" i="87"/>
  <c r="AJ114" i="87"/>
  <c r="AE15" i="87"/>
  <c r="AF15" i="87" s="1"/>
  <c r="AG29" i="87"/>
  <c r="AJ29" i="87"/>
  <c r="AG23" i="87"/>
  <c r="AJ23" i="87"/>
  <c r="AG95" i="87"/>
  <c r="AJ95" i="87"/>
  <c r="AG220" i="87"/>
  <c r="AJ220" i="87"/>
  <c r="AE11" i="87" l="1"/>
  <c r="AF11" i="87" s="1"/>
  <c r="AG11" i="87" s="1"/>
  <c r="AE10" i="87"/>
  <c r="AF10" i="87" s="1"/>
  <c r="AG10" i="87" s="1"/>
  <c r="AE12" i="87"/>
  <c r="AF12" i="87" s="1"/>
  <c r="AJ12" i="87" s="1"/>
  <c r="AJ14" i="87"/>
  <c r="AG14" i="87"/>
  <c r="AJ13" i="87"/>
  <c r="AG13" i="87"/>
  <c r="AG15" i="87"/>
  <c r="AJ15" i="87"/>
  <c r="AJ11" i="87" l="1"/>
  <c r="AJ10" i="87"/>
  <c r="AG12" i="87"/>
  <c r="AK12" i="87"/>
  <c r="AL12" i="87" s="1"/>
  <c r="AH14" i="87"/>
  <c r="AI14" i="87" s="1"/>
  <c r="AH15" i="87"/>
  <c r="AI15" i="87" s="1"/>
  <c r="AH13" i="87"/>
  <c r="AI13" i="87" s="1"/>
  <c r="AH10" i="87"/>
  <c r="AI10" i="87" s="1"/>
  <c r="AH11" i="87"/>
  <c r="AI11" i="87" s="1"/>
  <c r="AH12" i="87"/>
  <c r="AI12" i="87" s="1"/>
  <c r="AK13" i="87"/>
  <c r="AL13" i="87" s="1"/>
  <c r="AK14" i="87"/>
  <c r="AL14" i="87" s="1"/>
  <c r="AK15" i="87"/>
  <c r="AL15" i="87" s="1"/>
  <c r="M38" i="56" l="1"/>
  <c r="I7" i="57"/>
  <c r="AK11" i="87"/>
  <c r="AL11" i="87" s="1"/>
  <c r="AM11" i="87" s="1"/>
  <c r="AN11" i="87" s="1"/>
  <c r="AK10" i="87"/>
  <c r="AL10" i="87" s="1"/>
  <c r="AM12" i="87"/>
  <c r="AN12" i="87" s="1"/>
  <c r="AM13" i="87"/>
  <c r="AN13" i="87" s="1"/>
  <c r="AM15" i="87"/>
  <c r="AN15" i="87" s="1"/>
  <c r="AM14" i="87"/>
  <c r="AN14" i="87" s="1"/>
  <c r="AM10" i="87" l="1"/>
  <c r="J7" i="57"/>
  <c r="O38" i="56"/>
  <c r="C5" i="64"/>
  <c r="C6" i="79"/>
  <c r="C6" i="64"/>
  <c r="C5" i="79"/>
  <c r="F73" i="82"/>
  <c r="G73" i="82"/>
  <c r="F79" i="82"/>
  <c r="G79" i="82"/>
  <c r="F85" i="82"/>
  <c r="G85" i="82"/>
  <c r="F91" i="82"/>
  <c r="G91" i="82"/>
  <c r="F97" i="82"/>
  <c r="G97" i="82"/>
  <c r="F103" i="82"/>
  <c r="G103" i="82"/>
  <c r="F109" i="82"/>
  <c r="G109" i="82"/>
  <c r="F115" i="82"/>
  <c r="G115" i="82"/>
  <c r="F121" i="82"/>
  <c r="G121" i="82"/>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G343" i="82"/>
  <c r="F349" i="82"/>
  <c r="G349" i="82"/>
  <c r="F355" i="82"/>
  <c r="G355" i="82"/>
  <c r="F361" i="82"/>
  <c r="G361" i="82"/>
  <c r="H361" i="82" s="1"/>
  <c r="F367" i="82"/>
  <c r="G367" i="82"/>
  <c r="F373" i="82"/>
  <c r="G373" i="82"/>
  <c r="F379" i="82"/>
  <c r="G379" i="82"/>
  <c r="F385" i="82"/>
  <c r="G385" i="82"/>
  <c r="H385" i="82" s="1"/>
  <c r="F391" i="82"/>
  <c r="G391" i="82"/>
  <c r="F397" i="82"/>
  <c r="G397" i="82"/>
  <c r="F403" i="82"/>
  <c r="G403" i="82"/>
  <c r="F409" i="82"/>
  <c r="G409" i="82"/>
  <c r="F415" i="82"/>
  <c r="G415" i="82"/>
  <c r="F421" i="82"/>
  <c r="G421" i="82"/>
  <c r="F67" i="82"/>
  <c r="G67" i="82"/>
  <c r="H391" i="82" l="1"/>
  <c r="H343" i="82"/>
  <c r="H403" i="82"/>
  <c r="H259" i="82"/>
  <c r="H103" i="82"/>
  <c r="H355" i="82"/>
  <c r="H421" i="82"/>
  <c r="H115" i="82"/>
  <c r="H409" i="82"/>
  <c r="H199" i="82"/>
  <c r="H373" i="82"/>
  <c r="H337" i="82"/>
  <c r="AN10" i="87"/>
  <c r="L7" i="57" s="1"/>
  <c r="K7" i="57"/>
  <c r="Q38" i="56"/>
  <c r="H415" i="82"/>
  <c r="H379" i="82"/>
  <c r="H367" i="82"/>
  <c r="H331" i="82"/>
  <c r="H319" i="82"/>
  <c r="H307" i="82"/>
  <c r="H283" i="82"/>
  <c r="H271" i="82"/>
  <c r="H253" i="82"/>
  <c r="H241" i="82"/>
  <c r="H205" i="82"/>
  <c r="H187" i="82"/>
  <c r="H175" i="82"/>
  <c r="H163" i="82"/>
  <c r="H151" i="82"/>
  <c r="H139" i="82"/>
  <c r="H127" i="82"/>
  <c r="H109" i="82"/>
  <c r="H235" i="82"/>
  <c r="H169" i="82"/>
  <c r="H79" i="82"/>
  <c r="H325" i="82"/>
  <c r="H277" i="82"/>
  <c r="H211" i="82"/>
  <c r="H397" i="82"/>
  <c r="H295" i="82"/>
  <c r="H313" i="82"/>
  <c r="H247" i="82"/>
  <c r="H223" i="82"/>
  <c r="H181" i="82"/>
  <c r="H133" i="82"/>
  <c r="H91" i="82"/>
  <c r="H349" i="82"/>
  <c r="H289" i="82"/>
  <c r="H145" i="82"/>
  <c r="H73" i="82"/>
  <c r="H217" i="82"/>
  <c r="H301" i="82"/>
  <c r="H229" i="82"/>
  <c r="H157" i="82"/>
  <c r="H85" i="82"/>
  <c r="H97" i="82"/>
  <c r="H67" i="82"/>
  <c r="H265" i="82"/>
  <c r="H193" i="82"/>
  <c r="H121"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94" i="82" l="1"/>
  <c r="K256" i="82"/>
  <c r="K258" i="82"/>
  <c r="K277" i="82"/>
  <c r="K281" i="82"/>
  <c r="K254" i="82"/>
  <c r="K77" i="82"/>
  <c r="K119" i="82"/>
  <c r="K121" i="82"/>
  <c r="K123" i="82"/>
  <c r="K139" i="82"/>
  <c r="K157" i="82"/>
  <c r="K189" i="82"/>
  <c r="K207" i="82"/>
  <c r="K326" i="82"/>
  <c r="K350" i="82"/>
  <c r="K352" i="82"/>
  <c r="K103" i="82"/>
  <c r="K131" i="82"/>
  <c r="K257" i="82"/>
  <c r="K278" i="82"/>
  <c r="K280" i="82"/>
  <c r="K335" i="82"/>
  <c r="K341" i="82"/>
  <c r="K359" i="82"/>
  <c r="K365" i="82"/>
  <c r="K373" i="82"/>
  <c r="I64" i="79"/>
  <c r="F61" i="82"/>
  <c r="I28" i="79"/>
  <c r="F25" i="82"/>
  <c r="I40" i="79"/>
  <c r="F37" i="82"/>
  <c r="I46" i="79"/>
  <c r="F43" i="82"/>
  <c r="I52" i="79"/>
  <c r="F49" i="82"/>
  <c r="I22" i="79"/>
  <c r="F19"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Y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Y29"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51" i="79"/>
  <c r="X60" i="79"/>
  <c r="X62" i="79"/>
  <c r="Y64" i="79"/>
  <c r="Y66" i="79"/>
  <c r="Y68" i="79"/>
  <c r="Y48" i="79" l="1"/>
  <c r="Y65" i="79"/>
  <c r="K45" i="86" s="1"/>
  <c r="Z31" i="79"/>
  <c r="Y50" i="79"/>
  <c r="N52" i="86" s="1"/>
  <c r="Y47" i="79"/>
  <c r="K32" i="86" s="1"/>
  <c r="U52" i="86"/>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I46" i="82" s="1"/>
  <c r="K46" i="82" s="1"/>
  <c r="Q52" i="86"/>
  <c r="K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K55" i="86"/>
  <c r="Q35" i="86"/>
  <c r="AC45" i="86"/>
  <c r="AI45" i="86"/>
  <c r="W55" i="86"/>
  <c r="Q45" i="86"/>
  <c r="AC55" i="86"/>
  <c r="K35" i="86"/>
  <c r="AI25" i="86"/>
  <c r="K25" i="86"/>
  <c r="W35" i="86"/>
  <c r="AC15" i="86"/>
  <c r="AI15" i="86"/>
  <c r="W25" i="86"/>
  <c r="Q1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T42" i="86"/>
  <c r="AL32" i="86"/>
  <c r="N32" i="86"/>
  <c r="Z42" i="86"/>
  <c r="AL52" i="86"/>
  <c r="T32" i="86"/>
  <c r="AF12" i="86"/>
  <c r="AL42" i="86"/>
  <c r="T22" i="86"/>
  <c r="N12" i="86"/>
  <c r="Z22" i="86"/>
  <c r="T12" i="86"/>
  <c r="AF22" i="86"/>
  <c r="AL2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Z36" i="79"/>
  <c r="Z24" i="79"/>
  <c r="Y67" i="79"/>
  <c r="AC67" i="79" s="1"/>
  <c r="Y20" i="79"/>
  <c r="Y28" i="79"/>
  <c r="I25" i="82" s="1"/>
  <c r="K25" i="82"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AC29" i="79"/>
  <c r="I26" i="82"/>
  <c r="K26" i="82" s="1"/>
  <c r="J17" i="82"/>
  <c r="I21" i="82"/>
  <c r="I61" i="82"/>
  <c r="K61" i="82" s="1"/>
  <c r="AC65" i="79"/>
  <c r="I62" i="82"/>
  <c r="K62"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47"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Z53" i="79"/>
  <c r="Y53" i="79"/>
  <c r="Z56" i="79"/>
  <c r="Y56" i="79"/>
  <c r="Q32" i="86" l="1"/>
  <c r="AC32" i="86"/>
  <c r="AC30" i="79"/>
  <c r="AC12" i="86"/>
  <c r="AI32" i="86"/>
  <c r="AI22" i="86"/>
  <c r="AC22" i="86"/>
  <c r="Q12" i="86"/>
  <c r="K42" i="86"/>
  <c r="K12" i="86"/>
  <c r="AI42" i="86"/>
  <c r="AL12" i="86"/>
  <c r="AF52" i="86"/>
  <c r="Q55" i="86"/>
  <c r="W45" i="86"/>
  <c r="AI55" i="86"/>
  <c r="K58" i="82"/>
  <c r="Z32" i="86"/>
  <c r="Z52" i="86"/>
  <c r="AC25" i="86"/>
  <c r="AI35" i="86"/>
  <c r="Z12" i="86"/>
  <c r="AF32" i="86"/>
  <c r="K15" i="86"/>
  <c r="AC35" i="86"/>
  <c r="N42" i="86"/>
  <c r="Q25" i="86"/>
  <c r="AC49" i="79"/>
  <c r="W22" i="86"/>
  <c r="K52" i="86"/>
  <c r="W52" i="86"/>
  <c r="AC52" i="86"/>
  <c r="AI12" i="86"/>
  <c r="W12" i="86"/>
  <c r="W32" i="86"/>
  <c r="AC28" i="79"/>
  <c r="Q22" i="86"/>
  <c r="AI52" i="86"/>
  <c r="W42" i="86"/>
  <c r="AC42" i="86"/>
  <c r="Q42" i="86"/>
  <c r="K21" i="82"/>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L34" i="72"/>
  <c r="F31" i="78" s="1"/>
  <c r="X33" i="72"/>
  <c r="U33" i="72"/>
  <c r="AB34" i="72" s="1"/>
  <c r="X32" i="72"/>
  <c r="U32" i="72"/>
  <c r="X31" i="72"/>
  <c r="U31" i="72"/>
  <c r="AB32" i="72" s="1"/>
  <c r="X30" i="72"/>
  <c r="U30" i="72"/>
  <c r="X29" i="72"/>
  <c r="U29" i="72"/>
  <c r="X28" i="72"/>
  <c r="U28" i="72"/>
  <c r="AF28" i="72" s="1"/>
  <c r="AE28" i="72" s="1"/>
  <c r="J25" i="78" s="1"/>
  <c r="L28" i="72"/>
  <c r="F25" i="78" s="1"/>
  <c r="X27" i="72"/>
  <c r="U27" i="72"/>
  <c r="X26" i="72"/>
  <c r="U26" i="72"/>
  <c r="X25" i="72"/>
  <c r="U25" i="72"/>
  <c r="X24" i="72"/>
  <c r="U24" i="72"/>
  <c r="X23" i="72"/>
  <c r="U23" i="72"/>
  <c r="X22" i="72"/>
  <c r="U22" i="72"/>
  <c r="AB23" i="72" s="1"/>
  <c r="L22" i="72"/>
  <c r="X21" i="72"/>
  <c r="U21" i="72"/>
  <c r="X20" i="72"/>
  <c r="U20" i="72"/>
  <c r="AB21" i="72" s="1"/>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AB22" i="72" l="1"/>
  <c r="AB33" i="72"/>
  <c r="AB24" i="72"/>
  <c r="AB35" i="72"/>
  <c r="AB25" i="72"/>
  <c r="AB20" i="72"/>
  <c r="AB31" i="72"/>
  <c r="AB26" i="72"/>
  <c r="F61" i="77"/>
  <c r="F25" i="77"/>
  <c r="J25" i="77"/>
  <c r="J31" i="77"/>
  <c r="J37" i="77"/>
  <c r="J61" i="77"/>
  <c r="J43" i="77"/>
  <c r="X61" i="64"/>
  <c r="X63" i="64"/>
  <c r="Y63" i="64" s="1"/>
  <c r="I60" i="77"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D23" i="72"/>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C20" i="72"/>
  <c r="I17" i="78" s="1"/>
  <c r="AD21" i="72"/>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5" i="72"/>
  <c r="AE15" i="72" s="1"/>
  <c r="J12" i="78" s="1"/>
  <c r="AF26" i="72"/>
  <c r="AE26" i="72" s="1"/>
  <c r="J23" i="78" s="1"/>
  <c r="AC35" i="72"/>
  <c r="AB36" i="72"/>
  <c r="AD36" i="72" s="1"/>
  <c r="AB38" i="72"/>
  <c r="AC38" i="72" s="1"/>
  <c r="I35" i="78" s="1"/>
  <c r="AB44" i="72"/>
  <c r="AB45" i="72"/>
  <c r="AC45" i="72" s="1"/>
  <c r="AF47" i="72"/>
  <c r="AE47" i="72" s="1"/>
  <c r="J44" i="78" s="1"/>
  <c r="AB56" i="72"/>
  <c r="AB57" i="72"/>
  <c r="AC57" i="72" s="1"/>
  <c r="I54" i="78" s="1"/>
  <c r="AB15" i="72"/>
  <c r="AB16" i="72"/>
  <c r="AF17" i="72"/>
  <c r="AE17" i="72" s="1"/>
  <c r="J14" i="78" s="1"/>
  <c r="AF59" i="72"/>
  <c r="AE59" i="72" s="1"/>
  <c r="J56" i="78" s="1"/>
  <c r="AB58" i="72"/>
  <c r="AF25" i="72"/>
  <c r="AE25" i="72" s="1"/>
  <c r="J22" i="78" s="1"/>
  <c r="AF42" i="72"/>
  <c r="AE42" i="72" s="1"/>
  <c r="J39" i="78" s="1"/>
  <c r="AB41" i="72"/>
  <c r="AF50" i="72"/>
  <c r="AE50" i="72" s="1"/>
  <c r="J47" i="78" s="1"/>
  <c r="AB49" i="72"/>
  <c r="AB50" i="72"/>
  <c r="AB30" i="72"/>
  <c r="AF31" i="72"/>
  <c r="AE31" i="72" s="1"/>
  <c r="J28" i="78" s="1"/>
  <c r="AC34" i="72"/>
  <c r="I31" i="78" s="1"/>
  <c r="AD34" i="72"/>
  <c r="AB42" i="72"/>
  <c r="AD52" i="72"/>
  <c r="AB59" i="72"/>
  <c r="AF65" i="72"/>
  <c r="AE65" i="72" s="1"/>
  <c r="J62" i="78" s="1"/>
  <c r="AB64" i="72"/>
  <c r="AB65" i="72"/>
  <c r="AB17" i="72"/>
  <c r="AF23" i="72"/>
  <c r="AE23" i="72" s="1"/>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27" i="72"/>
  <c r="AE27" i="72" s="1"/>
  <c r="J24" i="78" s="1"/>
  <c r="AF44" i="72"/>
  <c r="AE44" i="72" s="1"/>
  <c r="J41" i="78" s="1"/>
  <c r="AB43" i="72"/>
  <c r="AD55" i="72"/>
  <c r="AF61" i="72"/>
  <c r="AE61" i="72" s="1"/>
  <c r="J58" i="78" s="1"/>
  <c r="AB60" i="72"/>
  <c r="AB27" i="72"/>
  <c r="AF33" i="72"/>
  <c r="AE33" i="72" s="1"/>
  <c r="J30"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25" i="64" l="1"/>
  <c r="K51" i="78"/>
  <c r="AD54" i="72"/>
  <c r="X18" i="66"/>
  <c r="R28" i="66"/>
  <c r="Y59" i="64"/>
  <c r="I56" i="77" s="1"/>
  <c r="AC61" i="72"/>
  <c r="I58" i="78" s="1"/>
  <c r="K58" i="78" s="1"/>
  <c r="J56" i="77"/>
  <c r="J32" i="77"/>
  <c r="K32" i="77" s="1"/>
  <c r="J58" i="77"/>
  <c r="K58" i="77" s="1"/>
  <c r="J48" i="77"/>
  <c r="J27" i="77"/>
  <c r="J63" i="77"/>
  <c r="J21" i="77"/>
  <c r="J23" i="77"/>
  <c r="J35" i="77"/>
  <c r="J47" i="77"/>
  <c r="J46" i="77"/>
  <c r="K46" i="77" s="1"/>
  <c r="J20" i="77"/>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K38" i="77" s="1"/>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7" i="74" s="1"/>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L28" i="66"/>
  <c r="AJ48" i="66"/>
  <c r="X38" i="66"/>
  <c r="AD48" i="66"/>
  <c r="AJ18" i="66"/>
  <c r="AC36" i="72"/>
  <c r="I33" i="78" s="1"/>
  <c r="K33" i="78" s="1"/>
  <c r="W50" i="74"/>
  <c r="Y66" i="64"/>
  <c r="I63" i="77" s="1"/>
  <c r="Z54" i="64"/>
  <c r="R8" i="66"/>
  <c r="R18" i="66"/>
  <c r="L18" i="66"/>
  <c r="L38" i="66"/>
  <c r="AC23" i="72"/>
  <c r="I20" i="78" s="1"/>
  <c r="AJ8" i="66"/>
  <c r="AD8" i="66"/>
  <c r="X28" i="66"/>
  <c r="X48" i="66"/>
  <c r="K21" i="77"/>
  <c r="AD51" i="72"/>
  <c r="X8" i="66"/>
  <c r="L8" i="66"/>
  <c r="R48" i="66"/>
  <c r="R38" i="66"/>
  <c r="AD38" i="72"/>
  <c r="K31" i="78"/>
  <c r="Q50" i="74"/>
  <c r="Q10" i="74"/>
  <c r="K52" i="78"/>
  <c r="W30" i="74"/>
  <c r="K54" i="78"/>
  <c r="K40"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M7" i="74"/>
  <c r="J20" i="78"/>
  <c r="T53" i="66"/>
  <c r="J53" i="77"/>
  <c r="K53" i="77" s="1"/>
  <c r="AC19" i="72"/>
  <c r="K35" i="78"/>
  <c r="K10" i="74"/>
  <c r="AC10" i="74"/>
  <c r="AI30" i="74"/>
  <c r="W40" i="74"/>
  <c r="AC50" i="74"/>
  <c r="K36" i="78"/>
  <c r="Y42" i="64"/>
  <c r="I39" i="77" s="1"/>
  <c r="K39" i="77" s="1"/>
  <c r="AC54" i="64"/>
  <c r="J51" i="77"/>
  <c r="K51" i="77" s="1"/>
  <c r="Y51" i="64"/>
  <c r="I48" i="77" s="1"/>
  <c r="AD57" i="72"/>
  <c r="W10" i="74"/>
  <c r="K20" i="74"/>
  <c r="Q40" i="74"/>
  <c r="AI40" i="74"/>
  <c r="AM37" i="74"/>
  <c r="R40" i="74"/>
  <c r="AD10" i="74"/>
  <c r="AE54" i="74"/>
  <c r="M34" i="74"/>
  <c r="M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2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K54" i="77" s="1"/>
  <c r="Y36" i="64"/>
  <c r="I33" i="77" s="1"/>
  <c r="Z36" i="64"/>
  <c r="Y10" i="64"/>
  <c r="I7" i="77" s="1"/>
  <c r="Z10" i="64"/>
  <c r="X11" i="64" s="1"/>
  <c r="Z11" i="64" s="1"/>
  <c r="X12" i="64" s="1"/>
  <c r="Z64" i="64"/>
  <c r="Y64" i="64"/>
  <c r="I61" i="77" s="1"/>
  <c r="K61" i="77" s="1"/>
  <c r="Z48" i="64"/>
  <c r="Y48" i="64"/>
  <c r="I45" i="77" s="1"/>
  <c r="Z67" i="64"/>
  <c r="Y67" i="64"/>
  <c r="I64" i="77" s="1"/>
  <c r="Z32" i="64"/>
  <c r="Y32" i="64"/>
  <c r="I29" i="77" s="1"/>
  <c r="Z14" i="64"/>
  <c r="Y14" i="64"/>
  <c r="I11" i="77" s="1"/>
  <c r="Z55" i="64"/>
  <c r="Y55" i="64"/>
  <c r="I52" i="77" s="1"/>
  <c r="Y62" i="64"/>
  <c r="I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K26" i="77" s="1"/>
  <c r="Y60" i="64"/>
  <c r="I57" i="77" s="1"/>
  <c r="K57" i="77" s="1"/>
  <c r="Z60" i="64"/>
  <c r="Y21" i="64"/>
  <c r="I18" i="77" s="1"/>
  <c r="Z21" i="64"/>
  <c r="Y18" i="64"/>
  <c r="I15" i="77" s="1"/>
  <c r="K15" i="77" s="1"/>
  <c r="Z18" i="64"/>
  <c r="Z47" i="64"/>
  <c r="Y47" i="64"/>
  <c r="I44" i="77" s="1"/>
  <c r="K44" i="77" s="1"/>
  <c r="Y58" i="64"/>
  <c r="I55" i="77" s="1"/>
  <c r="Z58" i="64"/>
  <c r="Z30" i="64"/>
  <c r="Y30" i="64"/>
  <c r="I27" i="77" s="1"/>
  <c r="AC25" i="64"/>
  <c r="Z22" i="64"/>
  <c r="I19" i="77"/>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K48" i="77" l="1"/>
  <c r="K59" i="77"/>
  <c r="AA24" i="74"/>
  <c r="AK24" i="74"/>
  <c r="M44" i="74"/>
  <c r="S54" i="74"/>
  <c r="O44" i="74"/>
  <c r="Y14" i="74"/>
  <c r="Y34" i="74"/>
  <c r="M54" i="74"/>
  <c r="U34" i="74"/>
  <c r="AK14" i="74"/>
  <c r="AK34" i="74"/>
  <c r="Y54" i="74"/>
  <c r="AA54" i="74"/>
  <c r="S14" i="74"/>
  <c r="S24" i="74"/>
  <c r="S44" i="74"/>
  <c r="AK54" i="74"/>
  <c r="AM54" i="74"/>
  <c r="AE14" i="74"/>
  <c r="AE24" i="74"/>
  <c r="AE44" i="74"/>
  <c r="AG61" i="72"/>
  <c r="K16" i="77"/>
  <c r="AM14" i="74"/>
  <c r="M24" i="74"/>
  <c r="S34" i="74"/>
  <c r="Y44" i="74"/>
  <c r="U24" i="74"/>
  <c r="Y24" i="74"/>
  <c r="AE34" i="74"/>
  <c r="AK44" i="74"/>
  <c r="K45" i="77"/>
  <c r="K33" i="77"/>
  <c r="K27" i="77"/>
  <c r="AI28" i="74"/>
  <c r="AG47" i="74"/>
  <c r="Q38" i="74"/>
  <c r="W28" i="74"/>
  <c r="R10" i="74"/>
  <c r="K30" i="77"/>
  <c r="K64" i="77"/>
  <c r="AC38" i="74"/>
  <c r="AD40" i="74"/>
  <c r="AD50" i="74"/>
  <c r="L50" i="74"/>
  <c r="AL15" i="66"/>
  <c r="AJ10" i="74"/>
  <c r="R20" i="74"/>
  <c r="O27" i="74"/>
  <c r="AG7" i="74"/>
  <c r="AM47" i="74"/>
  <c r="U17" i="74"/>
  <c r="AG24" i="74"/>
  <c r="O34" i="74"/>
  <c r="AG34" i="74"/>
  <c r="AM44" i="74"/>
  <c r="AG63" i="72"/>
  <c r="U27" i="74"/>
  <c r="I18" i="78"/>
  <c r="K18" i="78" s="1"/>
  <c r="O17" i="74"/>
  <c r="AG37" i="74"/>
  <c r="O37" i="74"/>
  <c r="AA27" i="74"/>
  <c r="U14" i="74"/>
  <c r="AA34" i="74"/>
  <c r="AA44" i="74"/>
  <c r="U54" i="74"/>
  <c r="AG21" i="72"/>
  <c r="AA37" i="74"/>
  <c r="AM27" i="74"/>
  <c r="AA17" i="74"/>
  <c r="AA7" i="74"/>
  <c r="O14" i="74"/>
  <c r="AG14" i="74"/>
  <c r="AM34" i="74"/>
  <c r="AG44" i="74"/>
  <c r="AG54" i="74"/>
  <c r="Q33" i="74"/>
  <c r="AG17" i="74"/>
  <c r="U7" i="74"/>
  <c r="U37" i="74"/>
  <c r="AA14" i="74"/>
  <c r="O24" i="74"/>
  <c r="U44" i="74"/>
  <c r="O54" i="74"/>
  <c r="AA47" i="74"/>
  <c r="AM17" i="74"/>
  <c r="U47" i="74"/>
  <c r="O7" i="74"/>
  <c r="R11" i="66"/>
  <c r="K29" i="77"/>
  <c r="L21" i="66"/>
  <c r="K52" i="77"/>
  <c r="K35" i="77"/>
  <c r="AD31" i="66"/>
  <c r="K23" i="77"/>
  <c r="K19" i="77"/>
  <c r="K18" i="77"/>
  <c r="AD41" i="66"/>
  <c r="K34" i="77"/>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5" i="72"/>
  <c r="AM46" i="74"/>
  <c r="AG46" i="74"/>
  <c r="AA46" i="74"/>
  <c r="U46" i="74"/>
  <c r="O46" i="74"/>
  <c r="AM36" i="74"/>
  <c r="AG36" i="74"/>
  <c r="AA36" i="74"/>
  <c r="U36" i="74"/>
  <c r="O36" i="74"/>
  <c r="AM26" i="74"/>
  <c r="AG26" i="74"/>
  <c r="AA26" i="74"/>
  <c r="U26" i="74"/>
  <c r="O26" i="74"/>
  <c r="AM16" i="74"/>
  <c r="AG16" i="74"/>
  <c r="AA16" i="74"/>
  <c r="U16" i="74"/>
  <c r="O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B13" i="72" s="1"/>
  <c r="AC12" i="72"/>
  <c r="Y13" i="64"/>
  <c r="Z13" i="64"/>
  <c r="I9" i="77"/>
  <c r="R13" i="54"/>
  <c r="S13" i="54" s="1"/>
  <c r="AL6" i="74"/>
  <c r="AF6" i="74"/>
  <c r="N6" i="74"/>
  <c r="Z6" i="74"/>
  <c r="T6" i="74"/>
  <c r="U6" i="74"/>
  <c r="AM6" i="74"/>
  <c r="O6" i="74"/>
  <c r="AA6" i="74"/>
  <c r="AG6" i="74"/>
  <c r="AE10" i="72"/>
  <c r="J7" i="78" s="1"/>
  <c r="K7" i="78" s="1"/>
  <c r="AF11" i="72"/>
  <c r="R11" i="54"/>
  <c r="S11" i="54" s="1"/>
  <c r="AC13" i="72" l="1"/>
  <c r="I10" i="78" s="1"/>
  <c r="AD13" i="72"/>
  <c r="AB14" i="72" s="1"/>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C14" i="72" l="1"/>
  <c r="I11" i="78" s="1"/>
  <c r="AD14" i="72"/>
  <c r="AE12" i="72"/>
  <c r="J9" i="78" s="1"/>
  <c r="K9" i="78" s="1"/>
  <c r="AF13" i="72"/>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X46" i="74" l="1"/>
  <c r="AD36" i="74"/>
  <c r="L6" i="74"/>
  <c r="X36" i="74"/>
  <c r="L26" i="74"/>
  <c r="AD26" i="74"/>
  <c r="AD46" i="74"/>
  <c r="R26" i="74"/>
  <c r="AJ26" i="74"/>
  <c r="R16" i="74"/>
  <c r="AJ46" i="74"/>
  <c r="X26" i="74"/>
  <c r="L16" i="74"/>
  <c r="L46" i="74"/>
  <c r="R46" i="74"/>
  <c r="X16" i="74"/>
  <c r="AD16" i="74"/>
  <c r="AG12" i="72"/>
  <c r="AJ36" i="74"/>
  <c r="AJ16" i="74"/>
  <c r="R36" i="74"/>
  <c r="L36" i="74"/>
  <c r="AE13" i="72"/>
  <c r="S46" i="74" s="1"/>
  <c r="AF14" i="72"/>
  <c r="AE14"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Y46" i="74" l="1"/>
  <c r="S16" i="74"/>
  <c r="AG13" i="72"/>
  <c r="S36" i="74"/>
  <c r="AK36" i="74"/>
  <c r="Y26" i="74"/>
  <c r="S26" i="74"/>
  <c r="AK46" i="74"/>
  <c r="AK26" i="74"/>
  <c r="Y36" i="74"/>
  <c r="Y16" i="74"/>
  <c r="M46" i="74"/>
  <c r="M16" i="74"/>
  <c r="AE16" i="74"/>
  <c r="AE46" i="74"/>
  <c r="AE26" i="74"/>
  <c r="J10" i="78"/>
  <c r="K10" i="78" s="1"/>
  <c r="AK16" i="74"/>
  <c r="M36" i="74"/>
  <c r="AE36" i="74"/>
  <c r="M26" i="74"/>
  <c r="J11" i="78"/>
  <c r="K11" i="78" s="1"/>
  <c r="AL46" i="74"/>
  <c r="AF36" i="74"/>
  <c r="Z26" i="74"/>
  <c r="T16" i="74"/>
  <c r="AF46" i="74"/>
  <c r="Z36" i="74"/>
  <c r="T26" i="74"/>
  <c r="N16" i="74"/>
  <c r="Z46" i="74"/>
  <c r="T36" i="74"/>
  <c r="N26" i="74"/>
  <c r="T46" i="74"/>
  <c r="N36" i="74"/>
  <c r="AL16" i="74"/>
  <c r="N46" i="74"/>
  <c r="AL26" i="74"/>
  <c r="AF16" i="74"/>
  <c r="AG14" i="72"/>
  <c r="AL36" i="74"/>
  <c r="AF26" i="74"/>
  <c r="Z16" i="74"/>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P38" i="56" l="1"/>
  <c r="N38" i="56" l="1"/>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Vanessa Cruz De Paula</author>
  </authors>
  <commentList>
    <comment ref="G10" authorId="0" shapeId="0" xr:uid="{1691C745-9D70-4D2A-A2E4-4D867AFD21C4}">
      <text>
        <r>
          <rPr>
            <sz val="9"/>
            <color indexed="81"/>
            <rFont val="Tahoma"/>
            <family val="2"/>
          </rPr>
          <t xml:space="preserve">Trimestralmente se realiza la gestión para asignación de recursos
</t>
        </r>
      </text>
    </comment>
  </commentList>
</comments>
</file>

<file path=xl/sharedStrings.xml><?xml version="1.0" encoding="utf-8"?>
<sst xmlns="http://schemas.openxmlformats.org/spreadsheetml/2006/main" count="3357" uniqueCount="1342">
  <si>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</si>
  <si>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</si>
  <si>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</si>
  <si>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</si>
  <si>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</si>
  <si>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</si>
  <si>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</si>
  <si>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</si>
  <si>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</si>
  <si>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</si>
  <si>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</si>
  <si>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</si>
  <si>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</si>
  <si>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</si>
  <si>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</si>
  <si>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</si>
  <si>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</si>
  <si>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</si>
  <si>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</si>
  <si>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</si>
  <si>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</si>
  <si>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</si>
  <si>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</si>
  <si>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</si>
  <si>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</si>
  <si>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</si>
  <si>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</si>
  <si>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</si>
  <si>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</si>
  <si>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</si>
  <si>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</si>
  <si>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</si>
  <si>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</si>
  <si>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</si>
  <si>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</si>
  <si>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</si>
  <si>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</si>
  <si>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</si>
  <si>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</si>
  <si>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</si>
  <si>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</si>
  <si>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</si>
  <si>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</si>
  <si>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</si>
  <si>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</si>
  <si>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</si>
  <si>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</si>
  <si>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</si>
  <si>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</si>
  <si>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</si>
  <si>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</si>
  <si>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</si>
  <si>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</si>
  <si>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</si>
  <si>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</si>
  <si>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</si>
  <si>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</si>
  <si>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</si>
  <si>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</si>
  <si>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</si>
  <si>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</si>
  <si>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</si>
  <si>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</si>
  <si>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</si>
  <si>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</si>
  <si>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</si>
  <si>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</si>
  <si>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</si>
  <si>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</si>
  <si>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</si>
  <si>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</si>
  <si>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</si>
  <si>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</si>
  <si>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</si>
  <si>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</si>
  <si>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</si>
  <si>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</si>
  <si>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</si>
  <si>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</si>
  <si>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</si>
  <si>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</si>
  <si>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</si>
  <si>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</si>
  <si>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</si>
  <si>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</si>
  <si>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</si>
  <si>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</si>
  <si>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</si>
  <si>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</si>
  <si>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</si>
  <si>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</si>
  <si>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</si>
  <si>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</si>
  <si>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</si>
  <si>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</si>
  <si>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</si>
  <si>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</si>
  <si>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</si>
  <si>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</si>
  <si>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</si>
  <si>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</si>
  <si>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</si>
  <si>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</si>
  <si>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</si>
  <si>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</si>
  <si>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</si>
  <si>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</si>
  <si>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</si>
  <si>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</si>
  <si>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</si>
  <si>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</si>
  <si>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</si>
  <si>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</si>
  <si>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</si>
  <si>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</si>
  <si>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</si>
  <si>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</si>
  <si>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</si>
  <si>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</si>
  <si>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</si>
  <si>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</si>
  <si>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</si>
  <si>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</si>
  <si>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</si>
  <si>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</si>
  <si>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</si>
  <si>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</si>
  <si>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Tecnológica</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</si>
  <si>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</si>
  <si>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</si>
  <si>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</si>
  <si>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</si>
  <si>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</si>
  <si>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</si>
  <si>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</si>
  <si>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</si>
  <si>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</si>
  <si>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</si>
  <si>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</si>
  <si>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</si>
  <si>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</si>
  <si>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</si>
  <si>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</si>
  <si>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</si>
  <si>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</si>
  <si>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</si>
  <si>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</si>
  <si>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</si>
  <si>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</si>
  <si>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</si>
  <si>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</si>
  <si>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</si>
  <si>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</si>
  <si>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</si>
  <si>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</si>
  <si>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</si>
  <si>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</si>
  <si>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</si>
  <si>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</si>
  <si>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</si>
  <si>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</si>
  <si>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Indisponibilidad de la infraestructura tecnologica 
</t>
  </si>
  <si>
    <t>Inadecuada gestión administrativa en la asignacion de recursos suficientes para cubrir las necesidades tecnológicas del Ministerio.</t>
  </si>
  <si>
    <t>Ejecucion y Administracion de procesos</t>
  </si>
  <si>
    <t xml:space="preserve">     El riesgo afecta la imagen de la entidad a nivel nacional, con efecto publicitarios sostenible a nivel país</t>
  </si>
  <si>
    <t>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t>
  </si>
  <si>
    <t>Preventivo</t>
  </si>
  <si>
    <t>Manual</t>
  </si>
  <si>
    <t>Sin Documentar</t>
  </si>
  <si>
    <t>Continua</t>
  </si>
  <si>
    <t>Con Registro</t>
  </si>
  <si>
    <r>
      <t xml:space="preserve">Durante el primer semestre de 2025, el Jefe de la Oficina de Información Pública del Interior (OIP) y el Coordinador del Grupo de Sistemas realizaron el seguimiento cuatrimestral al avance de los proyectos tecnológicos planificados.
Se revisaron los avances en ejecución, se identificaron nuevas necesidades del área tecnológica y se coordinaron acciones con la alta dirección para su posible financiación.
Como evidencia de esta actividad, se anexa la lista de asistencia firmada por los participantes.
</t>
    </r>
    <r>
      <rPr>
        <b/>
        <sz val="11"/>
        <color rgb="FFC00000"/>
        <rFont val="Arial"/>
        <family val="2"/>
      </rPr>
      <t xml:space="preserve">MONITOREO OAP: 
</t>
    </r>
    <r>
      <rPr>
        <b/>
        <sz val="11"/>
        <color rgb="FF000000"/>
        <rFont val="Arial"/>
        <family val="2"/>
      </rPr>
      <t xml:space="preserve">18/07/2025: </t>
    </r>
    <r>
      <rPr>
        <sz val="11"/>
        <color rgb="FF000000"/>
        <rFont val="Arial"/>
        <family val="2"/>
      </rPr>
      <t xml:space="preserve">A pesar de que el seguimiento responde a la Actividad de Control, en la evidencia no se registra el analisis de las nuevas necesidades del area de tecnología para coordinar con la Alta Gerencia para su financiación. 
</t>
    </r>
    <r>
      <rPr>
        <b/>
        <sz val="11"/>
        <color rgb="FF000000"/>
        <rFont val="Arial"/>
        <family val="2"/>
      </rPr>
      <t xml:space="preserve">23/07/2025: </t>
    </r>
    <r>
      <rPr>
        <sz val="11"/>
        <color rgb="FF000000"/>
        <rFont val="Arial"/>
        <family val="2"/>
      </rPr>
      <t>La OIP subsanó las evidencia, lo que concluye que el seguimiento y evidencia reportada coincide con los registrado en la actividad de control</t>
    </r>
  </si>
  <si>
    <r>
      <t xml:space="preserve">Durante el segundo semestre de 2025, la Jefe de la OIP y el Grupo de Sistemas llevaron a cabo el seguimiento cuatrimestral del avance en la ejecución de los proyectos tecnológicos planificados y realizaron el análisis de las nuevas necesidades del área de tecnología.
Como evidencia de esta actividad, se anexa la lista de asistencia firmada por los participantes.
</t>
    </r>
    <r>
      <rPr>
        <b/>
        <u/>
        <sz val="11"/>
        <color rgb="FFC00000"/>
        <rFont val="Arial"/>
        <family val="2"/>
      </rPr>
      <t xml:space="preserve">MONITOREO OAP: </t>
    </r>
    <r>
      <rPr>
        <b/>
        <sz val="11"/>
        <color theme="1"/>
        <rFont val="Arial"/>
        <family val="2"/>
      </rPr>
      <t xml:space="preserve">
26/12/2025:</t>
    </r>
    <r>
      <rPr>
        <sz val="11"/>
        <color theme="1"/>
        <rFont val="Arial"/>
        <family val="2"/>
      </rPr>
      <t xml:space="preserve"> El seguimiento y evidencia reportada coincide con los registrado en la actividad de control
</t>
    </r>
  </si>
  <si>
    <t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t>
  </si>
  <si>
    <t>Documentado</t>
  </si>
  <si>
    <t>Actividad programada al finalizar la vigencia.</t>
  </si>
  <si>
    <r>
      <t xml:space="preserve">Se elaboró un anteproyecto técnico y presupuestal para identificar y priorizar las necesidades tecnológicas del Grupo de Sistemas para la siguiente vigencia. El documento consolidó requerimientos de infraestructura, soporte, mantenimiento, licenciamiento y personal, así como brechas y riesgos asociados a los servicios tecnológicos actuales.
Con este insumo, al cierre de la vigencia se formuló el proyecto de inversión, integrando las necesidades tecnológicas para la planificación y asignación de recursos del año siguiente.
Como evidencia, se anexa la lista de asistencia firmada por los participantes.
</t>
    </r>
    <r>
      <rPr>
        <b/>
        <u/>
        <sz val="11"/>
        <color rgb="FFC00000"/>
        <rFont val="Arial"/>
        <family val="2"/>
      </rPr>
      <t xml:space="preserve">MONITOREO OAP: </t>
    </r>
    <r>
      <rPr>
        <b/>
        <sz val="11"/>
        <color theme="1"/>
        <rFont val="Arial"/>
        <family val="2"/>
      </rPr>
      <t xml:space="preserve">
26/12/2025: </t>
    </r>
    <r>
      <rPr>
        <sz val="11"/>
        <color theme="1"/>
        <rFont val="Arial"/>
        <family val="2"/>
      </rPr>
      <t>El seguimiento y evidencia reportada coincide con los registrado en la actividad de control</t>
    </r>
  </si>
  <si>
    <t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t>
  </si>
  <si>
    <t>Reducir (mitigar)</t>
  </si>
  <si>
    <t>Generar anualmente informes de las necesidades tecnológicas del Ministerio del Interior, con el fin de exponer las mismas. Como evidencia se deja el Informe.</t>
  </si>
  <si>
    <t>Grupo de Sistemas de la Oficina de Información de Información Pública del Interior</t>
  </si>
  <si>
    <r>
      <t xml:space="preserve">Con respecto al Plan de acción, actividad programada al finalizar vigencia se realizó una mesa de trabajo para evaluar y consolidar las necesidades tecnológicas del Ministerio del Interior para el año 2026, en cumplimiento de la actividad de generar anualmente el informe de requerimientos tecnológicos.
</t>
    </r>
    <r>
      <rPr>
        <b/>
        <u/>
        <sz val="11"/>
        <color rgb="FFC00000"/>
        <rFont val="Arial"/>
        <family val="2"/>
      </rPr>
      <t xml:space="preserve">MONITOREO OAP: </t>
    </r>
    <r>
      <rPr>
        <sz val="11"/>
        <color theme="1"/>
        <rFont val="Arial"/>
        <family val="2"/>
      </rPr>
      <t xml:space="preserve">
26/12/2025: Teniendo en cuenta que el Riesgo No. 100 tiene implementado Plan de Acción, se solicita que se registre la evolución del mismo. </t>
    </r>
  </si>
  <si>
    <t>En curso</t>
  </si>
  <si>
    <r>
      <rPr>
        <sz val="11"/>
        <color rgb="FF000000"/>
        <rFont val="Arial"/>
        <family val="2"/>
      </rPr>
      <t xml:space="preserve">En cumplimiento de las funciones asignadas, el Jefe de la Oficina de Información Pública (OIP) y el Coordinador del Grupo de Sistemas realizaron el seguimiento correspondiente al trimestre, con el fin de verificar el avance en el cumplimiento de las metas establecidas en el Plan Estratégico Institucional y el Plan de Acción.
Durante la jornada se revisaron los compromisos técnicos, el estado de ejecución presupuestal y las actividades programadas, permitiendo identificar avances, ajustes necesarios y acciones a implementar para asegurar el cumplimiento de los objetivos institucionales.
Respecto al Indicador Clave de Riesgo, se han realizado 2 seguimientos al PEI y de Acción 
</t>
    </r>
    <r>
      <rPr>
        <b/>
        <sz val="11"/>
        <color rgb="FFC00000"/>
        <rFont val="Arial"/>
        <family val="2"/>
      </rPr>
      <t xml:space="preserve">MONITOREO OAP: 
</t>
    </r>
    <r>
      <rPr>
        <sz val="11"/>
        <color rgb="FF000000"/>
        <rFont val="Arial"/>
        <family val="2"/>
      </rPr>
      <t>18/07/2025: A pesar de que el seguimiento responde a la Actividad de Control, la evidencia subida al SharePoint no corresponde a lo definido por la primera linea de defensa.  
23/07/2025: La OIP subsanó las observaciones realizada en la evidencia y dio respuesta al Indicador Clave de Riesgo.</t>
    </r>
    <r>
      <rPr>
        <b/>
        <sz val="11"/>
        <color rgb="FF000000"/>
        <rFont val="Arial"/>
        <family val="2"/>
      </rPr>
      <t xml:space="preserve"> </t>
    </r>
  </si>
  <si>
    <r>
      <t xml:space="preserve">En cumplimiento de las funciones asignadas, la Jefe de la Oficina de Información Pública (OIP) y el  Grupo de Sistemas realizaron el seguimiento correspondiente al trimestre, con el fin de verificar el avance en el cumplimiento de las metas establecidas en el Plan Estratégico Institucional y el Plan de Acción.
Durante la jornada se revisaron los compromisos técnicos, el estado de ejecución presupuestal y las actividades programadas, permitiendo identificar avances, ajustes necesarios y acciones a implementar para asegurar el cumplimiento de los objetivos institucionales.
Con respecto al Plan de acción, actividad programada al finalizar vigencia se realizó una mesa de trabajo para evaluar y consolidar las necesidades tecnológicas del Ministerio del Interior para el año 2026, en cumplimiento de la actividad de generar anualmente el informe de requerimientos tecnológicos.
Respecto al Indicador Clave de Riesgo, se han realizado 2 seguimientos al PEI y de Acción 
</t>
    </r>
    <r>
      <rPr>
        <b/>
        <sz val="11"/>
        <color rgb="FFC00000"/>
        <rFont val="Arial"/>
        <family val="2"/>
      </rPr>
      <t xml:space="preserve">MONITOREO OAP: 
</t>
    </r>
    <r>
      <rPr>
        <b/>
        <sz val="11"/>
        <rFont val="Arial"/>
        <family val="2"/>
      </rPr>
      <t>26/12/2025:</t>
    </r>
    <r>
      <rPr>
        <sz val="11"/>
        <color theme="1"/>
        <rFont val="Arial"/>
        <family val="2"/>
      </rPr>
      <t xml:space="preserve">  El seguimiento y evidencia reportada coincide con los registrado en la actividad de control</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</si>
  <si>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</si>
  <si>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</si>
  <si>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</si>
  <si>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</si>
  <si>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</si>
  <si>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</si>
  <si>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</si>
  <si>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</si>
  <si>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</si>
  <si>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</si>
  <si>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</si>
  <si>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</si>
  <si>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</si>
  <si>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</si>
  <si>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</si>
  <si>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</si>
  <si>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</si>
  <si>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</si>
  <si>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</si>
  <si>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</si>
  <si>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</si>
  <si>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</si>
  <si>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</si>
  <si>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</si>
  <si>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</si>
  <si>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</si>
  <si>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</si>
  <si>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</si>
  <si>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</si>
  <si>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</si>
  <si>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</si>
  <si>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</si>
  <si>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</si>
  <si>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</si>
  <si>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</si>
  <si>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</si>
  <si>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</si>
  <si>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</si>
  <si>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</si>
  <si>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</si>
  <si>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</si>
  <si>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</si>
  <si>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</si>
  <si>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</si>
  <si>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</si>
  <si>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</si>
  <si>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</si>
  <si>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Asistentes firmada</t>
  </si>
  <si>
    <t>Oficina de Información Pública del Interior
Jefe OIP y Coordinador Grupo de Sistemas</t>
  </si>
  <si>
    <t>Cuatrimestral</t>
  </si>
  <si>
    <t>R1-CO2</t>
  </si>
  <si>
    <t>Acta de la mesa de trabajo</t>
  </si>
  <si>
    <t>Anual</t>
  </si>
  <si>
    <t>R1-CO3</t>
  </si>
  <si>
    <t>PEI y de Acción</t>
  </si>
  <si>
    <t>Trimestral</t>
  </si>
  <si>
    <t>No. Seguimientos al Plan de Acción</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</si>
  <si>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</si>
  <si>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</si>
  <si>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</si>
  <si>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</si>
  <si>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</si>
  <si>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</si>
  <si>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</si>
  <si>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</si>
  <si>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</si>
  <si>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</si>
  <si>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</si>
  <si>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</si>
  <si>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</si>
  <si>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</si>
  <si>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</si>
  <si>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</si>
  <si>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</si>
  <si>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</si>
  <si>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</si>
  <si>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</si>
  <si>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</si>
  <si>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</si>
  <si>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</si>
  <si>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</si>
  <si>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</si>
  <si>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</si>
  <si>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</si>
  <si>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</si>
  <si>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</si>
  <si>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</si>
  <si>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</si>
  <si>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</si>
  <si>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</si>
  <si>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</si>
  <si>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</si>
  <si>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</si>
  <si>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</si>
  <si>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</si>
  <si>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</si>
  <si>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</si>
  <si>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</si>
  <si>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</si>
  <si>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</si>
  <si>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</si>
  <si>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</si>
  <si>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</si>
  <si>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</si>
  <si>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</si>
  <si>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</si>
  <si>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</si>
  <si>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</si>
  <si>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</si>
  <si>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</si>
  <si>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</si>
  <si>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</si>
  <si>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</si>
  <si>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</si>
  <si>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</si>
  <si>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</si>
  <si>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</si>
  <si>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</si>
  <si>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</si>
  <si>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</si>
  <si>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</si>
  <si>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</si>
  <si>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</si>
  <si>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</si>
  <si>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</si>
  <si>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</si>
  <si>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</si>
  <si>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</si>
  <si>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</si>
  <si>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</si>
  <si>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</si>
  <si>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</si>
  <si>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</si>
  <si>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</si>
  <si>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</si>
  <si>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</si>
  <si>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</si>
  <si>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</si>
  <si>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</si>
  <si>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</si>
  <si>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</si>
  <si>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</si>
  <si>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</si>
  <si>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</si>
  <si>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</si>
  <si>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</si>
  <si>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</si>
  <si>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</si>
  <si>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</si>
  <si>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</si>
  <si>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</si>
  <si>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</si>
  <si>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</si>
  <si>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</si>
  <si>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</si>
  <si>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</si>
  <si>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</si>
  <si>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</si>
  <si>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</si>
  <si>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</si>
  <si>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</si>
  <si>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</si>
  <si>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</si>
  <si>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</si>
  <si>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</si>
  <si>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</si>
  <si>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</si>
  <si>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</si>
  <si>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</si>
  <si>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</si>
  <si>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</si>
  <si>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</si>
  <si>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</si>
  <si>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</si>
  <si>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</si>
  <si>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</si>
  <si>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</si>
  <si>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</si>
  <si>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</si>
  <si>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</si>
  <si>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</si>
  <si>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</si>
  <si>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</si>
  <si>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</si>
  <si>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</si>
  <si>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</si>
  <si>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</si>
  <si>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</si>
  <si>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</si>
  <si>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</si>
  <si>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</si>
  <si>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</si>
  <si>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</si>
  <si>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</si>
  <si>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</si>
  <si>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</si>
  <si>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</si>
  <si>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</si>
  <si>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</si>
  <si>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</si>
  <si>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</si>
  <si>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</si>
  <si>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</si>
  <si>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</si>
  <si>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</si>
  <si>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</si>
  <si>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</si>
  <si>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</si>
  <si>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</si>
  <si>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</si>
  <si>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</si>
  <si>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</si>
  <si>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</si>
  <si>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</si>
  <si>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</si>
  <si>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</si>
  <si>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</si>
  <si>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</si>
  <si>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</si>
  <si>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</si>
  <si>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</si>
  <si>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</si>
  <si>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</si>
  <si>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</si>
  <si>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</si>
  <si>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</si>
  <si>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</si>
  <si>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</si>
  <si>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</si>
  <si>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</si>
  <si>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</si>
  <si>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</si>
  <si>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</si>
  <si>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</si>
  <si>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</si>
  <si>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</si>
  <si>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</si>
  <si>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</si>
  <si>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</si>
  <si>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</si>
  <si>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</si>
  <si>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</si>
  <si>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</si>
  <si>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</si>
  <si>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</si>
  <si>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</si>
  <si>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</si>
  <si>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</si>
  <si>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</si>
  <si>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</si>
  <si>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</si>
  <si>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</si>
  <si>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</si>
  <si>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</si>
  <si>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</si>
  <si>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</si>
  <si>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</si>
  <si>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</si>
  <si>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</si>
  <si>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</si>
  <si>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</si>
  <si>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</si>
  <si>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</si>
  <si>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</si>
  <si>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</si>
  <si>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</si>
  <si>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</si>
  <si>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</si>
  <si>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</si>
  <si>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</si>
  <si>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</si>
  <si>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</si>
  <si>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</si>
  <si>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</si>
  <si>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</si>
  <si>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</si>
  <si>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</si>
  <si>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</si>
  <si>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</si>
  <si>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</si>
  <si>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</si>
  <si>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</si>
  <si>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</si>
  <si>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</si>
  <si>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</si>
  <si>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</si>
  <si>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</si>
  <si>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</si>
  <si>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</si>
  <si>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</si>
  <si>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</si>
  <si>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</si>
  <si>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</si>
  <si>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</si>
  <si>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</si>
  <si>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</si>
  <si>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</si>
  <si>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</si>
  <si>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</si>
  <si>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</si>
  <si>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</si>
  <si>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</si>
  <si>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</si>
  <si>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</si>
  <si>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</si>
  <si>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</si>
  <si>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</si>
  <si>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</si>
  <si>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</si>
  <si>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</si>
  <si>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</si>
  <si>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</si>
  <si>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</si>
  <si>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</si>
  <si>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</si>
  <si>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</si>
  <si>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</si>
  <si>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</si>
  <si>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</si>
  <si>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</si>
  <si>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</si>
  <si>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</si>
  <si>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</si>
  <si>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</si>
  <si>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</si>
  <si>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</si>
  <si>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</si>
  <si>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</si>
  <si>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</si>
  <si>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</si>
  <si>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</si>
  <si>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</si>
  <si>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</si>
  <si>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</si>
  <si>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</si>
  <si>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</si>
  <si>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</si>
  <si>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</si>
  <si>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</si>
  <si>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</si>
  <si>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</si>
  <si>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</si>
  <si>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</si>
  <si>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</si>
  <si>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</si>
  <si>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</si>
  <si>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</si>
  <si>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</si>
  <si>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</si>
  <si>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</si>
  <si>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</si>
  <si>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</si>
  <si>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</si>
  <si>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</si>
  <si>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</si>
  <si>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</si>
  <si>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</si>
  <si>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</si>
  <si>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</si>
  <si>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</si>
  <si>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</si>
  <si>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</si>
  <si>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</si>
  <si>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</si>
  <si>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</si>
  <si>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</si>
  <si>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</si>
  <si>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</si>
  <si>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</si>
  <si>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</si>
  <si>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</si>
  <si>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</si>
  <si>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</si>
  <si>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</si>
  <si>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</si>
  <si>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</si>
  <si>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</si>
  <si>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</si>
  <si>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</si>
  <si>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</si>
  <si>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</si>
  <si>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</si>
  <si>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</si>
  <si>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</si>
  <si>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</si>
  <si>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</si>
  <si>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</si>
  <si>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</si>
  <si>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</si>
  <si>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</si>
  <si>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</si>
  <si>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</si>
  <si>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</si>
  <si>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</si>
  <si>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</si>
  <si>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</si>
  <si>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</si>
  <si>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</si>
  <si>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</si>
  <si>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</si>
  <si>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</si>
  <si>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</si>
  <si>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</si>
  <si>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</si>
  <si>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</si>
  <si>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</si>
  <si>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</si>
  <si>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</si>
  <si>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</si>
  <si>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</si>
  <si>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</si>
  <si>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</si>
  <si>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</si>
  <si>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</si>
  <si>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</si>
  <si>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</si>
  <si>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</si>
  <si>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</si>
  <si>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</si>
  <si>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</si>
  <si>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</si>
  <si>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</si>
  <si>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</si>
  <si>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</si>
  <si>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</si>
  <si>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</si>
  <si>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</si>
  <si>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</si>
  <si>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</si>
  <si>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</si>
  <si>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</si>
  <si>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</si>
  <si>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</si>
  <si>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</si>
  <si>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</si>
  <si>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</si>
  <si>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</si>
  <si>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</si>
  <si>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</si>
  <si>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</si>
  <si>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</si>
  <si>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</si>
  <si>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</si>
  <si>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</si>
  <si>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</si>
  <si>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</si>
  <si>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</si>
  <si>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</si>
  <si>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</si>
  <si>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</si>
  <si>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</si>
  <si>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</si>
  <si>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</si>
  <si>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</si>
  <si>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</si>
  <si>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</si>
  <si>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</si>
  <si>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</si>
  <si>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</si>
  <si>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</si>
  <si>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</si>
  <si>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</si>
  <si>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</si>
  <si>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</si>
  <si>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</si>
  <si>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</si>
  <si>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</si>
  <si>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</si>
  <si>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</si>
  <si>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</si>
  <si>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</si>
  <si>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</si>
  <si>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</si>
  <si>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</si>
  <si>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</si>
  <si>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</si>
  <si>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</si>
  <si>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</si>
  <si>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</si>
  <si>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</si>
  <si>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</si>
  <si>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</si>
  <si>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</si>
  <si>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</si>
  <si>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</si>
  <si>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</si>
  <si>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</si>
  <si>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</si>
  <si>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</si>
  <si>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</si>
  <si>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</si>
  <si>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</si>
  <si>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</si>
  <si>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</si>
  <si>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</si>
  <si>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</si>
  <si>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</si>
  <si>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</si>
  <si>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</si>
  <si>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</si>
  <si>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</si>
  <si>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</si>
  <si>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</si>
  <si>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</si>
  <si>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</si>
  <si>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</si>
  <si>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</si>
  <si>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</si>
  <si>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</si>
  <si>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</si>
  <si>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</si>
  <si>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</si>
  <si>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</si>
  <si>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</si>
  <si>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</si>
  <si>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</si>
  <si>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</si>
  <si>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</si>
  <si>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</si>
  <si>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</si>
  <si>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</si>
  <si>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</si>
  <si>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</si>
  <si>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</si>
  <si>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</si>
  <si>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</si>
  <si>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</si>
  <si>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</si>
  <si>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</si>
  <si>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</si>
  <si>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</si>
  <si>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</si>
  <si>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</si>
  <si>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</si>
  <si>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</si>
  <si>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</si>
  <si>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</si>
  <si>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</si>
  <si>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</si>
  <si>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</si>
  <si>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</si>
  <si>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</si>
  <si>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</si>
  <si>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</si>
  <si>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</si>
  <si>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</si>
  <si>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</si>
  <si>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</si>
  <si>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</si>
  <si>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</si>
  <si>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</si>
  <si>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</si>
  <si>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</si>
  <si>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</si>
  <si>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</si>
  <si>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</si>
  <si>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</si>
  <si>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</si>
  <si>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</si>
  <si>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</si>
  <si>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</si>
  <si>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</si>
  <si>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</si>
  <si>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</si>
  <si>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</si>
  <si>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</si>
  <si>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</si>
  <si>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</si>
  <si>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</si>
  <si>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</si>
  <si>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</si>
  <si>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</si>
  <si>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</si>
  <si>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</si>
  <si>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</si>
  <si>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</si>
  <si>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</si>
  <si>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</si>
  <si>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</si>
  <si>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</si>
  <si>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</si>
  <si>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</si>
  <si>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</si>
  <si>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</si>
  <si>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</si>
  <si>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</si>
  <si>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</si>
  <si>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</si>
  <si>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</si>
  <si>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</si>
  <si>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</si>
  <si>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</si>
  <si>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</si>
  <si>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</si>
  <si>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Documental y Archivo</t>
  </si>
  <si>
    <t>Gestión de Asuntos Disciplinarios</t>
  </si>
  <si>
    <t>Seguimiento y evaluación a la gestión</t>
  </si>
  <si>
    <t>Circunstancia Inmediata</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</si>
  <si>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</si>
  <si>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</si>
  <si>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</si>
  <si>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</si>
  <si>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</si>
  <si>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</si>
  <si>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</si>
  <si>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</si>
  <si>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</si>
  <si>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</si>
  <si>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</si>
  <si>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</si>
  <si>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</si>
  <si>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</si>
  <si>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</si>
  <si>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</si>
  <si>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</si>
  <si>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</si>
  <si>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</si>
  <si>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</si>
  <si>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</si>
  <si>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</si>
  <si>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</si>
  <si>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</si>
  <si>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</si>
  <si>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</si>
  <si>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</si>
  <si>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</si>
  <si>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</si>
  <si>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</si>
  <si>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</si>
  <si>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</si>
  <si>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</si>
  <si>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</si>
  <si>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</si>
  <si>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</si>
  <si>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</si>
  <si>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</si>
  <si>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</si>
  <si>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</si>
  <si>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</si>
  <si>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</si>
  <si>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</si>
  <si>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</si>
  <si>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</si>
  <si>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</si>
  <si>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recibir o solicitar dádivas en la ejecución de los proyectos tecnológicos (adquisición de bienes y prestación de servicios tecnológicos) en beneficio propio o de un tercero.</t>
  </si>
  <si>
    <t>Debido a la falta de transparencia en los procesos de adquisición y contratación de prestación de servicios tecnológicos y la debilidad o ausencia de controles internos, existe la aposibilidad o solicitar dádivas en la ejecución de los proyectos tecnológicos (adquisición de bienes y prestación de servicios tecnológicos) en beneficio propio o de un tercero, lo que  conlleva a denuncias, Investigaciones disciplinarias y posibles sanciones, deterioro de la imagen institucional.</t>
  </si>
  <si>
    <t xml:space="preserve">Corrupción </t>
  </si>
  <si>
    <t>CA1. Falta de transparencia en los procesos de adquisición y contratación de prestación de servicios tecnológicos.
CA2. Debilidad o ausencia de controles internos.</t>
  </si>
  <si>
    <t xml:space="preserve">1.  Denuncias.
2.  Investigaciones disciplinarias y posibles sanciones.
3.  Deterioro de la imagen institucional.
</t>
  </si>
  <si>
    <t>SI</t>
  </si>
  <si>
    <t>NO</t>
  </si>
  <si>
    <t>Jefe de Oficina de Información Pública y Grupo de Sistemas</t>
  </si>
  <si>
    <t>ID RIESGO</t>
  </si>
  <si>
    <t>N° RIESGO</t>
  </si>
  <si>
    <t>N° CONTROL</t>
  </si>
  <si>
    <t>N° CAUSA</t>
  </si>
  <si>
    <t>PROCESOS</t>
  </si>
  <si>
    <t>IMPACTO</t>
  </si>
  <si>
    <t>FRECUENCIA</t>
  </si>
  <si>
    <t>CO1</t>
  </si>
  <si>
    <t>CA1</t>
  </si>
  <si>
    <t>Definición e Implementacion del Marco Legal y Normativo</t>
  </si>
  <si>
    <t>R2</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</si>
  <si>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</si>
  <si>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</si>
  <si>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</si>
  <si>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</si>
  <si>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</si>
  <si>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</si>
  <si>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</si>
  <si>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</si>
  <si>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</si>
  <si>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</si>
  <si>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</si>
  <si>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</si>
  <si>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</si>
  <si>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</si>
  <si>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</si>
  <si>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</si>
  <si>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</si>
  <si>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</si>
  <si>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</si>
  <si>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</si>
  <si>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</si>
  <si>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</si>
  <si>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</si>
  <si>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</si>
  <si>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</si>
  <si>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</si>
  <si>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</si>
  <si>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</si>
  <si>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</si>
  <si>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</si>
  <si>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</si>
  <si>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</si>
  <si>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</si>
  <si>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</si>
  <si>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</si>
  <si>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</si>
  <si>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</si>
  <si>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</si>
  <si>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</si>
  <si>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</si>
  <si>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</si>
  <si>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</si>
  <si>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</si>
  <si>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</si>
  <si>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</si>
  <si>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</si>
  <si>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</si>
  <si>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</si>
  <si>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</si>
  <si>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</si>
  <si>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</si>
  <si>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</si>
  <si>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</si>
  <si>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</si>
  <si>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</si>
  <si>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</si>
  <si>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</si>
  <si>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</si>
  <si>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</si>
  <si>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</si>
  <si>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</si>
  <si>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</si>
  <si>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</si>
  <si>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</si>
  <si>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</si>
  <si>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</si>
  <si>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</si>
  <si>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</si>
  <si>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</si>
  <si>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</si>
  <si>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</si>
  <si>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</si>
  <si>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</si>
  <si>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</si>
  <si>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</si>
  <si>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</si>
  <si>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</si>
  <si>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</si>
  <si>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</si>
  <si>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</si>
  <si>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</si>
  <si>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</si>
  <si>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</si>
  <si>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</si>
  <si>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</si>
  <si>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</si>
  <si>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</si>
  <si>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</si>
  <si>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</si>
  <si>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</si>
  <si>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</si>
  <si>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</si>
  <si>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</si>
  <si>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</si>
  <si>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</si>
  <si>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</si>
  <si>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</si>
  <si>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</si>
  <si>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</si>
  <si>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</si>
  <si>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</si>
  <si>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</si>
  <si>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</si>
  <si>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</si>
  <si>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</si>
  <si>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</si>
  <si>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</si>
  <si>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</si>
  <si>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</si>
  <si>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</si>
  <si>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</si>
  <si>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</si>
  <si>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</si>
  <si>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</si>
  <si>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</si>
  <si>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</si>
  <si>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</si>
  <si>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</si>
  <si>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</si>
  <si>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</si>
  <si>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</si>
  <si>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</si>
  <si>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</si>
  <si>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</si>
  <si>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</si>
  <si>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</si>
  <si>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</si>
  <si>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</si>
  <si>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</si>
  <si>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</si>
  <si>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</si>
  <si>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</si>
  <si>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</si>
  <si>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</si>
  <si>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</si>
  <si>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</si>
  <si>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</si>
  <si>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</si>
  <si>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</si>
  <si>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</si>
  <si>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</si>
  <si>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</si>
  <si>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</si>
  <si>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</si>
  <si>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</si>
  <si>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</si>
  <si>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</si>
  <si>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</si>
  <si>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</si>
  <si>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</si>
  <si>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</si>
  <si>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</si>
  <si>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</si>
  <si>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</si>
  <si>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</si>
  <si>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</si>
  <si>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</si>
  <si>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</si>
  <si>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</si>
  <si>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</si>
  <si>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</si>
  <si>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</si>
  <si>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</si>
  <si>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</si>
  <si>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</si>
  <si>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</si>
  <si>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</si>
  <si>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</si>
  <si>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</si>
  <si>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</si>
  <si>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</si>
  <si>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</si>
  <si>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</si>
  <si>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</si>
  <si>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</si>
  <si>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</si>
  <si>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</si>
  <si>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</si>
  <si>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</si>
  <si>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</si>
  <si>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</si>
  <si>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</si>
  <si>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</si>
  <si>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</si>
  <si>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</si>
  <si>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</si>
  <si>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</si>
  <si>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</si>
  <si>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</si>
  <si>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</si>
  <si>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</si>
  <si>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</si>
  <si>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</si>
  <si>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</si>
  <si>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</si>
  <si>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</si>
  <si>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</si>
  <si>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</si>
  <si>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</si>
  <si>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</si>
  <si>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</si>
  <si>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</si>
  <si>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</si>
  <si>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</si>
  <si>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</si>
  <si>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</si>
  <si>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</si>
  <si>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</si>
  <si>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</si>
  <si>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</si>
  <si>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</si>
  <si>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</si>
  <si>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</si>
  <si>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</si>
  <si>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</si>
  <si>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</si>
  <si>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</si>
  <si>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</si>
  <si>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</si>
  <si>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</si>
  <si>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</si>
  <si>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</si>
  <si>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</si>
  <si>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</si>
  <si>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</si>
  <si>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</si>
  <si>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</si>
  <si>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</si>
  <si>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</si>
  <si>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</si>
  <si>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</si>
  <si>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</si>
  <si>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</si>
  <si>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</si>
  <si>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</si>
  <si>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</si>
  <si>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</si>
  <si>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</si>
  <si>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</si>
  <si>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</si>
  <si>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</si>
  <si>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</si>
  <si>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</si>
  <si>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</si>
  <si>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</si>
  <si>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</si>
  <si>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</si>
  <si>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</si>
  <si>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</si>
  <si>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</si>
  <si>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</si>
  <si>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</si>
  <si>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</si>
  <si>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</si>
  <si>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</si>
  <si>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</si>
  <si>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</si>
  <si>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</si>
  <si>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</si>
  <si>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</si>
  <si>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</si>
  <si>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</si>
  <si>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</si>
  <si>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</si>
  <si>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</si>
  <si>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</si>
  <si>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</si>
  <si>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</si>
  <si>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</si>
  <si>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</si>
  <si>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</si>
  <si>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</si>
  <si>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</si>
  <si>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</si>
  <si>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</si>
  <si>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</si>
  <si>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</si>
  <si>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</si>
  <si>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</si>
  <si>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</si>
  <si>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</si>
  <si>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</si>
  <si>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</si>
  <si>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</si>
  <si>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</si>
  <si>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</si>
  <si>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</si>
  <si>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</si>
  <si>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</si>
  <si>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</si>
  <si>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</si>
  <si>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</si>
  <si>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</si>
  <si>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</si>
  <si>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</si>
  <si>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</si>
  <si>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</si>
  <si>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</si>
  <si>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</si>
  <si>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</si>
  <si>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</si>
  <si>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</si>
  <si>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</si>
  <si>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</si>
  <si>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</si>
  <si>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</si>
  <si>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</si>
  <si>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</si>
  <si>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</si>
  <si>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</si>
  <si>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</si>
  <si>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</si>
  <si>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</si>
  <si>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</si>
  <si>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</si>
  <si>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</si>
  <si>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</si>
  <si>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</si>
  <si>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</si>
  <si>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</si>
  <si>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</si>
  <si>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</si>
  <si>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</si>
  <si>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</si>
  <si>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</si>
  <si>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</si>
  <si>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</si>
  <si>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</si>
  <si>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</si>
  <si>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</si>
  <si>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</si>
  <si>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</si>
  <si>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</si>
  <si>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</si>
  <si>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</si>
  <si>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</si>
  <si>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</si>
  <si>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</si>
  <si>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</si>
  <si>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</si>
  <si>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</si>
  <si>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</si>
  <si>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</si>
  <si>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</si>
  <si>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</si>
  <si>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</si>
  <si>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</si>
  <si>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</si>
  <si>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</si>
  <si>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</si>
  <si>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</si>
  <si>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</si>
  <si>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</si>
  <si>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</si>
  <si>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</si>
  <si>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</si>
  <si>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</si>
  <si>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</si>
  <si>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</si>
  <si>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</si>
  <si>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</si>
  <si>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</si>
  <si>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</si>
  <si>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</si>
  <si>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</si>
  <si>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</si>
  <si>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</si>
  <si>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</si>
  <si>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</si>
  <si>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</si>
  <si>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</si>
  <si>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</si>
  <si>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</si>
  <si>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</si>
  <si>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</si>
  <si>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</si>
  <si>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</si>
  <si>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</si>
  <si>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</si>
  <si>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</si>
  <si>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</si>
  <si>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</si>
  <si>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</si>
  <si>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</si>
  <si>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</si>
  <si>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</si>
  <si>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</si>
  <si>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</si>
  <si>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</si>
  <si>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</si>
  <si>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t>
  </si>
  <si>
    <t>Asignado</t>
  </si>
  <si>
    <t>Adecuado</t>
  </si>
  <si>
    <t>Oportuna</t>
  </si>
  <si>
    <t>Prevenir</t>
  </si>
  <si>
    <t>Confiable</t>
  </si>
  <si>
    <t>Se investigan y resuelven oportunamente</t>
  </si>
  <si>
    <t>Completa</t>
  </si>
  <si>
    <t>Siempre se ejecuta</t>
  </si>
  <si>
    <t>El jefe de oficina realizará una mesa de trabajo mensual para socializar los resultados del seguimiento en pro de toma de decisiones para avanzar en la ejecución de los proyectos tecnológicos. Como evidencia se deja la lista de asistentes.</t>
  </si>
  <si>
    <t>Lista de asistentes</t>
  </si>
  <si>
    <t>Oficina de Información Pública del Interior
Jefe de la Oficina de Información Pública del Interior, equipo técnico, jurídico y financiero.</t>
  </si>
  <si>
    <t>Mensual</t>
  </si>
  <si>
    <t>Convocar reunión extraordinaria en caso de inasistencia o falta en la sesión ordinaria.</t>
  </si>
  <si>
    <t>Convocatoria y acta de reunión extraordinaria</t>
  </si>
  <si>
    <t>Jefe de OIPI, equipo técnico, jurídico y financiero.</t>
  </si>
  <si>
    <t>Dentro de los siguientes 5 días hábiles</t>
  </si>
  <si>
    <t xml:space="preserve">Indicador de Eficacia: Número de proyectos tecnológicos contratados/Números de proyectos tecnológicos planificados.
</t>
  </si>
  <si>
    <t>El riesgo fue modificado y formalizado a partir del 20 de junio de 2025</t>
  </si>
  <si>
    <r>
      <t xml:space="preserve">Durante el II cuatrimestre en cumplimiento de las funciones asignadas, el y la Jefe de la Oficina de Información Pública (OIP) realizó la mesa de trabajo mensual junto con el personal del Grupo de Sistemas, con el propósito de socializar los resultados del seguimiento a los proyectos tecnológicos y facilitar la toma de decisiones orientadas a avanzar en su ejecución.
Durante la jornada se revisaron los compromisos técnicos, el estado de avance y los aspectos críticos identificados, lo que permitió acordar acciones de mejora y definir lineamientos para garantizar el cumplimiento de los objetivos tecnológicos institucionales.
Como evidencia del desarrollo de la mesa de trabajo, se dejó registrada la lista de asistentes. desde la fecha que se formalizo el riesgo, es decir, de los meses junio, julio y agosto.
Respecto a los indicadores de eficacia y eficiencia, el indicador de eficacia presentó un resultado del 11,1%, dado que de los nueve (9) proyectos tecnológicos planeados, a la fecha únicamente se ha ejecutado uno (1), correspondiente al proyecto ORACLE.
</t>
    </r>
    <r>
      <rPr>
        <b/>
        <u/>
        <sz val="10"/>
        <color rgb="FFC00000"/>
        <rFont val="Gill Sans MT"/>
        <family val="2"/>
      </rPr>
      <t>MONITOREO OAP:</t>
    </r>
    <r>
      <rPr>
        <b/>
        <sz val="10"/>
        <rFont val="Gill Sans MT"/>
        <family val="2"/>
      </rPr>
      <t xml:space="preserve">
01/09/2025:</t>
    </r>
    <r>
      <rPr>
        <sz val="10"/>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hgestión tecnologica, no se incluyó el seguimiento a los dos Items enuncian anteriormente. </t>
    </r>
    <r>
      <rPr>
        <b/>
        <sz val="10"/>
        <rFont val="Gill Sans MT"/>
        <family val="2"/>
      </rPr>
      <t xml:space="preserve">
02/09/2025: </t>
    </r>
    <r>
      <rPr>
        <sz val="10"/>
        <rFont val="Gill Sans MT"/>
        <family val="2"/>
      </rPr>
      <t>El seguimiento al 31 de agosto de 2025 corresponde a lo definido en la Actividad de Control y es coherente con las evidencias cargadas por la OIP; así mismo, se registra la evolución de la acción y los indicadores de eficacia y efectividad</t>
    </r>
  </si>
  <si>
    <r>
      <t xml:space="preserve">Durante el tercer cuatrimestre, la Jefe de la Oficina de Información Pública realizó el monitoreo y seguimiento mensual a los avances de los proyectos tecnológicos definidos en el Plan de Acción y en el Proyecto de Inversión. En estas sesiones, desarrolladas con el equipo técnico, jurídico y financiero, se revisó el cumplimiento de cronogramas, la ejecución presupuestal y el estado de cada actividad, garantizando la transparencia en todas las etapas del proceso.
Como evidencia del desarrollo de la mesa de trabajo, se deja registrada la lista de asistentes.
Respecto a los indicadores de eficiencia y eficacia, el indicador de eficacia presentó un resultado del 78% ya que hasta la fecha se ejecutaron los siguientes contratos:
1. Adquisición de licenciamiento Microsoft Office 365
2. Mantenimiento sistema PCT
3. Soporte, mantenimiento y actualización del sistema Kactus
4. Hiperconvergencia
5. Oracle
6, Mantenimiento UPSs
7. Mantenimiento Aires Acondicionados
</t>
    </r>
    <r>
      <rPr>
        <b/>
        <sz val="10"/>
        <color rgb="FFC00000"/>
        <rFont val="Gill Sans MT"/>
        <family val="2"/>
      </rPr>
      <t>MONITOREO OAP</t>
    </r>
    <r>
      <rPr>
        <b/>
        <sz val="10"/>
        <color rgb="FF000000"/>
        <rFont val="Gill Sans MT"/>
        <family val="2"/>
      </rPr>
      <t xml:space="preserve">
26/12/2025: </t>
    </r>
    <r>
      <rPr>
        <sz val="10"/>
        <color rgb="FF000000"/>
        <rFont val="Gill Sans MT"/>
        <family val="2"/>
      </rPr>
      <t xml:space="preserve">El seguimiento al 31 de diciembre de 2025 corresponde a lo definido en la Actividad de Control y es coherente con las evidencias cargadas por la OIP; así mismo, se registra la evolución de la acción y los indicadores de eficacia y efectividad
</t>
    </r>
  </si>
  <si>
    <t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t>
  </si>
  <si>
    <t>El jefe de oficina realizará una mesa de trabajo para validar los conocimientos adquiridos durante la sensibilización sobre la Ley 1474 de 2011, mediante el análisis de casos prácticos y preguntas orientadoras que permitan identificar el nivel de comprensión de los funcionarios del grupo de sistemas. Como evidencia se deja la lista de asistentes.</t>
  </si>
  <si>
    <t>Oficina de Información Pública del Interior
Jefe de la Oficina de Información Pública del Interior y equipo jurídico</t>
  </si>
  <si>
    <t>Reprogramar y reforzar la capacitación con participación obligatoria, incluyendo sesión virtual para quienes no asistieron.</t>
  </si>
  <si>
    <t>Registro de reprogramación, evidencias de convocatoria, capturas de pantalla o grabación de sesión virtual</t>
  </si>
  <si>
    <t>Jefe de OIPI y equipo jurídico.</t>
  </si>
  <si>
    <t>Dentro del mes siguiente a la fecha inicialmente programada</t>
  </si>
  <si>
    <t>Indicador de Efectividad: Número de funcionarios y/o contratistas con evaluación satisfactoria / Número de funcionarios y/o contratistas capacitados</t>
  </si>
  <si>
    <r>
      <t xml:space="preserve">Durante el mes de junio se llevó a cabo la mesa de trabajo interna correspondiente al segundo cuatrimestre, dirigida a todo el personal del Grupo de Sistemas, con el propósito de sensibilizar sobre la normatividad vigente en relación con la Ley 1474 de 2011 – Estatuto Anticorrupción.
La actividad tuvo como objetivo prevenir la ocurrencia de actos de corrupción y evitar sanciones derivadas del desconocimiento normativo, promoviendo a su vez una cultura institucional basada en la transparencia y la responsabilidad.
Como evidencia del desarrollo de la mesa de trabajo, se registró la lista de asistencia del personal participante.
Respecto a la acción se realizó la socialización de los resultados con la OAP en el mes de Julio.
Respecto a los indicadores de eficacia y eficiencia, para el indicardor de efectividad se obtuvo un resultado del 100% debido a que los 11 participantes capacitados obtuvieron evaluación satisfactoria sobre la ley 1474 del 2011, se anexa evidencia.
</t>
    </r>
    <r>
      <rPr>
        <b/>
        <u/>
        <sz val="10"/>
        <color rgb="FFC00000"/>
        <rFont val="Gill Sans MT"/>
        <family val="2"/>
      </rPr>
      <t>MONITOREO OAP:</t>
    </r>
    <r>
      <rPr>
        <b/>
        <sz val="10"/>
        <rFont val="Gill Sans MT"/>
        <family val="2"/>
      </rPr>
      <t xml:space="preserve">
01/09/2025:</t>
    </r>
    <r>
      <rPr>
        <sz val="10"/>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hgestión tecnologica, no se incluyó el seguimiento a los dos Items enuncian anteriormente. 
</t>
    </r>
    <r>
      <rPr>
        <b/>
        <sz val="10"/>
        <rFont val="Gill Sans MT"/>
        <family val="2"/>
      </rPr>
      <t>02/09/2025: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</si>
  <si>
    <r>
      <t xml:space="preserve">Durante el mes de noviembre se realizó una mesa de trabajo interna correspondiente al tercer cuatrimestre, dirigida a todo el personal del Grupo de Sistemas, con el fin de generar sensibilización frente a la normatividad vigente establecida en la Ley 1474 de 2011 – Estatuto Anticorrupción.
La actividad estuvo orientada a fortalecer la prevención de actos de corrupción y a evitar posibles sanciones por desconocimiento de la normativa, promoviendo al mismo tiempo una cultura institucional fundamentada en la transparencia y la responsabilidad.
Como evidencia del desarrollo de la mesa de trabajo, se deja la lista de asistencia del personal participante y el resultado de una evaluación aplicada para verificar la comprensión de la Ley.
Respecto a los indicadores de eficacia y eficiencia, para el indicador de efectividad se obtuvo un resultado del 100% debido a que los 8 participantes capacitados obtuvieron evaluación satisfactoria sobre la ley 1474 del 2011, se anexa evidencia.
</t>
    </r>
    <r>
      <rPr>
        <b/>
        <sz val="10"/>
        <color rgb="FF000000"/>
        <rFont val="Gill Sans MT"/>
        <family val="2"/>
      </rPr>
      <t xml:space="preserve">
</t>
    </r>
    <r>
      <rPr>
        <b/>
        <u/>
        <sz val="10"/>
        <color rgb="FFC00000"/>
        <rFont val="Gill Sans MT"/>
        <family val="2"/>
      </rPr>
      <t>MONITOREO OAP</t>
    </r>
    <r>
      <rPr>
        <b/>
        <sz val="10"/>
        <color rgb="FF000000"/>
        <rFont val="Gill Sans MT"/>
        <family val="2"/>
      </rPr>
      <t xml:space="preserve">
26/12/2025</t>
    </r>
    <r>
      <rPr>
        <sz val="10"/>
        <color rgb="FF000000"/>
        <rFont val="Gill Sans MT"/>
        <family val="2"/>
      </rPr>
      <t>: El seguimiento al 31 de diciembre de 2025 corresponde a lo definido en la Actividad de Control y es coherente con las evidencias cargadas por la OIP; así mismo, se registra la evolución de la acción y los indicadores de eficacia y efectividad</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</si>
  <si>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</si>
  <si>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</si>
  <si>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</si>
  <si>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</si>
  <si>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</si>
  <si>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</si>
  <si>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</si>
  <si>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</si>
  <si>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</si>
  <si>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</si>
  <si>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</si>
  <si>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</si>
  <si>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</si>
  <si>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</si>
  <si>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</si>
  <si>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</si>
  <si>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</si>
  <si>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</si>
  <si>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</si>
  <si>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</si>
  <si>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</si>
  <si>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</si>
  <si>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</si>
  <si>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</si>
  <si>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</si>
  <si>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</si>
  <si>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</si>
  <si>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</si>
  <si>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</si>
  <si>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</si>
  <si>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</si>
  <si>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</si>
  <si>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</si>
  <si>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</si>
  <si>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</si>
  <si>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</si>
  <si>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</si>
  <si>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</si>
  <si>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</si>
  <si>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</si>
  <si>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implementacion de  herramientas de seguridad de la información por parte de la OIP</t>
  </si>
  <si>
    <t>Posibilidad de afectación Económica y Reputacional, por amenazas  que exploten la vulnerabilidad de los  activos  de información que puede causar daño a la entidad, debido a inadecuada  implementacion de herramientas de seguridad de la información por parte de la OIP</t>
  </si>
  <si>
    <t>Seguridad de la Información</t>
  </si>
  <si>
    <t>Perdida de informacion</t>
  </si>
  <si>
    <t>Ataques Ciberneticos</t>
  </si>
  <si>
    <t>El grupo de sistemas realiza monitoreo mensual a la sede electronica del Ministerio para identificar vulnerabilidades de seguridad. Como evidencia de presenta el reporte gerenado por la herramienta.</t>
  </si>
  <si>
    <r>
      <rPr>
        <sz val="10"/>
        <color rgb="FF000000"/>
        <rFont val="Arial Narrow"/>
        <family val="2"/>
      </rPr>
      <t xml:space="preserve">Se realiza de forma mensual el monitoreo a la Sede Electrónica del Ministerio, con el objetivo de identificar posibles vulnerabilidades de seguridad que puedan afectar la disponibilidad, integridad o confidencialidad de la información publicada.
Esta actividad permite tomar acciones preventivas y correctivas oportunas, en el marco de las buenas prácticas de seguridad digital y alineadas con las políticas institucionales.
Como evidencia, se presenta el reporte técnico generado por la herramienta de análisis utilizada.
Con respecto al Indicador Clave del Riesgo, durante el primer trimeste, se resolvieron 0 incidencias de las 40 reportadas por la herramienta de análisis utilizada, se esta trabajando en las vulnerabilidades.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 xml:space="preserve">La OIP atendió las observaciones, por lo que se concluye, que el seguimiento y evidencia reportada coincide con lo registrado en la actividad de control. </t>
    </r>
  </si>
  <si>
    <r>
      <t xml:space="preserve">Se lleva a cabo mensualmente el monitoreo de la Sede Electrónica del Ministerio, con el fin de detectar posibles vulnerabilidades de seguridad que puedan comprometer la disponibilidad, integridad o confidencialidad de la información publicada.
Esta labor facilita la adopción de medidas preventivas y correctivas de manera oportuna, en coherencia con las buenas prácticas de seguridad digital y las políticas institucionales vigentes.
Como evidencia, se presenta el reporte técnico generado por la herramienta de análisis utilizada.
Con respecto al Indicador Clave del Riesgo, durante el II semestre, se resolvieron 79 incidencias de las 247 reportadas por la herramienta de análisis utilizada, se esta trabajando en las vulnerabilidades.
</t>
    </r>
    <r>
      <rPr>
        <b/>
        <sz val="10"/>
        <color theme="1"/>
        <rFont val="Arial Narrow"/>
        <family val="2"/>
      </rPr>
      <t xml:space="preserve">
</t>
    </r>
    <r>
      <rPr>
        <b/>
        <sz val="10"/>
        <color rgb="FFC00000"/>
        <rFont val="Arial Narrow"/>
        <family val="2"/>
      </rPr>
      <t xml:space="preserve">MONITOREO OAP
</t>
    </r>
    <r>
      <rPr>
        <b/>
        <sz val="10"/>
        <color theme="1"/>
        <rFont val="Arial Narrow"/>
        <family val="2"/>
      </rPr>
      <t xml:space="preserve">26/12/2025: </t>
    </r>
    <r>
      <rPr>
        <sz val="10"/>
        <color theme="1"/>
        <rFont val="Arial Narrow"/>
        <family val="2"/>
      </rPr>
      <t xml:space="preserve">El seguimiento y evidencia reportada coincide con lo registrado en la actividad de control. </t>
    </r>
  </si>
  <si>
    <t>El grupo de sistema realiza un monitoreo mensual de las cuentas de correo activas en el Ministerio con el fin de identificar y mitigar posibles amenzas de seguridad. Como evidencia se presenta el reporte generado por la herramienta Defender.</t>
  </si>
  <si>
    <r>
      <rPr>
        <sz val="10"/>
        <color rgb="FF000000"/>
        <rFont val="Arial Narrow"/>
        <family val="2"/>
      </rPr>
      <t xml:space="preserve">Se realiza mensualmente el monitoreo de las cuentas de correo electrónico activas en el Ministerio, con el fin de identificar comportamientos inusuales, posibles amenazas y riesgos de seguridad asociados al uso del correo institucional.
Esta labor permite implementar acciones de mitigación de manera oportuna, fortaleciendo la protección de los sistemas de información y garantizando la seguridad en las comunicaciones oficiales.
Como evidencia, se presenta el reporte técnico generado por la herramienta Microsoft Defender.
Con respecto al Indicador Clave del Riesgo, durante el primer trimeste, se resolvieron 2.013 amenazas de las 2.013  identficadas por la herramienta de análisis Microsoft Defender.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23/07/2025:</t>
    </r>
    <r>
      <rPr>
        <sz val="10"/>
        <color rgb="FF000000"/>
        <rFont val="Arial Narrow"/>
        <family val="2"/>
      </rPr>
      <t xml:space="preserve"> La OIP atendió las observaciones, por lo que se concluye, que el seguimiento y evidencia reportada coincide con lo registrado en la actividad de control.</t>
    </r>
  </si>
  <si>
    <r>
      <t xml:space="preserve">Se lleva a cabo cada mes un monitoreo de las cuentas de correo institucional activas en el Ministerio, con el propósito de detectar comportamientos atípicos, posibles amenazas y riesgos de seguridad relacionados con su uso.
Esta actividad facilita la implementación oportuna de medidas de mitigación, contribuyendo al fortalecimiento de la protección de los sistemas de información y asegurando la seguridad de las comunicaciones oficiales.
Como evidencia, se presenta el reporte técnico generado por la herramienta Microsoft Defender.
Con respecto al Indicador Clave del Riesgo, durante el II semestre, se resolvieron 27,351 amenazas de las 27,351 amenazas de seguridad asociadas al uso del correo institucional, incluyendo intentos de phishing, spam, suplantación, malware y contenido sospechoso.
Todas estas amenazas fueron bloqueadas o filtradas de manera automática por las herramientas de seguridad Defender, evitando afectaciones a los usuarios y garantizando la integridad de las comunicaciones oficiales.
</t>
    </r>
    <r>
      <rPr>
        <b/>
        <sz val="10"/>
        <color rgb="FFC00000"/>
        <rFont val="Arial Narrow"/>
        <family val="2"/>
      </rPr>
      <t>MONITOREO OAP</t>
    </r>
    <r>
      <rPr>
        <b/>
        <sz val="10"/>
        <color theme="1"/>
        <rFont val="Arial Narrow"/>
        <family val="2"/>
      </rPr>
      <t xml:space="preserve">
26/12/2025: </t>
    </r>
    <r>
      <rPr>
        <sz val="10"/>
        <color theme="1"/>
        <rFont val="Arial Narrow"/>
        <family val="2"/>
      </rPr>
      <t xml:space="preserve">El seguimiento y evidencia reportada coincide con lo registrado en la actividad de control. </t>
    </r>
  </si>
  <si>
    <t>El Grupo de Sistemas realiza un reporte mensual de vulnerabilidades en la red LAN mediante herramientas de escaneo, con el objetivo de identificar posibles amenazas de seguridad. Como evidencia se presenta el reporte generado por el Firewall.</t>
  </si>
  <si>
    <r>
      <rPr>
        <sz val="10"/>
        <color rgb="FF000000"/>
        <rFont val="Arial Narrow"/>
        <family val="2"/>
      </rPr>
      <t xml:space="preserve">Se realiza mensualmente un análisis de vulnerabilidades en la red LAN del Ministerio, utilizando herramientas de escaneo integradas al sistema de seguridad perimetral, con el objetivo de identificar posibles amenazas que puedan comprometer la infraestructura tecnológica.
Este monitoreo permite fortalecer las medidas de protección, anticiparse a riesgos y garantizar la continuidad operativa de los servicios institucionales.Como evidencia, se presenta el reporte generado por el Firewall.
Con respecto al Indicador Clave del Riesgo, durante el primer trimeste, se resolvieron 0 incidencias de las 0  identificadas por la herramienta de análisis Firewall. No se detectaron amenazas.x
</t>
    </r>
    <r>
      <rPr>
        <b/>
        <sz val="10"/>
        <color rgb="FFC00000"/>
        <rFont val="Arial Narrow"/>
        <family val="2"/>
      </rPr>
      <t xml:space="preserve">MONITOREO OAP
</t>
    </r>
    <r>
      <rPr>
        <b/>
        <sz val="10"/>
        <color rgb="FF000000"/>
        <rFont val="Arial Narrow"/>
        <family val="2"/>
      </rPr>
      <t xml:space="preserve">18/07/2025: </t>
    </r>
    <r>
      <rPr>
        <sz val="10"/>
        <color rgb="FF000000"/>
        <rFont val="Arial Narrow"/>
        <family val="2"/>
      </rPr>
      <t xml:space="preserve">Se solicita que se registre la evolución cuantitativa y cualitativa del Indicador Clave de Riesgo. 
</t>
    </r>
    <r>
      <rPr>
        <b/>
        <sz val="10"/>
        <color rgb="FF000000"/>
        <rFont val="Arial Narrow"/>
        <family val="2"/>
      </rPr>
      <t xml:space="preserve">23/07/2025: </t>
    </r>
    <r>
      <rPr>
        <sz val="10"/>
        <color rgb="FF000000"/>
        <rFont val="Arial Narrow"/>
        <family val="2"/>
      </rPr>
      <t>La OIP atendió las observaciones, por lo que se concluye, que el seguimiento y evidencia reportada coincide con lo registrado en la actividad de control.</t>
    </r>
  </si>
  <si>
    <r>
      <t xml:space="preserve">Se realiza mensualmente un análisis de vulnerabilidades en la red LAN del Ministerio, utilizando herramientas de escaneo integradas al sistema de seguridad perimetral, con el objetivo de identificar posibles amenazas que puedan comprometer la infraestructura tecnológica.
Este monitoreo permite fortalecer las medidas de protección, anticiparse a riesgos y garantizar la continuidad operativa de los servicios institucionales.
Como evidencia, se presenta el reporte generado por el Firewall.
Con respecto al Indicador Clave del Riesgo, durante el II semestre, se resolvieron 296 incidencias de las 296  identificadas por la herramienta de análisis Firewall. 
</t>
    </r>
    <r>
      <rPr>
        <b/>
        <sz val="10"/>
        <color rgb="FFC00000"/>
        <rFont val="Arial Narrow"/>
        <family val="2"/>
      </rPr>
      <t>MONITOREO OAP</t>
    </r>
    <r>
      <rPr>
        <b/>
        <sz val="10"/>
        <color theme="1"/>
        <rFont val="Arial Narrow"/>
        <family val="2"/>
      </rPr>
      <t xml:space="preserve">
26/12/2025:</t>
    </r>
    <r>
      <rPr>
        <sz val="10"/>
        <color theme="1"/>
        <rFont val="Arial Narrow"/>
        <family val="2"/>
      </rPr>
      <t xml:space="preserve"> El seguimiento y evidencia reportada coincide con lo registrado en la actividad de control. </t>
    </r>
  </si>
  <si>
    <t>El Grupo de Sistemas ejecuta un monitoreo mensual de los equipos informáticos del Ministerio mediante solucion antivirus, para detectar y mitigar posibles amenazas de software malicioso.  Como evidencia se presenta el reporte generado por la herramienta Antivirus.</t>
  </si>
  <si>
    <r>
      <rPr>
        <sz val="11"/>
        <color rgb="FF000000"/>
        <rFont val="Arial Narrow"/>
        <family val="2"/>
      </rPr>
      <t xml:space="preserve">Se ejecuta mensualmente un monitoreo a los equipos informáticos del Ministerio utilizando la solución antivirus institucional, con el propósito de detectar, bloquear y mitigar posibles amenazas de software malicioso (malware) que puedan afectar el funcionamiento y la seguridad de los sistemas.
Esta actividad forma parte de las acciones preventivas orientadas a garantizar la integridad de los activos tecnológicos y la protección de la información institucional.
Como evidencia, se presenta el reporte generado por la herramienta antivirus.
Con respecto al Indicador Clave del Riesgo, durante el primer trimeste, se resolvieron 27 incidencias de las 27  identificadas por la herramienta de análisis Kaspersky.
</t>
    </r>
    <r>
      <rPr>
        <b/>
        <sz val="11"/>
        <color rgb="FFC00000"/>
        <rFont val="Arial Narrow"/>
        <family val="2"/>
      </rPr>
      <t xml:space="preserve">MONITOREO OAP
</t>
    </r>
    <r>
      <rPr>
        <b/>
        <sz val="11"/>
        <color rgb="FF000000"/>
        <rFont val="Arial Narrow"/>
        <family val="2"/>
      </rPr>
      <t>18/07/2025:</t>
    </r>
    <r>
      <rPr>
        <sz val="11"/>
        <color rgb="FF000000"/>
        <rFont val="Arial Narrow"/>
        <family val="2"/>
      </rPr>
      <t xml:space="preserve"> Se solicita que se registre la evolución cuantitativa y cualitativa del Indicador Clave de Riesgo. 
</t>
    </r>
    <r>
      <rPr>
        <b/>
        <sz val="11"/>
        <color rgb="FF000000"/>
        <rFont val="Arial Narrow"/>
        <family val="2"/>
      </rPr>
      <t>23/07/2025</t>
    </r>
    <r>
      <rPr>
        <sz val="11"/>
        <color rgb="FF000000"/>
        <rFont val="Arial Narrow"/>
        <family val="2"/>
      </rPr>
      <t>: La OIP atendió las observaciones, por lo que se concluye, que el seguimiento y evidencia reportada coincide con lo registrado en la actividad de control.</t>
    </r>
  </si>
  <si>
    <r>
      <t xml:space="preserve">Se realiza mensualmente un monitoreo a los equipos informáticos del Ministerio mediante la solución antivirus institucional, con el fin de identificar, bloquear y mitigar posibles amenazas de software malicioso (malware) que puedan comprometer el funcionamiento o la seguridad de los sistemas.
Esta labor se desarrolla como parte de las acciones preventivas orientadas a proteger la información institucional y asegurar la integridad de los activos tecnológicos.
Como evidencia, se presenta el reporte generado por la herramienta antivirus.
Con respecto al Indicador Clave del Riesgo, durante el II semestre, se resolvieron 3.881 incidencias de las 3.881 identificadas por la herramienta de análisis Kaspersky.
</t>
    </r>
    <r>
      <rPr>
        <sz val="11"/>
        <color rgb="FFC00000"/>
        <rFont val="Arial Narrow"/>
        <family val="2"/>
      </rPr>
      <t xml:space="preserve">
</t>
    </r>
    <r>
      <rPr>
        <b/>
        <sz val="11"/>
        <color rgb="FFC00000"/>
        <rFont val="Arial Narrow"/>
        <family val="2"/>
      </rPr>
      <t xml:space="preserve">MONITOREO OAP
</t>
    </r>
    <r>
      <rPr>
        <b/>
        <sz val="11"/>
        <color theme="1"/>
        <rFont val="Arial Narrow"/>
        <family val="2"/>
      </rPr>
      <t xml:space="preserve">26/12/2025: </t>
    </r>
    <r>
      <rPr>
        <sz val="11"/>
        <color theme="1"/>
        <rFont val="Arial Narrow"/>
        <family val="2"/>
      </rPr>
      <t xml:space="preserve">El seguimiento y evidencia reportada coincide con lo registrado en la actividad de control. 
</t>
    </r>
  </si>
  <si>
    <t>El Grupo de Sistemas  realiza acciones mesuales de restricción y verificación de accesos a servidores y bases de datos, con el propósito de prevenir accesos no autorizados y posibles brechas de seguridad. Como evidencia se genera un informe generado por los ingenieros a cargo.</t>
  </si>
  <si>
    <r>
      <rPr>
        <sz val="11"/>
        <color rgb="FF000000"/>
        <rFont val="Arial Narrow"/>
        <family val="2"/>
      </rPr>
      <t xml:space="preserve">Se realiza acciones mensuales de restricción y verificación de accesos a los servidores y bases de datos del Ministerio, con el propósito de prevenir accesos no autorizados y mitigar posibles brechas de seguridad.
Estas labores incluyen la revisión de permisos, auditoría de accesos y aplicación de medidas de control, en cumplimiento de las buenas prácticas en gestión de la seguridad de la información.
Como evidencia, se anexa el informe técnico elaborado por los ingenieros responsables.
Con respecto al Indicador Clave del Riesgo para los Servidores, durante el primer trimeste, hubo 2 grupos privilegiados identicados y 2 accesos controlados (No se encontraron usuarios no autorizados, ni configuraciones irregulares).
</t>
    </r>
    <r>
      <rPr>
        <b/>
        <sz val="11"/>
        <color rgb="FF4472C4"/>
        <rFont val="Arial Narrow"/>
        <family val="2"/>
      </rPr>
      <t xml:space="preserve">
</t>
    </r>
    <r>
      <rPr>
        <sz val="11"/>
        <color rgb="FF000000"/>
        <rFont val="Arial Narrow"/>
        <family val="2"/>
      </rPr>
      <t xml:space="preserve">Con respecto al Indicador Clave del Riesgo para las Bases de Datos, durante el primer trimeste, hubieron 26 accesos identificados (fallidos) y 26 Grupo de accesos controlados (todos fueron bloqueados y no se evidencian accesos no autorizados exitosos).
</t>
    </r>
    <r>
      <rPr>
        <b/>
        <sz val="11"/>
        <color rgb="FFC00000"/>
        <rFont val="Arial Narrow"/>
        <family val="2"/>
      </rPr>
      <t xml:space="preserve">MONITOREO OAP
</t>
    </r>
    <r>
      <rPr>
        <b/>
        <sz val="11"/>
        <color rgb="FF000000"/>
        <rFont val="Arial Narrow"/>
        <family val="2"/>
      </rPr>
      <t xml:space="preserve">18/07/2025: </t>
    </r>
    <r>
      <rPr>
        <sz val="11"/>
        <color rgb="FF000000"/>
        <rFont val="Arial Narrow"/>
        <family val="2"/>
      </rPr>
      <t xml:space="preserve">Se solicita que se registre la evolución cuantitativa y cualitativa del Indicador Clave de Riesgo. 
</t>
    </r>
    <r>
      <rPr>
        <b/>
        <sz val="11"/>
        <color rgb="FF000000"/>
        <rFont val="Arial Narrow"/>
        <family val="2"/>
      </rPr>
      <t xml:space="preserve">23/07/2025: </t>
    </r>
    <r>
      <rPr>
        <sz val="11"/>
        <color rgb="FF000000"/>
        <rFont val="Arial Narrow"/>
        <family val="2"/>
      </rPr>
      <t>La OIP atendió las observaciones, por lo que se concluye, que el seguimiento y evidencia reportada coincide con lo registrado en la actividad de control.</t>
    </r>
  </si>
  <si>
    <r>
      <t xml:space="preserve">Se realiza acciones mensuales de restricción y verificación de accesos a los servidores y bases de datos del Ministerio, con el propósito de prevenir accesos no autorizados y mitigar posibles brechas de seguridad.
Estas labores incluyen la revisión de permisos, auditoría de accesos y aplicación de medidas de control, en cumplimiento de las buenas prácticas en gestión de la seguridad de la información.
Como evidencia, se anexa el informe técnico elaborado por los ingenieros responsables.
Con respecto al Indicador Clave del Riesgo para los Servidores, durante el II semestre, hubo 65 solicitudes de acesos, de las cuales las 65 fueron atendidas.
</t>
    </r>
    <r>
      <rPr>
        <b/>
        <sz val="11"/>
        <color theme="8"/>
        <rFont val="Arial Narrow"/>
        <family val="2"/>
      </rPr>
      <t xml:space="preserve">
</t>
    </r>
    <r>
      <rPr>
        <sz val="11"/>
        <color theme="1"/>
        <rFont val="Arial Narrow"/>
        <family val="2"/>
      </rPr>
      <t xml:space="preserve">Con respecto al Indicador Clave del Riesgo para las Bases de Datos, durante el II  semestre, hubo 4 solicitudes de acesos, de las cuales las 4 fueron atendidas.
</t>
    </r>
    <r>
      <rPr>
        <b/>
        <sz val="11"/>
        <color rgb="FFC00000"/>
        <rFont val="Arial Narrow"/>
        <family val="2"/>
      </rPr>
      <t xml:space="preserve">MONITOREO OAP
</t>
    </r>
    <r>
      <rPr>
        <b/>
        <sz val="11"/>
        <color theme="1"/>
        <rFont val="Arial Narrow"/>
        <family val="2"/>
      </rPr>
      <t xml:space="preserve">26/12/2025: </t>
    </r>
    <r>
      <rPr>
        <sz val="11"/>
        <color theme="1"/>
        <rFont val="Arial Narrow"/>
        <family val="2"/>
      </rPr>
      <t xml:space="preserve">El seguimiento y evidencia reportada coincide con lo registrado en la actividad de control. 
</t>
    </r>
  </si>
  <si>
    <t>MATRIZ MAPA DE RIESGO SEGURIDAD DE LA INFORMACIÓN</t>
  </si>
  <si>
    <t xml:space="preserve">Reporte generado por la herramiento </t>
  </si>
  <si>
    <t xml:space="preserve">Oficina de Información Pública del Interior
Grupo de Sistemas </t>
  </si>
  <si>
    <t xml:space="preserve">Menual </t>
  </si>
  <si>
    <t xml:space="preserve">Numero de incidencias resueltas. / Numero de incidencias reportadas.
</t>
  </si>
  <si>
    <t>Reporte generado por la herramienta Defender</t>
  </si>
  <si>
    <t xml:space="preserve">Mensual </t>
  </si>
  <si>
    <t>Número de amenazas de seguridad controladas / Número de amenazas de seguridad identificadas por la herramienta</t>
  </si>
  <si>
    <t>Reporte generado por el Firewall</t>
  </si>
  <si>
    <t>Reporte gnerado por la herramienta Antivirus</t>
  </si>
  <si>
    <t>Informe</t>
  </si>
  <si>
    <t>Número de accesos controlados / Número de accesos identificados</t>
  </si>
  <si>
    <t xml:space="preserve">Posibilidad de afectación económica y reputacional por la indisponibilidad de la infraestructura tecnológica, debido a la inadecuada gestión administrativa en la asignacion de recursos suficientes para cubrir las necesidades tecnológicas del Ministerio.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</si>
</sst>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2"/>
      <color theme="1"/>
      <name val="Arial"/>
      <family val="2"/>
    </font>
    <font>
      <sz val="12"/>
      <name val="Arial"/>
      <family val="2"/>
    </font>
    <font>
      <sz val="9"/>
      <color indexed="81"/>
      <name val="Tahoma"/>
      <family val="2"/>
    </font>
    <font>
      <sz val="12"/>
      <color theme="2" tint="-0.89999084444715716"/>
      <name val="Arial"/>
      <family val="2"/>
    </font>
    <font>
      <sz val="10"/>
      <color rgb="FF000000"/>
      <name val="Gill Sans MT"/>
      <family val="2"/>
    </font>
    <font>
      <b/>
      <sz val="10"/>
      <color rgb="FF000000"/>
      <name val="Arial Narrow"/>
      <family val="2"/>
    </font>
    <font>
      <sz val="11"/>
      <color rgb="FF000000"/>
      <name val="Arial Narrow"/>
      <family val="2"/>
    </font>
    <font>
      <b/>
      <sz val="11"/>
      <color rgb="FF4472C4"/>
      <name val="Arial Narrow"/>
      <family val="2"/>
    </font>
    <font>
      <b/>
      <sz val="10"/>
      <color rgb="FFC00000"/>
      <name val="Arial Narrow"/>
      <family val="2"/>
    </font>
    <font>
      <b/>
      <sz val="11"/>
      <color rgb="FFC00000"/>
      <name val="Arial Narrow"/>
      <family val="2"/>
    </font>
    <font>
      <b/>
      <sz val="11"/>
      <color rgb="FF000000"/>
      <name val="Arial Narrow"/>
      <family val="2"/>
    </font>
    <font>
      <sz val="11"/>
      <color rgb="FF000000"/>
      <name val="Arial"/>
      <family val="2"/>
    </font>
    <font>
      <b/>
      <sz val="11"/>
      <color rgb="FFC00000"/>
      <name val="Arial"/>
      <family val="2"/>
    </font>
    <font>
      <b/>
      <sz val="11"/>
      <color rgb="FF000000"/>
      <name val="Arial"/>
      <family val="2"/>
    </font>
    <font>
      <b/>
      <u/>
      <sz val="10"/>
      <color rgb="FFC00000"/>
      <name val="Gill Sans MT"/>
      <family val="2"/>
    </font>
    <font>
      <b/>
      <sz val="10"/>
      <color theme="1"/>
      <name val="Arial Narrow"/>
      <family val="2"/>
    </font>
    <font>
      <b/>
      <sz val="11"/>
      <color theme="8"/>
      <name val="Arial Narrow"/>
      <family val="2"/>
    </font>
    <font>
      <b/>
      <sz val="10"/>
      <color rgb="FF000000"/>
      <name val="Gill Sans MT"/>
      <family val="2"/>
    </font>
    <font>
      <b/>
      <u/>
      <sz val="11"/>
      <color rgb="FFC00000"/>
      <name val="Arial"/>
      <family val="2"/>
    </font>
    <font>
      <b/>
      <sz val="10"/>
      <color rgb="FFC00000"/>
      <name val="Gill Sans MT"/>
      <family val="2"/>
    </font>
    <font>
      <sz val="11"/>
      <color rgb="FFC0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7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5"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4"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2"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2" xfId="0" applyFont="1" applyBorder="1" applyAlignment="1">
      <alignment horizontal="center" vertical="top"/>
    </xf>
    <xf numFmtId="0" fontId="63" fillId="0" borderId="112" xfId="0" applyFont="1" applyBorder="1" applyAlignment="1" applyProtection="1">
      <alignment horizontal="justify" vertical="top" wrapText="1"/>
      <protection locked="0"/>
    </xf>
    <xf numFmtId="0" fontId="58" fillId="0" borderId="112" xfId="0" applyFont="1" applyBorder="1" applyAlignment="1" applyProtection="1">
      <alignment horizontal="center" vertical="top"/>
      <protection hidden="1"/>
    </xf>
    <xf numFmtId="0" fontId="58" fillId="0" borderId="112" xfId="0" applyFont="1" applyBorder="1" applyAlignment="1" applyProtection="1">
      <alignment horizontal="center" vertical="top" textRotation="90"/>
      <protection locked="0"/>
    </xf>
    <xf numFmtId="9" fontId="58" fillId="0" borderId="112" xfId="0" applyNumberFormat="1" applyFont="1" applyBorder="1" applyAlignment="1" applyProtection="1">
      <alignment horizontal="center" vertical="top"/>
      <protection hidden="1"/>
    </xf>
    <xf numFmtId="164" fontId="58" fillId="0" borderId="112" xfId="2" applyNumberFormat="1" applyFont="1" applyBorder="1" applyAlignment="1">
      <alignment horizontal="center" vertical="top"/>
    </xf>
    <xf numFmtId="0" fontId="61" fillId="0" borderId="112" xfId="0" applyFont="1" applyBorder="1" applyAlignment="1" applyProtection="1">
      <alignment horizontal="center" vertical="top" textRotation="90" wrapText="1"/>
      <protection hidden="1"/>
    </xf>
    <xf numFmtId="9" fontId="58" fillId="0" borderId="111" xfId="0" applyNumberFormat="1" applyFont="1" applyBorder="1" applyAlignment="1" applyProtection="1">
      <alignment horizontal="center" vertical="top"/>
      <protection hidden="1"/>
    </xf>
    <xf numFmtId="0" fontId="61" fillId="0" borderId="112" xfId="0" applyFont="1" applyBorder="1" applyAlignment="1" applyProtection="1">
      <alignment horizontal="center" vertical="top" textRotation="90"/>
      <protection hidden="1"/>
    </xf>
    <xf numFmtId="0" fontId="58" fillId="0" borderId="111" xfId="0" applyFont="1" applyBorder="1" applyAlignment="1" applyProtection="1">
      <alignment horizontal="center" vertical="top" textRotation="90"/>
      <protection locked="0"/>
    </xf>
    <xf numFmtId="0" fontId="58" fillId="0" borderId="112"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14" fontId="58" fillId="0" borderId="112"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2" xfId="0" applyFont="1" applyBorder="1" applyAlignment="1" applyProtection="1">
      <alignment horizontal="justify" vertical="top"/>
      <protection locked="0"/>
    </xf>
    <xf numFmtId="164" fontId="58" fillId="6" borderId="112" xfId="2" applyNumberFormat="1" applyFont="1" applyFill="1" applyBorder="1" applyAlignment="1">
      <alignment horizontal="center" vertical="top"/>
    </xf>
    <xf numFmtId="0" fontId="58" fillId="0" borderId="112"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29"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30" borderId="125" xfId="0" applyFont="1" applyFill="1" applyBorder="1" applyAlignment="1">
      <alignment horizontal="center" vertical="center" wrapText="1" readingOrder="1"/>
    </xf>
    <xf numFmtId="0" fontId="77" fillId="23" borderId="125" xfId="0" applyFont="1" applyFill="1" applyBorder="1" applyAlignment="1">
      <alignment horizontal="center" vertical="center" wrapText="1" readingOrder="1"/>
    </xf>
    <xf numFmtId="0" fontId="78" fillId="6" borderId="125"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29"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30" borderId="125" xfId="0" applyFont="1" applyFill="1" applyBorder="1" applyAlignment="1">
      <alignment horizontal="center" vertical="center" wrapText="1" readingOrder="1"/>
    </xf>
    <xf numFmtId="0" fontId="83" fillId="23" borderId="125" xfId="0" applyFont="1" applyFill="1" applyBorder="1" applyAlignment="1">
      <alignment horizontal="center" vertical="center" wrapText="1" readingOrder="1"/>
    </xf>
    <xf numFmtId="0" fontId="84" fillId="6" borderId="125"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5" xfId="0" applyFont="1" applyBorder="1" applyAlignment="1">
      <alignment horizontal="left" vertical="center" wrapText="1" indent="1" readingOrder="1"/>
    </xf>
    <xf numFmtId="0" fontId="90" fillId="0" borderId="0" xfId="0" applyFont="1"/>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8" xfId="0" applyFont="1" applyBorder="1" applyAlignment="1">
      <alignment horizontal="center" vertical="center"/>
    </xf>
    <xf numFmtId="0" fontId="61" fillId="0" borderId="112"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8"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2" xfId="0" applyFont="1" applyFill="1" applyBorder="1" applyAlignment="1">
      <alignment horizontal="center" vertical="center" textRotation="90"/>
    </xf>
    <xf numFmtId="0" fontId="101" fillId="0" borderId="112" xfId="0" applyFont="1" applyBorder="1" applyAlignment="1" applyProtection="1">
      <alignment horizontal="justify" vertical="top"/>
      <protection locked="0"/>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64" fontId="101" fillId="0" borderId="112" xfId="2" applyNumberFormat="1" applyFont="1" applyFill="1" applyBorder="1" applyAlignment="1">
      <alignment horizontal="center" vertical="top"/>
    </xf>
    <xf numFmtId="0" fontId="12" fillId="0" borderId="112" xfId="0" applyFont="1" applyBorder="1" applyAlignment="1" applyProtection="1">
      <alignment horizontal="justify" vertical="top" wrapText="1"/>
      <protection locked="0"/>
    </xf>
    <xf numFmtId="164" fontId="101" fillId="6" borderId="112" xfId="2" applyNumberFormat="1" applyFont="1" applyFill="1" applyBorder="1" applyAlignment="1">
      <alignment horizontal="center" vertical="top"/>
    </xf>
    <xf numFmtId="0" fontId="61" fillId="10" borderId="0" xfId="0" applyFont="1" applyFill="1"/>
    <xf numFmtId="0" fontId="11" fillId="0" borderId="112"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2"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2"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0" fillId="0" borderId="65" xfId="0" applyBorder="1"/>
    <xf numFmtId="0" fontId="2" fillId="0" borderId="64" xfId="0" applyFont="1" applyBorder="1" applyAlignment="1" applyProtection="1">
      <alignment vertical="top" wrapText="1"/>
      <protection locked="0"/>
    </xf>
    <xf numFmtId="0" fontId="39" fillId="0" borderId="64"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14" fillId="0" borderId="63"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6" xfId="0" applyFont="1" applyBorder="1" applyAlignment="1" applyProtection="1">
      <alignment horizontal="justify" vertical="center"/>
      <protection hidden="1"/>
    </xf>
    <xf numFmtId="0" fontId="14" fillId="0" borderId="36" xfId="0" applyFont="1" applyBorder="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01" fillId="0" borderId="36" xfId="0" applyFont="1" applyBorder="1" applyAlignment="1" applyProtection="1">
      <alignment horizontal="justify" vertical="center" wrapText="1"/>
      <protection locked="0"/>
    </xf>
    <xf numFmtId="0" fontId="58" fillId="0" borderId="11" xfId="0" applyFont="1" applyBorder="1" applyAlignment="1" applyProtection="1">
      <alignment horizontal="center" vertical="center" wrapText="1"/>
      <protection locked="0"/>
    </xf>
    <xf numFmtId="0" fontId="58" fillId="0" borderId="36"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2"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59" xfId="0" applyFont="1" applyFill="1" applyBorder="1" applyAlignment="1" applyProtection="1">
      <alignment horizontal="justify" vertical="center" wrapText="1"/>
      <protection locked="0"/>
    </xf>
    <xf numFmtId="0" fontId="18" fillId="10" borderId="59"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7" xfId="0" applyFont="1" applyBorder="1" applyAlignment="1" applyProtection="1">
      <alignment horizontal="justify" vertical="center" wrapText="1"/>
      <protection locked="0"/>
    </xf>
    <xf numFmtId="0" fontId="12" fillId="10" borderId="112"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0" fontId="27" fillId="0" borderId="64" xfId="0" applyFont="1" applyBorder="1" applyAlignment="1" applyProtection="1">
      <alignment vertical="center"/>
      <protection locked="0"/>
    </xf>
    <xf numFmtId="0" fontId="39" fillId="0" borderId="64" xfId="0" applyFont="1" applyBorder="1" applyAlignment="1" applyProtection="1">
      <alignment vertical="center"/>
      <protection locked="0"/>
    </xf>
    <xf numFmtId="0" fontId="18" fillId="0" borderId="64" xfId="0" applyFont="1" applyBorder="1" applyProtection="1">
      <protection locked="0"/>
    </xf>
    <xf numFmtId="0" fontId="0" fillId="0" borderId="63" xfId="0" applyBorder="1" applyProtection="1">
      <protection locked="0"/>
    </xf>
    <xf numFmtId="0" fontId="19" fillId="2" borderId="17" xfId="0" applyFont="1" applyFill="1" applyBorder="1" applyAlignment="1">
      <alignment horizontal="center" vertical="center" textRotation="90" wrapText="1"/>
    </xf>
    <xf numFmtId="0" fontId="110" fillId="0" borderId="112" xfId="0" applyFont="1" applyBorder="1" applyAlignment="1" applyProtection="1">
      <alignment horizontal="justify" vertical="top" wrapText="1"/>
      <protection locked="0"/>
    </xf>
    <xf numFmtId="0" fontId="5" fillId="0" borderId="35" xfId="0" applyFont="1" applyBorder="1" applyAlignment="1" applyProtection="1">
      <alignment horizontal="justify" vertical="center" wrapText="1"/>
      <protection locked="0"/>
    </xf>
    <xf numFmtId="0" fontId="0" fillId="0" borderId="5" xfId="0" applyBorder="1" applyAlignment="1">
      <alignment horizontal="center" vertical="center" wrapText="1"/>
    </xf>
    <xf numFmtId="0" fontId="20" fillId="11" borderId="21" xfId="0" applyFont="1" applyFill="1" applyBorder="1" applyAlignment="1">
      <alignment horizontal="center" vertical="center" wrapText="1"/>
    </xf>
    <xf numFmtId="0" fontId="12" fillId="10" borderId="36" xfId="0" applyFont="1" applyFill="1" applyBorder="1" applyAlignment="1" applyProtection="1">
      <alignment horizontal="center" vertical="center" wrapText="1"/>
      <protection locked="0"/>
    </xf>
    <xf numFmtId="0" fontId="113" fillId="0" borderId="112" xfId="0" applyFont="1" applyBorder="1" applyAlignment="1" applyProtection="1">
      <alignment horizontal="left" vertical="center" wrapText="1"/>
      <protection locked="0"/>
    </xf>
    <xf numFmtId="0" fontId="101" fillId="0" borderId="112" xfId="0" applyFont="1" applyBorder="1" applyAlignment="1" applyProtection="1">
      <alignment horizontal="center" vertical="center" wrapText="1"/>
      <protection locked="0"/>
    </xf>
    <xf numFmtId="0" fontId="101" fillId="0" borderId="133" xfId="0" applyFont="1" applyBorder="1" applyAlignment="1" applyProtection="1">
      <alignment horizontal="center" vertical="center" wrapText="1"/>
      <protection locked="0"/>
    </xf>
    <xf numFmtId="0" fontId="58" fillId="0" borderId="134" xfId="0" applyFont="1" applyBorder="1" applyAlignment="1" applyProtection="1">
      <alignment horizontal="center" vertical="center" wrapText="1"/>
      <protection locked="0"/>
    </xf>
    <xf numFmtId="0" fontId="58" fillId="0" borderId="135"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110" fillId="0" borderId="112" xfId="0" applyFont="1" applyBorder="1" applyAlignment="1">
      <alignment horizontal="justify" vertical="top" wrapText="1"/>
    </xf>
    <xf numFmtId="0" fontId="101" fillId="0" borderId="112" xfId="0" applyFont="1" applyBorder="1" applyAlignment="1">
      <alignment horizontal="center" vertical="top"/>
    </xf>
    <xf numFmtId="0" fontId="101" fillId="0" borderId="112" xfId="0" applyFont="1" applyBorder="1" applyAlignment="1">
      <alignment horizontal="center" vertical="top" textRotation="90"/>
    </xf>
    <xf numFmtId="9" fontId="101" fillId="0" borderId="112" xfId="0" applyNumberFormat="1" applyFont="1" applyBorder="1" applyAlignment="1">
      <alignment horizontal="center" vertical="top"/>
    </xf>
    <xf numFmtId="164" fontId="101" fillId="0" borderId="112" xfId="2" applyNumberFormat="1" applyFont="1" applyBorder="1" applyAlignment="1" applyProtection="1">
      <alignment horizontal="center" vertical="top"/>
    </xf>
    <xf numFmtId="0" fontId="11" fillId="0" borderId="112" xfId="0" applyFont="1" applyBorder="1" applyAlignment="1">
      <alignment horizontal="center" vertical="top" textRotation="90" wrapText="1"/>
    </xf>
    <xf numFmtId="9" fontId="101" fillId="0" borderId="111" xfId="0" applyNumberFormat="1" applyFont="1" applyBorder="1" applyAlignment="1">
      <alignment horizontal="center" vertical="top"/>
    </xf>
    <xf numFmtId="0" fontId="11" fillId="0" borderId="112" xfId="0" applyFont="1" applyBorder="1" applyAlignment="1">
      <alignment horizontal="center" vertical="top" textRotation="90"/>
    </xf>
    <xf numFmtId="0" fontId="101" fillId="0" borderId="111" xfId="0" applyFont="1" applyBorder="1" applyAlignment="1">
      <alignment horizontal="center" vertical="top" textRotation="90"/>
    </xf>
    <xf numFmtId="0" fontId="101" fillId="0" borderId="112" xfId="0" applyFont="1" applyBorder="1" applyAlignment="1">
      <alignment horizontal="justify" vertical="top"/>
    </xf>
    <xf numFmtId="0" fontId="101" fillId="0" borderId="112" xfId="0" applyFont="1" applyBorder="1" applyAlignment="1">
      <alignment horizontal="center" vertical="top" wrapText="1"/>
    </xf>
    <xf numFmtId="14" fontId="101" fillId="0" borderId="112" xfId="0" applyNumberFormat="1" applyFont="1" applyBorder="1" applyAlignment="1">
      <alignment horizontal="center" vertical="top"/>
    </xf>
    <xf numFmtId="0" fontId="121" fillId="0" borderId="112" xfId="0" applyFont="1" applyBorder="1" applyAlignment="1">
      <alignment horizontal="justify" vertical="center" wrapText="1"/>
    </xf>
    <xf numFmtId="0" fontId="113" fillId="0" borderId="112" xfId="0" applyFont="1" applyBorder="1" applyAlignment="1">
      <alignment horizontal="left" vertical="center" wrapText="1"/>
    </xf>
    <xf numFmtId="0" fontId="101" fillId="0" borderId="112" xfId="0" applyFont="1" applyBorder="1" applyAlignment="1">
      <alignment horizontal="left" vertical="center"/>
    </xf>
    <xf numFmtId="0" fontId="113" fillId="0" borderId="112" xfId="0" applyFont="1" applyBorder="1" applyAlignment="1">
      <alignment horizontal="justify" vertical="top" wrapText="1"/>
    </xf>
    <xf numFmtId="0" fontId="110" fillId="0" borderId="112" xfId="0" applyFont="1" applyBorder="1" applyAlignment="1">
      <alignment horizontal="center" vertical="top" wrapText="1"/>
    </xf>
    <xf numFmtId="0" fontId="101" fillId="0" borderId="112" xfId="0" applyFont="1" applyBorder="1" applyAlignment="1">
      <alignment horizontal="justify" vertical="center" wrapText="1"/>
    </xf>
    <xf numFmtId="164" fontId="101" fillId="0" borderId="112" xfId="2" applyNumberFormat="1" applyFont="1" applyFill="1" applyBorder="1" applyAlignment="1" applyProtection="1">
      <alignment horizontal="center" vertical="top"/>
    </xf>
    <xf numFmtId="0" fontId="12" fillId="0" borderId="112" xfId="0" applyFont="1" applyBorder="1" applyAlignment="1">
      <alignment horizontal="justify" vertical="top"/>
    </xf>
    <xf numFmtId="0" fontId="12" fillId="0" borderId="112" xfId="0" applyFont="1" applyBorder="1" applyAlignment="1">
      <alignment horizontal="justify" vertical="top" wrapText="1"/>
    </xf>
    <xf numFmtId="0" fontId="18" fillId="0" borderId="5" xfId="0" applyFont="1" applyBorder="1" applyAlignment="1">
      <alignment horizontal="center" vertical="center"/>
    </xf>
    <xf numFmtId="0" fontId="41" fillId="10" borderId="5"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5" xfId="0" applyFont="1" applyBorder="1" applyAlignment="1">
      <alignment horizontal="center" vertical="center" wrapText="1"/>
    </xf>
    <xf numFmtId="0" fontId="114" fillId="0" borderId="47" xfId="0" applyFont="1" applyBorder="1" applyAlignment="1">
      <alignment horizontal="justify"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18" fillId="0" borderId="11" xfId="0" applyFont="1" applyBorder="1" applyAlignment="1">
      <alignment horizontal="justify" vertical="center" wrapText="1"/>
    </xf>
    <xf numFmtId="0" fontId="114" fillId="0" borderId="5" xfId="0" applyFont="1" applyBorder="1" applyAlignment="1">
      <alignment horizontal="center" vertical="center" wrapText="1"/>
    </xf>
    <xf numFmtId="14" fontId="5" fillId="0" borderId="5" xfId="0" applyNumberFormat="1" applyFont="1" applyBorder="1" applyAlignment="1">
      <alignment horizontal="center" vertical="center" wrapText="1"/>
    </xf>
    <xf numFmtId="14" fontId="5" fillId="0" borderId="5" xfId="0" applyNumberFormat="1" applyFont="1" applyBorder="1" applyAlignment="1">
      <alignment horizontal="justify" vertical="center" wrapText="1"/>
    </xf>
    <xf numFmtId="14" fontId="18" fillId="0" borderId="5" xfId="0" applyNumberFormat="1" applyFont="1" applyBorder="1" applyAlignment="1">
      <alignment horizontal="center" vertical="center" wrapText="1"/>
    </xf>
    <xf numFmtId="0" fontId="5" fillId="0" borderId="5" xfId="0" applyFont="1" applyBorder="1" applyAlignment="1">
      <alignment horizontal="justify" vertical="center" wrapText="1"/>
    </xf>
    <xf numFmtId="9" fontId="5" fillId="0" borderId="18" xfId="2" applyFont="1" applyBorder="1" applyAlignment="1" applyProtection="1">
      <alignment horizontal="justify" vertical="center" wrapText="1"/>
    </xf>
    <xf numFmtId="0" fontId="114" fillId="0" borderId="59" xfId="0" applyFont="1" applyBorder="1" applyAlignment="1">
      <alignment horizontal="justify" vertical="center" wrapText="1"/>
    </xf>
    <xf numFmtId="0" fontId="18" fillId="0" borderId="19"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9" fontId="5" fillId="0" borderId="5" xfId="2" applyFont="1" applyBorder="1" applyAlignment="1" applyProtection="1">
      <alignment horizontal="justify" vertical="center" wrapText="1"/>
    </xf>
    <xf numFmtId="0" fontId="58" fillId="0" borderId="111" xfId="0" applyFont="1" applyBorder="1" applyAlignment="1">
      <alignment horizontal="center" vertical="top" wrapText="1"/>
    </xf>
    <xf numFmtId="0" fontId="47" fillId="0" borderId="112" xfId="0" applyFont="1" applyBorder="1" applyAlignment="1">
      <alignment horizontal="justify" vertical="center" wrapText="1"/>
    </xf>
    <xf numFmtId="0" fontId="58" fillId="0" borderId="112" xfId="0" applyFont="1" applyBorder="1" applyAlignment="1">
      <alignment horizontal="center" vertical="center" textRotation="90"/>
    </xf>
    <xf numFmtId="9" fontId="58" fillId="0" borderId="112" xfId="0" applyNumberFormat="1" applyFont="1" applyBorder="1" applyAlignment="1">
      <alignment horizontal="center" vertical="top"/>
    </xf>
    <xf numFmtId="0" fontId="58" fillId="0" borderId="112" xfId="0" applyFont="1" applyBorder="1" applyAlignment="1">
      <alignment horizontal="center" vertical="top" textRotation="90"/>
    </xf>
    <xf numFmtId="164" fontId="58" fillId="0" borderId="112" xfId="2" applyNumberFormat="1" applyFont="1" applyBorder="1" applyAlignment="1" applyProtection="1">
      <alignment horizontal="center" vertical="top"/>
    </xf>
    <xf numFmtId="0" fontId="61" fillId="0" borderId="112" xfId="0" applyFont="1" applyBorder="1" applyAlignment="1">
      <alignment horizontal="center" vertical="top" textRotation="90" wrapText="1"/>
    </xf>
    <xf numFmtId="9" fontId="58" fillId="0" borderId="111" xfId="0" applyNumberFormat="1" applyFont="1" applyBorder="1" applyAlignment="1">
      <alignment horizontal="center" vertical="top"/>
    </xf>
    <xf numFmtId="0" fontId="61" fillId="0" borderId="112" xfId="0" applyFont="1" applyBorder="1" applyAlignment="1">
      <alignment horizontal="center" vertical="top" textRotation="90"/>
    </xf>
    <xf numFmtId="0" fontId="58" fillId="0" borderId="111" xfId="0" applyFont="1" applyBorder="1" applyAlignment="1">
      <alignment horizontal="center" vertical="top" textRotation="90"/>
    </xf>
    <xf numFmtId="0" fontId="58" fillId="0" borderId="112" xfId="0" applyFont="1" applyBorder="1" applyAlignment="1">
      <alignment horizontal="center" vertical="top" wrapText="1"/>
    </xf>
    <xf numFmtId="14" fontId="58" fillId="0" borderId="112" xfId="0" applyNumberFormat="1" applyFont="1" applyBorder="1" applyAlignment="1">
      <alignment horizontal="center" vertical="top"/>
    </xf>
    <xf numFmtId="0" fontId="58" fillId="0" borderId="108" xfId="0" applyFont="1" applyBorder="1" applyAlignment="1">
      <alignment horizontal="center" vertical="top"/>
    </xf>
    <xf numFmtId="0" fontId="63" fillId="0" borderId="112" xfId="0" applyFont="1" applyBorder="1" applyAlignment="1">
      <alignment horizontal="justify" vertical="top" wrapText="1"/>
    </xf>
    <xf numFmtId="0" fontId="58" fillId="0" borderId="114" xfId="0" applyFont="1" applyBorder="1" applyAlignment="1">
      <alignment horizontal="center" vertical="top" wrapText="1"/>
    </xf>
    <xf numFmtId="0" fontId="63" fillId="0" borderId="112" xfId="0" applyFont="1" applyBorder="1" applyAlignment="1">
      <alignment horizontal="left" vertical="center" wrapText="1"/>
    </xf>
    <xf numFmtId="0" fontId="63" fillId="0" borderId="112" xfId="0" applyFont="1" applyBorder="1" applyAlignment="1">
      <alignment horizontal="justify" vertical="center" wrapText="1"/>
    </xf>
    <xf numFmtId="0" fontId="97" fillId="0" borderId="112" xfId="0" applyFont="1" applyBorder="1" applyAlignment="1">
      <alignment horizontal="justify" vertical="center" wrapText="1"/>
    </xf>
    <xf numFmtId="0" fontId="58" fillId="10" borderId="127" xfId="0" applyFont="1" applyFill="1" applyBorder="1" applyAlignment="1">
      <alignment vertical="center" wrapText="1"/>
    </xf>
    <xf numFmtId="0" fontId="58" fillId="10" borderId="127" xfId="0" applyFont="1" applyFill="1" applyBorder="1" applyAlignment="1">
      <alignment wrapText="1"/>
    </xf>
    <xf numFmtId="0" fontId="58" fillId="0" borderId="113" xfId="0" applyFont="1" applyBorder="1" applyAlignment="1">
      <alignment horizontal="center" vertical="top" wrapText="1"/>
    </xf>
    <xf numFmtId="0" fontId="58" fillId="10" borderId="127" xfId="0" applyFont="1" applyFill="1" applyBorder="1"/>
    <xf numFmtId="0" fontId="58" fillId="0" borderId="112" xfId="0" applyFont="1" applyBorder="1" applyAlignment="1">
      <alignment horizontal="justify" vertical="top"/>
    </xf>
    <xf numFmtId="0" fontId="58" fillId="0" borderId="127" xfId="0" applyFont="1" applyBorder="1"/>
    <xf numFmtId="0" fontId="58" fillId="10" borderId="127" xfId="0" applyFont="1" applyFill="1" applyBorder="1" applyProtection="1">
      <protection locked="0"/>
    </xf>
    <xf numFmtId="0" fontId="58" fillId="0" borderId="127" xfId="0" applyFont="1" applyBorder="1" applyProtection="1">
      <protection locked="0"/>
    </xf>
    <xf numFmtId="0" fontId="58" fillId="0" borderId="0" xfId="0" applyFont="1" applyProtection="1">
      <protection locked="0"/>
    </xf>
    <xf numFmtId="0" fontId="58" fillId="10" borderId="127" xfId="0" applyFont="1" applyFill="1" applyBorder="1" applyAlignment="1" applyProtection="1">
      <alignment wrapText="1"/>
      <protection locked="0"/>
    </xf>
    <xf numFmtId="0" fontId="101" fillId="0" borderId="112" xfId="0" applyFont="1" applyBorder="1" applyAlignment="1" applyProtection="1">
      <alignment horizontal="left" vertical="top" wrapText="1"/>
      <protection locked="0"/>
    </xf>
    <xf numFmtId="0" fontId="114" fillId="0" borderId="5"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5" xfId="4" applyFont="1" applyFill="1" applyBorder="1" applyAlignment="1">
      <alignment horizontal="center" vertical="center" wrapText="1"/>
    </xf>
    <xf numFmtId="0" fontId="53" fillId="24" borderId="86" xfId="4" applyFont="1" applyFill="1" applyBorder="1" applyAlignment="1">
      <alignment horizontal="center" vertical="center" wrapText="1"/>
    </xf>
    <xf numFmtId="0" fontId="53" fillId="24" borderId="87" xfId="3" applyFont="1" applyFill="1" applyBorder="1" applyAlignment="1">
      <alignment horizontal="center" vertical="center"/>
    </xf>
    <xf numFmtId="0" fontId="53" fillId="24" borderId="88" xfId="3" applyFont="1" applyFill="1" applyBorder="1" applyAlignment="1">
      <alignment horizontal="center" vertical="center"/>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4"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89" xfId="4" applyFont="1" applyFill="1" applyBorder="1" applyAlignment="1">
      <alignment horizontal="left" vertical="top" wrapText="1" readingOrder="1"/>
    </xf>
    <xf numFmtId="0" fontId="53" fillId="10" borderId="90" xfId="4" applyFont="1" applyFill="1" applyBorder="1" applyAlignment="1">
      <alignment horizontal="left" vertical="top" wrapText="1" readingOrder="1"/>
    </xf>
    <xf numFmtId="0" fontId="47" fillId="10" borderId="91" xfId="3" applyFont="1" applyFill="1" applyBorder="1" applyAlignment="1">
      <alignment horizontal="justify" vertical="center" wrapText="1"/>
    </xf>
    <xf numFmtId="0" fontId="47" fillId="10" borderId="92" xfId="3" applyFont="1" applyFill="1" applyBorder="1" applyAlignment="1">
      <alignment horizontal="justify" vertical="center" wrapText="1"/>
    </xf>
    <xf numFmtId="0" fontId="53" fillId="10" borderId="93"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4" xfId="3" applyFont="1" applyFill="1" applyBorder="1" applyAlignment="1">
      <alignment horizontal="justify" vertical="center" wrapText="1"/>
    </xf>
    <xf numFmtId="0" fontId="47" fillId="10" borderId="95" xfId="3" applyFont="1" applyFill="1" applyBorder="1" applyAlignment="1">
      <alignment horizontal="justify" vertical="center"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8" xfId="0" applyFont="1" applyFill="1" applyBorder="1" applyAlignment="1">
      <alignment horizontal="left" vertical="center" wrapText="1"/>
    </xf>
    <xf numFmtId="0" fontId="55" fillId="10" borderId="99" xfId="0" applyFont="1" applyFill="1" applyBorder="1" applyAlignment="1">
      <alignment horizontal="left" vertical="center" wrapText="1"/>
    </xf>
    <xf numFmtId="0" fontId="56" fillId="10" borderId="100" xfId="0" applyFont="1" applyFill="1" applyBorder="1" applyAlignment="1">
      <alignment horizontal="justify" vertical="center" wrapText="1"/>
    </xf>
    <xf numFmtId="0" fontId="56" fillId="10" borderId="101" xfId="0" applyFont="1" applyFill="1" applyBorder="1" applyAlignment="1">
      <alignment horizontal="justify" vertical="center" wrapText="1"/>
    </xf>
    <xf numFmtId="0" fontId="11" fillId="19" borderId="112"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06" xfId="0" applyFont="1" applyFill="1" applyBorder="1" applyAlignment="1">
      <alignment horizontal="center" vertical="center"/>
    </xf>
    <xf numFmtId="0" fontId="102" fillId="19" borderId="108" xfId="0" applyFont="1" applyFill="1" applyBorder="1" applyAlignment="1">
      <alignment horizontal="left" vertical="center"/>
    </xf>
    <xf numFmtId="0" fontId="102" fillId="19" borderId="110" xfId="0" applyFont="1" applyFill="1" applyBorder="1" applyAlignment="1">
      <alignment horizontal="left" vertical="center"/>
    </xf>
    <xf numFmtId="0" fontId="11" fillId="19" borderId="108" xfId="0" applyFont="1" applyFill="1" applyBorder="1" applyAlignment="1">
      <alignment horizontal="center" vertical="center"/>
    </xf>
    <xf numFmtId="0" fontId="11" fillId="19" borderId="110" xfId="0" applyFont="1" applyFill="1" applyBorder="1" applyAlignment="1">
      <alignment horizontal="center" vertical="center"/>
    </xf>
    <xf numFmtId="0" fontId="11" fillId="19" borderId="107" xfId="0" applyFont="1" applyFill="1" applyBorder="1" applyAlignment="1">
      <alignment horizontal="center" vertical="center"/>
    </xf>
    <xf numFmtId="0" fontId="14" fillId="19" borderId="105"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textRotation="90" wrapText="1"/>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02" fillId="19" borderId="109" xfId="0" applyFont="1" applyFill="1" applyBorder="1" applyAlignment="1">
      <alignment horizontal="left" vertical="center"/>
    </xf>
    <xf numFmtId="0" fontId="103" fillId="10" borderId="128" xfId="0" applyFont="1" applyFill="1" applyBorder="1" applyAlignment="1" applyProtection="1">
      <alignment horizontal="left" vertical="center"/>
      <protection locked="0"/>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02"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2"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1" fillId="19" borderId="115" xfId="0" applyFont="1" applyFill="1" applyBorder="1" applyAlignment="1">
      <alignment horizontal="center" vertical="center" wrapText="1"/>
    </xf>
    <xf numFmtId="0" fontId="11" fillId="19" borderId="115" xfId="0" applyFont="1" applyFill="1" applyBorder="1" applyAlignment="1">
      <alignment horizontal="center" vertical="center"/>
    </xf>
    <xf numFmtId="0" fontId="107" fillId="19" borderId="111" xfId="0" applyFont="1" applyFill="1" applyBorder="1" applyAlignment="1">
      <alignment horizontal="center" vertical="top" textRotation="90"/>
    </xf>
    <xf numFmtId="0" fontId="107" fillId="19" borderId="113" xfId="0" applyFont="1" applyFill="1" applyBorder="1" applyAlignment="1">
      <alignment horizontal="center" vertical="top" textRotation="90"/>
    </xf>
    <xf numFmtId="0" fontId="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wrapText="1"/>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9" fontId="101" fillId="0" borderId="111" xfId="0" applyNumberFormat="1" applyFont="1" applyBorder="1" applyAlignment="1">
      <alignment horizontal="center" vertical="top" wrapText="1"/>
    </xf>
    <xf numFmtId="9" fontId="101" fillId="0" borderId="114" xfId="0" applyNumberFormat="1" applyFont="1" applyBorder="1" applyAlignment="1">
      <alignment horizontal="center" vertical="top" wrapText="1"/>
    </xf>
    <xf numFmtId="9" fontId="101" fillId="0" borderId="113" xfId="0" applyNumberFormat="1" applyFont="1" applyBorder="1" applyAlignment="1">
      <alignment horizontal="center" vertical="top" wrapText="1"/>
    </xf>
    <xf numFmtId="0" fontId="11" fillId="0" borderId="111" xfId="0" applyFont="1" applyBorder="1" applyAlignment="1">
      <alignment horizontal="center" vertical="top"/>
    </xf>
    <xf numFmtId="0" fontId="11" fillId="0" borderId="114" xfId="0" applyFont="1" applyBorder="1" applyAlignment="1">
      <alignment horizontal="center" vertical="top"/>
    </xf>
    <xf numFmtId="0" fontId="11" fillId="0" borderId="113" xfId="0" applyFont="1" applyBorder="1" applyAlignment="1">
      <alignment horizontal="center" vertical="top"/>
    </xf>
    <xf numFmtId="0" fontId="107" fillId="0" borderId="111" xfId="0" applyFont="1" applyBorder="1" applyAlignment="1">
      <alignment horizontal="center" vertical="top"/>
    </xf>
    <xf numFmtId="0" fontId="107" fillId="0" borderId="114" xfId="0" applyFont="1" applyBorder="1" applyAlignment="1">
      <alignment horizontal="center" vertical="top"/>
    </xf>
    <xf numFmtId="0" fontId="107" fillId="0" borderId="113" xfId="0" applyFont="1" applyBorder="1" applyAlignment="1">
      <alignment horizontal="center" vertical="top"/>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04" fillId="0" borderId="111" xfId="0" applyFont="1" applyBorder="1" applyAlignment="1">
      <alignment horizontal="center" vertical="top"/>
    </xf>
    <xf numFmtId="0" fontId="104" fillId="0" borderId="114" xfId="0" applyFont="1" applyBorder="1" applyAlignment="1">
      <alignment horizontal="center" vertical="top"/>
    </xf>
    <xf numFmtId="0" fontId="104" fillId="0" borderId="113" xfId="0" applyFont="1" applyBorder="1" applyAlignment="1">
      <alignment horizontal="center" vertical="top"/>
    </xf>
    <xf numFmtId="0" fontId="105" fillId="0" borderId="111" xfId="0" applyFont="1" applyBorder="1" applyAlignment="1">
      <alignment horizontal="center" vertical="top" wrapText="1"/>
    </xf>
    <xf numFmtId="0" fontId="105" fillId="0" borderId="114" xfId="0" applyFont="1" applyBorder="1" applyAlignment="1">
      <alignment horizontal="center" vertical="top" wrapText="1"/>
    </xf>
    <xf numFmtId="0" fontId="105" fillId="0" borderId="113" xfId="0" applyFont="1" applyBorder="1" applyAlignment="1">
      <alignment horizontal="center" vertical="top" wrapText="1"/>
    </xf>
    <xf numFmtId="9" fontId="104" fillId="0" borderId="111" xfId="0" applyNumberFormat="1" applyFont="1" applyBorder="1" applyAlignment="1">
      <alignment horizontal="center" vertical="top" wrapText="1"/>
    </xf>
    <xf numFmtId="9" fontId="104" fillId="0" borderId="114" xfId="0" applyNumberFormat="1" applyFont="1" applyBorder="1" applyAlignment="1">
      <alignment horizontal="center" vertical="top" wrapText="1"/>
    </xf>
    <xf numFmtId="9" fontId="104" fillId="0" borderId="113" xfId="0" applyNumberFormat="1" applyFont="1" applyBorder="1" applyAlignment="1">
      <alignment horizontal="center" vertical="top" wrapText="1"/>
    </xf>
    <xf numFmtId="0" fontId="104" fillId="0" borderId="111" xfId="0" applyFont="1" applyBorder="1" applyAlignment="1">
      <alignment horizontal="center" vertical="top" wrapText="1"/>
    </xf>
    <xf numFmtId="0" fontId="104" fillId="0" borderId="114" xfId="0" applyFont="1" applyBorder="1" applyAlignment="1">
      <alignment horizontal="center" vertical="top" wrapText="1"/>
    </xf>
    <xf numFmtId="0" fontId="104" fillId="0" borderId="113" xfId="0" applyFont="1" applyBorder="1" applyAlignment="1">
      <alignment horizontal="center" vertical="top" wrapText="1"/>
    </xf>
    <xf numFmtId="0" fontId="110" fillId="0" borderId="111" xfId="0" applyFont="1" applyBorder="1" applyAlignment="1">
      <alignment horizontal="center" vertical="top" wrapText="1"/>
    </xf>
    <xf numFmtId="0" fontId="110" fillId="0" borderId="114" xfId="0" applyFont="1" applyBorder="1" applyAlignment="1">
      <alignment horizontal="center" vertical="top" wrapText="1"/>
    </xf>
    <xf numFmtId="0" fontId="110" fillId="0" borderId="113" xfId="0" applyFont="1" applyBorder="1" applyAlignment="1">
      <alignment horizontal="center" vertical="top" wrapText="1"/>
    </xf>
    <xf numFmtId="0" fontId="111" fillId="0" borderId="111" xfId="0" applyFont="1" applyBorder="1" applyAlignment="1">
      <alignment horizontal="center" vertical="top" wrapText="1"/>
    </xf>
    <xf numFmtId="0" fontId="111" fillId="0" borderId="114" xfId="0" applyFont="1" applyBorder="1" applyAlignment="1">
      <alignment horizontal="center" vertical="top" wrapText="1"/>
    </xf>
    <xf numFmtId="0" fontId="111" fillId="0" borderId="113" xfId="0" applyFont="1" applyBorder="1" applyAlignment="1">
      <alignment horizontal="center" vertical="top" wrapText="1"/>
    </xf>
    <xf numFmtId="0" fontId="104" fillId="0" borderId="111"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3" xfId="0"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06" fillId="0" borderId="111" xfId="0" applyFont="1" applyBorder="1" applyAlignment="1">
      <alignment horizontal="center" vertical="top"/>
    </xf>
    <xf numFmtId="0" fontId="106" fillId="0" borderId="114" xfId="0" applyFont="1" applyBorder="1" applyAlignment="1">
      <alignment horizontal="center" vertical="top"/>
    </xf>
    <xf numFmtId="0" fontId="106" fillId="0" borderId="113" xfId="0" applyFont="1" applyBorder="1" applyAlignment="1">
      <alignment horizontal="center" vertical="top"/>
    </xf>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1" fillId="0" borderId="111"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61" fillId="0" borderId="111"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9" fontId="58" fillId="0" borderId="111"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1"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0" fontId="61" fillId="0" borderId="111"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57" fillId="0" borderId="115" xfId="0" applyFont="1" applyBorder="1" applyAlignment="1">
      <alignment horizontal="center" vertical="center"/>
    </xf>
    <xf numFmtId="0" fontId="57" fillId="0" borderId="0" xfId="0" applyFont="1" applyAlignment="1">
      <alignment horizontal="center" vertical="center"/>
    </xf>
    <xf numFmtId="0" fontId="58" fillId="0" borderId="108" xfId="0" applyFont="1" applyBorder="1" applyAlignment="1">
      <alignment horizontal="left" vertical="center" wrapText="1"/>
    </xf>
    <xf numFmtId="0" fontId="58" fillId="0" borderId="110" xfId="0" applyFont="1" applyBorder="1" applyAlignment="1">
      <alignment horizontal="left" vertical="center" wrapText="1"/>
    </xf>
    <xf numFmtId="0" fontId="58" fillId="0" borderId="109"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1" fillId="0" borderId="38"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6"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1" xfId="0" applyFont="1" applyBorder="1" applyAlignment="1">
      <alignment horizontal="center" vertical="top" wrapText="1"/>
    </xf>
    <xf numFmtId="0" fontId="61" fillId="0" borderId="114" xfId="0" applyFont="1" applyBorder="1" applyAlignment="1">
      <alignment horizontal="center" vertical="top" wrapText="1"/>
    </xf>
    <xf numFmtId="0" fontId="61" fillId="0" borderId="113" xfId="0" applyFont="1" applyBorder="1" applyAlignment="1">
      <alignment horizontal="center" vertical="top" wrapText="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63" fillId="0" borderId="111"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63" fillId="0" borderId="113" xfId="0" applyFont="1" applyBorder="1" applyAlignment="1" applyProtection="1">
      <alignment horizontal="center" vertical="top" wrapText="1"/>
      <protection locked="0"/>
    </xf>
    <xf numFmtId="0" fontId="106" fillId="19" borderId="111"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05" xfId="0" applyFont="1" applyFill="1" applyBorder="1" applyAlignment="1">
      <alignment horizontal="center" vertical="center"/>
    </xf>
    <xf numFmtId="0" fontId="106" fillId="19" borderId="106" xfId="0" applyFont="1" applyFill="1" applyBorder="1" applyAlignment="1">
      <alignment horizontal="center" vertical="center"/>
    </xf>
    <xf numFmtId="0" fontId="100" fillId="19" borderId="108" xfId="0" applyFont="1" applyFill="1" applyBorder="1" applyAlignment="1">
      <alignment horizontal="left" vertical="center"/>
    </xf>
    <xf numFmtId="0" fontId="100" fillId="19" borderId="109" xfId="0" applyFont="1" applyFill="1" applyBorder="1" applyAlignment="1">
      <alignment horizontal="left" vertical="center"/>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108" fillId="0" borderId="102" xfId="0" applyFont="1" applyBorder="1" applyAlignment="1" applyProtection="1">
      <alignment horizontal="left" vertical="center" wrapText="1"/>
      <protection locked="0"/>
    </xf>
    <xf numFmtId="0" fontId="108" fillId="0" borderId="103" xfId="0" applyFont="1" applyBorder="1" applyAlignment="1" applyProtection="1">
      <alignment horizontal="left" vertical="center" wrapText="1"/>
      <protection locked="0"/>
    </xf>
    <xf numFmtId="0" fontId="100" fillId="19" borderId="110" xfId="0" applyFont="1" applyFill="1" applyBorder="1" applyAlignment="1">
      <alignment horizontal="left" vertical="center"/>
    </xf>
    <xf numFmtId="0" fontId="108" fillId="0" borderId="128" xfId="0" applyFont="1" applyBorder="1" applyAlignment="1" applyProtection="1">
      <alignment horizontal="left" vertical="center"/>
      <protection locked="0"/>
    </xf>
    <xf numFmtId="0" fontId="108" fillId="0" borderId="129" xfId="0" applyFont="1" applyBorder="1" applyAlignment="1" applyProtection="1">
      <alignment horizontal="left" vertical="center"/>
      <protection locked="0"/>
    </xf>
    <xf numFmtId="0" fontId="106" fillId="19" borderId="111" xfId="0" applyFont="1" applyFill="1" applyBorder="1" applyAlignment="1">
      <alignment horizontal="center" vertical="center" textRotation="90"/>
    </xf>
    <xf numFmtId="0" fontId="106" fillId="19" borderId="113" xfId="0" applyFont="1" applyFill="1" applyBorder="1" applyAlignment="1">
      <alignment horizontal="center" vertical="center" textRotation="90"/>
    </xf>
    <xf numFmtId="0" fontId="106" fillId="19" borderId="112"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xf>
    <xf numFmtId="0" fontId="106" fillId="19" borderId="111" xfId="0" applyFont="1" applyFill="1" applyBorder="1" applyAlignment="1">
      <alignment horizontal="center" vertical="center" wrapText="1"/>
    </xf>
    <xf numFmtId="0" fontId="106" fillId="19" borderId="108" xfId="0" applyFont="1" applyFill="1" applyBorder="1" applyAlignment="1">
      <alignment horizontal="center" vertical="center"/>
    </xf>
    <xf numFmtId="0" fontId="106" fillId="19" borderId="110"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5" xfId="0" applyFont="1" applyFill="1" applyBorder="1" applyAlignment="1">
      <alignment horizontal="center" vertical="center"/>
    </xf>
    <xf numFmtId="0" fontId="62" fillId="0" borderId="111" xfId="0" applyFont="1" applyBorder="1" applyAlignment="1">
      <alignment horizontal="center" vertical="center"/>
    </xf>
    <xf numFmtId="0" fontId="62" fillId="0" borderId="114" xfId="0" applyFont="1" applyBorder="1" applyAlignment="1">
      <alignment horizontal="center" vertical="center"/>
    </xf>
    <xf numFmtId="0" fontId="62" fillId="0" borderId="113" xfId="0" applyFont="1" applyBorder="1" applyAlignment="1">
      <alignment horizontal="center" vertical="center"/>
    </xf>
    <xf numFmtId="0" fontId="62" fillId="19" borderId="105"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106" fillId="19" borderId="115"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2" fillId="0" borderId="58"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34" xfId="0" applyFont="1" applyBorder="1" applyAlignment="1" applyProtection="1">
      <alignment horizontal="center" vertical="center" textRotation="90" wrapText="1"/>
      <protection hidden="1"/>
    </xf>
    <xf numFmtId="0" fontId="42" fillId="0" borderId="12" xfId="0" applyFont="1" applyBorder="1" applyAlignment="1" applyProtection="1">
      <alignment horizontal="center" vertical="center" textRotation="90" wrapText="1"/>
      <protection hidden="1"/>
    </xf>
    <xf numFmtId="0" fontId="42" fillId="0" borderId="15"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10"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5" xfId="0" applyFont="1" applyFill="1" applyBorder="1" applyAlignment="1">
      <alignment horizontal="center" vertical="center"/>
    </xf>
    <xf numFmtId="0" fontId="58" fillId="10" borderId="0" xfId="0" applyFont="1" applyFill="1" applyAlignment="1">
      <alignment horizontal="left" vertical="center"/>
    </xf>
    <xf numFmtId="0" fontId="61" fillId="19" borderId="111" xfId="0" applyFont="1" applyFill="1" applyBorder="1" applyAlignment="1">
      <alignment horizontal="center" vertical="center" wrapText="1"/>
    </xf>
    <xf numFmtId="0" fontId="61" fillId="19" borderId="113" xfId="0" applyFont="1" applyFill="1" applyBorder="1" applyAlignment="1">
      <alignment horizontal="center" vertical="center" wrapText="1"/>
    </xf>
    <xf numFmtId="0" fontId="61" fillId="19" borderId="115" xfId="0" applyFont="1" applyFill="1" applyBorder="1" applyAlignment="1">
      <alignment horizontal="center" vertical="center" wrapText="1"/>
    </xf>
    <xf numFmtId="0" fontId="61" fillId="19" borderId="115"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11"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2" fillId="19" borderId="111" xfId="0" applyFont="1" applyFill="1" applyBorder="1" applyAlignment="1">
      <alignment horizontal="center" vertical="center" textRotation="90"/>
    </xf>
    <xf numFmtId="0" fontId="62" fillId="19" borderId="113" xfId="0" applyFont="1" applyFill="1" applyBorder="1" applyAlignment="1">
      <alignment horizontal="center" vertical="center" textRotation="90"/>
    </xf>
    <xf numFmtId="0" fontId="61" fillId="19" borderId="112" xfId="0" applyFont="1" applyFill="1" applyBorder="1" applyAlignment="1">
      <alignment horizontal="center" vertical="center"/>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9" fontId="58" fillId="0" borderId="111" xfId="0" applyNumberFormat="1" applyFont="1" applyBorder="1" applyAlignment="1">
      <alignment horizontal="center" vertical="top" wrapText="1"/>
    </xf>
    <xf numFmtId="9" fontId="58" fillId="0" borderId="114" xfId="0" applyNumberFormat="1" applyFont="1" applyBorder="1" applyAlignment="1">
      <alignment horizontal="center" vertical="top" wrapText="1"/>
    </xf>
    <xf numFmtId="9" fontId="58" fillId="0" borderId="113" xfId="0" applyNumberFormat="1" applyFont="1" applyBorder="1" applyAlignment="1">
      <alignment horizontal="center" vertical="top" wrapText="1"/>
    </xf>
    <xf numFmtId="0" fontId="58" fillId="0" borderId="111" xfId="0" applyFont="1" applyBorder="1" applyAlignment="1">
      <alignment horizontal="center" vertical="top" wrapText="1"/>
    </xf>
    <xf numFmtId="0" fontId="58" fillId="0" borderId="114" xfId="0" applyFont="1" applyBorder="1" applyAlignment="1">
      <alignment horizontal="center" vertical="top" wrapText="1"/>
    </xf>
    <xf numFmtId="0" fontId="58" fillId="0" borderId="113" xfId="0" applyFont="1" applyBorder="1" applyAlignment="1">
      <alignment horizontal="center" vertical="top" wrapText="1"/>
    </xf>
    <xf numFmtId="0" fontId="51" fillId="0" borderId="111" xfId="0" applyFont="1" applyBorder="1" applyAlignment="1">
      <alignment horizontal="center" vertical="top" wrapText="1"/>
    </xf>
    <xf numFmtId="0" fontId="51" fillId="0" borderId="114" xfId="0" applyFont="1" applyBorder="1" applyAlignment="1">
      <alignment horizontal="center" vertical="top" wrapText="1"/>
    </xf>
    <xf numFmtId="0" fontId="51" fillId="0" borderId="113" xfId="0" applyFont="1" applyBorder="1" applyAlignment="1">
      <alignment horizontal="center" vertical="top" wrapText="1"/>
    </xf>
    <xf numFmtId="0" fontId="62" fillId="0" borderId="111" xfId="0" applyFont="1" applyBorder="1" applyAlignment="1">
      <alignment horizontal="center" vertical="top"/>
    </xf>
    <xf numFmtId="0" fontId="62" fillId="0" borderId="114" xfId="0" applyFont="1" applyBorder="1" applyAlignment="1">
      <alignment horizontal="center" vertical="top"/>
    </xf>
    <xf numFmtId="0" fontId="62" fillId="0" borderId="113" xfId="0" applyFont="1" applyBorder="1" applyAlignment="1">
      <alignment horizontal="center" vertical="top"/>
    </xf>
    <xf numFmtId="0" fontId="62" fillId="0" borderId="111" xfId="0" applyFont="1" applyBorder="1" applyAlignment="1">
      <alignment horizontal="center" vertical="top" wrapText="1"/>
    </xf>
    <xf numFmtId="0" fontId="62" fillId="0" borderId="114" xfId="0" applyFont="1" applyBorder="1" applyAlignment="1">
      <alignment horizontal="center" vertical="top" wrapText="1"/>
    </xf>
    <xf numFmtId="0" fontId="62" fillId="0" borderId="113" xfId="0" applyFont="1" applyBorder="1" applyAlignment="1">
      <alignment horizontal="center" vertical="top" wrapText="1"/>
    </xf>
    <xf numFmtId="0" fontId="62" fillId="0" borderId="111" xfId="0" applyFont="1" applyBorder="1" applyAlignment="1">
      <alignment horizontal="center" vertical="center" wrapText="1"/>
    </xf>
    <xf numFmtId="0" fontId="62" fillId="0" borderId="114" xfId="0" applyFont="1" applyBorder="1" applyAlignment="1">
      <alignment horizontal="center" vertical="center" wrapText="1"/>
    </xf>
    <xf numFmtId="0" fontId="62" fillId="0" borderId="113" xfId="0" applyFont="1" applyBorder="1" applyAlignment="1">
      <alignment horizontal="center" vertical="center" wrapText="1"/>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37</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066246" cy="1727653"/>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7476570" cy="1815193"/>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48312"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38</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72142" y="0"/>
          <a:ext cx="44519169" cy="1902279"/>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I%20Cuatrimestre%20Publicaci&#243;n\Mapa%20R.%20FiscalMapa%20final"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GMC/Documentos%20compartidos/2025/RIESGOS/3.%20Matrices%20de%20Riesgo%20por%20Proceso/11.%20Gesti&#243;n%20Tecnol&#243;gica/I%20SEMESTRE/GESTION%20TECNOLOGICA_2025%20AJUSTADO-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B11" t="str">
            <v>R1</v>
          </cell>
          <cell r="C11" t="str">
            <v>Posibilidad de que por acción u omisión se viabilicen programas misionales de funcionamiento y proyectos de inversión que no se ajustan a la normatividad, lineamientos y requisitos vigentes.</v>
          </cell>
          <cell r="D11" t="str">
            <v>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1"/>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O11"/>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I11"/>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str">
            <v>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2"/>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T12"/>
          <cell r="U12"/>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I12"/>
          <cell r="BJ12">
            <v>15</v>
          </cell>
          <cell r="BK12">
            <v>5</v>
          </cell>
          <cell r="BL12" t="str">
            <v>Catastrófico</v>
          </cell>
          <cell r="BM12" t="str">
            <v>Zona Extrema</v>
          </cell>
          <cell r="BN12" t="str">
            <v>Coordinador del Grupo de Programación y Gestión Presupuestal.</v>
          </cell>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2)"/>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1" dataDxfId="430">
  <autoFilter ref="B209:C219" xr:uid="{00000000-0009-0000-0100-00000B000000}"/>
  <tableColumns count="2">
    <tableColumn id="1" xr3:uid="{00000000-0010-0000-0B00-000001000000}" name="Criterios" dataDxfId="429"/>
    <tableColumn id="2" xr3:uid="{00000000-0010-0000-0B00-000002000000}" name="Subcriterios" dataDxfId="42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6" dataDxfId="405">
  <autoFilter ref="I1:I31" xr:uid="{00000000-0009-0000-0100-000009000000}"/>
  <tableColumns count="1">
    <tableColumn id="1" xr3:uid="{00000000-0010-0000-0900-000001000000}" name="N° CAUSA"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3" dataDxfId="401" headerRowBorderDxfId="402" tableBorderDxfId="400" totalsRowBorderDxfId="399">
  <autoFilter ref="AB21:AD35" xr:uid="{00000000-0009-0000-0100-00000A000000}"/>
  <tableColumns count="3">
    <tableColumn id="1" xr3:uid="{00000000-0010-0000-0A00-000001000000}" name="PROCESOS" dataDxfId="398"/>
    <tableColumn id="2" xr3:uid="{00000000-0010-0000-0A00-000002000000}" name="OBJETIVO" dataDxfId="397"/>
    <tableColumn id="3" xr3:uid="{00000000-0010-0000-0A00-000003000000}" name="ALCANCE" dataDxfId="3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7" dataDxfId="426">
  <autoFilter ref="B209:C219" xr:uid="{00000000-0009-0000-0100-00000B000000}"/>
  <tableColumns count="2">
    <tableColumn id="1" xr3:uid="{7345FF4F-2E87-4C1D-957E-29BB24C881B3}" name="Criterios" dataDxfId="425"/>
    <tableColumn id="2" xr3:uid="{13D68214-21C3-4A85-8445-FFCFD4EB21AA}" name="Subcriterios" dataDxfId="4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2" dataDxfId="421">
  <autoFilter ref="E1:E201" xr:uid="{00000000-0009-0000-0100-000004000000}"/>
  <tableColumns count="1">
    <tableColumn id="1" xr3:uid="{00000000-0010-0000-0100-000001000000}" name="N° RIESGO" dataDxfId="4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9" dataDxfId="418">
  <autoFilter ref="K1:K16" xr:uid="{00000000-0009-0000-0100-000005000000}"/>
  <sortState xmlns:xlrd2="http://schemas.microsoft.com/office/spreadsheetml/2017/richdata2" ref="K2:K16">
    <sortCondition ref="K14"/>
  </sortState>
  <tableColumns count="1">
    <tableColumn id="1" xr3:uid="{00000000-0010-0000-0200-000001000000}" name="PROCESOS" dataDxfId="4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6" dataDxfId="415">
  <autoFilter ref="O1:O6" xr:uid="{00000000-0009-0000-0100-00000C000000}"/>
  <sortState xmlns:xlrd2="http://schemas.microsoft.com/office/spreadsheetml/2017/richdata2" ref="O2:O6">
    <sortCondition ref="O1"/>
  </sortState>
  <tableColumns count="1">
    <tableColumn id="1" xr3:uid="{00000000-0010-0000-0300-000001000000}" name="IMPACTO" dataDxfId="4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3" dataDxfId="412">
  <autoFilter ref="G1:G31" xr:uid="{00000000-0009-0000-0100-000002000000}"/>
  <tableColumns count="1">
    <tableColumn id="1" xr3:uid="{00000000-0010-0000-0500-000001000000}" name="N° CONTROL" dataDxfId="4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0" dataDxfId="409">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61" t="s">
        <v>3</v>
      </c>
      <c r="D2" s="7"/>
    </row>
    <row r="3" spans="1:4" ht="38.25" x14ac:dyDescent="0.25">
      <c r="A3" s="561"/>
      <c r="B3" s="4" t="s">
        <v>4</v>
      </c>
      <c r="C3" s="4" t="s">
        <v>5</v>
      </c>
      <c r="D3" s="7"/>
    </row>
    <row r="4" spans="1:4" ht="51" x14ac:dyDescent="0.25">
      <c r="A4" s="561"/>
      <c r="B4" s="4" t="s">
        <v>6</v>
      </c>
      <c r="C4" s="4" t="s">
        <v>7</v>
      </c>
    </row>
    <row r="5" spans="1:4" ht="38.25" x14ac:dyDescent="0.25">
      <c r="A5" s="561"/>
      <c r="B5" s="4" t="s">
        <v>8</v>
      </c>
      <c r="C5" s="4" t="s">
        <v>9</v>
      </c>
    </row>
    <row r="6" spans="1:4" ht="51" x14ac:dyDescent="0.25">
      <c r="A6" s="561"/>
      <c r="B6" s="4" t="s">
        <v>10</v>
      </c>
      <c r="C6" s="4" t="s">
        <v>11</v>
      </c>
    </row>
    <row r="7" spans="1:4" ht="51" x14ac:dyDescent="0.25">
      <c r="A7" s="561"/>
      <c r="B7" s="4" t="s">
        <v>12</v>
      </c>
      <c r="C7" s="4" t="s">
        <v>13</v>
      </c>
    </row>
    <row r="8" spans="1:4" ht="38.25" x14ac:dyDescent="0.25">
      <c r="A8" s="561"/>
      <c r="B8" s="4" t="s">
        <v>14</v>
      </c>
      <c r="C8" s="4" t="s">
        <v>15</v>
      </c>
    </row>
    <row r="9" spans="1:4" ht="63.75" x14ac:dyDescent="0.25">
      <c r="A9" s="561" t="s">
        <v>16</v>
      </c>
      <c r="B9" s="4" t="s">
        <v>17</v>
      </c>
      <c r="C9" s="4" t="s">
        <v>18</v>
      </c>
    </row>
    <row r="10" spans="1:4" ht="51" x14ac:dyDescent="0.25">
      <c r="A10" s="561"/>
      <c r="B10" s="4" t="s">
        <v>19</v>
      </c>
      <c r="C10" s="4" t="s">
        <v>20</v>
      </c>
    </row>
    <row r="11" spans="1:4" ht="51" x14ac:dyDescent="0.25">
      <c r="A11" s="561"/>
      <c r="B11" s="4" t="s">
        <v>21</v>
      </c>
      <c r="C11" s="4" t="s">
        <v>22</v>
      </c>
    </row>
    <row r="12" spans="1:4" ht="76.5" x14ac:dyDescent="0.25">
      <c r="A12" s="561"/>
      <c r="B12" s="4" t="s">
        <v>23</v>
      </c>
      <c r="C12" s="4" t="s">
        <v>24</v>
      </c>
    </row>
    <row r="13" spans="1:4" ht="51" x14ac:dyDescent="0.25">
      <c r="A13" s="561"/>
      <c r="B13" s="4" t="s">
        <v>25</v>
      </c>
      <c r="C13" s="4" t="s">
        <v>26</v>
      </c>
    </row>
    <row r="14" spans="1:4" ht="63.75" x14ac:dyDescent="0.25">
      <c r="A14" s="561"/>
      <c r="B14" s="4" t="s">
        <v>27</v>
      </c>
      <c r="C14" s="4" t="s">
        <v>28</v>
      </c>
    </row>
    <row r="15" spans="1:4" ht="38.25" x14ac:dyDescent="0.25">
      <c r="A15" s="562" t="s">
        <v>29</v>
      </c>
      <c r="B15" s="4" t="s">
        <v>30</v>
      </c>
      <c r="C15" s="4" t="s">
        <v>31</v>
      </c>
    </row>
    <row r="16" spans="1:4" ht="63.75" x14ac:dyDescent="0.25">
      <c r="A16" s="563"/>
      <c r="B16" s="4" t="s">
        <v>32</v>
      </c>
      <c r="C16" s="4" t="s">
        <v>33</v>
      </c>
    </row>
    <row r="17" spans="1:3" ht="63.75" x14ac:dyDescent="0.25">
      <c r="A17" s="563"/>
      <c r="B17" s="4" t="s">
        <v>34</v>
      </c>
      <c r="C17" s="4" t="s">
        <v>35</v>
      </c>
    </row>
    <row r="18" spans="1:3" ht="38.25" x14ac:dyDescent="0.25">
      <c r="A18" s="563"/>
      <c r="B18" s="4" t="s">
        <v>36</v>
      </c>
      <c r="C18" s="4" t="s">
        <v>37</v>
      </c>
    </row>
    <row r="19" spans="1:3" ht="51" x14ac:dyDescent="0.25">
      <c r="A19" s="563"/>
      <c r="B19" s="4" t="s">
        <v>38</v>
      </c>
      <c r="C19" s="4" t="s">
        <v>39</v>
      </c>
    </row>
    <row r="20" spans="1:3" ht="63.75" x14ac:dyDescent="0.25">
      <c r="A20" s="563"/>
      <c r="B20" s="4" t="s">
        <v>40</v>
      </c>
      <c r="C20" s="4" t="s">
        <v>41</v>
      </c>
    </row>
    <row r="21" spans="1:3" ht="127.5" x14ac:dyDescent="0.25">
      <c r="A21" s="56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0" sqref="B9:F15"/>
    </sheetView>
  </sheetViews>
  <sheetFormatPr baseColWidth="10" defaultColWidth="14.28515625" defaultRowHeight="12.75" x14ac:dyDescent="0.2"/>
  <cols>
    <col min="1" max="2" width="14.28515625" style="317"/>
    <col min="3" max="3" width="17" style="317" customWidth="1"/>
    <col min="4" max="4" width="14.28515625" style="317"/>
    <col min="5" max="5" width="46" style="317" customWidth="1"/>
    <col min="6" max="16384" width="14.28515625" style="317"/>
  </cols>
  <sheetData>
    <row r="1" spans="2:6" ht="24" customHeight="1" thickBot="1" x14ac:dyDescent="0.25">
      <c r="B1" s="874" t="s">
        <v>713</v>
      </c>
      <c r="C1" s="875"/>
      <c r="D1" s="875"/>
      <c r="E1" s="875"/>
      <c r="F1" s="876"/>
    </row>
    <row r="2" spans="2:6" ht="16.5" thickBot="1" x14ac:dyDescent="0.3">
      <c r="B2" s="318"/>
      <c r="C2" s="318"/>
      <c r="D2" s="318"/>
      <c r="E2" s="318"/>
      <c r="F2" s="318"/>
    </row>
    <row r="3" spans="2:6" ht="16.5" thickBot="1" x14ac:dyDescent="0.25">
      <c r="B3" s="877" t="s">
        <v>714</v>
      </c>
      <c r="C3" s="878"/>
      <c r="D3" s="878"/>
      <c r="E3" s="319" t="s">
        <v>715</v>
      </c>
      <c r="F3" s="320" t="s">
        <v>716</v>
      </c>
    </row>
    <row r="4" spans="2:6" ht="31.5" x14ac:dyDescent="0.2">
      <c r="B4" s="879" t="s">
        <v>717</v>
      </c>
      <c r="C4" s="881" t="s">
        <v>154</v>
      </c>
      <c r="D4" s="321" t="s">
        <v>166</v>
      </c>
      <c r="E4" s="322" t="s">
        <v>718</v>
      </c>
      <c r="F4" s="323">
        <v>0.25</v>
      </c>
    </row>
    <row r="5" spans="2:6" ht="47.25" x14ac:dyDescent="0.2">
      <c r="B5" s="880"/>
      <c r="C5" s="882"/>
      <c r="D5" s="324" t="s">
        <v>719</v>
      </c>
      <c r="E5" s="325" t="s">
        <v>720</v>
      </c>
      <c r="F5" s="326">
        <v>0.15</v>
      </c>
    </row>
    <row r="6" spans="2:6" ht="47.25" x14ac:dyDescent="0.2">
      <c r="B6" s="880"/>
      <c r="C6" s="882"/>
      <c r="D6" s="324" t="s">
        <v>721</v>
      </c>
      <c r="E6" s="325" t="s">
        <v>722</v>
      </c>
      <c r="F6" s="326">
        <v>0.1</v>
      </c>
    </row>
    <row r="7" spans="2:6" ht="63" x14ac:dyDescent="0.2">
      <c r="B7" s="880"/>
      <c r="C7" s="882" t="s">
        <v>155</v>
      </c>
      <c r="D7" s="324" t="s">
        <v>723</v>
      </c>
      <c r="E7" s="325" t="s">
        <v>724</v>
      </c>
      <c r="F7" s="326">
        <v>0.25</v>
      </c>
    </row>
    <row r="8" spans="2:6" ht="31.5" x14ac:dyDescent="0.2">
      <c r="B8" s="880"/>
      <c r="C8" s="882"/>
      <c r="D8" s="324" t="s">
        <v>167</v>
      </c>
      <c r="E8" s="325" t="s">
        <v>725</v>
      </c>
      <c r="F8" s="326">
        <v>0.15</v>
      </c>
    </row>
    <row r="9" spans="2:6" ht="47.25" x14ac:dyDescent="0.2">
      <c r="B9" s="880" t="s">
        <v>726</v>
      </c>
      <c r="C9" s="882" t="s">
        <v>157</v>
      </c>
      <c r="D9" s="324" t="s">
        <v>174</v>
      </c>
      <c r="E9" s="325" t="s">
        <v>727</v>
      </c>
      <c r="F9" s="327" t="s">
        <v>728</v>
      </c>
    </row>
    <row r="10" spans="2:6" ht="63" x14ac:dyDescent="0.2">
      <c r="B10" s="880"/>
      <c r="C10" s="882"/>
      <c r="D10" s="324" t="s">
        <v>168</v>
      </c>
      <c r="E10" s="325" t="s">
        <v>729</v>
      </c>
      <c r="F10" s="327" t="s">
        <v>728</v>
      </c>
    </row>
    <row r="11" spans="2:6" ht="47.25" x14ac:dyDescent="0.2">
      <c r="B11" s="880"/>
      <c r="C11" s="882" t="s">
        <v>158</v>
      </c>
      <c r="D11" s="324" t="s">
        <v>169</v>
      </c>
      <c r="E11" s="325" t="s">
        <v>730</v>
      </c>
      <c r="F11" s="327" t="s">
        <v>728</v>
      </c>
    </row>
    <row r="12" spans="2:6" ht="47.25" x14ac:dyDescent="0.2">
      <c r="B12" s="880"/>
      <c r="C12" s="882"/>
      <c r="D12" s="324" t="s">
        <v>731</v>
      </c>
      <c r="E12" s="325" t="s">
        <v>732</v>
      </c>
      <c r="F12" s="327" t="s">
        <v>728</v>
      </c>
    </row>
    <row r="13" spans="2:6" ht="31.5" x14ac:dyDescent="0.2">
      <c r="B13" s="880"/>
      <c r="C13" s="882" t="s">
        <v>159</v>
      </c>
      <c r="D13" s="324" t="s">
        <v>170</v>
      </c>
      <c r="E13" s="325" t="s">
        <v>733</v>
      </c>
      <c r="F13" s="327" t="s">
        <v>728</v>
      </c>
    </row>
    <row r="14" spans="2:6" ht="32.25" thickBot="1" x14ac:dyDescent="0.25">
      <c r="B14" s="883"/>
      <c r="C14" s="884"/>
      <c r="D14" s="328" t="s">
        <v>734</v>
      </c>
      <c r="E14" s="329" t="s">
        <v>735</v>
      </c>
      <c r="F14" s="330" t="s">
        <v>728</v>
      </c>
    </row>
    <row r="15" spans="2:6" ht="49.7" customHeight="1" x14ac:dyDescent="0.2">
      <c r="B15" s="873" t="s">
        <v>736</v>
      </c>
      <c r="C15" s="873"/>
      <c r="D15" s="873"/>
      <c r="E15" s="873"/>
      <c r="F15" s="873"/>
    </row>
    <row r="16" spans="2:6" ht="27" customHeight="1" x14ac:dyDescent="0.25">
      <c r="B16" s="331"/>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737</v>
      </c>
      <c r="E2" t="s">
        <v>738</v>
      </c>
    </row>
    <row r="3" spans="2:5" x14ac:dyDescent="0.25">
      <c r="B3" t="s">
        <v>739</v>
      </c>
      <c r="E3" t="s">
        <v>740</v>
      </c>
    </row>
    <row r="4" spans="2:5" x14ac:dyDescent="0.25">
      <c r="B4" t="s">
        <v>741</v>
      </c>
      <c r="E4" t="s">
        <v>160</v>
      </c>
    </row>
    <row r="5" spans="2:5" x14ac:dyDescent="0.25">
      <c r="B5" t="s">
        <v>178</v>
      </c>
    </row>
    <row r="8" spans="2:5" x14ac:dyDescent="0.25">
      <c r="B8" t="s">
        <v>742</v>
      </c>
    </row>
    <row r="9" spans="2:5" x14ac:dyDescent="0.25">
      <c r="B9" t="s">
        <v>743</v>
      </c>
    </row>
    <row r="10" spans="2:5" x14ac:dyDescent="0.25">
      <c r="B10" t="s">
        <v>182</v>
      </c>
    </row>
    <row r="13" spans="2:5" x14ac:dyDescent="0.25">
      <c r="B13" t="s">
        <v>744</v>
      </c>
    </row>
    <row r="14" spans="2:5" x14ac:dyDescent="0.25">
      <c r="B14" t="s">
        <v>163</v>
      </c>
    </row>
    <row r="15" spans="2:5" x14ac:dyDescent="0.25">
      <c r="B15" t="s">
        <v>745</v>
      </c>
    </row>
    <row r="16" spans="2:5" x14ac:dyDescent="0.25">
      <c r="B16" t="s">
        <v>746</v>
      </c>
    </row>
    <row r="17" spans="2:2" x14ac:dyDescent="0.25">
      <c r="B17" t="s">
        <v>747</v>
      </c>
    </row>
    <row r="18" spans="2:2" x14ac:dyDescent="0.25">
      <c r="B18" t="s">
        <v>748</v>
      </c>
    </row>
    <row r="19" spans="2:2" x14ac:dyDescent="0.25">
      <c r="B19" t="s">
        <v>749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33" customWidth="1"/>
    <col min="2" max="16384" width="11.42578125" style="333"/>
  </cols>
  <sheetData>
    <row r="3" spans="1:1" x14ac:dyDescent="0.2">
      <c r="A3" s="332" t="s">
        <v>166</v>
      </c>
    </row>
    <row r="4" spans="1:1" x14ac:dyDescent="0.2">
      <c r="A4" s="332" t="s">
        <v>719</v>
      </c>
    </row>
    <row r="5" spans="1:1" x14ac:dyDescent="0.2">
      <c r="A5" s="332" t="s">
        <v>721</v>
      </c>
    </row>
    <row r="6" spans="1:1" x14ac:dyDescent="0.2">
      <c r="A6" s="332" t="s">
        <v>723</v>
      </c>
    </row>
    <row r="7" spans="1:1" x14ac:dyDescent="0.2">
      <c r="A7" s="332" t="s">
        <v>167</v>
      </c>
    </row>
    <row r="8" spans="1:1" x14ac:dyDescent="0.2">
      <c r="A8" s="332" t="s">
        <v>174</v>
      </c>
    </row>
    <row r="9" spans="1:1" x14ac:dyDescent="0.2">
      <c r="A9" s="332" t="s">
        <v>168</v>
      </c>
    </row>
    <row r="10" spans="1:1" x14ac:dyDescent="0.2">
      <c r="A10" s="332" t="s">
        <v>169</v>
      </c>
    </row>
    <row r="11" spans="1:1" x14ac:dyDescent="0.2">
      <c r="A11" s="332" t="s">
        <v>731</v>
      </c>
    </row>
    <row r="12" spans="1:1" x14ac:dyDescent="0.2">
      <c r="A12" s="332" t="s">
        <v>750</v>
      </c>
    </row>
    <row r="13" spans="1:1" x14ac:dyDescent="0.2">
      <c r="A13" s="332" t="s">
        <v>751</v>
      </c>
    </row>
    <row r="14" spans="1:1" x14ac:dyDescent="0.2">
      <c r="A14" s="332" t="s">
        <v>752</v>
      </c>
    </row>
    <row r="15" spans="1:1" x14ac:dyDescent="0.2">
      <c r="A15" s="332" t="s">
        <v>753</v>
      </c>
    </row>
    <row r="16" spans="1:1" x14ac:dyDescent="0.2">
      <c r="A16" s="332"/>
    </row>
    <row r="17" spans="1:1" x14ac:dyDescent="0.2">
      <c r="A17" s="332" t="s">
        <v>754</v>
      </c>
    </row>
    <row r="18" spans="1:1" x14ac:dyDescent="0.2">
      <c r="A18" s="332" t="s">
        <v>737</v>
      </c>
    </row>
    <row r="19" spans="1:1" x14ac:dyDescent="0.2">
      <c r="A19" s="332" t="s">
        <v>739</v>
      </c>
    </row>
    <row r="21" spans="1:1" x14ac:dyDescent="0.2">
      <c r="A21" s="332" t="s">
        <v>743</v>
      </c>
    </row>
    <row r="22" spans="1:1" x14ac:dyDescent="0.2">
      <c r="A22" s="332" t="s">
        <v>182</v>
      </c>
    </row>
    <row r="24" spans="1:1" x14ac:dyDescent="0.2">
      <c r="A24" s="332" t="s">
        <v>755</v>
      </c>
    </row>
    <row r="25" spans="1:1" x14ac:dyDescent="0.2">
      <c r="A25" s="332" t="s">
        <v>756</v>
      </c>
    </row>
    <row r="26" spans="1:1" x14ac:dyDescent="0.2">
      <c r="A26" s="332" t="s">
        <v>757</v>
      </c>
    </row>
    <row r="29" spans="1:1" x14ac:dyDescent="0.2">
      <c r="A29" s="332" t="s">
        <v>758</v>
      </c>
    </row>
    <row r="30" spans="1:1" x14ac:dyDescent="0.2">
      <c r="A30" s="332" t="s">
        <v>759</v>
      </c>
    </row>
    <row r="31" spans="1:1" x14ac:dyDescent="0.2">
      <c r="A31" s="332" t="s">
        <v>760</v>
      </c>
    </row>
    <row r="32" spans="1:1" x14ac:dyDescent="0.2">
      <c r="A32" s="332" t="s">
        <v>761</v>
      </c>
    </row>
    <row r="33" spans="1:1" x14ac:dyDescent="0.2">
      <c r="A33" s="332" t="s">
        <v>762</v>
      </c>
    </row>
    <row r="34" spans="1:1" x14ac:dyDescent="0.2">
      <c r="A34" s="332" t="s">
        <v>763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activeCell="A20" sqref="A20"/>
    </sheetView>
  </sheetViews>
  <sheetFormatPr baseColWidth="10" defaultColWidth="11.42578125" defaultRowHeight="15" x14ac:dyDescent="0.25"/>
  <sheetData>
    <row r="1" spans="1:10" x14ac:dyDescent="0.25">
      <c r="A1" s="342" t="s">
        <v>764</v>
      </c>
      <c r="I1" t="s">
        <v>765</v>
      </c>
      <c r="J1" t="s">
        <v>689</v>
      </c>
    </row>
    <row r="2" spans="1:10" x14ac:dyDescent="0.25">
      <c r="A2" s="343" t="s">
        <v>766</v>
      </c>
      <c r="I2" t="s">
        <v>767</v>
      </c>
      <c r="J2" t="s">
        <v>685</v>
      </c>
    </row>
    <row r="3" spans="1:10" x14ac:dyDescent="0.25">
      <c r="A3" s="342" t="s">
        <v>768</v>
      </c>
      <c r="I3" t="s">
        <v>769</v>
      </c>
      <c r="J3" t="s">
        <v>194</v>
      </c>
    </row>
    <row r="4" spans="1:10" x14ac:dyDescent="0.25">
      <c r="A4" s="342" t="s">
        <v>770</v>
      </c>
      <c r="I4" t="s">
        <v>771</v>
      </c>
      <c r="J4" t="s">
        <v>678</v>
      </c>
    </row>
    <row r="5" spans="1:10" x14ac:dyDescent="0.25">
      <c r="A5" s="342" t="s">
        <v>772</v>
      </c>
      <c r="I5" t="s">
        <v>773</v>
      </c>
      <c r="J5" t="s">
        <v>674</v>
      </c>
    </row>
    <row r="6" spans="1:10" x14ac:dyDescent="0.25">
      <c r="A6" s="342" t="s">
        <v>774</v>
      </c>
    </row>
    <row r="7" spans="1:10" x14ac:dyDescent="0.25">
      <c r="A7" s="342" t="s">
        <v>775</v>
      </c>
    </row>
    <row r="8" spans="1:10" x14ac:dyDescent="0.25">
      <c r="A8" s="342" t="s">
        <v>776</v>
      </c>
    </row>
    <row r="9" spans="1:10" x14ac:dyDescent="0.25">
      <c r="A9" s="342" t="s">
        <v>777</v>
      </c>
    </row>
    <row r="10" spans="1:10" x14ac:dyDescent="0.25">
      <c r="A10" s="342" t="s">
        <v>778</v>
      </c>
    </row>
    <row r="11" spans="1:10" x14ac:dyDescent="0.25">
      <c r="A11" s="342" t="s">
        <v>127</v>
      </c>
    </row>
    <row r="12" spans="1:10" x14ac:dyDescent="0.25">
      <c r="A12" s="342" t="s">
        <v>779</v>
      </c>
    </row>
    <row r="13" spans="1:10" x14ac:dyDescent="0.25">
      <c r="A13" s="342" t="s">
        <v>780</v>
      </c>
    </row>
    <row r="14" spans="1:10" x14ac:dyDescent="0.25">
      <c r="A14" s="342" t="s">
        <v>781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O72"/>
  <sheetViews>
    <sheetView zoomScale="70" zoomScaleNormal="70" workbookViewId="0">
      <selection activeCell="A28" sqref="A28:A33"/>
    </sheetView>
  </sheetViews>
  <sheetFormatPr baseColWidth="10" defaultColWidth="11.42578125" defaultRowHeight="16.5" x14ac:dyDescent="0.3"/>
  <cols>
    <col min="1" max="1" width="4" style="245" bestFit="1" customWidth="1"/>
    <col min="2" max="2" width="14.140625" style="245" customWidth="1"/>
    <col min="3" max="3" width="18.85546875" style="245" customWidth="1"/>
    <col min="4" max="4" width="16.140625" style="245" customWidth="1"/>
    <col min="5" max="5" width="44.140625" style="219" customWidth="1"/>
    <col min="6" max="6" width="19" style="246" customWidth="1"/>
    <col min="7" max="7" width="17.85546875" style="219" customWidth="1"/>
    <col min="8" max="8" width="24.85546875" style="219" customWidth="1"/>
    <col min="9" max="9" width="6.28515625" style="219" bestFit="1" customWidth="1"/>
    <col min="10" max="10" width="27.28515625" style="219" bestFit="1" customWidth="1"/>
    <col min="11" max="11" width="30.5703125" style="219" hidden="1" customWidth="1"/>
    <col min="12" max="12" width="17.5703125" style="219" customWidth="1"/>
    <col min="13" max="13" width="6.28515625" style="219" bestFit="1" customWidth="1"/>
    <col min="14" max="14" width="16" style="219" customWidth="1"/>
    <col min="15" max="15" width="5.85546875" style="219" customWidth="1"/>
    <col min="16" max="16" width="103.28515625" style="219" bestFit="1" customWidth="1"/>
    <col min="17" max="17" width="19.140625" style="219" customWidth="1"/>
    <col min="18" max="18" width="6.85546875" style="219" customWidth="1"/>
    <col min="19" max="19" width="5" style="219" customWidth="1"/>
    <col min="20" max="20" width="5.5703125" style="219" customWidth="1"/>
    <col min="21" max="21" width="7.140625" style="219" customWidth="1"/>
    <col min="22" max="22" width="6.7109375" style="219" customWidth="1"/>
    <col min="23" max="23" width="7.5703125" style="219" customWidth="1"/>
    <col min="24" max="24" width="38.28515625" style="219" hidden="1" customWidth="1"/>
    <col min="25" max="25" width="8.7109375" style="219" customWidth="1"/>
    <col min="26" max="26" width="4.7109375" style="219" bestFit="1" customWidth="1"/>
    <col min="27" max="27" width="9.28515625" style="219" customWidth="1"/>
    <col min="28" max="28" width="9.140625" style="219" customWidth="1"/>
    <col min="29" max="29" width="8.42578125" style="219" customWidth="1"/>
    <col min="30" max="30" width="7.28515625" style="219" customWidth="1"/>
    <col min="31" max="31" width="35.42578125" style="219" bestFit="1" customWidth="1"/>
    <col min="32" max="32" width="26" style="219" customWidth="1"/>
    <col min="33" max="33" width="30.140625" style="219" bestFit="1" customWidth="1"/>
    <col min="34" max="34" width="25.85546875" style="219" bestFit="1" customWidth="1"/>
    <col min="35" max="35" width="22.28515625" style="219" customWidth="1"/>
    <col min="36" max="36" width="21.7109375" style="219" customWidth="1"/>
    <col min="37" max="37" width="30.85546875" style="219" customWidth="1"/>
    <col min="38" max="38" width="31.5703125" style="219" customWidth="1"/>
    <col min="39" max="16384" width="11.42578125" style="219"/>
  </cols>
  <sheetData>
    <row r="1" spans="1:67" ht="32.25" customHeight="1" x14ac:dyDescent="0.3">
      <c r="A1" s="709"/>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row>
    <row r="2" spans="1:67" ht="133.5" customHeight="1" x14ac:dyDescent="0.3">
      <c r="A2" s="709"/>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row>
    <row r="3" spans="1:67" x14ac:dyDescent="0.3">
      <c r="A3" s="220"/>
      <c r="B3" s="221"/>
      <c r="C3" s="220"/>
      <c r="D3" s="220"/>
      <c r="E3" s="218"/>
      <c r="F3" s="222"/>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row>
    <row r="4" spans="1:67" ht="26.25" customHeight="1" x14ac:dyDescent="0.3">
      <c r="A4" s="899" t="s">
        <v>126</v>
      </c>
      <c r="B4" s="900"/>
      <c r="C4" s="901" t="s">
        <v>127</v>
      </c>
      <c r="D4" s="902"/>
      <c r="E4" s="902"/>
      <c r="F4" s="902"/>
      <c r="G4" s="902"/>
      <c r="H4" s="902"/>
      <c r="I4" s="902"/>
      <c r="J4" s="902"/>
      <c r="K4" s="902"/>
      <c r="L4" s="902"/>
      <c r="M4" s="902"/>
      <c r="N4" s="902"/>
      <c r="O4" s="902"/>
      <c r="P4" s="902"/>
      <c r="Q4" s="902"/>
      <c r="R4" s="902"/>
      <c r="S4" s="902"/>
      <c r="T4" s="902"/>
      <c r="U4" s="902"/>
      <c r="V4" s="903"/>
      <c r="W4" s="430"/>
      <c r="X4" s="430"/>
      <c r="Y4" s="430"/>
      <c r="Z4" s="430"/>
      <c r="AA4" s="430"/>
      <c r="AB4" s="430"/>
      <c r="AC4" s="430"/>
      <c r="AD4" s="430"/>
      <c r="AE4" s="430"/>
      <c r="AF4" s="430"/>
      <c r="AG4" s="430"/>
      <c r="AH4" s="430"/>
      <c r="AI4" s="430"/>
      <c r="AJ4" s="430"/>
      <c r="AK4" s="430"/>
      <c r="AL4" s="430"/>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row>
    <row r="5" spans="1:67" ht="77.25" customHeight="1" x14ac:dyDescent="0.3">
      <c r="A5" s="899" t="s">
        <v>128</v>
      </c>
      <c r="B5" s="900"/>
      <c r="C5" s="904" t="str">
        <f>IFERROR(INDEX(Tabla10[],MATCH(C4,Tabla10[PROCESOS],0),3)," ")</f>
        <v>Este proceso inicia con la elaboración y actualización del Plan Estratégico de las Tecnologías de la Información y Comunicaciones PETIC, hasta el seguimiento, monitoreo y escalamiento de la plataforma tecnológica.</v>
      </c>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5"/>
      <c r="AI5" s="905"/>
      <c r="AJ5" s="905"/>
      <c r="AK5" s="905"/>
      <c r="AL5" s="905"/>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ht="49.5" customHeight="1" x14ac:dyDescent="0.3">
      <c r="A6" s="899" t="s">
        <v>129</v>
      </c>
      <c r="B6" s="906"/>
      <c r="C6" s="907"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908"/>
      <c r="E6" s="908"/>
      <c r="F6" s="908"/>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row>
    <row r="7" spans="1:67" s="432" customFormat="1" ht="49.5" customHeight="1" x14ac:dyDescent="0.25">
      <c r="A7" s="915" t="s">
        <v>130</v>
      </c>
      <c r="B7" s="916"/>
      <c r="C7" s="898"/>
      <c r="D7" s="898"/>
      <c r="E7" s="898"/>
      <c r="F7" s="898"/>
      <c r="G7" s="917"/>
      <c r="H7" s="897" t="s">
        <v>131</v>
      </c>
      <c r="I7" s="898"/>
      <c r="J7" s="898"/>
      <c r="K7" s="898"/>
      <c r="L7" s="898"/>
      <c r="M7" s="898"/>
      <c r="N7" s="917"/>
      <c r="O7" s="897" t="s">
        <v>132</v>
      </c>
      <c r="P7" s="898"/>
      <c r="Q7" s="898"/>
      <c r="R7" s="898"/>
      <c r="S7" s="898"/>
      <c r="T7" s="898"/>
      <c r="U7" s="898"/>
      <c r="V7" s="898"/>
      <c r="W7" s="917"/>
      <c r="X7" s="923" t="s">
        <v>133</v>
      </c>
      <c r="Y7" s="924"/>
      <c r="Z7" s="924"/>
      <c r="AA7" s="924"/>
      <c r="AB7" s="924"/>
      <c r="AC7" s="924"/>
      <c r="AD7" s="925"/>
      <c r="AE7" s="897" t="s">
        <v>134</v>
      </c>
      <c r="AF7" s="898"/>
      <c r="AG7" s="898"/>
      <c r="AH7" s="898"/>
      <c r="AI7" s="898"/>
      <c r="AJ7" s="917"/>
      <c r="AK7" s="897" t="s">
        <v>135</v>
      </c>
      <c r="AL7" s="898"/>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row>
    <row r="8" spans="1:67" s="432" customFormat="1" ht="16.5" customHeight="1" x14ac:dyDescent="0.25">
      <c r="A8" s="909" t="s">
        <v>136</v>
      </c>
      <c r="B8" s="911" t="s">
        <v>81</v>
      </c>
      <c r="C8" s="912" t="s">
        <v>782</v>
      </c>
      <c r="D8" s="912" t="s">
        <v>85</v>
      </c>
      <c r="E8" s="913" t="s">
        <v>87</v>
      </c>
      <c r="F8" s="914" t="s">
        <v>89</v>
      </c>
      <c r="G8" s="912" t="s">
        <v>137</v>
      </c>
      <c r="H8" s="918" t="s">
        <v>138</v>
      </c>
      <c r="I8" s="919" t="s">
        <v>139</v>
      </c>
      <c r="J8" s="914" t="s">
        <v>140</v>
      </c>
      <c r="K8" s="914" t="s">
        <v>141</v>
      </c>
      <c r="L8" s="926" t="s">
        <v>142</v>
      </c>
      <c r="M8" s="919" t="s">
        <v>139</v>
      </c>
      <c r="N8" s="912" t="s">
        <v>95</v>
      </c>
      <c r="O8" s="894" t="s">
        <v>143</v>
      </c>
      <c r="P8" s="896" t="s">
        <v>97</v>
      </c>
      <c r="Q8" s="914" t="s">
        <v>99</v>
      </c>
      <c r="R8" s="896" t="s">
        <v>144</v>
      </c>
      <c r="S8" s="896"/>
      <c r="T8" s="896"/>
      <c r="U8" s="896"/>
      <c r="V8" s="896"/>
      <c r="W8" s="896"/>
      <c r="X8" s="927" t="s">
        <v>145</v>
      </c>
      <c r="Y8" s="927" t="s">
        <v>146</v>
      </c>
      <c r="Z8" s="927" t="s">
        <v>139</v>
      </c>
      <c r="AA8" s="927" t="s">
        <v>147</v>
      </c>
      <c r="AB8" s="927" t="s">
        <v>139</v>
      </c>
      <c r="AC8" s="927" t="s">
        <v>148</v>
      </c>
      <c r="AD8" s="894" t="s">
        <v>115</v>
      </c>
      <c r="AE8" s="896" t="s">
        <v>134</v>
      </c>
      <c r="AF8" s="896" t="s">
        <v>149</v>
      </c>
      <c r="AG8" s="896" t="s">
        <v>150</v>
      </c>
      <c r="AH8" s="896" t="s">
        <v>151</v>
      </c>
      <c r="AI8" s="896" t="s">
        <v>135</v>
      </c>
      <c r="AJ8" s="896" t="s">
        <v>119</v>
      </c>
      <c r="AK8" s="604" t="s">
        <v>152</v>
      </c>
      <c r="AL8" s="604" t="s">
        <v>153</v>
      </c>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row>
    <row r="9" spans="1:67" s="435" customFormat="1" ht="94.5" customHeight="1" x14ac:dyDescent="0.25">
      <c r="A9" s="910"/>
      <c r="B9" s="911"/>
      <c r="C9" s="896"/>
      <c r="D9" s="896"/>
      <c r="E9" s="911"/>
      <c r="F9" s="912"/>
      <c r="G9" s="896"/>
      <c r="H9" s="912"/>
      <c r="I9" s="897"/>
      <c r="J9" s="912"/>
      <c r="K9" s="912"/>
      <c r="L9" s="897"/>
      <c r="M9" s="897"/>
      <c r="N9" s="896"/>
      <c r="O9" s="895"/>
      <c r="P9" s="896"/>
      <c r="Q9" s="912"/>
      <c r="R9" s="433" t="s">
        <v>154</v>
      </c>
      <c r="S9" s="433" t="s">
        <v>155</v>
      </c>
      <c r="T9" s="433" t="s">
        <v>156</v>
      </c>
      <c r="U9" s="433" t="s">
        <v>157</v>
      </c>
      <c r="V9" s="433" t="s">
        <v>158</v>
      </c>
      <c r="W9" s="433" t="s">
        <v>159</v>
      </c>
      <c r="X9" s="927"/>
      <c r="Y9" s="927"/>
      <c r="Z9" s="927"/>
      <c r="AA9" s="927"/>
      <c r="AB9" s="927"/>
      <c r="AC9" s="927"/>
      <c r="AD9" s="895"/>
      <c r="AE9" s="896"/>
      <c r="AF9" s="896"/>
      <c r="AG9" s="896"/>
      <c r="AH9" s="896"/>
      <c r="AI9" s="896"/>
      <c r="AJ9" s="896"/>
      <c r="AK9" s="604"/>
      <c r="AL9" s="60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row>
    <row r="10" spans="1:67" s="240" customFormat="1" x14ac:dyDescent="0.25">
      <c r="A10" s="920">
        <v>1</v>
      </c>
      <c r="B10" s="688"/>
      <c r="C10" s="688"/>
      <c r="D10" s="688"/>
      <c r="E10" s="691"/>
      <c r="F10" s="891"/>
      <c r="G10" s="694"/>
      <c r="H10" s="697" t="str">
        <f>IF(G10&lt;=0,"",IF(G10&lt;=2,"Muy Baja",IF(G10&lt;=24,"Baja",IF(G10&lt;=500,"Media",IF(G10&lt;=5000,"Alta","Muy Alta")))))</f>
        <v/>
      </c>
      <c r="I10" s="700" t="str">
        <f>IF(H10="","",IF(H10="Muy Baja",0.2,IF(H10="Baja",0.4,IF(H10="Media",0.6,IF(H10="Alta",0.8,IF(H10="Muy Alta",1,))))))</f>
        <v/>
      </c>
      <c r="J10" s="703"/>
      <c r="K10" s="700">
        <f>IF(NOT(ISERROR(MATCH(J10,'Tabla Impacto'!$B$221:$B$223,0))),'Tabla Impacto'!$F$223&amp;"Por favor no seleccionar los criterios de impacto(Afectación Económica o presupuestal y Pérdida Reputacional)",J10)</f>
        <v>0</v>
      </c>
      <c r="L10" s="885" t="str">
        <f>IF(OR(K10='Tabla Impacto'!$C$11,K10='Tabla Impacto'!$D$11),"Leve",IF(OR(K10='Tabla Impacto'!$C$12,K10='Tabla Impacto'!$D$12),"Menor",IF(OR(K10='Tabla Impacto'!$C$13,K10='Tabla Impacto'!$D$13),"Moderado",IF(OR(K10='Tabla Impacto'!$C$14,K10='Tabla Impacto'!$D$14),"Mayor",IF(OR(K10='Tabla Impacto'!$C$15,K10='Tabla Impacto'!$D$15),"Catastrófico","")))))</f>
        <v/>
      </c>
      <c r="M10" s="700" t="str">
        <f>IF(L10="","",IF(L10="Leve",0.2,IF(L10="Menor",0.4,IF(L10="Moderado",0.6,IF(L10="Mayor",0.8,IF(L10="Catastrófico",1,))))))</f>
        <v/>
      </c>
      <c r="N10" s="70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6">
        <v>1</v>
      </c>
      <c r="P10" s="447"/>
      <c r="Q10" s="228" t="str">
        <f>IF(OR(R10="Preventivo",R10="Detectivo"),"Probabilidad",IF(R10="Correctivo","Impacto",""))</f>
        <v/>
      </c>
      <c r="R10" s="229"/>
      <c r="S10" s="229"/>
      <c r="T10" s="230" t="str">
        <f>IF(AND(R10="Preventivo",S10="Automático"),"50%",IF(AND(R10="Preventivo",S10="Manual"),"40%",IF(AND(R10="Detectivo",S10="Automático"),"40%",IF(AND(R10="Detectivo",S10="Manual"),"30%",IF(AND(R10="Correctivo",S10="Automático"),"35%",IF(AND(R10="Correctivo",S10="Manual"),"25%",""))))))</f>
        <v/>
      </c>
      <c r="U10" s="229"/>
      <c r="V10" s="229"/>
      <c r="W10" s="229"/>
      <c r="X10" s="231" t="str">
        <f>IFERROR(IF(Q10="Probabilidad",(I10-(+I10*T10)),IF(Q10="Impacto",I10,"")),"")</f>
        <v/>
      </c>
      <c r="Y10" s="232" t="str">
        <f>IFERROR(IF(X10="","",IF(X10&lt;=0.2,"Muy Baja",IF(X10&lt;=0.4,"Baja",IF(X10&lt;=0.6,"Media",IF(X10&lt;=0.8,"Alta","Muy Alta"))))),"")</f>
        <v/>
      </c>
      <c r="Z10" s="233" t="str">
        <f>+X10</f>
        <v/>
      </c>
      <c r="AA10" s="232" t="str">
        <f>IFERROR(IF(AB10="","",IF(AB10&lt;=0.2,"Leve",IF(AB10&lt;=0.4,"Menor",IF(AB10&lt;=0.6,"Moderado",IF(AB10&lt;=0.8,"Mayor","Catastrófico"))))),"")</f>
        <v/>
      </c>
      <c r="AB10" s="233" t="str">
        <f>IFERROR(IF(Q10="Impacto",(M10-(+M10*T10)),IF(Q10="Probabilidad",M10,"")),"")</f>
        <v/>
      </c>
      <c r="AC10" s="23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5"/>
      <c r="AE10" s="236"/>
      <c r="AF10" s="237"/>
      <c r="AG10" s="238"/>
      <c r="AH10" s="238"/>
      <c r="AI10" s="236"/>
      <c r="AJ10" s="237"/>
      <c r="AK10" s="237"/>
      <c r="AL10" s="237"/>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row>
    <row r="11" spans="1:67" x14ac:dyDescent="0.3">
      <c r="A11" s="921"/>
      <c r="B11" s="689"/>
      <c r="C11" s="689"/>
      <c r="D11" s="689"/>
      <c r="E11" s="692"/>
      <c r="F11" s="892"/>
      <c r="G11" s="695"/>
      <c r="H11" s="698"/>
      <c r="I11" s="701"/>
      <c r="J11" s="704"/>
      <c r="K11" s="701"/>
      <c r="L11" s="886"/>
      <c r="M11" s="701"/>
      <c r="N11" s="707"/>
      <c r="O11" s="226">
        <v>2</v>
      </c>
      <c r="P11" s="447"/>
      <c r="Q11" s="228" t="str">
        <f>IF(OR(R11="Preventivo",R11="Detectivo"),"Probabilidad",IF(R11="Correctivo","Impacto",""))</f>
        <v/>
      </c>
      <c r="R11" s="229"/>
      <c r="S11" s="229"/>
      <c r="T11" s="230" t="str">
        <f t="shared" ref="T11:T12" si="0">IF(AND(R11="Preventivo",S11="Automático"),"50%",IF(AND(R11="Preventivo",S11="Manual"),"40%",IF(AND(R11="Detectivo",S11="Automático"),"40%",IF(AND(R11="Detectivo",S11="Manual"),"30%",IF(AND(R11="Correctivo",S11="Automático"),"35%",IF(AND(R11="Correctivo",S11="Manual"),"25%",""))))))</f>
        <v/>
      </c>
      <c r="U11" s="229"/>
      <c r="V11" s="229"/>
      <c r="W11" s="229"/>
      <c r="X11" s="231" t="str">
        <f>IFERROR(IF(AND(Q10="Probabilidad",Q11="Probabilidad"),(Z10-(+Z10*T11)),IF(Q11="Probabilidad",(I10-(+I10*T11)),IF(Q11="Impacto",Z10,""))),"")</f>
        <v/>
      </c>
      <c r="Y11" s="232" t="str">
        <f t="shared" ref="Y11:Y69" si="1">IFERROR(IF(X11="","",IF(X11&lt;=0.2,"Muy Baja",IF(X11&lt;=0.4,"Baja",IF(X11&lt;=0.6,"Media",IF(X11&lt;=0.8,"Alta","Muy Alta"))))),"")</f>
        <v/>
      </c>
      <c r="Z11" s="233" t="str">
        <f t="shared" ref="Z11:Z12" si="2">+X11</f>
        <v/>
      </c>
      <c r="AA11" s="232" t="str">
        <f t="shared" ref="AA11:AA69" si="3">IFERROR(IF(AB11="","",IF(AB11&lt;=0.2,"Leve",IF(AB11&lt;=0.4,"Menor",IF(AB11&lt;=0.6,"Moderado",IF(AB11&lt;=0.8,"Mayor","Catastrófico"))))),"")</f>
        <v/>
      </c>
      <c r="AB11" s="233" t="str">
        <f>IFERROR(IF(AND(Q10="Impacto",Q11="Impacto"),(AB10-(+AB10*T11)),IF(Q11="Impacto",(M10-(+M10*T11)),IF(Q11="Probabilidad",AB10,""))),"")</f>
        <v/>
      </c>
      <c r="AC11" s="234"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5"/>
      <c r="AE11" s="236"/>
      <c r="AF11" s="237"/>
      <c r="AG11" s="238"/>
      <c r="AH11" s="238"/>
      <c r="AI11" s="236"/>
      <c r="AJ11" s="237"/>
      <c r="AK11" s="237"/>
      <c r="AL11" s="237"/>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row>
    <row r="12" spans="1:67" x14ac:dyDescent="0.3">
      <c r="A12" s="921"/>
      <c r="B12" s="689"/>
      <c r="C12" s="689"/>
      <c r="D12" s="689"/>
      <c r="E12" s="692"/>
      <c r="F12" s="892"/>
      <c r="G12" s="695"/>
      <c r="H12" s="698"/>
      <c r="I12" s="701"/>
      <c r="J12" s="704"/>
      <c r="K12" s="701"/>
      <c r="L12" s="886"/>
      <c r="M12" s="701"/>
      <c r="N12" s="707"/>
      <c r="O12" s="226">
        <v>3</v>
      </c>
      <c r="P12" s="447"/>
      <c r="Q12" s="228" t="str">
        <f>IF(OR(R12="Preventivo",R12="Detectivo"),"Probabilidad",IF(R12="Correctivo","Impacto",""))</f>
        <v/>
      </c>
      <c r="R12" s="229"/>
      <c r="S12" s="229"/>
      <c r="T12" s="230" t="str">
        <f t="shared" si="0"/>
        <v/>
      </c>
      <c r="U12" s="229"/>
      <c r="V12" s="229"/>
      <c r="W12" s="229"/>
      <c r="X12" s="231" t="str">
        <f>IFERROR(IF(AND(Q11="Probabilidad",Q12="Probabilidad"),(Z11-(+Z11*T12)),IF(AND(Q11="Impacto",Q12="Probabilidad"),(Z10-(+Z10*T12)),IF(Q12="Impacto",Z11,""))),"")</f>
        <v/>
      </c>
      <c r="Y12" s="232" t="str">
        <f t="shared" si="1"/>
        <v/>
      </c>
      <c r="Z12" s="233" t="str">
        <f t="shared" si="2"/>
        <v/>
      </c>
      <c r="AA12" s="232" t="str">
        <f t="shared" si="3"/>
        <v/>
      </c>
      <c r="AB12" s="233" t="str">
        <f>IFERROR(IF(AND(Q11="Impacto",Q12="Impacto"),(AB11-(+AB11*T12)),IF(AND(Q11="Probabilidad",Q12="Impacto"),(AB10-(+AB10*T12)),IF(Q12="Probabilidad",AB11,""))),"")</f>
        <v/>
      </c>
      <c r="AC12" s="234" t="str">
        <f t="shared" si="4"/>
        <v/>
      </c>
      <c r="AD12" s="235"/>
      <c r="AE12" s="236"/>
      <c r="AF12" s="237"/>
      <c r="AG12" s="238"/>
      <c r="AH12" s="238"/>
      <c r="AI12" s="236"/>
      <c r="AJ12" s="237"/>
      <c r="AK12" s="237"/>
      <c r="AL12" s="237"/>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row>
    <row r="13" spans="1:67" x14ac:dyDescent="0.3">
      <c r="A13" s="921"/>
      <c r="B13" s="689"/>
      <c r="C13" s="689"/>
      <c r="D13" s="689"/>
      <c r="E13" s="692"/>
      <c r="F13" s="892"/>
      <c r="G13" s="695"/>
      <c r="H13" s="698"/>
      <c r="I13" s="701"/>
      <c r="J13" s="704"/>
      <c r="K13" s="701"/>
      <c r="L13" s="886"/>
      <c r="M13" s="701"/>
      <c r="N13" s="707"/>
      <c r="O13" s="226"/>
      <c r="P13" s="447"/>
      <c r="Q13" s="228" t="str">
        <f t="shared" ref="Q13:Q69" si="5">IF(OR(R13="Preventivo",R13="Detectivo"),"Probabilidad",IF(R13="Correctivo","Impacto",""))</f>
        <v/>
      </c>
      <c r="R13" s="229"/>
      <c r="S13" s="229"/>
      <c r="T13" s="230"/>
      <c r="U13" s="229"/>
      <c r="V13" s="229"/>
      <c r="W13" s="229"/>
      <c r="X13" s="231"/>
      <c r="Y13" s="232"/>
      <c r="Z13" s="233"/>
      <c r="AA13" s="232"/>
      <c r="AB13" s="233"/>
      <c r="AC13" s="234"/>
      <c r="AD13" s="235"/>
      <c r="AE13" s="236"/>
      <c r="AF13" s="237"/>
      <c r="AG13" s="238"/>
      <c r="AH13" s="238"/>
      <c r="AI13" s="236"/>
      <c r="AJ13" s="237"/>
      <c r="AK13" s="237"/>
      <c r="AL13" s="237"/>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row>
    <row r="14" spans="1:67" x14ac:dyDescent="0.3">
      <c r="A14" s="921"/>
      <c r="B14" s="689"/>
      <c r="C14" s="689"/>
      <c r="D14" s="689"/>
      <c r="E14" s="692"/>
      <c r="F14" s="892"/>
      <c r="G14" s="695"/>
      <c r="H14" s="698"/>
      <c r="I14" s="701"/>
      <c r="J14" s="704"/>
      <c r="K14" s="701"/>
      <c r="L14" s="886"/>
      <c r="M14" s="701"/>
      <c r="N14" s="707"/>
      <c r="O14" s="226"/>
      <c r="P14" s="447"/>
      <c r="Q14" s="228" t="str">
        <f t="shared" si="5"/>
        <v/>
      </c>
      <c r="R14" s="229"/>
      <c r="S14" s="229"/>
      <c r="T14" s="230"/>
      <c r="U14" s="229"/>
      <c r="V14" s="229"/>
      <c r="W14" s="229"/>
      <c r="X14" s="231"/>
      <c r="Y14" s="232"/>
      <c r="Z14" s="233"/>
      <c r="AA14" s="232"/>
      <c r="AB14" s="233"/>
      <c r="AC14" s="234"/>
      <c r="AD14" s="235"/>
      <c r="AE14" s="236"/>
      <c r="AF14" s="237"/>
      <c r="AG14" s="238"/>
      <c r="AH14" s="238"/>
      <c r="AI14" s="236"/>
      <c r="AJ14" s="237"/>
      <c r="AK14" s="237"/>
      <c r="AL14" s="237"/>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row>
    <row r="15" spans="1:67" x14ac:dyDescent="0.3">
      <c r="A15" s="922"/>
      <c r="B15" s="690"/>
      <c r="C15" s="690"/>
      <c r="D15" s="690"/>
      <c r="E15" s="693"/>
      <c r="F15" s="893"/>
      <c r="G15" s="696"/>
      <c r="H15" s="699"/>
      <c r="I15" s="702"/>
      <c r="J15" s="705"/>
      <c r="K15" s="702"/>
      <c r="L15" s="887"/>
      <c r="M15" s="702"/>
      <c r="N15" s="708"/>
      <c r="O15" s="226"/>
      <c r="P15" s="447"/>
      <c r="Q15" s="228" t="str">
        <f t="shared" si="5"/>
        <v/>
      </c>
      <c r="R15" s="229"/>
      <c r="S15" s="229"/>
      <c r="T15" s="230"/>
      <c r="U15" s="229"/>
      <c r="V15" s="229"/>
      <c r="W15" s="229"/>
      <c r="X15" s="231"/>
      <c r="Y15" s="232"/>
      <c r="Z15" s="233"/>
      <c r="AA15" s="232"/>
      <c r="AB15" s="233"/>
      <c r="AC15" s="234"/>
      <c r="AD15" s="235"/>
      <c r="AE15" s="236"/>
      <c r="AF15" s="237"/>
      <c r="AG15" s="238"/>
      <c r="AH15" s="238"/>
      <c r="AI15" s="236"/>
      <c r="AJ15" s="237"/>
      <c r="AK15" s="237"/>
      <c r="AL15" s="237"/>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row>
    <row r="16" spans="1:67" x14ac:dyDescent="0.3">
      <c r="A16" s="888">
        <v>2</v>
      </c>
      <c r="B16" s="688"/>
      <c r="C16" s="688"/>
      <c r="D16" s="688"/>
      <c r="E16" s="691"/>
      <c r="F16" s="688"/>
      <c r="G16" s="694"/>
      <c r="H16" s="697" t="str">
        <f>IF(G16&lt;=0,"",IF(G16&lt;=2,"Muy Baja",IF(G16&lt;=24,"Baja",IF(G16&lt;=500,"Media",IF(G16&lt;=5000,"Alta","Muy Alta")))))</f>
        <v/>
      </c>
      <c r="I16" s="700" t="str">
        <f>IF(H16="","",IF(H16="Muy Baja",0.2,IF(H16="Baja",0.4,IF(H16="Media",0.6,IF(H16="Alta",0.8,IF(H16="Muy Alta",1,))))))</f>
        <v/>
      </c>
      <c r="J16" s="703"/>
      <c r="K16" s="700">
        <f>IF(NOT(ISERROR(MATCH(J16,'Tabla Impacto'!$B$221:$B$223,0))),'Tabla Impacto'!$F$223&amp;"Por favor no seleccionar los criterios de impacto(Afectación Económica o presupuestal y Pérdida Reputacional)",J16)</f>
        <v>0</v>
      </c>
      <c r="L16" s="885" t="str">
        <f>IF(OR(K16='Tabla Impacto'!$C$11,K16='Tabla Impacto'!$D$11),"Leve",IF(OR(K16='Tabla Impacto'!$C$12,K16='Tabla Impacto'!$D$12),"Menor",IF(OR(K16='Tabla Impacto'!$C$13,K16='Tabla Impacto'!$D$13),"Moderado",IF(OR(K16='Tabla Impacto'!$C$14,K16='Tabla Impacto'!$D$14),"Mayor",IF(OR(K16='Tabla Impacto'!$C$15,K16='Tabla Impacto'!$D$15),"Catastrófico","")))))</f>
        <v/>
      </c>
      <c r="M16" s="700" t="str">
        <f>IF(L16="","",IF(L16="Leve",0.2,IF(L16="Menor",0.4,IF(L16="Moderado",0.6,IF(L16="Mayor",0.8,IF(L16="Catastrófico",1,))))))</f>
        <v/>
      </c>
      <c r="N16" s="70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6">
        <v>1</v>
      </c>
      <c r="P16" s="447"/>
      <c r="Q16" s="228" t="str">
        <f t="shared" si="5"/>
        <v/>
      </c>
      <c r="R16" s="229"/>
      <c r="S16" s="229"/>
      <c r="T16" s="230" t="str">
        <f>IF(AND(R16="Preventivo",S16="Automático"),"50%",IF(AND(R16="Preventivo",S16="Manual"),"40%",IF(AND(R16="Detectivo",S16="Automático"),"40%",IF(AND(R16="Detectivo",S16="Manual"),"30%",IF(AND(R16="Correctivo",S16="Automático"),"35%",IF(AND(R16="Correctivo",S16="Manual"),"25%",""))))))</f>
        <v/>
      </c>
      <c r="U16" s="229"/>
      <c r="V16" s="229"/>
      <c r="W16" s="229"/>
      <c r="X16" s="231" t="str">
        <f>IFERROR(IF(Q16="Probabilidad",(I16-(+I16*T16)),IF(Q16="Impacto",I16,"")),"")</f>
        <v/>
      </c>
      <c r="Y16" s="232" t="str">
        <f>IFERROR(IF(X16="","",IF(X16&lt;=0.2,"Muy Baja",IF(X16&lt;=0.4,"Baja",IF(X16&lt;=0.6,"Media",IF(X16&lt;=0.8,"Alta","Muy Alta"))))),"")</f>
        <v/>
      </c>
      <c r="Z16" s="233" t="str">
        <f>+X16</f>
        <v/>
      </c>
      <c r="AA16" s="232" t="str">
        <f>IFERROR(IF(AB16="","",IF(AB16&lt;=0.2,"Leve",IF(AB16&lt;=0.4,"Menor",IF(AB16&lt;=0.6,"Moderado",IF(AB16&lt;=0.8,"Mayor","Catastrófico"))))),"")</f>
        <v/>
      </c>
      <c r="AB16" s="233" t="str">
        <f>IFERROR(IF(Q16="Impacto",(M16-(+M16*T16)),IF(Q16="Probabilidad",M16,"")),"")</f>
        <v/>
      </c>
      <c r="AC16" s="23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5"/>
      <c r="AE16" s="236"/>
      <c r="AF16" s="237"/>
      <c r="AG16" s="238"/>
      <c r="AH16" s="238"/>
      <c r="AI16" s="236"/>
      <c r="AJ16" s="237"/>
      <c r="AK16" s="237"/>
      <c r="AL16" s="237"/>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row>
    <row r="17" spans="1:67" x14ac:dyDescent="0.3">
      <c r="A17" s="889"/>
      <c r="B17" s="689"/>
      <c r="C17" s="689"/>
      <c r="D17" s="689"/>
      <c r="E17" s="692"/>
      <c r="F17" s="689"/>
      <c r="G17" s="695"/>
      <c r="H17" s="698"/>
      <c r="I17" s="701"/>
      <c r="J17" s="704"/>
      <c r="K17" s="701">
        <f>IF(NOT(ISERROR(MATCH(J17,_xlfn.ANCHORARRAY(E28),0))),I30&amp;"Por favor no seleccionar los criterios de impacto",J17)</f>
        <v>0</v>
      </c>
      <c r="L17" s="886"/>
      <c r="M17" s="701"/>
      <c r="N17" s="707"/>
      <c r="O17" s="226">
        <v>2</v>
      </c>
      <c r="P17" s="447"/>
      <c r="Q17" s="228" t="str">
        <f t="shared" si="5"/>
        <v/>
      </c>
      <c r="R17" s="229"/>
      <c r="S17" s="229"/>
      <c r="T17" s="230" t="str">
        <f t="shared" ref="T17:T21" si="6">IF(AND(R17="Preventivo",S17="Automático"),"50%",IF(AND(R17="Preventivo",S17="Manual"),"40%",IF(AND(R17="Detectivo",S17="Automático"),"40%",IF(AND(R17="Detectivo",S17="Manual"),"30%",IF(AND(R17="Correctivo",S17="Automático"),"35%",IF(AND(R17="Correctivo",S17="Manual"),"25%",""))))))</f>
        <v/>
      </c>
      <c r="U17" s="229"/>
      <c r="V17" s="229"/>
      <c r="W17" s="229"/>
      <c r="X17" s="231" t="str">
        <f>IFERROR(IF(AND(Q16="Probabilidad",Q17="Probabilidad"),(Z16-(+Z16*T17)),IF(Q17="Probabilidad",(I16-(+I16*T17)),IF(Q17="Impacto",Z16,""))),"")</f>
        <v/>
      </c>
      <c r="Y17" s="232" t="str">
        <f t="shared" si="1"/>
        <v/>
      </c>
      <c r="Z17" s="233" t="str">
        <f t="shared" ref="Z17:Z21" si="7">+X17</f>
        <v/>
      </c>
      <c r="AA17" s="232" t="str">
        <f t="shared" si="3"/>
        <v/>
      </c>
      <c r="AB17" s="233" t="str">
        <f>IFERROR(IF(AND(Q16="Impacto",Q17="Impacto"),(AB16-(+AB16*T17)),IF(Q17="Impacto",(M16-(+M16*T17)),IF(Q17="Probabilidad",AB16,""))),"")</f>
        <v/>
      </c>
      <c r="AC17" s="234"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5"/>
      <c r="AE17" s="236"/>
      <c r="AF17" s="237"/>
      <c r="AG17" s="238"/>
      <c r="AH17" s="238"/>
      <c r="AI17" s="236"/>
      <c r="AJ17" s="237"/>
      <c r="AK17" s="237"/>
      <c r="AL17" s="237"/>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row>
    <row r="18" spans="1:67" x14ac:dyDescent="0.3">
      <c r="A18" s="889"/>
      <c r="B18" s="689"/>
      <c r="C18" s="689"/>
      <c r="D18" s="689"/>
      <c r="E18" s="692"/>
      <c r="F18" s="689"/>
      <c r="G18" s="695"/>
      <c r="H18" s="698"/>
      <c r="I18" s="701"/>
      <c r="J18" s="704"/>
      <c r="K18" s="701">
        <f>IF(NOT(ISERROR(MATCH(J18,_xlfn.ANCHORARRAY(E29),0))),I31&amp;"Por favor no seleccionar los criterios de impacto",J18)</f>
        <v>0</v>
      </c>
      <c r="L18" s="886"/>
      <c r="M18" s="701"/>
      <c r="N18" s="707"/>
      <c r="O18" s="226">
        <v>3</v>
      </c>
      <c r="P18" s="241"/>
      <c r="Q18" s="228" t="str">
        <f t="shared" si="5"/>
        <v/>
      </c>
      <c r="R18" s="229"/>
      <c r="S18" s="229"/>
      <c r="T18" s="230" t="str">
        <f t="shared" si="6"/>
        <v/>
      </c>
      <c r="U18" s="229"/>
      <c r="V18" s="229"/>
      <c r="W18" s="229"/>
      <c r="X18" s="231" t="str">
        <f>IFERROR(IF(AND(Q17="Probabilidad",Q18="Probabilidad"),(Z17-(+Z17*T18)),IF(AND(Q17="Impacto",Q18="Probabilidad"),(Z16-(+Z16*T18)),IF(Q18="Impacto",Z17,""))),"")</f>
        <v/>
      </c>
      <c r="Y18" s="232" t="str">
        <f t="shared" si="1"/>
        <v/>
      </c>
      <c r="Z18" s="233" t="str">
        <f t="shared" si="7"/>
        <v/>
      </c>
      <c r="AA18" s="232" t="str">
        <f t="shared" si="3"/>
        <v/>
      </c>
      <c r="AB18" s="233" t="str">
        <f>IFERROR(IF(AND(Q17="Impacto",Q18="Impacto"),(AB17-(+AB17*T18)),IF(AND(Q17="Probabilidad",Q18="Impacto"),(AB16-(+AB16*T18)),IF(Q18="Probabilidad",AB17,""))),"")</f>
        <v/>
      </c>
      <c r="AC18" s="234" t="str">
        <f t="shared" si="8"/>
        <v/>
      </c>
      <c r="AD18" s="235"/>
      <c r="AE18" s="236"/>
      <c r="AF18" s="237"/>
      <c r="AG18" s="238"/>
      <c r="AH18" s="238"/>
      <c r="AI18" s="236"/>
      <c r="AJ18" s="237"/>
      <c r="AK18" s="237"/>
      <c r="AL18" s="237"/>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row>
    <row r="19" spans="1:67" x14ac:dyDescent="0.3">
      <c r="A19" s="889"/>
      <c r="B19" s="689"/>
      <c r="C19" s="689"/>
      <c r="D19" s="689"/>
      <c r="E19" s="692"/>
      <c r="F19" s="689"/>
      <c r="G19" s="695"/>
      <c r="H19" s="698"/>
      <c r="I19" s="701"/>
      <c r="J19" s="704"/>
      <c r="K19" s="701">
        <f>IF(NOT(ISERROR(MATCH(J19,_xlfn.ANCHORARRAY(E30),0))),I32&amp;"Por favor no seleccionar los criterios de impacto",J19)</f>
        <v>0</v>
      </c>
      <c r="L19" s="886"/>
      <c r="M19" s="701"/>
      <c r="N19" s="707"/>
      <c r="O19" s="226">
        <v>4</v>
      </c>
      <c r="P19" s="227"/>
      <c r="Q19" s="228" t="str">
        <f t="shared" si="5"/>
        <v/>
      </c>
      <c r="R19" s="229"/>
      <c r="S19" s="229"/>
      <c r="T19" s="230" t="str">
        <f t="shared" si="6"/>
        <v/>
      </c>
      <c r="U19" s="229"/>
      <c r="V19" s="229"/>
      <c r="W19" s="229"/>
      <c r="X19" s="231" t="str">
        <f t="shared" ref="X19:X21" si="9">IFERROR(IF(AND(Q18="Probabilidad",Q19="Probabilidad"),(Z18-(+Z18*T19)),IF(AND(Q18="Impacto",Q19="Probabilidad"),(Z17-(+Z17*T19)),IF(Q19="Impacto",Z18,""))),"")</f>
        <v/>
      </c>
      <c r="Y19" s="232" t="str">
        <f t="shared" si="1"/>
        <v/>
      </c>
      <c r="Z19" s="233" t="str">
        <f t="shared" si="7"/>
        <v/>
      </c>
      <c r="AA19" s="232" t="str">
        <f t="shared" si="3"/>
        <v/>
      </c>
      <c r="AB19" s="233" t="str">
        <f t="shared" ref="AB19:AB21" si="10">IFERROR(IF(AND(Q18="Impacto",Q19="Impacto"),(AB18-(+AB18*T19)),IF(AND(Q18="Probabilidad",Q19="Impacto"),(AB17-(+AB17*T19)),IF(Q19="Probabilidad",AB18,""))),"")</f>
        <v/>
      </c>
      <c r="AC19" s="23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5"/>
      <c r="AE19" s="236"/>
      <c r="AF19" s="237"/>
      <c r="AG19" s="238"/>
      <c r="AH19" s="238"/>
      <c r="AI19" s="236"/>
      <c r="AJ19" s="237"/>
      <c r="AK19" s="237"/>
      <c r="AL19" s="237"/>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row>
    <row r="20" spans="1:67" x14ac:dyDescent="0.3">
      <c r="A20" s="889"/>
      <c r="B20" s="689"/>
      <c r="C20" s="689"/>
      <c r="D20" s="689"/>
      <c r="E20" s="692"/>
      <c r="F20" s="689"/>
      <c r="G20" s="695"/>
      <c r="H20" s="698"/>
      <c r="I20" s="701"/>
      <c r="J20" s="704"/>
      <c r="K20" s="701">
        <f>IF(NOT(ISERROR(MATCH(J20,_xlfn.ANCHORARRAY(E31),0))),I33&amp;"Por favor no seleccionar los criterios de impacto",J20)</f>
        <v>0</v>
      </c>
      <c r="L20" s="886"/>
      <c r="M20" s="701"/>
      <c r="N20" s="707"/>
      <c r="O20" s="226">
        <v>5</v>
      </c>
      <c r="P20" s="227"/>
      <c r="Q20" s="228" t="str">
        <f t="shared" si="5"/>
        <v/>
      </c>
      <c r="R20" s="229"/>
      <c r="S20" s="229"/>
      <c r="T20" s="230" t="str">
        <f t="shared" si="6"/>
        <v/>
      </c>
      <c r="U20" s="229"/>
      <c r="V20" s="229"/>
      <c r="W20" s="229"/>
      <c r="X20" s="231" t="str">
        <f t="shared" si="9"/>
        <v/>
      </c>
      <c r="Y20" s="232" t="str">
        <f t="shared" si="1"/>
        <v/>
      </c>
      <c r="Z20" s="233" t="str">
        <f t="shared" si="7"/>
        <v/>
      </c>
      <c r="AA20" s="232" t="str">
        <f t="shared" si="3"/>
        <v/>
      </c>
      <c r="AB20" s="233" t="str">
        <f t="shared" si="10"/>
        <v/>
      </c>
      <c r="AC20" s="234"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5"/>
      <c r="AE20" s="236"/>
      <c r="AF20" s="237"/>
      <c r="AG20" s="238"/>
      <c r="AH20" s="238"/>
      <c r="AI20" s="236"/>
      <c r="AJ20" s="237"/>
      <c r="AK20" s="237"/>
      <c r="AL20" s="237"/>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row>
    <row r="21" spans="1:67" x14ac:dyDescent="0.3">
      <c r="A21" s="890"/>
      <c r="B21" s="690"/>
      <c r="C21" s="690"/>
      <c r="D21" s="690"/>
      <c r="E21" s="693"/>
      <c r="F21" s="690"/>
      <c r="G21" s="696"/>
      <c r="H21" s="699"/>
      <c r="I21" s="702"/>
      <c r="J21" s="705"/>
      <c r="K21" s="702">
        <f>IF(NOT(ISERROR(MATCH(J21,_xlfn.ANCHORARRAY(E32),0))),I34&amp;"Por favor no seleccionar los criterios de impacto",J21)</f>
        <v>0</v>
      </c>
      <c r="L21" s="887"/>
      <c r="M21" s="702"/>
      <c r="N21" s="708"/>
      <c r="O21" s="226">
        <v>6</v>
      </c>
      <c r="P21" s="227"/>
      <c r="Q21" s="228" t="str">
        <f t="shared" si="5"/>
        <v/>
      </c>
      <c r="R21" s="229"/>
      <c r="S21" s="229"/>
      <c r="T21" s="230" t="str">
        <f t="shared" si="6"/>
        <v/>
      </c>
      <c r="U21" s="229"/>
      <c r="V21" s="229"/>
      <c r="W21" s="229"/>
      <c r="X21" s="231" t="str">
        <f t="shared" si="9"/>
        <v/>
      </c>
      <c r="Y21" s="232" t="str">
        <f t="shared" si="1"/>
        <v/>
      </c>
      <c r="Z21" s="233" t="str">
        <f t="shared" si="7"/>
        <v/>
      </c>
      <c r="AA21" s="232" t="str">
        <f t="shared" si="3"/>
        <v/>
      </c>
      <c r="AB21" s="233" t="str">
        <f t="shared" si="10"/>
        <v/>
      </c>
      <c r="AC21" s="234" t="str">
        <f t="shared" si="11"/>
        <v/>
      </c>
      <c r="AD21" s="235"/>
      <c r="AE21" s="236"/>
      <c r="AF21" s="237"/>
      <c r="AG21" s="238"/>
      <c r="AH21" s="238"/>
      <c r="AI21" s="236"/>
      <c r="AJ21" s="237"/>
      <c r="AK21" s="237"/>
      <c r="AL21" s="237"/>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row>
    <row r="22" spans="1:67" x14ac:dyDescent="0.3">
      <c r="A22" s="888">
        <v>3</v>
      </c>
      <c r="B22" s="688"/>
      <c r="C22" s="688"/>
      <c r="D22" s="688"/>
      <c r="E22" s="691"/>
      <c r="F22" s="688"/>
      <c r="G22" s="694"/>
      <c r="H22" s="697" t="str">
        <f>IF(G22&lt;=0,"",IF(G22&lt;=2,"Muy Baja",IF(G22&lt;=24,"Baja",IF(G22&lt;=500,"Media",IF(G22&lt;=5000,"Alta","Muy Alta")))))</f>
        <v/>
      </c>
      <c r="I22" s="700" t="str">
        <f>IF(H22="","",IF(H22="Muy Baja",0.2,IF(H22="Baja",0.4,IF(H22="Media",0.6,IF(H22="Alta",0.8,IF(H22="Muy Alta",1,))))))</f>
        <v/>
      </c>
      <c r="J22" s="703"/>
      <c r="K22" s="700">
        <f>IF(NOT(ISERROR(MATCH(J22,'Tabla Impacto'!$B$221:$B$223,0))),'Tabla Impacto'!$F$223&amp;"Por favor no seleccionar los criterios de impacto(Afectación Económica o presupuestal y Pérdida Reputacional)",J22)</f>
        <v>0</v>
      </c>
      <c r="L22" s="885" t="str">
        <f>IF(OR(K22='Tabla Impacto'!$C$11,K22='Tabla Impacto'!$D$11),"Leve",IF(OR(K22='Tabla Impacto'!$C$12,K22='Tabla Impacto'!$D$12),"Menor",IF(OR(K22='Tabla Impacto'!$C$13,K22='Tabla Impacto'!$D$13),"Moderado",IF(OR(K22='Tabla Impacto'!$C$14,K22='Tabla Impacto'!$D$14),"Mayor",IF(OR(K22='Tabla Impacto'!$C$15,K22='Tabla Impacto'!$D$15),"Catastrófico","")))))</f>
        <v/>
      </c>
      <c r="M22" s="700" t="str">
        <f>IF(L22="","",IF(L22="Leve",0.2,IF(L22="Menor",0.4,IF(L22="Moderado",0.6,IF(L22="Mayor",0.8,IF(L22="Catastrófico",1,))))))</f>
        <v/>
      </c>
      <c r="N22" s="70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6">
        <v>1</v>
      </c>
      <c r="P22" s="227"/>
      <c r="Q22" s="228" t="str">
        <f t="shared" si="5"/>
        <v/>
      </c>
      <c r="R22" s="229"/>
      <c r="S22" s="229"/>
      <c r="T22" s="230" t="str">
        <f>IF(AND(R22="Preventivo",S22="Automático"),"50%",IF(AND(R22="Preventivo",S22="Manual"),"40%",IF(AND(R22="Detectivo",S22="Automático"),"40%",IF(AND(R22="Detectivo",S22="Manual"),"30%",IF(AND(R22="Correctivo",S22="Automático"),"35%",IF(AND(R22="Correctivo",S22="Manual"),"25%",""))))))</f>
        <v/>
      </c>
      <c r="U22" s="229"/>
      <c r="V22" s="229"/>
      <c r="W22" s="229"/>
      <c r="X22" s="231" t="str">
        <f>IFERROR(IF(Q22="Probabilidad",(I22-(+I22*T22)),IF(Q22="Impacto",I22,"")),"")</f>
        <v/>
      </c>
      <c r="Y22" s="232" t="str">
        <f>IFERROR(IF(X22="","",IF(X22&lt;=0.2,"Muy Baja",IF(X22&lt;=0.4,"Baja",IF(X22&lt;=0.6,"Media",IF(X22&lt;=0.8,"Alta","Muy Alta"))))),"")</f>
        <v/>
      </c>
      <c r="Z22" s="233" t="str">
        <f>+X22</f>
        <v/>
      </c>
      <c r="AA22" s="232" t="str">
        <f>IFERROR(IF(AB22="","",IF(AB22&lt;=0.2,"Leve",IF(AB22&lt;=0.4,"Menor",IF(AB22&lt;=0.6,"Moderado",IF(AB22&lt;=0.8,"Mayor","Catastrófico"))))),"")</f>
        <v/>
      </c>
      <c r="AB22" s="233" t="str">
        <f>IFERROR(IF(Q22="Impacto",(M22-(+M22*T22)),IF(Q22="Probabilidad",M22,"")),"")</f>
        <v/>
      </c>
      <c r="AC22" s="23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5"/>
      <c r="AE22" s="236"/>
      <c r="AF22" s="237"/>
      <c r="AG22" s="238"/>
      <c r="AH22" s="238"/>
      <c r="AI22" s="236"/>
      <c r="AJ22" s="237"/>
      <c r="AK22" s="237"/>
      <c r="AL22" s="237"/>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row>
    <row r="23" spans="1:67" x14ac:dyDescent="0.3">
      <c r="A23" s="889"/>
      <c r="B23" s="689"/>
      <c r="C23" s="689"/>
      <c r="D23" s="689"/>
      <c r="E23" s="692"/>
      <c r="F23" s="689"/>
      <c r="G23" s="695"/>
      <c r="H23" s="698"/>
      <c r="I23" s="701"/>
      <c r="J23" s="704"/>
      <c r="K23" s="701">
        <f t="shared" ref="K23:K27" si="12">IF(NOT(ISERROR(MATCH(J23,_xlfn.ANCHORARRAY(E34),0))),I36&amp;"Por favor no seleccionar los criterios de impacto",J23)</f>
        <v>0</v>
      </c>
      <c r="L23" s="886"/>
      <c r="M23" s="701"/>
      <c r="N23" s="707"/>
      <c r="O23" s="226">
        <v>2</v>
      </c>
      <c r="P23" s="227"/>
      <c r="Q23" s="228" t="str">
        <f t="shared" si="5"/>
        <v/>
      </c>
      <c r="R23" s="229"/>
      <c r="S23" s="229"/>
      <c r="T23" s="230" t="str">
        <f t="shared" ref="T23:T27" si="13">IF(AND(R23="Preventivo",S23="Automático"),"50%",IF(AND(R23="Preventivo",S23="Manual"),"40%",IF(AND(R23="Detectivo",S23="Automático"),"40%",IF(AND(R23="Detectivo",S23="Manual"),"30%",IF(AND(R23="Correctivo",S23="Automático"),"35%",IF(AND(R23="Correctivo",S23="Manual"),"25%",""))))))</f>
        <v/>
      </c>
      <c r="U23" s="229"/>
      <c r="V23" s="229"/>
      <c r="W23" s="229"/>
      <c r="X23" s="242" t="str">
        <f>IFERROR(IF(AND(Q22="Probabilidad",Q23="Probabilidad"),(Z22-(+Z22*T23)),IF(Q23="Probabilidad",(I22-(+I22*T23)),IF(Q23="Impacto",Z22,""))),"")</f>
        <v/>
      </c>
      <c r="Y23" s="232" t="str">
        <f t="shared" si="1"/>
        <v/>
      </c>
      <c r="Z23" s="233" t="str">
        <f t="shared" ref="Z23:Z27" si="14">+X23</f>
        <v/>
      </c>
      <c r="AA23" s="232" t="str">
        <f t="shared" si="3"/>
        <v/>
      </c>
      <c r="AB23" s="233" t="str">
        <f>IFERROR(IF(AND(Q22="Impacto",Q23="Impacto"),(AB22-(+AB22*T23)),IF(Q23="Impacto",(M22-(+M22*T23)),IF(Q23="Probabilidad",AB22,""))),"")</f>
        <v/>
      </c>
      <c r="AC23" s="234"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5"/>
      <c r="AE23" s="236"/>
      <c r="AF23" s="237"/>
      <c r="AG23" s="238"/>
      <c r="AH23" s="238"/>
      <c r="AI23" s="236"/>
      <c r="AJ23" s="237"/>
      <c r="AK23" s="237"/>
      <c r="AL23" s="237"/>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row>
    <row r="24" spans="1:67" x14ac:dyDescent="0.3">
      <c r="A24" s="889"/>
      <c r="B24" s="689"/>
      <c r="C24" s="689"/>
      <c r="D24" s="689"/>
      <c r="E24" s="692"/>
      <c r="F24" s="689"/>
      <c r="G24" s="695"/>
      <c r="H24" s="698"/>
      <c r="I24" s="701"/>
      <c r="J24" s="704"/>
      <c r="K24" s="701">
        <f t="shared" si="12"/>
        <v>0</v>
      </c>
      <c r="L24" s="886"/>
      <c r="M24" s="701"/>
      <c r="N24" s="707"/>
      <c r="O24" s="226">
        <v>3</v>
      </c>
      <c r="P24" s="241"/>
      <c r="Q24" s="228" t="str">
        <f t="shared" si="5"/>
        <v/>
      </c>
      <c r="R24" s="229"/>
      <c r="S24" s="229"/>
      <c r="T24" s="230" t="str">
        <f t="shared" si="13"/>
        <v/>
      </c>
      <c r="U24" s="229"/>
      <c r="V24" s="229"/>
      <c r="W24" s="229"/>
      <c r="X24" s="231" t="str">
        <f>IFERROR(IF(AND(Q23="Probabilidad",Q24="Probabilidad"),(Z23-(+Z23*T24)),IF(AND(Q23="Impacto",Q24="Probabilidad"),(Z22-(+Z22*T24)),IF(Q24="Impacto",Z23,""))),"")</f>
        <v/>
      </c>
      <c r="Y24" s="232" t="str">
        <f t="shared" si="1"/>
        <v/>
      </c>
      <c r="Z24" s="233" t="str">
        <f t="shared" si="14"/>
        <v/>
      </c>
      <c r="AA24" s="232" t="str">
        <f t="shared" si="3"/>
        <v/>
      </c>
      <c r="AB24" s="233" t="str">
        <f>IFERROR(IF(AND(Q23="Impacto",Q24="Impacto"),(AB23-(+AB23*T24)),IF(AND(Q23="Probabilidad",Q24="Impacto"),(AB22-(+AB22*T24)),IF(Q24="Probabilidad",AB23,""))),"")</f>
        <v/>
      </c>
      <c r="AC24" s="234" t="str">
        <f t="shared" si="15"/>
        <v/>
      </c>
      <c r="AD24" s="235"/>
      <c r="AE24" s="236"/>
      <c r="AF24" s="237"/>
      <c r="AG24" s="238"/>
      <c r="AH24" s="238"/>
      <c r="AI24" s="236"/>
      <c r="AJ24" s="237"/>
      <c r="AK24" s="237"/>
      <c r="AL24" s="237"/>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row>
    <row r="25" spans="1:67" x14ac:dyDescent="0.3">
      <c r="A25" s="889"/>
      <c r="B25" s="689"/>
      <c r="C25" s="689"/>
      <c r="D25" s="689"/>
      <c r="E25" s="692"/>
      <c r="F25" s="689"/>
      <c r="G25" s="695"/>
      <c r="H25" s="698"/>
      <c r="I25" s="701"/>
      <c r="J25" s="704"/>
      <c r="K25" s="701">
        <f t="shared" si="12"/>
        <v>0</v>
      </c>
      <c r="L25" s="886"/>
      <c r="M25" s="701"/>
      <c r="N25" s="707"/>
      <c r="O25" s="226">
        <v>4</v>
      </c>
      <c r="P25" s="227"/>
      <c r="Q25" s="228" t="str">
        <f t="shared" si="5"/>
        <v/>
      </c>
      <c r="R25" s="229"/>
      <c r="S25" s="229"/>
      <c r="T25" s="230" t="str">
        <f t="shared" si="13"/>
        <v/>
      </c>
      <c r="U25" s="229"/>
      <c r="V25" s="229"/>
      <c r="W25" s="229"/>
      <c r="X25" s="231" t="str">
        <f t="shared" ref="X25:X27" si="16">IFERROR(IF(AND(Q24="Probabilidad",Q25="Probabilidad"),(Z24-(+Z24*T25)),IF(AND(Q24="Impacto",Q25="Probabilidad"),(Z23-(+Z23*T25)),IF(Q25="Impacto",Z24,""))),"")</f>
        <v/>
      </c>
      <c r="Y25" s="232" t="str">
        <f t="shared" si="1"/>
        <v/>
      </c>
      <c r="Z25" s="233" t="str">
        <f t="shared" si="14"/>
        <v/>
      </c>
      <c r="AA25" s="232" t="str">
        <f t="shared" si="3"/>
        <v/>
      </c>
      <c r="AB25" s="233" t="str">
        <f t="shared" ref="AB25:AB27" si="17">IFERROR(IF(AND(Q24="Impacto",Q25="Impacto"),(AB24-(+AB24*T25)),IF(AND(Q24="Probabilidad",Q25="Impacto"),(AB23-(+AB23*T25)),IF(Q25="Probabilidad",AB24,""))),"")</f>
        <v/>
      </c>
      <c r="AC25" s="23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5"/>
      <c r="AE25" s="236"/>
      <c r="AF25" s="237"/>
      <c r="AG25" s="238"/>
      <c r="AH25" s="238"/>
      <c r="AI25" s="236"/>
      <c r="AJ25" s="237"/>
      <c r="AK25" s="237"/>
      <c r="AL25" s="237"/>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row>
    <row r="26" spans="1:67" x14ac:dyDescent="0.3">
      <c r="A26" s="889"/>
      <c r="B26" s="689"/>
      <c r="C26" s="689"/>
      <c r="D26" s="689"/>
      <c r="E26" s="692"/>
      <c r="F26" s="689"/>
      <c r="G26" s="695"/>
      <c r="H26" s="698"/>
      <c r="I26" s="701"/>
      <c r="J26" s="704"/>
      <c r="K26" s="701">
        <f t="shared" si="12"/>
        <v>0</v>
      </c>
      <c r="L26" s="886"/>
      <c r="M26" s="701"/>
      <c r="N26" s="707"/>
      <c r="O26" s="226">
        <v>5</v>
      </c>
      <c r="P26" s="227"/>
      <c r="Q26" s="228" t="str">
        <f t="shared" si="5"/>
        <v/>
      </c>
      <c r="R26" s="229"/>
      <c r="S26" s="229"/>
      <c r="T26" s="230" t="str">
        <f t="shared" si="13"/>
        <v/>
      </c>
      <c r="U26" s="229"/>
      <c r="V26" s="229"/>
      <c r="W26" s="229"/>
      <c r="X26" s="231" t="str">
        <f t="shared" si="16"/>
        <v/>
      </c>
      <c r="Y26" s="232" t="str">
        <f t="shared" si="1"/>
        <v/>
      </c>
      <c r="Z26" s="233" t="str">
        <f t="shared" si="14"/>
        <v/>
      </c>
      <c r="AA26" s="232" t="str">
        <f t="shared" si="3"/>
        <v/>
      </c>
      <c r="AB26" s="233" t="str">
        <f t="shared" si="17"/>
        <v/>
      </c>
      <c r="AC26" s="234"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5"/>
      <c r="AE26" s="236"/>
      <c r="AF26" s="237"/>
      <c r="AG26" s="238"/>
      <c r="AH26" s="238"/>
      <c r="AI26" s="236"/>
      <c r="AJ26" s="237"/>
      <c r="AK26" s="237"/>
      <c r="AL26" s="237"/>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row>
    <row r="27" spans="1:67" x14ac:dyDescent="0.3">
      <c r="A27" s="890"/>
      <c r="B27" s="690"/>
      <c r="C27" s="690"/>
      <c r="D27" s="690"/>
      <c r="E27" s="693"/>
      <c r="F27" s="690"/>
      <c r="G27" s="696"/>
      <c r="H27" s="699"/>
      <c r="I27" s="702"/>
      <c r="J27" s="705"/>
      <c r="K27" s="702">
        <f t="shared" si="12"/>
        <v>0</v>
      </c>
      <c r="L27" s="887"/>
      <c r="M27" s="702"/>
      <c r="N27" s="708"/>
      <c r="O27" s="226">
        <v>6</v>
      </c>
      <c r="P27" s="227"/>
      <c r="Q27" s="228" t="str">
        <f t="shared" si="5"/>
        <v/>
      </c>
      <c r="R27" s="229"/>
      <c r="S27" s="229"/>
      <c r="T27" s="230" t="str">
        <f t="shared" si="13"/>
        <v/>
      </c>
      <c r="U27" s="229"/>
      <c r="V27" s="229"/>
      <c r="W27" s="229"/>
      <c r="X27" s="231" t="str">
        <f t="shared" si="16"/>
        <v/>
      </c>
      <c r="Y27" s="232" t="str">
        <f t="shared" si="1"/>
        <v/>
      </c>
      <c r="Z27" s="233" t="str">
        <f t="shared" si="14"/>
        <v/>
      </c>
      <c r="AA27" s="232" t="str">
        <f t="shared" si="3"/>
        <v/>
      </c>
      <c r="AB27" s="233" t="str">
        <f t="shared" si="17"/>
        <v/>
      </c>
      <c r="AC27" s="234" t="str">
        <f t="shared" si="18"/>
        <v/>
      </c>
      <c r="AD27" s="235"/>
      <c r="AE27" s="236"/>
      <c r="AF27" s="237"/>
      <c r="AG27" s="238"/>
      <c r="AH27" s="238"/>
      <c r="AI27" s="236"/>
      <c r="AJ27" s="237"/>
      <c r="AK27" s="237"/>
      <c r="AL27" s="237"/>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row>
    <row r="28" spans="1:67" x14ac:dyDescent="0.3">
      <c r="A28" s="888">
        <v>4</v>
      </c>
      <c r="B28" s="688"/>
      <c r="C28" s="688"/>
      <c r="D28" s="688"/>
      <c r="E28" s="691"/>
      <c r="F28" s="688"/>
      <c r="G28" s="694"/>
      <c r="H28" s="697" t="str">
        <f>IF(G28&lt;=0,"",IF(G28&lt;=2,"Muy Baja",IF(G28&lt;=24,"Baja",IF(G28&lt;=500,"Media",IF(G28&lt;=5000,"Alta","Muy Alta")))))</f>
        <v/>
      </c>
      <c r="I28" s="700" t="str">
        <f>IF(H28="","",IF(H28="Muy Baja",0.2,IF(H28="Baja",0.4,IF(H28="Media",0.6,IF(H28="Alta",0.8,IF(H28="Muy Alta",1,))))))</f>
        <v/>
      </c>
      <c r="J28" s="703"/>
      <c r="K28" s="700">
        <f>IF(NOT(ISERROR(MATCH(J28,'Tabla Impacto'!$B$221:$B$223,0))),'Tabla Impacto'!$F$223&amp;"Por favor no seleccionar los criterios de impacto(Afectación Económica o presupuestal y Pérdida Reputacional)",J28)</f>
        <v>0</v>
      </c>
      <c r="L28" s="885" t="str">
        <f>IF(OR(K28='Tabla Impacto'!$C$11,K28='Tabla Impacto'!$D$11),"Leve",IF(OR(K28='Tabla Impacto'!$C$12,K28='Tabla Impacto'!$D$12),"Menor",IF(OR(K28='Tabla Impacto'!$C$13,K28='Tabla Impacto'!$D$13),"Moderado",IF(OR(K28='Tabla Impacto'!$C$14,K28='Tabla Impacto'!$D$14),"Mayor",IF(OR(K28='Tabla Impacto'!$C$15,K28='Tabla Impacto'!$D$15),"Catastrófico","")))))</f>
        <v/>
      </c>
      <c r="M28" s="700" t="str">
        <f>IF(L28="","",IF(L28="Leve",0.2,IF(L28="Menor",0.4,IF(L28="Moderado",0.6,IF(L28="Mayor",0.8,IF(L28="Catastrófico",1,))))))</f>
        <v/>
      </c>
      <c r="N28" s="70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6">
        <v>1</v>
      </c>
      <c r="P28" s="227"/>
      <c r="Q28" s="228" t="str">
        <f t="shared" si="5"/>
        <v/>
      </c>
      <c r="R28" s="229"/>
      <c r="S28" s="229"/>
      <c r="T28" s="230" t="str">
        <f>IF(AND(R28="Preventivo",S28="Automático"),"50%",IF(AND(R28="Preventivo",S28="Manual"),"40%",IF(AND(R28="Detectivo",S28="Automático"),"40%",IF(AND(R28="Detectivo",S28="Manual"),"30%",IF(AND(R28="Correctivo",S28="Automático"),"35%",IF(AND(R28="Correctivo",S28="Manual"),"25%",""))))))</f>
        <v/>
      </c>
      <c r="U28" s="229"/>
      <c r="V28" s="229"/>
      <c r="W28" s="229"/>
      <c r="X28" s="231" t="str">
        <f>IFERROR(IF(Q28="Probabilidad",(I28-(+I28*T28)),IF(Q28="Impacto",I28,"")),"")</f>
        <v/>
      </c>
      <c r="Y28" s="232" t="str">
        <f>IFERROR(IF(X28="","",IF(X28&lt;=0.2,"Muy Baja",IF(X28&lt;=0.4,"Baja",IF(X28&lt;=0.6,"Media",IF(X28&lt;=0.8,"Alta","Muy Alta"))))),"")</f>
        <v/>
      </c>
      <c r="Z28" s="233" t="str">
        <f>+X28</f>
        <v/>
      </c>
      <c r="AA28" s="232" t="str">
        <f>IFERROR(IF(AB28="","",IF(AB28&lt;=0.2,"Leve",IF(AB28&lt;=0.4,"Menor",IF(AB28&lt;=0.6,"Moderado",IF(AB28&lt;=0.8,"Mayor","Catastrófico"))))),"")</f>
        <v/>
      </c>
      <c r="AB28" s="233" t="str">
        <f>IFERROR(IF(Q28="Impacto",(M28-(+M28*T28)),IF(Q28="Probabilidad",M28,"")),"")</f>
        <v/>
      </c>
      <c r="AC28" s="23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5"/>
      <c r="AE28" s="236"/>
      <c r="AF28" s="237"/>
      <c r="AG28" s="238"/>
      <c r="AH28" s="238"/>
      <c r="AI28" s="236"/>
      <c r="AJ28" s="237"/>
      <c r="AK28" s="237"/>
      <c r="AL28" s="237"/>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row>
    <row r="29" spans="1:67" x14ac:dyDescent="0.3">
      <c r="A29" s="889"/>
      <c r="B29" s="689"/>
      <c r="C29" s="689"/>
      <c r="D29" s="689"/>
      <c r="E29" s="692"/>
      <c r="F29" s="689"/>
      <c r="G29" s="695"/>
      <c r="H29" s="698"/>
      <c r="I29" s="701"/>
      <c r="J29" s="704"/>
      <c r="K29" s="701">
        <f t="shared" ref="K29:K33" si="19">IF(NOT(ISERROR(MATCH(J29,_xlfn.ANCHORARRAY(E40),0))),I42&amp;"Por favor no seleccionar los criterios de impacto",J29)</f>
        <v>0</v>
      </c>
      <c r="L29" s="886"/>
      <c r="M29" s="701"/>
      <c r="N29" s="707"/>
      <c r="O29" s="226">
        <v>2</v>
      </c>
      <c r="P29" s="227"/>
      <c r="Q29" s="228" t="str">
        <f t="shared" si="5"/>
        <v/>
      </c>
      <c r="R29" s="229"/>
      <c r="S29" s="229"/>
      <c r="T29" s="230" t="str">
        <f t="shared" ref="T29:T33" si="20">IF(AND(R29="Preventivo",S29="Automático"),"50%",IF(AND(R29="Preventivo",S29="Manual"),"40%",IF(AND(R29="Detectivo",S29="Automático"),"40%",IF(AND(R29="Detectivo",S29="Manual"),"30%",IF(AND(R29="Correctivo",S29="Automático"),"35%",IF(AND(R29="Correctivo",S29="Manual"),"25%",""))))))</f>
        <v/>
      </c>
      <c r="U29" s="229"/>
      <c r="V29" s="229"/>
      <c r="W29" s="229"/>
      <c r="X29" s="231" t="str">
        <f>IFERROR(IF(AND(Q28="Probabilidad",Q29="Probabilidad"),(Z28-(+Z28*T29)),IF(Q29="Probabilidad",(I28-(+I28*T29)),IF(Q29="Impacto",Z28,""))),"")</f>
        <v/>
      </c>
      <c r="Y29" s="232" t="str">
        <f t="shared" si="1"/>
        <v/>
      </c>
      <c r="Z29" s="233" t="str">
        <f t="shared" ref="Z29:Z33" si="21">+X29</f>
        <v/>
      </c>
      <c r="AA29" s="232" t="str">
        <f t="shared" si="3"/>
        <v/>
      </c>
      <c r="AB29" s="233" t="str">
        <f>IFERROR(IF(AND(Q28="Impacto",Q29="Impacto"),(AB28-(+AB28*T29)),IF(Q29="Impacto",(M28-(+M28*T29)),IF(Q29="Probabilidad",AB28,""))),"")</f>
        <v/>
      </c>
      <c r="AC29" s="234"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5"/>
      <c r="AE29" s="236"/>
      <c r="AF29" s="237"/>
      <c r="AG29" s="238"/>
      <c r="AH29" s="238"/>
      <c r="AI29" s="236"/>
      <c r="AJ29" s="237"/>
      <c r="AK29" s="237"/>
      <c r="AL29" s="237"/>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row>
    <row r="30" spans="1:67" x14ac:dyDescent="0.3">
      <c r="A30" s="889"/>
      <c r="B30" s="689"/>
      <c r="C30" s="689"/>
      <c r="D30" s="689"/>
      <c r="E30" s="692"/>
      <c r="F30" s="689"/>
      <c r="G30" s="695"/>
      <c r="H30" s="698"/>
      <c r="I30" s="701"/>
      <c r="J30" s="704"/>
      <c r="K30" s="701">
        <f t="shared" si="19"/>
        <v>0</v>
      </c>
      <c r="L30" s="886"/>
      <c r="M30" s="701"/>
      <c r="N30" s="707"/>
      <c r="O30" s="226">
        <v>3</v>
      </c>
      <c r="P30" s="241"/>
      <c r="Q30" s="228" t="str">
        <f t="shared" si="5"/>
        <v/>
      </c>
      <c r="R30" s="229"/>
      <c r="S30" s="229"/>
      <c r="T30" s="230" t="str">
        <f t="shared" si="20"/>
        <v/>
      </c>
      <c r="U30" s="229"/>
      <c r="V30" s="229"/>
      <c r="W30" s="229"/>
      <c r="X30" s="231" t="str">
        <f>IFERROR(IF(AND(Q29="Probabilidad",Q30="Probabilidad"),(Z29-(+Z29*T30)),IF(AND(Q29="Impacto",Q30="Probabilidad"),(Z28-(+Z28*T30)),IF(Q30="Impacto",Z29,""))),"")</f>
        <v/>
      </c>
      <c r="Y30" s="232" t="str">
        <f t="shared" si="1"/>
        <v/>
      </c>
      <c r="Z30" s="233" t="str">
        <f t="shared" si="21"/>
        <v/>
      </c>
      <c r="AA30" s="232" t="str">
        <f t="shared" si="3"/>
        <v/>
      </c>
      <c r="AB30" s="233" t="str">
        <f>IFERROR(IF(AND(Q29="Impacto",Q30="Impacto"),(AB29-(+AB29*T30)),IF(AND(Q29="Probabilidad",Q30="Impacto"),(AB28-(+AB28*T30)),IF(Q30="Probabilidad",AB29,""))),"")</f>
        <v/>
      </c>
      <c r="AC30" s="234" t="str">
        <f t="shared" si="22"/>
        <v/>
      </c>
      <c r="AD30" s="235"/>
      <c r="AE30" s="236"/>
      <c r="AF30" s="237"/>
      <c r="AG30" s="238"/>
      <c r="AH30" s="238"/>
      <c r="AI30" s="236"/>
      <c r="AJ30" s="237"/>
      <c r="AK30" s="237"/>
      <c r="AL30" s="237"/>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row>
    <row r="31" spans="1:67" x14ac:dyDescent="0.3">
      <c r="A31" s="889"/>
      <c r="B31" s="689"/>
      <c r="C31" s="689"/>
      <c r="D31" s="689"/>
      <c r="E31" s="692"/>
      <c r="F31" s="689"/>
      <c r="G31" s="695"/>
      <c r="H31" s="698"/>
      <c r="I31" s="701"/>
      <c r="J31" s="704"/>
      <c r="K31" s="701">
        <f t="shared" si="19"/>
        <v>0</v>
      </c>
      <c r="L31" s="886"/>
      <c r="M31" s="701"/>
      <c r="N31" s="707"/>
      <c r="O31" s="226">
        <v>4</v>
      </c>
      <c r="P31" s="227"/>
      <c r="Q31" s="228" t="str">
        <f t="shared" si="5"/>
        <v/>
      </c>
      <c r="R31" s="229"/>
      <c r="S31" s="229"/>
      <c r="T31" s="230" t="str">
        <f t="shared" si="20"/>
        <v/>
      </c>
      <c r="U31" s="229"/>
      <c r="V31" s="229"/>
      <c r="W31" s="229"/>
      <c r="X31" s="231" t="str">
        <f t="shared" ref="X31:X33" si="23">IFERROR(IF(AND(Q30="Probabilidad",Q31="Probabilidad"),(Z30-(+Z30*T31)),IF(AND(Q30="Impacto",Q31="Probabilidad"),(Z29-(+Z29*T31)),IF(Q31="Impacto",Z30,""))),"")</f>
        <v/>
      </c>
      <c r="Y31" s="232" t="str">
        <f t="shared" si="1"/>
        <v/>
      </c>
      <c r="Z31" s="233" t="str">
        <f t="shared" si="21"/>
        <v/>
      </c>
      <c r="AA31" s="232" t="str">
        <f t="shared" si="3"/>
        <v/>
      </c>
      <c r="AB31" s="233" t="str">
        <f t="shared" ref="AB31:AB33" si="24">IFERROR(IF(AND(Q30="Impacto",Q31="Impacto"),(AB30-(+AB30*T31)),IF(AND(Q30="Probabilidad",Q31="Impacto"),(AB29-(+AB29*T31)),IF(Q31="Probabilidad",AB30,""))),"")</f>
        <v/>
      </c>
      <c r="AC31" s="23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5"/>
      <c r="AE31" s="236"/>
      <c r="AF31" s="237"/>
      <c r="AG31" s="238"/>
      <c r="AH31" s="238"/>
      <c r="AI31" s="236"/>
      <c r="AJ31" s="237"/>
      <c r="AK31" s="237"/>
      <c r="AL31" s="237"/>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row>
    <row r="32" spans="1:67" x14ac:dyDescent="0.3">
      <c r="A32" s="889"/>
      <c r="B32" s="689"/>
      <c r="C32" s="689"/>
      <c r="D32" s="689"/>
      <c r="E32" s="692"/>
      <c r="F32" s="689"/>
      <c r="G32" s="695"/>
      <c r="H32" s="698"/>
      <c r="I32" s="701"/>
      <c r="J32" s="704"/>
      <c r="K32" s="701">
        <f t="shared" si="19"/>
        <v>0</v>
      </c>
      <c r="L32" s="886"/>
      <c r="M32" s="701"/>
      <c r="N32" s="707"/>
      <c r="O32" s="226">
        <v>5</v>
      </c>
      <c r="P32" s="227"/>
      <c r="Q32" s="228" t="str">
        <f t="shared" si="5"/>
        <v/>
      </c>
      <c r="R32" s="229"/>
      <c r="S32" s="229"/>
      <c r="T32" s="230" t="str">
        <f t="shared" si="20"/>
        <v/>
      </c>
      <c r="U32" s="229"/>
      <c r="V32" s="229"/>
      <c r="W32" s="229"/>
      <c r="X32" s="242" t="str">
        <f t="shared" si="23"/>
        <v/>
      </c>
      <c r="Y32" s="232" t="str">
        <f>IFERROR(IF(X32="","",IF(X32&lt;=0.2,"Muy Baja",IF(X32&lt;=0.4,"Baja",IF(X32&lt;=0.6,"Media",IF(X32&lt;=0.8,"Alta","Muy Alta"))))),"")</f>
        <v/>
      </c>
      <c r="Z32" s="233" t="str">
        <f t="shared" si="21"/>
        <v/>
      </c>
      <c r="AA32" s="232" t="str">
        <f t="shared" si="3"/>
        <v/>
      </c>
      <c r="AB32" s="233" t="str">
        <f t="shared" si="24"/>
        <v/>
      </c>
      <c r="AC32" s="234"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5"/>
      <c r="AE32" s="236"/>
      <c r="AF32" s="237"/>
      <c r="AG32" s="238"/>
      <c r="AH32" s="238"/>
      <c r="AI32" s="236"/>
      <c r="AJ32" s="237"/>
      <c r="AK32" s="237"/>
      <c r="AL32" s="237"/>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row>
    <row r="33" spans="1:67" x14ac:dyDescent="0.3">
      <c r="A33" s="890"/>
      <c r="B33" s="690"/>
      <c r="C33" s="690"/>
      <c r="D33" s="690"/>
      <c r="E33" s="693"/>
      <c r="F33" s="690"/>
      <c r="G33" s="696"/>
      <c r="H33" s="699"/>
      <c r="I33" s="702"/>
      <c r="J33" s="705"/>
      <c r="K33" s="702">
        <f t="shared" si="19"/>
        <v>0</v>
      </c>
      <c r="L33" s="887"/>
      <c r="M33" s="702"/>
      <c r="N33" s="708"/>
      <c r="O33" s="226">
        <v>6</v>
      </c>
      <c r="P33" s="227"/>
      <c r="Q33" s="228" t="str">
        <f t="shared" si="5"/>
        <v/>
      </c>
      <c r="R33" s="229"/>
      <c r="S33" s="229"/>
      <c r="T33" s="230" t="str">
        <f t="shared" si="20"/>
        <v/>
      </c>
      <c r="U33" s="229"/>
      <c r="V33" s="229"/>
      <c r="W33" s="229"/>
      <c r="X33" s="231" t="str">
        <f t="shared" si="23"/>
        <v/>
      </c>
      <c r="Y33" s="232" t="str">
        <f t="shared" si="1"/>
        <v/>
      </c>
      <c r="Z33" s="233" t="str">
        <f t="shared" si="21"/>
        <v/>
      </c>
      <c r="AA33" s="232" t="str">
        <f t="shared" si="3"/>
        <v/>
      </c>
      <c r="AB33" s="233" t="str">
        <f t="shared" si="24"/>
        <v/>
      </c>
      <c r="AC33" s="234" t="str">
        <f t="shared" si="25"/>
        <v/>
      </c>
      <c r="AD33" s="235"/>
      <c r="AE33" s="236"/>
      <c r="AF33" s="237"/>
      <c r="AG33" s="238"/>
      <c r="AH33" s="238"/>
      <c r="AI33" s="236"/>
      <c r="AJ33" s="237"/>
      <c r="AK33" s="237"/>
      <c r="AL33" s="237"/>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row>
    <row r="34" spans="1:67" x14ac:dyDescent="0.3">
      <c r="A34" s="888">
        <v>5</v>
      </c>
      <c r="B34" s="688"/>
      <c r="C34" s="688"/>
      <c r="D34" s="688"/>
      <c r="E34" s="691"/>
      <c r="F34" s="688"/>
      <c r="G34" s="694"/>
      <c r="H34" s="697" t="str">
        <f>IF(G34&lt;=0,"",IF(G34&lt;=2,"Muy Baja",IF(G34&lt;=24,"Baja",IF(G34&lt;=500,"Media",IF(G34&lt;=5000,"Alta","Muy Alta")))))</f>
        <v/>
      </c>
      <c r="I34" s="700" t="str">
        <f>IF(H34="","",IF(H34="Muy Baja",0.2,IF(H34="Baja",0.4,IF(H34="Media",0.6,IF(H34="Alta",0.8,IF(H34="Muy Alta",1,))))))</f>
        <v/>
      </c>
      <c r="J34" s="703"/>
      <c r="K34" s="700">
        <f>IF(NOT(ISERROR(MATCH(J34,'Tabla Impacto'!$B$221:$B$223,0))),'Tabla Impacto'!$F$223&amp;"Por favor no seleccionar los criterios de impacto(Afectación Económica o presupuestal y Pérdida Reputacional)",J34)</f>
        <v>0</v>
      </c>
      <c r="L34" s="885" t="str">
        <f>IF(OR(K34='Tabla Impacto'!$C$11,K34='Tabla Impacto'!$D$11),"Leve",IF(OR(K34='Tabla Impacto'!$C$12,K34='Tabla Impacto'!$D$12),"Menor",IF(OR(K34='Tabla Impacto'!$C$13,K34='Tabla Impacto'!$D$13),"Moderado",IF(OR(K34='Tabla Impacto'!$C$14,K34='Tabla Impacto'!$D$14),"Mayor",IF(OR(K34='Tabla Impacto'!$C$15,K34='Tabla Impacto'!$D$15),"Catastrófico","")))))</f>
        <v/>
      </c>
      <c r="M34" s="700" t="str">
        <f>IF(L34="","",IF(L34="Leve",0.2,IF(L34="Menor",0.4,IF(L34="Moderado",0.6,IF(L34="Mayor",0.8,IF(L34="Catastrófico",1,))))))</f>
        <v/>
      </c>
      <c r="N34" s="70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6">
        <v>1</v>
      </c>
      <c r="P34" s="227"/>
      <c r="Q34" s="228" t="str">
        <f t="shared" si="5"/>
        <v/>
      </c>
      <c r="R34" s="229"/>
      <c r="S34" s="229"/>
      <c r="T34" s="230" t="str">
        <f>IF(AND(R34="Preventivo",S34="Automático"),"50%",IF(AND(R34="Preventivo",S34="Manual"),"40%",IF(AND(R34="Detectivo",S34="Automático"),"40%",IF(AND(R34="Detectivo",S34="Manual"),"30%",IF(AND(R34="Correctivo",S34="Automático"),"35%",IF(AND(R34="Correctivo",S34="Manual"),"25%",""))))))</f>
        <v/>
      </c>
      <c r="U34" s="229"/>
      <c r="V34" s="229"/>
      <c r="W34" s="229"/>
      <c r="X34" s="231" t="str">
        <f>IFERROR(IF(Q34="Probabilidad",(I34-(+I34*T34)),IF(Q34="Impacto",I34,"")),"")</f>
        <v/>
      </c>
      <c r="Y34" s="232" t="str">
        <f>IFERROR(IF(X34="","",IF(X34&lt;=0.2,"Muy Baja",IF(X34&lt;=0.4,"Baja",IF(X34&lt;=0.6,"Media",IF(X34&lt;=0.8,"Alta","Muy Alta"))))),"")</f>
        <v/>
      </c>
      <c r="Z34" s="233" t="str">
        <f>+X34</f>
        <v/>
      </c>
      <c r="AA34" s="232" t="str">
        <f>IFERROR(IF(AB34="","",IF(AB34&lt;=0.2,"Leve",IF(AB34&lt;=0.4,"Menor",IF(AB34&lt;=0.6,"Moderado",IF(AB34&lt;=0.8,"Mayor","Catastrófico"))))),"")</f>
        <v/>
      </c>
      <c r="AB34" s="233" t="str">
        <f>IFERROR(IF(Q34="Impacto",(M34-(+M34*T34)),IF(Q34="Probabilidad",M34,"")),"")</f>
        <v/>
      </c>
      <c r="AC34" s="23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5"/>
      <c r="AE34" s="236"/>
      <c r="AF34" s="237"/>
      <c r="AG34" s="238"/>
      <c r="AH34" s="238"/>
      <c r="AI34" s="236"/>
      <c r="AJ34" s="237"/>
      <c r="AK34" s="237"/>
      <c r="AL34" s="237"/>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row>
    <row r="35" spans="1:67" x14ac:dyDescent="0.3">
      <c r="A35" s="889"/>
      <c r="B35" s="689"/>
      <c r="C35" s="689"/>
      <c r="D35" s="689"/>
      <c r="E35" s="692"/>
      <c r="F35" s="689"/>
      <c r="G35" s="695"/>
      <c r="H35" s="698"/>
      <c r="I35" s="701"/>
      <c r="J35" s="704"/>
      <c r="K35" s="701">
        <f t="shared" ref="K35:K39" si="26">IF(NOT(ISERROR(MATCH(J35,_xlfn.ANCHORARRAY(E46),0))),I48&amp;"Por favor no seleccionar los criterios de impacto",J35)</f>
        <v>0</v>
      </c>
      <c r="L35" s="886"/>
      <c r="M35" s="701"/>
      <c r="N35" s="707"/>
      <c r="O35" s="226">
        <v>2</v>
      </c>
      <c r="P35" s="227"/>
      <c r="Q35" s="228" t="str">
        <f t="shared" si="5"/>
        <v/>
      </c>
      <c r="R35" s="229"/>
      <c r="S35" s="229"/>
      <c r="T35" s="230" t="str">
        <f t="shared" ref="T35:T39" si="27">IF(AND(R35="Preventivo",S35="Automático"),"50%",IF(AND(R35="Preventivo",S35="Manual"),"40%",IF(AND(R35="Detectivo",S35="Automático"),"40%",IF(AND(R35="Detectivo",S35="Manual"),"30%",IF(AND(R35="Correctivo",S35="Automático"),"35%",IF(AND(R35="Correctivo",S35="Manual"),"25%",""))))))</f>
        <v/>
      </c>
      <c r="U35" s="229"/>
      <c r="V35" s="229"/>
      <c r="W35" s="229"/>
      <c r="X35" s="231" t="str">
        <f>IFERROR(IF(AND(Q34="Probabilidad",Q35="Probabilidad"),(Z34-(+Z34*T35)),IF(Q35="Probabilidad",(I34-(+I34*T35)),IF(Q35="Impacto",Z34,""))),"")</f>
        <v/>
      </c>
      <c r="Y35" s="232" t="str">
        <f t="shared" si="1"/>
        <v/>
      </c>
      <c r="Z35" s="233" t="str">
        <f t="shared" ref="Z35:Z39" si="28">+X35</f>
        <v/>
      </c>
      <c r="AA35" s="232" t="str">
        <f t="shared" si="3"/>
        <v/>
      </c>
      <c r="AB35" s="233" t="str">
        <f>IFERROR(IF(AND(Q34="Impacto",Q35="Impacto"),(AB34-(+AB34*T35)),IF(Q35="Impacto",(M34-(+M34*T35)),IF(Q35="Probabilidad",AB34,""))),"")</f>
        <v/>
      </c>
      <c r="AC35" s="23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5"/>
      <c r="AE35" s="236"/>
      <c r="AF35" s="237"/>
      <c r="AG35" s="238"/>
      <c r="AH35" s="238"/>
      <c r="AI35" s="236"/>
      <c r="AJ35" s="237"/>
      <c r="AK35" s="237"/>
      <c r="AL35" s="237"/>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row>
    <row r="36" spans="1:67" x14ac:dyDescent="0.3">
      <c r="A36" s="889"/>
      <c r="B36" s="689"/>
      <c r="C36" s="689"/>
      <c r="D36" s="689"/>
      <c r="E36" s="692"/>
      <c r="F36" s="689"/>
      <c r="G36" s="695"/>
      <c r="H36" s="698"/>
      <c r="I36" s="701"/>
      <c r="J36" s="704"/>
      <c r="K36" s="701">
        <f t="shared" si="26"/>
        <v>0</v>
      </c>
      <c r="L36" s="886"/>
      <c r="M36" s="701"/>
      <c r="N36" s="707"/>
      <c r="O36" s="226">
        <v>3</v>
      </c>
      <c r="P36" s="241"/>
      <c r="Q36" s="228" t="str">
        <f t="shared" si="5"/>
        <v/>
      </c>
      <c r="R36" s="229"/>
      <c r="S36" s="229"/>
      <c r="T36" s="230" t="str">
        <f t="shared" si="27"/>
        <v/>
      </c>
      <c r="U36" s="229"/>
      <c r="V36" s="229"/>
      <c r="W36" s="229"/>
      <c r="X36" s="231" t="str">
        <f>IFERROR(IF(AND(Q35="Probabilidad",Q36="Probabilidad"),(Z35-(+Z35*T36)),IF(AND(Q35="Impacto",Q36="Probabilidad"),(Z34-(+Z34*T36)),IF(Q36="Impacto",Z35,""))),"")</f>
        <v/>
      </c>
      <c r="Y36" s="232" t="str">
        <f t="shared" si="1"/>
        <v/>
      </c>
      <c r="Z36" s="233" t="str">
        <f t="shared" si="28"/>
        <v/>
      </c>
      <c r="AA36" s="232" t="str">
        <f t="shared" si="3"/>
        <v/>
      </c>
      <c r="AB36" s="233" t="str">
        <f>IFERROR(IF(AND(Q35="Impacto",Q36="Impacto"),(AB35-(+AB35*T36)),IF(AND(Q35="Probabilidad",Q36="Impacto"),(AB34-(+AB34*T36)),IF(Q36="Probabilidad",AB35,""))),"")</f>
        <v/>
      </c>
      <c r="AC36" s="234" t="str">
        <f t="shared" si="29"/>
        <v/>
      </c>
      <c r="AD36" s="235"/>
      <c r="AE36" s="236"/>
      <c r="AF36" s="237"/>
      <c r="AG36" s="238"/>
      <c r="AH36" s="238"/>
      <c r="AI36" s="236"/>
      <c r="AJ36" s="237"/>
      <c r="AK36" s="237"/>
      <c r="AL36" s="237"/>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row>
    <row r="37" spans="1:67" x14ac:dyDescent="0.3">
      <c r="A37" s="889"/>
      <c r="B37" s="689"/>
      <c r="C37" s="689"/>
      <c r="D37" s="689"/>
      <c r="E37" s="692"/>
      <c r="F37" s="689"/>
      <c r="G37" s="695"/>
      <c r="H37" s="698"/>
      <c r="I37" s="701"/>
      <c r="J37" s="704"/>
      <c r="K37" s="701">
        <f t="shared" si="26"/>
        <v>0</v>
      </c>
      <c r="L37" s="886"/>
      <c r="M37" s="701"/>
      <c r="N37" s="707"/>
      <c r="O37" s="226">
        <v>4</v>
      </c>
      <c r="P37" s="227"/>
      <c r="Q37" s="228" t="str">
        <f t="shared" si="5"/>
        <v/>
      </c>
      <c r="R37" s="229"/>
      <c r="S37" s="229"/>
      <c r="T37" s="230" t="str">
        <f t="shared" si="27"/>
        <v/>
      </c>
      <c r="U37" s="229"/>
      <c r="V37" s="229"/>
      <c r="W37" s="229"/>
      <c r="X37" s="231" t="str">
        <f t="shared" ref="X37:X39" si="30">IFERROR(IF(AND(Q36="Probabilidad",Q37="Probabilidad"),(Z36-(+Z36*T37)),IF(AND(Q36="Impacto",Q37="Probabilidad"),(Z35-(+Z35*T37)),IF(Q37="Impacto",Z36,""))),"")</f>
        <v/>
      </c>
      <c r="Y37" s="232" t="str">
        <f t="shared" si="1"/>
        <v/>
      </c>
      <c r="Z37" s="233" t="str">
        <f t="shared" si="28"/>
        <v/>
      </c>
      <c r="AA37" s="232" t="str">
        <f t="shared" si="3"/>
        <v/>
      </c>
      <c r="AB37" s="233" t="str">
        <f t="shared" ref="AB37:AB39" si="31">IFERROR(IF(AND(Q36="Impacto",Q37="Impacto"),(AB36-(+AB36*T37)),IF(AND(Q36="Probabilidad",Q37="Impacto"),(AB35-(+AB35*T37)),IF(Q37="Probabilidad",AB36,""))),"")</f>
        <v/>
      </c>
      <c r="AC37" s="23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5"/>
      <c r="AE37" s="236"/>
      <c r="AF37" s="237"/>
      <c r="AG37" s="238"/>
      <c r="AH37" s="238"/>
      <c r="AI37" s="236"/>
      <c r="AJ37" s="237"/>
      <c r="AK37" s="237"/>
      <c r="AL37" s="237"/>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row>
    <row r="38" spans="1:67" x14ac:dyDescent="0.3">
      <c r="A38" s="889"/>
      <c r="B38" s="689"/>
      <c r="C38" s="689"/>
      <c r="D38" s="689"/>
      <c r="E38" s="692"/>
      <c r="F38" s="689"/>
      <c r="G38" s="695"/>
      <c r="H38" s="698"/>
      <c r="I38" s="701"/>
      <c r="J38" s="704"/>
      <c r="K38" s="701">
        <f t="shared" si="26"/>
        <v>0</v>
      </c>
      <c r="L38" s="886"/>
      <c r="M38" s="701"/>
      <c r="N38" s="707"/>
      <c r="O38" s="226">
        <v>5</v>
      </c>
      <c r="P38" s="227"/>
      <c r="Q38" s="228" t="str">
        <f t="shared" si="5"/>
        <v/>
      </c>
      <c r="R38" s="229"/>
      <c r="S38" s="229"/>
      <c r="T38" s="230" t="str">
        <f t="shared" si="27"/>
        <v/>
      </c>
      <c r="U38" s="229"/>
      <c r="V38" s="229"/>
      <c r="W38" s="229"/>
      <c r="X38" s="231" t="str">
        <f t="shared" si="30"/>
        <v/>
      </c>
      <c r="Y38" s="232" t="str">
        <f t="shared" si="1"/>
        <v/>
      </c>
      <c r="Z38" s="233" t="str">
        <f t="shared" si="28"/>
        <v/>
      </c>
      <c r="AA38" s="232" t="str">
        <f t="shared" si="3"/>
        <v/>
      </c>
      <c r="AB38" s="233" t="str">
        <f t="shared" si="31"/>
        <v/>
      </c>
      <c r="AC38" s="23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5"/>
      <c r="AE38" s="236"/>
      <c r="AF38" s="237"/>
      <c r="AG38" s="238"/>
      <c r="AH38" s="238"/>
      <c r="AI38" s="236"/>
      <c r="AJ38" s="237"/>
      <c r="AK38" s="237"/>
      <c r="AL38" s="237"/>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row>
    <row r="39" spans="1:67" x14ac:dyDescent="0.3">
      <c r="A39" s="890"/>
      <c r="B39" s="690"/>
      <c r="C39" s="690"/>
      <c r="D39" s="690"/>
      <c r="E39" s="693"/>
      <c r="F39" s="690"/>
      <c r="G39" s="696"/>
      <c r="H39" s="699"/>
      <c r="I39" s="702"/>
      <c r="J39" s="705"/>
      <c r="K39" s="702">
        <f t="shared" si="26"/>
        <v>0</v>
      </c>
      <c r="L39" s="887"/>
      <c r="M39" s="702"/>
      <c r="N39" s="708"/>
      <c r="O39" s="226">
        <v>6</v>
      </c>
      <c r="P39" s="227"/>
      <c r="Q39" s="228" t="str">
        <f t="shared" si="5"/>
        <v/>
      </c>
      <c r="R39" s="229"/>
      <c r="S39" s="229"/>
      <c r="T39" s="230" t="str">
        <f t="shared" si="27"/>
        <v/>
      </c>
      <c r="U39" s="229"/>
      <c r="V39" s="229"/>
      <c r="W39" s="229"/>
      <c r="X39" s="231" t="str">
        <f t="shared" si="30"/>
        <v/>
      </c>
      <c r="Y39" s="232" t="str">
        <f t="shared" si="1"/>
        <v/>
      </c>
      <c r="Z39" s="233" t="str">
        <f t="shared" si="28"/>
        <v/>
      </c>
      <c r="AA39" s="232" t="str">
        <f t="shared" si="3"/>
        <v/>
      </c>
      <c r="AB39" s="233" t="str">
        <f t="shared" si="31"/>
        <v/>
      </c>
      <c r="AC39" s="234" t="str">
        <f t="shared" si="32"/>
        <v/>
      </c>
      <c r="AD39" s="235"/>
      <c r="AE39" s="236"/>
      <c r="AF39" s="237"/>
      <c r="AG39" s="238"/>
      <c r="AH39" s="238"/>
      <c r="AI39" s="236"/>
      <c r="AJ39" s="237"/>
      <c r="AK39" s="237"/>
      <c r="AL39" s="237"/>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row>
    <row r="40" spans="1:67" x14ac:dyDescent="0.3">
      <c r="A40" s="888">
        <v>6</v>
      </c>
      <c r="B40" s="688"/>
      <c r="C40" s="688"/>
      <c r="D40" s="688"/>
      <c r="E40" s="691"/>
      <c r="F40" s="688"/>
      <c r="G40" s="694"/>
      <c r="H40" s="697" t="str">
        <f>IF(G40&lt;=0,"",IF(G40&lt;=2,"Muy Baja",IF(G40&lt;=24,"Baja",IF(G40&lt;=500,"Media",IF(G40&lt;=5000,"Alta","Muy Alta")))))</f>
        <v/>
      </c>
      <c r="I40" s="700" t="str">
        <f>IF(H40="","",IF(H40="Muy Baja",0.2,IF(H40="Baja",0.4,IF(H40="Media",0.6,IF(H40="Alta",0.8,IF(H40="Muy Alta",1,))))))</f>
        <v/>
      </c>
      <c r="J40" s="703"/>
      <c r="K40" s="700">
        <f>IF(NOT(ISERROR(MATCH(J40,'Tabla Impacto'!$B$221:$B$223,0))),'Tabla Impacto'!$F$223&amp;"Por favor no seleccionar los criterios de impacto(Afectación Económica o presupuestal y Pérdida Reputacional)",J40)</f>
        <v>0</v>
      </c>
      <c r="L40" s="885" t="str">
        <f>IF(OR(K40='Tabla Impacto'!$C$11,K40='Tabla Impacto'!$D$11),"Leve",IF(OR(K40='Tabla Impacto'!$C$12,K40='Tabla Impacto'!$D$12),"Menor",IF(OR(K40='Tabla Impacto'!$C$13,K40='Tabla Impacto'!$D$13),"Moderado",IF(OR(K40='Tabla Impacto'!$C$14,K40='Tabla Impacto'!$D$14),"Mayor",IF(OR(K40='Tabla Impacto'!$C$15,K40='Tabla Impacto'!$D$15),"Catastrófico","")))))</f>
        <v/>
      </c>
      <c r="M40" s="700" t="str">
        <f>IF(L40="","",IF(L40="Leve",0.2,IF(L40="Menor",0.4,IF(L40="Moderado",0.6,IF(L40="Mayor",0.8,IF(L40="Catastrófico",1,))))))</f>
        <v/>
      </c>
      <c r="N40" s="70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6">
        <v>1</v>
      </c>
      <c r="P40" s="227"/>
      <c r="Q40" s="228" t="str">
        <f t="shared" si="5"/>
        <v/>
      </c>
      <c r="R40" s="229"/>
      <c r="S40" s="229"/>
      <c r="T40" s="230" t="str">
        <f>IF(AND(R40="Preventivo",S40="Automático"),"50%",IF(AND(R40="Preventivo",S40="Manual"),"40%",IF(AND(R40="Detectivo",S40="Automático"),"40%",IF(AND(R40="Detectivo",S40="Manual"),"30%",IF(AND(R40="Correctivo",S40="Automático"),"35%",IF(AND(R40="Correctivo",S40="Manual"),"25%",""))))))</f>
        <v/>
      </c>
      <c r="U40" s="229"/>
      <c r="V40" s="229"/>
      <c r="W40" s="229"/>
      <c r="X40" s="231" t="str">
        <f>IFERROR(IF(Q40="Probabilidad",(I40-(+I40*T40)),IF(Q40="Impacto",I40,"")),"")</f>
        <v/>
      </c>
      <c r="Y40" s="232" t="str">
        <f>IFERROR(IF(X40="","",IF(X40&lt;=0.2,"Muy Baja",IF(X40&lt;=0.4,"Baja",IF(X40&lt;=0.6,"Media",IF(X40&lt;=0.8,"Alta","Muy Alta"))))),"")</f>
        <v/>
      </c>
      <c r="Z40" s="233" t="str">
        <f>+X40</f>
        <v/>
      </c>
      <c r="AA40" s="232" t="str">
        <f>IFERROR(IF(AB40="","",IF(AB40&lt;=0.2,"Leve",IF(AB40&lt;=0.4,"Menor",IF(AB40&lt;=0.6,"Moderado",IF(AB40&lt;=0.8,"Mayor","Catastrófico"))))),"")</f>
        <v/>
      </c>
      <c r="AB40" s="233" t="str">
        <f>IFERROR(IF(Q40="Impacto",(M40-(+M40*T40)),IF(Q40="Probabilidad",M40,"")),"")</f>
        <v/>
      </c>
      <c r="AC40" s="23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5"/>
      <c r="AE40" s="236"/>
      <c r="AF40" s="237"/>
      <c r="AG40" s="238"/>
      <c r="AH40" s="238"/>
      <c r="AI40" s="236"/>
      <c r="AJ40" s="237"/>
      <c r="AK40" s="237"/>
      <c r="AL40" s="237"/>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row>
    <row r="41" spans="1:67" x14ac:dyDescent="0.3">
      <c r="A41" s="889"/>
      <c r="B41" s="689"/>
      <c r="C41" s="689"/>
      <c r="D41" s="689"/>
      <c r="E41" s="692"/>
      <c r="F41" s="689"/>
      <c r="G41" s="695"/>
      <c r="H41" s="698"/>
      <c r="I41" s="701"/>
      <c r="J41" s="704"/>
      <c r="K41" s="701">
        <f t="shared" ref="K41:K45" si="33">IF(NOT(ISERROR(MATCH(J41,_xlfn.ANCHORARRAY(E52),0))),I54&amp;"Por favor no seleccionar los criterios de impacto",J41)</f>
        <v>0</v>
      </c>
      <c r="L41" s="886"/>
      <c r="M41" s="701"/>
      <c r="N41" s="707"/>
      <c r="O41" s="226">
        <v>2</v>
      </c>
      <c r="P41" s="227"/>
      <c r="Q41" s="228" t="str">
        <f t="shared" si="5"/>
        <v/>
      </c>
      <c r="R41" s="229"/>
      <c r="S41" s="229"/>
      <c r="T41" s="230" t="str">
        <f t="shared" ref="T41:T45" si="34">IF(AND(R41="Preventivo",S41="Automático"),"50%",IF(AND(R41="Preventivo",S41="Manual"),"40%",IF(AND(R41="Detectivo",S41="Automático"),"40%",IF(AND(R41="Detectivo",S41="Manual"),"30%",IF(AND(R41="Correctivo",S41="Automático"),"35%",IF(AND(R41="Correctivo",S41="Manual"),"25%",""))))))</f>
        <v/>
      </c>
      <c r="U41" s="229"/>
      <c r="V41" s="229"/>
      <c r="W41" s="229"/>
      <c r="X41" s="231" t="str">
        <f>IFERROR(IF(AND(Q40="Probabilidad",Q41="Probabilidad"),(Z40-(+Z40*T41)),IF(Q41="Probabilidad",(I40-(+I40*T41)),IF(Q41="Impacto",Z40,""))),"")</f>
        <v/>
      </c>
      <c r="Y41" s="232" t="str">
        <f t="shared" si="1"/>
        <v/>
      </c>
      <c r="Z41" s="233" t="str">
        <f t="shared" ref="Z41:Z45" si="35">+X41</f>
        <v/>
      </c>
      <c r="AA41" s="232" t="str">
        <f t="shared" si="3"/>
        <v/>
      </c>
      <c r="AB41" s="233" t="str">
        <f>IFERROR(IF(AND(Q40="Impacto",Q41="Impacto"),(AB40-(+AB40*T41)),IF(Q41="Impacto",(M40-(+M40*T41)),IF(Q41="Probabilidad",AB40,""))),"")</f>
        <v/>
      </c>
      <c r="AC41" s="23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5"/>
      <c r="AE41" s="236"/>
      <c r="AF41" s="237"/>
      <c r="AG41" s="238"/>
      <c r="AH41" s="238"/>
      <c r="AI41" s="236"/>
      <c r="AJ41" s="237"/>
      <c r="AK41" s="237"/>
      <c r="AL41" s="237"/>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row>
    <row r="42" spans="1:67" x14ac:dyDescent="0.3">
      <c r="A42" s="889"/>
      <c r="B42" s="689"/>
      <c r="C42" s="689"/>
      <c r="D42" s="689"/>
      <c r="E42" s="692"/>
      <c r="F42" s="689"/>
      <c r="G42" s="695"/>
      <c r="H42" s="698"/>
      <c r="I42" s="701"/>
      <c r="J42" s="704"/>
      <c r="K42" s="701">
        <f t="shared" si="33"/>
        <v>0</v>
      </c>
      <c r="L42" s="886"/>
      <c r="M42" s="701"/>
      <c r="N42" s="707"/>
      <c r="O42" s="226">
        <v>3</v>
      </c>
      <c r="P42" s="241"/>
      <c r="Q42" s="228" t="str">
        <f t="shared" si="5"/>
        <v/>
      </c>
      <c r="R42" s="229"/>
      <c r="S42" s="229"/>
      <c r="T42" s="230" t="str">
        <f t="shared" si="34"/>
        <v/>
      </c>
      <c r="U42" s="229"/>
      <c r="V42" s="229"/>
      <c r="W42" s="229"/>
      <c r="X42" s="231" t="str">
        <f>IFERROR(IF(AND(Q41="Probabilidad",Q42="Probabilidad"),(Z41-(+Z41*T42)),IF(AND(Q41="Impacto",Q42="Probabilidad"),(Z40-(+Z40*T42)),IF(Q42="Impacto",Z41,""))),"")</f>
        <v/>
      </c>
      <c r="Y42" s="232" t="str">
        <f t="shared" si="1"/>
        <v/>
      </c>
      <c r="Z42" s="233" t="str">
        <f t="shared" si="35"/>
        <v/>
      </c>
      <c r="AA42" s="232" t="str">
        <f t="shared" si="3"/>
        <v/>
      </c>
      <c r="AB42" s="233" t="str">
        <f>IFERROR(IF(AND(Q41="Impacto",Q42="Impacto"),(AB41-(+AB41*T42)),IF(AND(Q41="Probabilidad",Q42="Impacto"),(AB40-(+AB40*T42)),IF(Q42="Probabilidad",AB41,""))),"")</f>
        <v/>
      </c>
      <c r="AC42" s="234" t="str">
        <f t="shared" si="36"/>
        <v/>
      </c>
      <c r="AD42" s="235"/>
      <c r="AE42" s="236"/>
      <c r="AF42" s="237"/>
      <c r="AG42" s="238"/>
      <c r="AH42" s="238"/>
      <c r="AI42" s="236"/>
      <c r="AJ42" s="237"/>
      <c r="AK42" s="237"/>
      <c r="AL42" s="237"/>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row>
    <row r="43" spans="1:67" x14ac:dyDescent="0.3">
      <c r="A43" s="889"/>
      <c r="B43" s="689"/>
      <c r="C43" s="689"/>
      <c r="D43" s="689"/>
      <c r="E43" s="692"/>
      <c r="F43" s="689"/>
      <c r="G43" s="695"/>
      <c r="H43" s="698"/>
      <c r="I43" s="701"/>
      <c r="J43" s="704"/>
      <c r="K43" s="701">
        <f t="shared" si="33"/>
        <v>0</v>
      </c>
      <c r="L43" s="886"/>
      <c r="M43" s="701"/>
      <c r="N43" s="707"/>
      <c r="O43" s="226">
        <v>4</v>
      </c>
      <c r="P43" s="227"/>
      <c r="Q43" s="228" t="str">
        <f t="shared" si="5"/>
        <v/>
      </c>
      <c r="R43" s="229"/>
      <c r="S43" s="229"/>
      <c r="T43" s="230" t="str">
        <f t="shared" si="34"/>
        <v/>
      </c>
      <c r="U43" s="229"/>
      <c r="V43" s="229"/>
      <c r="W43" s="229"/>
      <c r="X43" s="231" t="str">
        <f t="shared" ref="X43:X45" si="37">IFERROR(IF(AND(Q42="Probabilidad",Q43="Probabilidad"),(Z42-(+Z42*T43)),IF(AND(Q42="Impacto",Q43="Probabilidad"),(Z41-(+Z41*T43)),IF(Q43="Impacto",Z42,""))),"")</f>
        <v/>
      </c>
      <c r="Y43" s="232" t="str">
        <f t="shared" si="1"/>
        <v/>
      </c>
      <c r="Z43" s="233" t="str">
        <f t="shared" si="35"/>
        <v/>
      </c>
      <c r="AA43" s="232" t="str">
        <f t="shared" si="3"/>
        <v/>
      </c>
      <c r="AB43" s="233" t="str">
        <f t="shared" ref="AB43:AB45" si="38">IFERROR(IF(AND(Q42="Impacto",Q43="Impacto"),(AB42-(+AB42*T43)),IF(AND(Q42="Probabilidad",Q43="Impacto"),(AB41-(+AB41*T43)),IF(Q43="Probabilidad",AB42,""))),"")</f>
        <v/>
      </c>
      <c r="AC43" s="23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5"/>
      <c r="AE43" s="236"/>
      <c r="AF43" s="237"/>
      <c r="AG43" s="238"/>
      <c r="AH43" s="238"/>
      <c r="AI43" s="236"/>
      <c r="AJ43" s="237"/>
      <c r="AK43" s="237"/>
      <c r="AL43" s="237"/>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row>
    <row r="44" spans="1:67" x14ac:dyDescent="0.3">
      <c r="A44" s="889"/>
      <c r="B44" s="689"/>
      <c r="C44" s="689"/>
      <c r="D44" s="689"/>
      <c r="E44" s="692"/>
      <c r="F44" s="689"/>
      <c r="G44" s="695"/>
      <c r="H44" s="698"/>
      <c r="I44" s="701"/>
      <c r="J44" s="704"/>
      <c r="K44" s="701">
        <f t="shared" si="33"/>
        <v>0</v>
      </c>
      <c r="L44" s="886"/>
      <c r="M44" s="701"/>
      <c r="N44" s="707"/>
      <c r="O44" s="226">
        <v>5</v>
      </c>
      <c r="P44" s="227"/>
      <c r="Q44" s="228" t="str">
        <f t="shared" si="5"/>
        <v/>
      </c>
      <c r="R44" s="229"/>
      <c r="S44" s="229"/>
      <c r="T44" s="230" t="str">
        <f t="shared" si="34"/>
        <v/>
      </c>
      <c r="U44" s="229"/>
      <c r="V44" s="229"/>
      <c r="W44" s="229"/>
      <c r="X44" s="231" t="str">
        <f t="shared" si="37"/>
        <v/>
      </c>
      <c r="Y44" s="232" t="str">
        <f t="shared" si="1"/>
        <v/>
      </c>
      <c r="Z44" s="233" t="str">
        <f t="shared" si="35"/>
        <v/>
      </c>
      <c r="AA44" s="232" t="str">
        <f t="shared" si="3"/>
        <v/>
      </c>
      <c r="AB44" s="233" t="str">
        <f t="shared" si="38"/>
        <v/>
      </c>
      <c r="AC44" s="234"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5"/>
      <c r="AE44" s="236"/>
      <c r="AF44" s="237"/>
      <c r="AG44" s="238"/>
      <c r="AH44" s="238"/>
      <c r="AI44" s="236"/>
      <c r="AJ44" s="237"/>
      <c r="AK44" s="237"/>
      <c r="AL44" s="237"/>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row>
    <row r="45" spans="1:67" x14ac:dyDescent="0.3">
      <c r="A45" s="890"/>
      <c r="B45" s="690"/>
      <c r="C45" s="690"/>
      <c r="D45" s="690"/>
      <c r="E45" s="693"/>
      <c r="F45" s="690"/>
      <c r="G45" s="696"/>
      <c r="H45" s="699"/>
      <c r="I45" s="702"/>
      <c r="J45" s="705"/>
      <c r="K45" s="702">
        <f t="shared" si="33"/>
        <v>0</v>
      </c>
      <c r="L45" s="887"/>
      <c r="M45" s="702"/>
      <c r="N45" s="708"/>
      <c r="O45" s="226">
        <v>6</v>
      </c>
      <c r="P45" s="227"/>
      <c r="Q45" s="228" t="str">
        <f t="shared" si="5"/>
        <v/>
      </c>
      <c r="R45" s="229"/>
      <c r="S45" s="229"/>
      <c r="T45" s="230" t="str">
        <f t="shared" si="34"/>
        <v/>
      </c>
      <c r="U45" s="229"/>
      <c r="V45" s="229"/>
      <c r="W45" s="229"/>
      <c r="X45" s="231" t="str">
        <f t="shared" si="37"/>
        <v/>
      </c>
      <c r="Y45" s="232" t="str">
        <f t="shared" si="1"/>
        <v/>
      </c>
      <c r="Z45" s="233" t="str">
        <f t="shared" si="35"/>
        <v/>
      </c>
      <c r="AA45" s="232" t="str">
        <f>IFERROR(IF(AB45="","",IF(AB45&lt;=0.2,"Leve",IF(AB45&lt;=0.4,"Menor",IF(AB45&lt;=0.6,"Moderado",IF(AB45&lt;=0.8,"Mayor","Catastrófico"))))),"")</f>
        <v/>
      </c>
      <c r="AB45" s="233" t="str">
        <f t="shared" si="38"/>
        <v/>
      </c>
      <c r="AC45" s="23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5"/>
      <c r="AE45" s="236"/>
      <c r="AF45" s="237"/>
      <c r="AG45" s="238"/>
      <c r="AH45" s="238"/>
      <c r="AI45" s="236"/>
      <c r="AJ45" s="237"/>
      <c r="AK45" s="237"/>
      <c r="AL45" s="237"/>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row>
    <row r="46" spans="1:67" x14ac:dyDescent="0.3">
      <c r="A46" s="888">
        <v>7</v>
      </c>
      <c r="B46" s="688"/>
      <c r="C46" s="688"/>
      <c r="D46" s="688"/>
      <c r="E46" s="691"/>
      <c r="F46" s="688"/>
      <c r="G46" s="694"/>
      <c r="H46" s="697" t="str">
        <f>IF(G46&lt;=0,"",IF(G46&lt;=2,"Muy Baja",IF(G46&lt;=24,"Baja",IF(G46&lt;=500,"Media",IF(G46&lt;=5000,"Alta","Muy Alta")))))</f>
        <v/>
      </c>
      <c r="I46" s="700" t="str">
        <f>IF(H46="","",IF(H46="Muy Baja",0.2,IF(H46="Baja",0.4,IF(H46="Media",0.6,IF(H46="Alta",0.8,IF(H46="Muy Alta",1,))))))</f>
        <v/>
      </c>
      <c r="J46" s="703"/>
      <c r="K46" s="700">
        <f>IF(NOT(ISERROR(MATCH(J46,'Tabla Impacto'!$B$221:$B$223,0))),'Tabla Impacto'!$F$223&amp;"Por favor no seleccionar los criterios de impacto(Afectación Económica o presupuestal y Pérdida Reputacional)",J46)</f>
        <v>0</v>
      </c>
      <c r="L46" s="885" t="str">
        <f>IF(OR(K46='Tabla Impacto'!$C$11,K46='Tabla Impacto'!$D$11),"Leve",IF(OR(K46='Tabla Impacto'!$C$12,K46='Tabla Impacto'!$D$12),"Menor",IF(OR(K46='Tabla Impacto'!$C$13,K46='Tabla Impacto'!$D$13),"Moderado",IF(OR(K46='Tabla Impacto'!$C$14,K46='Tabla Impacto'!$D$14),"Mayor",IF(OR(K46='Tabla Impacto'!$C$15,K46='Tabla Impacto'!$D$15),"Catastrófico","")))))</f>
        <v/>
      </c>
      <c r="M46" s="700" t="str">
        <f>IF(L46="","",IF(L46="Leve",0.2,IF(L46="Menor",0.4,IF(L46="Moderado",0.6,IF(L46="Mayor",0.8,IF(L46="Catastrófico",1,))))))</f>
        <v/>
      </c>
      <c r="N46" s="70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6">
        <v>1</v>
      </c>
      <c r="P46" s="227"/>
      <c r="Q46" s="228" t="str">
        <f t="shared" si="5"/>
        <v/>
      </c>
      <c r="R46" s="229"/>
      <c r="S46" s="229"/>
      <c r="T46" s="230" t="str">
        <f>IF(AND(R46="Preventivo",S46="Automático"),"50%",IF(AND(R46="Preventivo",S46="Manual"),"40%",IF(AND(R46="Detectivo",S46="Automático"),"40%",IF(AND(R46="Detectivo",S46="Manual"),"30%",IF(AND(R46="Correctivo",S46="Automático"),"35%",IF(AND(R46="Correctivo",S46="Manual"),"25%",""))))))</f>
        <v/>
      </c>
      <c r="U46" s="229"/>
      <c r="V46" s="229"/>
      <c r="W46" s="229"/>
      <c r="X46" s="231" t="str">
        <f>IFERROR(IF(Q46="Probabilidad",(I46-(+I46*T46)),IF(Q46="Impacto",I46,"")),"")</f>
        <v/>
      </c>
      <c r="Y46" s="232" t="str">
        <f>IFERROR(IF(X46="","",IF(X46&lt;=0.2,"Muy Baja",IF(X46&lt;=0.4,"Baja",IF(X46&lt;=0.6,"Media",IF(X46&lt;=0.8,"Alta","Muy Alta"))))),"")</f>
        <v/>
      </c>
      <c r="Z46" s="233" t="str">
        <f>+X46</f>
        <v/>
      </c>
      <c r="AA46" s="232" t="str">
        <f>IFERROR(IF(AB46="","",IF(AB46&lt;=0.2,"Leve",IF(AB46&lt;=0.4,"Menor",IF(AB46&lt;=0.6,"Moderado",IF(AB46&lt;=0.8,"Mayor","Catastrófico"))))),"")</f>
        <v/>
      </c>
      <c r="AB46" s="233" t="str">
        <f>IFERROR(IF(Q46="Impacto",(M46-(+M46*T46)),IF(Q46="Probabilidad",M46,"")),"")</f>
        <v/>
      </c>
      <c r="AC46" s="23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5"/>
      <c r="AE46" s="236"/>
      <c r="AF46" s="237"/>
      <c r="AG46" s="238"/>
      <c r="AH46" s="238"/>
      <c r="AI46" s="236"/>
      <c r="AJ46" s="237"/>
      <c r="AK46" s="237"/>
      <c r="AL46" s="237"/>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row>
    <row r="47" spans="1:67" x14ac:dyDescent="0.3">
      <c r="A47" s="889"/>
      <c r="B47" s="689"/>
      <c r="C47" s="689"/>
      <c r="D47" s="689"/>
      <c r="E47" s="692"/>
      <c r="F47" s="689"/>
      <c r="G47" s="695"/>
      <c r="H47" s="698"/>
      <c r="I47" s="701"/>
      <c r="J47" s="704"/>
      <c r="K47" s="701">
        <f t="shared" ref="K47:K51" si="40">IF(NOT(ISERROR(MATCH(J47,_xlfn.ANCHORARRAY(E58),0))),I60&amp;"Por favor no seleccionar los criterios de impacto",J47)</f>
        <v>0</v>
      </c>
      <c r="L47" s="886"/>
      <c r="M47" s="701"/>
      <c r="N47" s="707"/>
      <c r="O47" s="226">
        <v>2</v>
      </c>
      <c r="P47" s="227"/>
      <c r="Q47" s="228" t="str">
        <f t="shared" si="5"/>
        <v/>
      </c>
      <c r="R47" s="229"/>
      <c r="S47" s="229"/>
      <c r="T47" s="230" t="str">
        <f t="shared" ref="T47:T51" si="41">IF(AND(R47="Preventivo",S47="Automático"),"50%",IF(AND(R47="Preventivo",S47="Manual"),"40%",IF(AND(R47="Detectivo",S47="Automático"),"40%",IF(AND(R47="Detectivo",S47="Manual"),"30%",IF(AND(R47="Correctivo",S47="Automático"),"35%",IF(AND(R47="Correctivo",S47="Manual"),"25%",""))))))</f>
        <v/>
      </c>
      <c r="U47" s="229"/>
      <c r="V47" s="229"/>
      <c r="W47" s="229"/>
      <c r="X47" s="231" t="str">
        <f>IFERROR(IF(AND(Q46="Probabilidad",Q47="Probabilidad"),(Z46-(+Z46*T47)),IF(Q47="Probabilidad",(I46-(+I46*T47)),IF(Q47="Impacto",Z46,""))),"")</f>
        <v/>
      </c>
      <c r="Y47" s="232" t="str">
        <f t="shared" si="1"/>
        <v/>
      </c>
      <c r="Z47" s="233" t="str">
        <f t="shared" ref="Z47:Z51" si="42">+X47</f>
        <v/>
      </c>
      <c r="AA47" s="232" t="str">
        <f t="shared" si="3"/>
        <v/>
      </c>
      <c r="AB47" s="233" t="str">
        <f>IFERROR(IF(AND(Q46="Impacto",Q47="Impacto"),(AB46-(+AB46*T47)),IF(Q47="Impacto",(M46-(+M46*T47)),IF(Q47="Probabilidad",AB46,""))),"")</f>
        <v/>
      </c>
      <c r="AC47" s="234"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5"/>
      <c r="AE47" s="236"/>
      <c r="AF47" s="237"/>
      <c r="AG47" s="238"/>
      <c r="AH47" s="238"/>
      <c r="AI47" s="236"/>
      <c r="AJ47" s="237"/>
      <c r="AK47" s="237"/>
      <c r="AL47" s="237"/>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row>
    <row r="48" spans="1:67" x14ac:dyDescent="0.3">
      <c r="A48" s="889"/>
      <c r="B48" s="689"/>
      <c r="C48" s="689"/>
      <c r="D48" s="689"/>
      <c r="E48" s="692"/>
      <c r="F48" s="689"/>
      <c r="G48" s="695"/>
      <c r="H48" s="698"/>
      <c r="I48" s="701"/>
      <c r="J48" s="704"/>
      <c r="K48" s="701">
        <f t="shared" si="40"/>
        <v>0</v>
      </c>
      <c r="L48" s="886"/>
      <c r="M48" s="701"/>
      <c r="N48" s="707"/>
      <c r="O48" s="226">
        <v>3</v>
      </c>
      <c r="P48" s="241"/>
      <c r="Q48" s="228" t="str">
        <f t="shared" si="5"/>
        <v/>
      </c>
      <c r="R48" s="229"/>
      <c r="S48" s="229"/>
      <c r="T48" s="230" t="str">
        <f t="shared" si="41"/>
        <v/>
      </c>
      <c r="U48" s="229"/>
      <c r="V48" s="229"/>
      <c r="W48" s="229"/>
      <c r="X48" s="231" t="str">
        <f>IFERROR(IF(AND(Q47="Probabilidad",Q48="Probabilidad"),(Z47-(+Z47*T48)),IF(AND(Q47="Impacto",Q48="Probabilidad"),(Z46-(+Z46*T48)),IF(Q48="Impacto",Z47,""))),"")</f>
        <v/>
      </c>
      <c r="Y48" s="232" t="str">
        <f t="shared" si="1"/>
        <v/>
      </c>
      <c r="Z48" s="233" t="str">
        <f t="shared" si="42"/>
        <v/>
      </c>
      <c r="AA48" s="232" t="str">
        <f t="shared" si="3"/>
        <v/>
      </c>
      <c r="AB48" s="233" t="str">
        <f>IFERROR(IF(AND(Q47="Impacto",Q48="Impacto"),(AB47-(+AB47*T48)),IF(AND(Q47="Probabilidad",Q48="Impacto"),(AB46-(+AB46*T48)),IF(Q48="Probabilidad",AB47,""))),"")</f>
        <v/>
      </c>
      <c r="AC48" s="234" t="str">
        <f t="shared" si="43"/>
        <v/>
      </c>
      <c r="AD48" s="235"/>
      <c r="AE48" s="236"/>
      <c r="AF48" s="237"/>
      <c r="AG48" s="238"/>
      <c r="AH48" s="238"/>
      <c r="AI48" s="236"/>
      <c r="AJ48" s="237"/>
      <c r="AK48" s="237"/>
      <c r="AL48" s="237"/>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row>
    <row r="49" spans="1:67" x14ac:dyDescent="0.3">
      <c r="A49" s="889"/>
      <c r="B49" s="689"/>
      <c r="C49" s="689"/>
      <c r="D49" s="689"/>
      <c r="E49" s="692"/>
      <c r="F49" s="689"/>
      <c r="G49" s="695"/>
      <c r="H49" s="698"/>
      <c r="I49" s="701"/>
      <c r="J49" s="704"/>
      <c r="K49" s="701">
        <f t="shared" si="40"/>
        <v>0</v>
      </c>
      <c r="L49" s="886"/>
      <c r="M49" s="701"/>
      <c r="N49" s="707"/>
      <c r="O49" s="226">
        <v>4</v>
      </c>
      <c r="P49" s="227"/>
      <c r="Q49" s="228" t="str">
        <f t="shared" si="5"/>
        <v/>
      </c>
      <c r="R49" s="229"/>
      <c r="S49" s="229"/>
      <c r="T49" s="230" t="str">
        <f t="shared" si="41"/>
        <v/>
      </c>
      <c r="U49" s="229"/>
      <c r="V49" s="229"/>
      <c r="W49" s="229"/>
      <c r="X49" s="231" t="str">
        <f t="shared" ref="X49:X51" si="44">IFERROR(IF(AND(Q48="Probabilidad",Q49="Probabilidad"),(Z48-(+Z48*T49)),IF(AND(Q48="Impacto",Q49="Probabilidad"),(Z47-(+Z47*T49)),IF(Q49="Impacto",Z48,""))),"")</f>
        <v/>
      </c>
      <c r="Y49" s="232" t="str">
        <f t="shared" si="1"/>
        <v/>
      </c>
      <c r="Z49" s="233" t="str">
        <f t="shared" si="42"/>
        <v/>
      </c>
      <c r="AA49" s="232" t="str">
        <f t="shared" si="3"/>
        <v/>
      </c>
      <c r="AB49" s="233" t="str">
        <f t="shared" ref="AB49:AB51" si="45">IFERROR(IF(AND(Q48="Impacto",Q49="Impacto"),(AB48-(+AB48*T49)),IF(AND(Q48="Probabilidad",Q49="Impacto"),(AB47-(+AB47*T49)),IF(Q49="Probabilidad",AB48,""))),"")</f>
        <v/>
      </c>
      <c r="AC49" s="23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5"/>
      <c r="AE49" s="236"/>
      <c r="AF49" s="237"/>
      <c r="AG49" s="238"/>
      <c r="AH49" s="238"/>
      <c r="AI49" s="236"/>
      <c r="AJ49" s="237"/>
      <c r="AK49" s="237"/>
      <c r="AL49" s="237"/>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row>
    <row r="50" spans="1:67" x14ac:dyDescent="0.3">
      <c r="A50" s="889"/>
      <c r="B50" s="689"/>
      <c r="C50" s="689"/>
      <c r="D50" s="689"/>
      <c r="E50" s="692"/>
      <c r="F50" s="689"/>
      <c r="G50" s="695"/>
      <c r="H50" s="698"/>
      <c r="I50" s="701"/>
      <c r="J50" s="704"/>
      <c r="K50" s="701">
        <f t="shared" si="40"/>
        <v>0</v>
      </c>
      <c r="L50" s="886"/>
      <c r="M50" s="701"/>
      <c r="N50" s="707"/>
      <c r="O50" s="226">
        <v>5</v>
      </c>
      <c r="P50" s="227"/>
      <c r="Q50" s="228" t="str">
        <f t="shared" si="5"/>
        <v/>
      </c>
      <c r="R50" s="229"/>
      <c r="S50" s="229"/>
      <c r="T50" s="230" t="str">
        <f t="shared" si="41"/>
        <v/>
      </c>
      <c r="U50" s="229"/>
      <c r="V50" s="229"/>
      <c r="W50" s="229"/>
      <c r="X50" s="231" t="str">
        <f t="shared" si="44"/>
        <v/>
      </c>
      <c r="Y50" s="232" t="str">
        <f t="shared" si="1"/>
        <v/>
      </c>
      <c r="Z50" s="233" t="str">
        <f t="shared" si="42"/>
        <v/>
      </c>
      <c r="AA50" s="232" t="str">
        <f t="shared" si="3"/>
        <v/>
      </c>
      <c r="AB50" s="233" t="str">
        <f t="shared" si="45"/>
        <v/>
      </c>
      <c r="AC50" s="234"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5"/>
      <c r="AE50" s="236"/>
      <c r="AF50" s="237"/>
      <c r="AG50" s="238"/>
      <c r="AH50" s="238"/>
      <c r="AI50" s="236"/>
      <c r="AJ50" s="237"/>
      <c r="AK50" s="237"/>
      <c r="AL50" s="237"/>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row>
    <row r="51" spans="1:67" x14ac:dyDescent="0.3">
      <c r="A51" s="890"/>
      <c r="B51" s="690"/>
      <c r="C51" s="690"/>
      <c r="D51" s="690"/>
      <c r="E51" s="693"/>
      <c r="F51" s="690"/>
      <c r="G51" s="696"/>
      <c r="H51" s="699"/>
      <c r="I51" s="702"/>
      <c r="J51" s="705"/>
      <c r="K51" s="702">
        <f t="shared" si="40"/>
        <v>0</v>
      </c>
      <c r="L51" s="887"/>
      <c r="M51" s="702"/>
      <c r="N51" s="708"/>
      <c r="O51" s="226">
        <v>6</v>
      </c>
      <c r="P51" s="227"/>
      <c r="Q51" s="228" t="str">
        <f t="shared" si="5"/>
        <v/>
      </c>
      <c r="R51" s="229"/>
      <c r="S51" s="229"/>
      <c r="T51" s="230" t="str">
        <f t="shared" si="41"/>
        <v/>
      </c>
      <c r="U51" s="229"/>
      <c r="V51" s="229"/>
      <c r="W51" s="229"/>
      <c r="X51" s="231" t="str">
        <f t="shared" si="44"/>
        <v/>
      </c>
      <c r="Y51" s="232" t="str">
        <f t="shared" si="1"/>
        <v/>
      </c>
      <c r="Z51" s="233" t="str">
        <f t="shared" si="42"/>
        <v/>
      </c>
      <c r="AA51" s="232" t="str">
        <f t="shared" si="3"/>
        <v/>
      </c>
      <c r="AB51" s="233" t="str">
        <f t="shared" si="45"/>
        <v/>
      </c>
      <c r="AC51" s="234" t="str">
        <f t="shared" si="46"/>
        <v/>
      </c>
      <c r="AD51" s="235"/>
      <c r="AE51" s="236"/>
      <c r="AF51" s="237"/>
      <c r="AG51" s="238"/>
      <c r="AH51" s="238"/>
      <c r="AI51" s="236"/>
      <c r="AJ51" s="237"/>
      <c r="AK51" s="237"/>
      <c r="AL51" s="237"/>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row>
    <row r="52" spans="1:67" x14ac:dyDescent="0.3">
      <c r="A52" s="888">
        <v>8</v>
      </c>
      <c r="B52" s="688"/>
      <c r="C52" s="688"/>
      <c r="D52" s="688"/>
      <c r="E52" s="691"/>
      <c r="F52" s="688"/>
      <c r="G52" s="694"/>
      <c r="H52" s="697" t="str">
        <f>IF(G52&lt;=0,"",IF(G52&lt;=2,"Muy Baja",IF(G52&lt;=24,"Baja",IF(G52&lt;=500,"Media",IF(G52&lt;=5000,"Alta","Muy Alta")))))</f>
        <v/>
      </c>
      <c r="I52" s="700" t="str">
        <f>IF(H52="","",IF(H52="Muy Baja",0.2,IF(H52="Baja",0.4,IF(H52="Media",0.6,IF(H52="Alta",0.8,IF(H52="Muy Alta",1,))))))</f>
        <v/>
      </c>
      <c r="J52" s="703"/>
      <c r="K52" s="700">
        <f>IF(NOT(ISERROR(MATCH(J52,'Tabla Impacto'!$B$221:$B$223,0))),'Tabla Impacto'!$F$223&amp;"Por favor no seleccionar los criterios de impacto(Afectación Económica o presupuestal y Pérdida Reputacional)",J52)</f>
        <v>0</v>
      </c>
      <c r="L52" s="885" t="str">
        <f>IF(OR(K52='Tabla Impacto'!$C$11,K52='Tabla Impacto'!$D$11),"Leve",IF(OR(K52='Tabla Impacto'!$C$12,K52='Tabla Impacto'!$D$12),"Menor",IF(OR(K52='Tabla Impacto'!$C$13,K52='Tabla Impacto'!$D$13),"Moderado",IF(OR(K52='Tabla Impacto'!$C$14,K52='Tabla Impacto'!$D$14),"Mayor",IF(OR(K52='Tabla Impacto'!$C$15,K52='Tabla Impacto'!$D$15),"Catastrófico","")))))</f>
        <v/>
      </c>
      <c r="M52" s="700" t="str">
        <f>IF(L52="","",IF(L52="Leve",0.2,IF(L52="Menor",0.4,IF(L52="Moderado",0.6,IF(L52="Mayor",0.8,IF(L52="Catastrófico",1,))))))</f>
        <v/>
      </c>
      <c r="N52" s="70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6">
        <v>1</v>
      </c>
      <c r="P52" s="227"/>
      <c r="Q52" s="228" t="str">
        <f t="shared" si="5"/>
        <v/>
      </c>
      <c r="R52" s="229"/>
      <c r="S52" s="229"/>
      <c r="T52" s="230" t="str">
        <f>IF(AND(R52="Preventivo",S52="Automático"),"50%",IF(AND(R52="Preventivo",S52="Manual"),"40%",IF(AND(R52="Detectivo",S52="Automático"),"40%",IF(AND(R52="Detectivo",S52="Manual"),"30%",IF(AND(R52="Correctivo",S52="Automático"),"35%",IF(AND(R52="Correctivo",S52="Manual"),"25%",""))))))</f>
        <v/>
      </c>
      <c r="U52" s="229"/>
      <c r="V52" s="229"/>
      <c r="W52" s="229"/>
      <c r="X52" s="231" t="str">
        <f>IFERROR(IF(Q52="Probabilidad",(I52-(+I52*T52)),IF(Q52="Impacto",I52,"")),"")</f>
        <v/>
      </c>
      <c r="Y52" s="232" t="str">
        <f>IFERROR(IF(X52="","",IF(X52&lt;=0.2,"Muy Baja",IF(X52&lt;=0.4,"Baja",IF(X52&lt;=0.6,"Media",IF(X52&lt;=0.8,"Alta","Muy Alta"))))),"")</f>
        <v/>
      </c>
      <c r="Z52" s="233" t="str">
        <f>+X52</f>
        <v/>
      </c>
      <c r="AA52" s="232" t="str">
        <f>IFERROR(IF(AB52="","",IF(AB52&lt;=0.2,"Leve",IF(AB52&lt;=0.4,"Menor",IF(AB52&lt;=0.6,"Moderado",IF(AB52&lt;=0.8,"Mayor","Catastrófico"))))),"")</f>
        <v/>
      </c>
      <c r="AB52" s="233" t="str">
        <f>IFERROR(IF(Q52="Impacto",(M52-(+M52*T52)),IF(Q52="Probabilidad",M52,"")),"")</f>
        <v/>
      </c>
      <c r="AC52" s="23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5"/>
      <c r="AE52" s="236"/>
      <c r="AF52" s="237"/>
      <c r="AG52" s="238"/>
      <c r="AH52" s="238"/>
      <c r="AI52" s="236"/>
      <c r="AJ52" s="237"/>
      <c r="AK52" s="237"/>
      <c r="AL52" s="237"/>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row>
    <row r="53" spans="1:67" x14ac:dyDescent="0.3">
      <c r="A53" s="889"/>
      <c r="B53" s="689"/>
      <c r="C53" s="689"/>
      <c r="D53" s="689"/>
      <c r="E53" s="692"/>
      <c r="F53" s="689"/>
      <c r="G53" s="695"/>
      <c r="H53" s="698"/>
      <c r="I53" s="701"/>
      <c r="J53" s="704"/>
      <c r="K53" s="701">
        <f>IF(NOT(ISERROR(MATCH(J53,_xlfn.ANCHORARRAY(E64),0))),I66&amp;"Por favor no seleccionar los criterios de impacto",J53)</f>
        <v>0</v>
      </c>
      <c r="L53" s="886"/>
      <c r="M53" s="701"/>
      <c r="N53" s="707"/>
      <c r="O53" s="226">
        <v>2</v>
      </c>
      <c r="P53" s="227"/>
      <c r="Q53" s="228" t="str">
        <f t="shared" si="5"/>
        <v/>
      </c>
      <c r="R53" s="229"/>
      <c r="S53" s="229"/>
      <c r="T53" s="230" t="str">
        <f t="shared" ref="T53:T57" si="47">IF(AND(R53="Preventivo",S53="Automático"),"50%",IF(AND(R53="Preventivo",S53="Manual"),"40%",IF(AND(R53="Detectivo",S53="Automático"),"40%",IF(AND(R53="Detectivo",S53="Manual"),"30%",IF(AND(R53="Correctivo",S53="Automático"),"35%",IF(AND(R53="Correctivo",S53="Manual"),"25%",""))))))</f>
        <v/>
      </c>
      <c r="U53" s="229"/>
      <c r="V53" s="229"/>
      <c r="W53" s="229"/>
      <c r="X53" s="231" t="str">
        <f>IFERROR(IF(AND(Q52="Probabilidad",Q53="Probabilidad"),(Z52-(+Z52*T53)),IF(Q53="Probabilidad",(I52-(+I52*T53)),IF(Q53="Impacto",Z52,""))),"")</f>
        <v/>
      </c>
      <c r="Y53" s="232" t="str">
        <f t="shared" si="1"/>
        <v/>
      </c>
      <c r="Z53" s="233" t="str">
        <f t="shared" ref="Z53:Z57" si="48">+X53</f>
        <v/>
      </c>
      <c r="AA53" s="232" t="str">
        <f t="shared" si="3"/>
        <v/>
      </c>
      <c r="AB53" s="233" t="str">
        <f>IFERROR(IF(AND(Q52="Impacto",Q53="Impacto"),(AB52-(+AB52*T53)),IF(Q53="Impacto",(M52-(+M52*T53)),IF(Q53="Probabilidad",AB52,""))),"")</f>
        <v/>
      </c>
      <c r="AC53" s="234"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5"/>
      <c r="AE53" s="236"/>
      <c r="AF53" s="237"/>
      <c r="AG53" s="238"/>
      <c r="AH53" s="238"/>
      <c r="AI53" s="236"/>
      <c r="AJ53" s="237"/>
      <c r="AK53" s="237"/>
      <c r="AL53" s="237"/>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row>
    <row r="54" spans="1:67" x14ac:dyDescent="0.3">
      <c r="A54" s="889"/>
      <c r="B54" s="689"/>
      <c r="C54" s="689"/>
      <c r="D54" s="689"/>
      <c r="E54" s="692"/>
      <c r="F54" s="689"/>
      <c r="G54" s="695"/>
      <c r="H54" s="698"/>
      <c r="I54" s="701"/>
      <c r="J54" s="704"/>
      <c r="K54" s="701">
        <f>IF(NOT(ISERROR(MATCH(J54,_xlfn.ANCHORARRAY(E65),0))),I67&amp;"Por favor no seleccionar los criterios de impacto",J54)</f>
        <v>0</v>
      </c>
      <c r="L54" s="886"/>
      <c r="M54" s="701"/>
      <c r="N54" s="707"/>
      <c r="O54" s="226">
        <v>3</v>
      </c>
      <c r="P54" s="241"/>
      <c r="Q54" s="228" t="str">
        <f t="shared" si="5"/>
        <v/>
      </c>
      <c r="R54" s="229"/>
      <c r="S54" s="229"/>
      <c r="T54" s="230" t="str">
        <f t="shared" si="47"/>
        <v/>
      </c>
      <c r="U54" s="229"/>
      <c r="V54" s="229"/>
      <c r="W54" s="229"/>
      <c r="X54" s="231" t="str">
        <f>IFERROR(IF(AND(Q53="Probabilidad",Q54="Probabilidad"),(Z53-(+Z53*T54)),IF(AND(Q53="Impacto",Q54="Probabilidad"),(Z52-(+Z52*T54)),IF(Q54="Impacto",Z53,""))),"")</f>
        <v/>
      </c>
      <c r="Y54" s="232" t="str">
        <f t="shared" si="1"/>
        <v/>
      </c>
      <c r="Z54" s="233" t="str">
        <f t="shared" si="48"/>
        <v/>
      </c>
      <c r="AA54" s="232" t="str">
        <f t="shared" si="3"/>
        <v/>
      </c>
      <c r="AB54" s="233" t="str">
        <f>IFERROR(IF(AND(Q53="Impacto",Q54="Impacto"),(AB53-(+AB53*T54)),IF(AND(Q53="Probabilidad",Q54="Impacto"),(AB52-(+AB52*T54)),IF(Q54="Probabilidad",AB53,""))),"")</f>
        <v/>
      </c>
      <c r="AC54" s="234" t="str">
        <f t="shared" si="49"/>
        <v/>
      </c>
      <c r="AD54" s="235"/>
      <c r="AE54" s="236"/>
      <c r="AF54" s="237"/>
      <c r="AG54" s="238"/>
      <c r="AH54" s="238"/>
      <c r="AI54" s="236"/>
      <c r="AJ54" s="237"/>
      <c r="AK54" s="237"/>
      <c r="AL54" s="237"/>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row>
    <row r="55" spans="1:67" x14ac:dyDescent="0.3">
      <c r="A55" s="889"/>
      <c r="B55" s="689"/>
      <c r="C55" s="689"/>
      <c r="D55" s="689"/>
      <c r="E55" s="692"/>
      <c r="F55" s="689"/>
      <c r="G55" s="695"/>
      <c r="H55" s="698"/>
      <c r="I55" s="701"/>
      <c r="J55" s="704"/>
      <c r="K55" s="701">
        <f>IF(NOT(ISERROR(MATCH(J55,_xlfn.ANCHORARRAY(E66),0))),I68&amp;"Por favor no seleccionar los criterios de impacto",J55)</f>
        <v>0</v>
      </c>
      <c r="L55" s="886"/>
      <c r="M55" s="701"/>
      <c r="N55" s="707"/>
      <c r="O55" s="226">
        <v>4</v>
      </c>
      <c r="P55" s="227"/>
      <c r="Q55" s="228" t="str">
        <f t="shared" si="5"/>
        <v/>
      </c>
      <c r="R55" s="229"/>
      <c r="S55" s="229"/>
      <c r="T55" s="230" t="str">
        <f t="shared" si="47"/>
        <v/>
      </c>
      <c r="U55" s="229"/>
      <c r="V55" s="229"/>
      <c r="W55" s="229"/>
      <c r="X55" s="231" t="str">
        <f t="shared" ref="X55:X57" si="50">IFERROR(IF(AND(Q54="Probabilidad",Q55="Probabilidad"),(Z54-(+Z54*T55)),IF(AND(Q54="Impacto",Q55="Probabilidad"),(Z53-(+Z53*T55)),IF(Q55="Impacto",Z54,""))),"")</f>
        <v/>
      </c>
      <c r="Y55" s="232" t="str">
        <f t="shared" si="1"/>
        <v/>
      </c>
      <c r="Z55" s="233" t="str">
        <f t="shared" si="48"/>
        <v/>
      </c>
      <c r="AA55" s="232" t="str">
        <f t="shared" si="3"/>
        <v/>
      </c>
      <c r="AB55" s="233" t="str">
        <f t="shared" ref="AB55:AB57" si="51">IFERROR(IF(AND(Q54="Impacto",Q55="Impacto"),(AB54-(+AB54*T55)),IF(AND(Q54="Probabilidad",Q55="Impacto"),(AB53-(+AB53*T55)),IF(Q55="Probabilidad",AB54,""))),"")</f>
        <v/>
      </c>
      <c r="AC55" s="23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5"/>
      <c r="AE55" s="236"/>
      <c r="AF55" s="237"/>
      <c r="AG55" s="238"/>
      <c r="AH55" s="238"/>
      <c r="AI55" s="236"/>
      <c r="AJ55" s="237"/>
      <c r="AK55" s="237"/>
      <c r="AL55" s="237"/>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row>
    <row r="56" spans="1:67" x14ac:dyDescent="0.3">
      <c r="A56" s="889"/>
      <c r="B56" s="689"/>
      <c r="C56" s="689"/>
      <c r="D56" s="689"/>
      <c r="E56" s="692"/>
      <c r="F56" s="689"/>
      <c r="G56" s="695"/>
      <c r="H56" s="698"/>
      <c r="I56" s="701"/>
      <c r="J56" s="704"/>
      <c r="K56" s="701">
        <f>IF(NOT(ISERROR(MATCH(J56,_xlfn.ANCHORARRAY(E67),0))),I69&amp;"Por favor no seleccionar los criterios de impacto",J56)</f>
        <v>0</v>
      </c>
      <c r="L56" s="886"/>
      <c r="M56" s="701"/>
      <c r="N56" s="707"/>
      <c r="O56" s="226">
        <v>5</v>
      </c>
      <c r="P56" s="227"/>
      <c r="Q56" s="228" t="str">
        <f t="shared" si="5"/>
        <v/>
      </c>
      <c r="R56" s="229"/>
      <c r="S56" s="229"/>
      <c r="T56" s="230" t="str">
        <f t="shared" si="47"/>
        <v/>
      </c>
      <c r="U56" s="229"/>
      <c r="V56" s="229"/>
      <c r="W56" s="229"/>
      <c r="X56" s="231" t="str">
        <f t="shared" si="50"/>
        <v/>
      </c>
      <c r="Y56" s="232" t="str">
        <f t="shared" si="1"/>
        <v/>
      </c>
      <c r="Z56" s="233" t="str">
        <f t="shared" si="48"/>
        <v/>
      </c>
      <c r="AA56" s="232" t="str">
        <f t="shared" si="3"/>
        <v/>
      </c>
      <c r="AB56" s="233" t="str">
        <f t="shared" si="51"/>
        <v/>
      </c>
      <c r="AC56" s="234"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5"/>
      <c r="AE56" s="236"/>
      <c r="AF56" s="237"/>
      <c r="AG56" s="238"/>
      <c r="AH56" s="238"/>
      <c r="AI56" s="236"/>
      <c r="AJ56" s="237"/>
      <c r="AK56" s="237"/>
      <c r="AL56" s="237"/>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row>
    <row r="57" spans="1:67" x14ac:dyDescent="0.3">
      <c r="A57" s="890"/>
      <c r="B57" s="690"/>
      <c r="C57" s="690"/>
      <c r="D57" s="690"/>
      <c r="E57" s="693"/>
      <c r="F57" s="690"/>
      <c r="G57" s="696"/>
      <c r="H57" s="699"/>
      <c r="I57" s="702"/>
      <c r="J57" s="705"/>
      <c r="K57" s="702">
        <f>IF(NOT(ISERROR(MATCH(J57,_xlfn.ANCHORARRAY(E68),0))),I70&amp;"Por favor no seleccionar los criterios de impacto",J57)</f>
        <v>0</v>
      </c>
      <c r="L57" s="887"/>
      <c r="M57" s="702"/>
      <c r="N57" s="708"/>
      <c r="O57" s="226">
        <v>6</v>
      </c>
      <c r="P57" s="227"/>
      <c r="Q57" s="228" t="str">
        <f t="shared" si="5"/>
        <v/>
      </c>
      <c r="R57" s="229"/>
      <c r="S57" s="229"/>
      <c r="T57" s="230" t="str">
        <f t="shared" si="47"/>
        <v/>
      </c>
      <c r="U57" s="229"/>
      <c r="V57" s="229"/>
      <c r="W57" s="229"/>
      <c r="X57" s="231" t="str">
        <f t="shared" si="50"/>
        <v/>
      </c>
      <c r="Y57" s="232" t="str">
        <f t="shared" si="1"/>
        <v/>
      </c>
      <c r="Z57" s="233" t="str">
        <f t="shared" si="48"/>
        <v/>
      </c>
      <c r="AA57" s="232" t="str">
        <f t="shared" si="3"/>
        <v/>
      </c>
      <c r="AB57" s="233" t="str">
        <f t="shared" si="51"/>
        <v/>
      </c>
      <c r="AC57" s="234" t="str">
        <f t="shared" si="52"/>
        <v/>
      </c>
      <c r="AD57" s="235"/>
      <c r="AE57" s="236"/>
      <c r="AF57" s="237"/>
      <c r="AG57" s="238"/>
      <c r="AH57" s="238"/>
      <c r="AI57" s="236"/>
      <c r="AJ57" s="237"/>
      <c r="AK57" s="237"/>
      <c r="AL57" s="237"/>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row>
    <row r="58" spans="1:67" x14ac:dyDescent="0.3">
      <c r="A58" s="888">
        <v>9</v>
      </c>
      <c r="B58" s="688"/>
      <c r="C58" s="688"/>
      <c r="D58" s="688"/>
      <c r="E58" s="691"/>
      <c r="F58" s="688"/>
      <c r="G58" s="694"/>
      <c r="H58" s="697" t="str">
        <f>IF(G58&lt;=0,"",IF(G58&lt;=2,"Muy Baja",IF(G58&lt;=24,"Baja",IF(G58&lt;=500,"Media",IF(G58&lt;=5000,"Alta","Muy Alta")))))</f>
        <v/>
      </c>
      <c r="I58" s="700" t="str">
        <f>IF(H58="","",IF(H58="Muy Baja",0.2,IF(H58="Baja",0.4,IF(H58="Media",0.6,IF(H58="Alta",0.8,IF(H58="Muy Alta",1,))))))</f>
        <v/>
      </c>
      <c r="J58" s="703"/>
      <c r="K58" s="700">
        <f>IF(NOT(ISERROR(MATCH(J58,'Tabla Impacto'!$B$221:$B$223,0))),'Tabla Impacto'!$F$223&amp;"Por favor no seleccionar los criterios de impacto(Afectación Económica o presupuestal y Pérdida Reputacional)",J58)</f>
        <v>0</v>
      </c>
      <c r="L58" s="885" t="str">
        <f>IF(OR(K58='Tabla Impacto'!$C$11,K58='Tabla Impacto'!$D$11),"Leve",IF(OR(K58='Tabla Impacto'!$C$12,K58='Tabla Impacto'!$D$12),"Menor",IF(OR(K58='Tabla Impacto'!$C$13,K58='Tabla Impacto'!$D$13),"Moderado",IF(OR(K58='Tabla Impacto'!$C$14,K58='Tabla Impacto'!$D$14),"Mayor",IF(OR(K58='Tabla Impacto'!$C$15,K58='Tabla Impacto'!$D$15),"Catastrófico","")))))</f>
        <v/>
      </c>
      <c r="M58" s="700" t="str">
        <f>IF(L58="","",IF(L58="Leve",0.2,IF(L58="Menor",0.4,IF(L58="Moderado",0.6,IF(L58="Mayor",0.8,IF(L58="Catastrófico",1,))))))</f>
        <v/>
      </c>
      <c r="N58" s="70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6">
        <v>1</v>
      </c>
      <c r="P58" s="227"/>
      <c r="Q58" s="228" t="str">
        <f t="shared" si="5"/>
        <v/>
      </c>
      <c r="R58" s="229"/>
      <c r="S58" s="229"/>
      <c r="T58" s="230" t="str">
        <f>IF(AND(R58="Preventivo",S58="Automático"),"50%",IF(AND(R58="Preventivo",S58="Manual"),"40%",IF(AND(R58="Detectivo",S58="Automático"),"40%",IF(AND(R58="Detectivo",S58="Manual"),"30%",IF(AND(R58="Correctivo",S58="Automático"),"35%",IF(AND(R58="Correctivo",S58="Manual"),"25%",""))))))</f>
        <v/>
      </c>
      <c r="U58" s="229"/>
      <c r="V58" s="229"/>
      <c r="W58" s="229"/>
      <c r="X58" s="231" t="str">
        <f>IFERROR(IF(Q58="Probabilidad",(I58-(+I58*T58)),IF(Q58="Impacto",I58,"")),"")</f>
        <v/>
      </c>
      <c r="Y58" s="232" t="str">
        <f>IFERROR(IF(X58="","",IF(X58&lt;=0.2,"Muy Baja",IF(X58&lt;=0.4,"Baja",IF(X58&lt;=0.6,"Media",IF(X58&lt;=0.8,"Alta","Muy Alta"))))),"")</f>
        <v/>
      </c>
      <c r="Z58" s="233" t="str">
        <f>+X58</f>
        <v/>
      </c>
      <c r="AA58" s="232" t="str">
        <f>IFERROR(IF(AB58="","",IF(AB58&lt;=0.2,"Leve",IF(AB58&lt;=0.4,"Menor",IF(AB58&lt;=0.6,"Moderado",IF(AB58&lt;=0.8,"Mayor","Catastrófico"))))),"")</f>
        <v/>
      </c>
      <c r="AB58" s="233" t="str">
        <f>IFERROR(IF(Q58="Impacto",(M58-(+M58*T58)),IF(Q58="Probabilidad",M58,"")),"")</f>
        <v/>
      </c>
      <c r="AC58" s="23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5"/>
      <c r="AE58" s="236"/>
      <c r="AF58" s="237"/>
      <c r="AG58" s="238"/>
      <c r="AH58" s="238"/>
      <c r="AI58" s="236"/>
      <c r="AJ58" s="237"/>
      <c r="AK58" s="237"/>
      <c r="AL58" s="237"/>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row>
    <row r="59" spans="1:67" x14ac:dyDescent="0.3">
      <c r="A59" s="889"/>
      <c r="B59" s="689"/>
      <c r="C59" s="689"/>
      <c r="D59" s="689"/>
      <c r="E59" s="692"/>
      <c r="F59" s="689"/>
      <c r="G59" s="695"/>
      <c r="H59" s="698"/>
      <c r="I59" s="701"/>
      <c r="J59" s="704"/>
      <c r="K59" s="701">
        <f>IF(NOT(ISERROR(MATCH(J59,_xlfn.ANCHORARRAY(E70),0))),I72&amp;"Por favor no seleccionar los criterios de impacto",J59)</f>
        <v>0</v>
      </c>
      <c r="L59" s="886"/>
      <c r="M59" s="701"/>
      <c r="N59" s="707"/>
      <c r="O59" s="226">
        <v>2</v>
      </c>
      <c r="P59" s="227"/>
      <c r="Q59" s="228" t="str">
        <f t="shared" si="5"/>
        <v/>
      </c>
      <c r="R59" s="229"/>
      <c r="S59" s="229"/>
      <c r="T59" s="230" t="str">
        <f t="shared" ref="T59:T63" si="53">IF(AND(R59="Preventivo",S59="Automático"),"50%",IF(AND(R59="Preventivo",S59="Manual"),"40%",IF(AND(R59="Detectivo",S59="Automático"),"40%",IF(AND(R59="Detectivo",S59="Manual"),"30%",IF(AND(R59="Correctivo",S59="Automático"),"35%",IF(AND(R59="Correctivo",S59="Manual"),"25%",""))))))</f>
        <v/>
      </c>
      <c r="U59" s="229"/>
      <c r="V59" s="229"/>
      <c r="W59" s="229"/>
      <c r="X59" s="231" t="str">
        <f>IFERROR(IF(AND(Q58="Probabilidad",Q59="Probabilidad"),(Z58-(+Z58*T59)),IF(Q59="Probabilidad",(I58-(+I58*T59)),IF(Q59="Impacto",Z58,""))),"")</f>
        <v/>
      </c>
      <c r="Y59" s="232" t="str">
        <f t="shared" si="1"/>
        <v/>
      </c>
      <c r="Z59" s="233" t="str">
        <f t="shared" ref="Z59:Z63" si="54">+X59</f>
        <v/>
      </c>
      <c r="AA59" s="232" t="str">
        <f t="shared" si="3"/>
        <v/>
      </c>
      <c r="AB59" s="233" t="str">
        <f>IFERROR(IF(AND(Q58="Impacto",Q59="Impacto"),(AB58-(+AB58*T59)),IF(Q59="Impacto",(M58-(+M58*T59)),IF(Q59="Probabilidad",AB58,""))),"")</f>
        <v/>
      </c>
      <c r="AC59" s="234"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5"/>
      <c r="AE59" s="236"/>
      <c r="AF59" s="237"/>
      <c r="AG59" s="238"/>
      <c r="AH59" s="238"/>
      <c r="AI59" s="236"/>
      <c r="AJ59" s="237"/>
      <c r="AK59" s="237"/>
      <c r="AL59" s="237"/>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row>
    <row r="60" spans="1:67" x14ac:dyDescent="0.3">
      <c r="A60" s="889"/>
      <c r="B60" s="689"/>
      <c r="C60" s="689"/>
      <c r="D60" s="689"/>
      <c r="E60" s="692"/>
      <c r="F60" s="689"/>
      <c r="G60" s="695"/>
      <c r="H60" s="698"/>
      <c r="I60" s="701"/>
      <c r="J60" s="704"/>
      <c r="K60" s="701">
        <f>IF(NOT(ISERROR(MATCH(J60,_xlfn.ANCHORARRAY(E71),0))),I73&amp;"Por favor no seleccionar los criterios de impacto",J60)</f>
        <v>0</v>
      </c>
      <c r="L60" s="886"/>
      <c r="M60" s="701"/>
      <c r="N60" s="707"/>
      <c r="O60" s="226">
        <v>3</v>
      </c>
      <c r="P60" s="241"/>
      <c r="Q60" s="228" t="str">
        <f t="shared" si="5"/>
        <v/>
      </c>
      <c r="R60" s="229"/>
      <c r="S60" s="229"/>
      <c r="T60" s="230" t="str">
        <f t="shared" si="53"/>
        <v/>
      </c>
      <c r="U60" s="229"/>
      <c r="V60" s="229"/>
      <c r="W60" s="229"/>
      <c r="X60" s="231" t="str">
        <f>IFERROR(IF(AND(Q59="Probabilidad",Q60="Probabilidad"),(Z59-(+Z59*T60)),IF(AND(Q59="Impacto",Q60="Probabilidad"),(Z58-(+Z58*T60)),IF(Q60="Impacto",Z59,""))),"")</f>
        <v/>
      </c>
      <c r="Y60" s="232" t="str">
        <f t="shared" si="1"/>
        <v/>
      </c>
      <c r="Z60" s="233" t="str">
        <f t="shared" si="54"/>
        <v/>
      </c>
      <c r="AA60" s="232" t="str">
        <f t="shared" si="3"/>
        <v/>
      </c>
      <c r="AB60" s="233" t="str">
        <f>IFERROR(IF(AND(Q59="Impacto",Q60="Impacto"),(AB59-(+AB59*T60)),IF(AND(Q59="Probabilidad",Q60="Impacto"),(AB58-(+AB58*T60)),IF(Q60="Probabilidad",AB59,""))),"")</f>
        <v/>
      </c>
      <c r="AC60" s="234" t="str">
        <f t="shared" si="55"/>
        <v/>
      </c>
      <c r="AD60" s="235"/>
      <c r="AE60" s="236"/>
      <c r="AF60" s="237"/>
      <c r="AG60" s="238"/>
      <c r="AH60" s="238"/>
      <c r="AI60" s="236"/>
      <c r="AJ60" s="237"/>
      <c r="AK60" s="237"/>
      <c r="AL60" s="237"/>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row>
    <row r="61" spans="1:67" x14ac:dyDescent="0.3">
      <c r="A61" s="889"/>
      <c r="B61" s="689"/>
      <c r="C61" s="689"/>
      <c r="D61" s="689"/>
      <c r="E61" s="692"/>
      <c r="F61" s="689"/>
      <c r="G61" s="695"/>
      <c r="H61" s="698"/>
      <c r="I61" s="701"/>
      <c r="J61" s="704"/>
      <c r="K61" s="701">
        <f>IF(NOT(ISERROR(MATCH(J61,_xlfn.ANCHORARRAY(E72),0))),I74&amp;"Por favor no seleccionar los criterios de impacto",J61)</f>
        <v>0</v>
      </c>
      <c r="L61" s="886"/>
      <c r="M61" s="701"/>
      <c r="N61" s="707"/>
      <c r="O61" s="226">
        <v>4</v>
      </c>
      <c r="P61" s="227"/>
      <c r="Q61" s="228" t="str">
        <f t="shared" si="5"/>
        <v/>
      </c>
      <c r="R61" s="229"/>
      <c r="S61" s="229"/>
      <c r="T61" s="230" t="str">
        <f t="shared" si="53"/>
        <v/>
      </c>
      <c r="U61" s="229"/>
      <c r="V61" s="229"/>
      <c r="W61" s="229"/>
      <c r="X61" s="231" t="str">
        <f t="shared" ref="X61:X63" si="56">IFERROR(IF(AND(Q60="Probabilidad",Q61="Probabilidad"),(Z60-(+Z60*T61)),IF(AND(Q60="Impacto",Q61="Probabilidad"),(Z59-(+Z59*T61)),IF(Q61="Impacto",Z60,""))),"")</f>
        <v/>
      </c>
      <c r="Y61" s="232" t="str">
        <f t="shared" si="1"/>
        <v/>
      </c>
      <c r="Z61" s="233" t="str">
        <f t="shared" si="54"/>
        <v/>
      </c>
      <c r="AA61" s="232" t="str">
        <f t="shared" si="3"/>
        <v/>
      </c>
      <c r="AB61" s="233" t="str">
        <f t="shared" ref="AB61:AB63" si="57">IFERROR(IF(AND(Q60="Impacto",Q61="Impacto"),(AB60-(+AB60*T61)),IF(AND(Q60="Probabilidad",Q61="Impacto"),(AB59-(+AB59*T61)),IF(Q61="Probabilidad",AB60,""))),"")</f>
        <v/>
      </c>
      <c r="AC61" s="23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5"/>
      <c r="AE61" s="236"/>
      <c r="AF61" s="237"/>
      <c r="AG61" s="238"/>
      <c r="AH61" s="238"/>
      <c r="AI61" s="236"/>
      <c r="AJ61" s="237"/>
      <c r="AK61" s="237"/>
      <c r="AL61" s="237"/>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row>
    <row r="62" spans="1:67" x14ac:dyDescent="0.3">
      <c r="A62" s="889"/>
      <c r="B62" s="689"/>
      <c r="C62" s="689"/>
      <c r="D62" s="689"/>
      <c r="E62" s="692"/>
      <c r="F62" s="689"/>
      <c r="G62" s="695"/>
      <c r="H62" s="698"/>
      <c r="I62" s="701"/>
      <c r="J62" s="704"/>
      <c r="K62" s="701">
        <f>IF(NOT(ISERROR(MATCH(J62,_xlfn.ANCHORARRAY(E73),0))),I75&amp;"Por favor no seleccionar los criterios de impacto",J62)</f>
        <v>0</v>
      </c>
      <c r="L62" s="886"/>
      <c r="M62" s="701"/>
      <c r="N62" s="707"/>
      <c r="O62" s="226">
        <v>5</v>
      </c>
      <c r="P62" s="227"/>
      <c r="Q62" s="228" t="str">
        <f t="shared" si="5"/>
        <v/>
      </c>
      <c r="R62" s="229"/>
      <c r="S62" s="229"/>
      <c r="T62" s="230" t="str">
        <f t="shared" si="53"/>
        <v/>
      </c>
      <c r="U62" s="229"/>
      <c r="V62" s="229"/>
      <c r="W62" s="229"/>
      <c r="X62" s="231" t="str">
        <f t="shared" si="56"/>
        <v/>
      </c>
      <c r="Y62" s="232" t="str">
        <f t="shared" si="1"/>
        <v/>
      </c>
      <c r="Z62" s="233" t="str">
        <f t="shared" si="54"/>
        <v/>
      </c>
      <c r="AA62" s="232" t="str">
        <f t="shared" si="3"/>
        <v/>
      </c>
      <c r="AB62" s="233" t="str">
        <f t="shared" si="57"/>
        <v/>
      </c>
      <c r="AC62" s="234"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5"/>
      <c r="AE62" s="236"/>
      <c r="AF62" s="237"/>
      <c r="AG62" s="238"/>
      <c r="AH62" s="238"/>
      <c r="AI62" s="236"/>
      <c r="AJ62" s="237"/>
      <c r="AK62" s="237"/>
      <c r="AL62" s="237"/>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row>
    <row r="63" spans="1:67" x14ac:dyDescent="0.3">
      <c r="A63" s="890"/>
      <c r="B63" s="690"/>
      <c r="C63" s="690"/>
      <c r="D63" s="690"/>
      <c r="E63" s="693"/>
      <c r="F63" s="690"/>
      <c r="G63" s="696"/>
      <c r="H63" s="699"/>
      <c r="I63" s="702"/>
      <c r="J63" s="705"/>
      <c r="K63" s="702">
        <f>IF(NOT(ISERROR(MATCH(J63,_xlfn.ANCHORARRAY(E74),0))),I76&amp;"Por favor no seleccionar los criterios de impacto",J63)</f>
        <v>0</v>
      </c>
      <c r="L63" s="887"/>
      <c r="M63" s="702"/>
      <c r="N63" s="708"/>
      <c r="O63" s="226">
        <v>6</v>
      </c>
      <c r="P63" s="227"/>
      <c r="Q63" s="228" t="str">
        <f t="shared" si="5"/>
        <v/>
      </c>
      <c r="R63" s="229"/>
      <c r="S63" s="229"/>
      <c r="T63" s="230" t="str">
        <f t="shared" si="53"/>
        <v/>
      </c>
      <c r="U63" s="229"/>
      <c r="V63" s="229"/>
      <c r="W63" s="229"/>
      <c r="X63" s="231" t="str">
        <f t="shared" si="56"/>
        <v/>
      </c>
      <c r="Y63" s="232" t="str">
        <f t="shared" si="1"/>
        <v/>
      </c>
      <c r="Z63" s="233" t="str">
        <f t="shared" si="54"/>
        <v/>
      </c>
      <c r="AA63" s="232" t="str">
        <f t="shared" si="3"/>
        <v/>
      </c>
      <c r="AB63" s="233" t="str">
        <f t="shared" si="57"/>
        <v/>
      </c>
      <c r="AC63" s="234" t="str">
        <f t="shared" si="58"/>
        <v/>
      </c>
      <c r="AD63" s="235"/>
      <c r="AE63" s="236"/>
      <c r="AF63" s="237"/>
      <c r="AG63" s="238"/>
      <c r="AH63" s="238"/>
      <c r="AI63" s="236"/>
      <c r="AJ63" s="237"/>
      <c r="AK63" s="237"/>
      <c r="AL63" s="237"/>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row>
    <row r="64" spans="1:67" x14ac:dyDescent="0.3">
      <c r="A64" s="888">
        <v>10</v>
      </c>
      <c r="B64" s="688"/>
      <c r="C64" s="688"/>
      <c r="D64" s="688"/>
      <c r="E64" s="691"/>
      <c r="F64" s="688"/>
      <c r="G64" s="694"/>
      <c r="H64" s="697" t="str">
        <f>IF(G64&lt;=0,"",IF(G64&lt;=2,"Muy Baja",IF(G64&lt;=24,"Baja",IF(G64&lt;=500,"Media",IF(G64&lt;=5000,"Alta","Muy Alta")))))</f>
        <v/>
      </c>
      <c r="I64" s="700" t="str">
        <f>IF(H64="","",IF(H64="Muy Baja",0.2,IF(H64="Baja",0.4,IF(H64="Media",0.6,IF(H64="Alta",0.8,IF(H64="Muy Alta",1,))))))</f>
        <v/>
      </c>
      <c r="J64" s="703"/>
      <c r="K64" s="700">
        <f>IF(NOT(ISERROR(MATCH(J64,'Tabla Impacto'!$B$221:$B$223,0))),'Tabla Impacto'!$F$223&amp;"Por favor no seleccionar los criterios de impacto(Afectación Económica o presupuestal y Pérdida Reputacional)",J64)</f>
        <v>0</v>
      </c>
      <c r="L64" s="885" t="str">
        <f>IF(OR(K64='Tabla Impacto'!$C$11,K64='Tabla Impacto'!$D$11),"Leve",IF(OR(K64='Tabla Impacto'!$C$12,K64='Tabla Impacto'!$D$12),"Menor",IF(OR(K64='Tabla Impacto'!$C$13,K64='Tabla Impacto'!$D$13),"Moderado",IF(OR(K64='Tabla Impacto'!$C$14,K64='Tabla Impacto'!$D$14),"Mayor",IF(OR(K64='Tabla Impacto'!$C$15,K64='Tabla Impacto'!$D$15),"Catastrófico","")))))</f>
        <v/>
      </c>
      <c r="M64" s="700" t="str">
        <f>IF(L64="","",IF(L64="Leve",0.2,IF(L64="Menor",0.4,IF(L64="Moderado",0.6,IF(L64="Mayor",0.8,IF(L64="Catastrófico",1,))))))</f>
        <v/>
      </c>
      <c r="N64" s="70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6">
        <v>1</v>
      </c>
      <c r="P64" s="227"/>
      <c r="Q64" s="228" t="str">
        <f t="shared" si="5"/>
        <v/>
      </c>
      <c r="R64" s="229"/>
      <c r="S64" s="229"/>
      <c r="T64" s="230" t="str">
        <f>IF(AND(R64="Preventivo",S64="Automático"),"50%",IF(AND(R64="Preventivo",S64="Manual"),"40%",IF(AND(R64="Detectivo",S64="Automático"),"40%",IF(AND(R64="Detectivo",S64="Manual"),"30%",IF(AND(R64="Correctivo",S64="Automático"),"35%",IF(AND(R64="Correctivo",S64="Manual"),"25%",""))))))</f>
        <v/>
      </c>
      <c r="U64" s="229"/>
      <c r="V64" s="229"/>
      <c r="W64" s="229"/>
      <c r="X64" s="231" t="str">
        <f>IFERROR(IF(Q64="Probabilidad",(I64-(+I64*T64)),IF(Q64="Impacto",I64,"")),"")</f>
        <v/>
      </c>
      <c r="Y64" s="232" t="str">
        <f>IFERROR(IF(X64="","",IF(X64&lt;=0.2,"Muy Baja",IF(X64&lt;=0.4,"Baja",IF(X64&lt;=0.6,"Media",IF(X64&lt;=0.8,"Alta","Muy Alta"))))),"")</f>
        <v/>
      </c>
      <c r="Z64" s="233" t="str">
        <f>+X64</f>
        <v/>
      </c>
      <c r="AA64" s="232" t="str">
        <f>IFERROR(IF(AB64="","",IF(AB64&lt;=0.2,"Leve",IF(AB64&lt;=0.4,"Menor",IF(AB64&lt;=0.6,"Moderado",IF(AB64&lt;=0.8,"Mayor","Catastrófico"))))),"")</f>
        <v/>
      </c>
      <c r="AB64" s="233" t="str">
        <f>IFERROR(IF(Q64="Impacto",(M64-(+M64*T64)),IF(Q64="Probabilidad",M64,"")),"")</f>
        <v/>
      </c>
      <c r="AC64" s="23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5"/>
      <c r="AE64" s="236"/>
      <c r="AF64" s="237"/>
      <c r="AG64" s="238"/>
      <c r="AH64" s="238"/>
      <c r="AI64" s="236"/>
      <c r="AJ64" s="237"/>
      <c r="AK64" s="237"/>
      <c r="AL64" s="237"/>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row>
    <row r="65" spans="1:38" x14ac:dyDescent="0.3">
      <c r="A65" s="889"/>
      <c r="B65" s="689"/>
      <c r="C65" s="689"/>
      <c r="D65" s="689"/>
      <c r="E65" s="692"/>
      <c r="F65" s="689"/>
      <c r="G65" s="695"/>
      <c r="H65" s="698"/>
      <c r="I65" s="701"/>
      <c r="J65" s="704"/>
      <c r="K65" s="701">
        <f>IF(NOT(ISERROR(MATCH(J65,_xlfn.ANCHORARRAY(E76),0))),I78&amp;"Por favor no seleccionar los criterios de impacto",J65)</f>
        <v>0</v>
      </c>
      <c r="L65" s="886"/>
      <c r="M65" s="701"/>
      <c r="N65" s="707"/>
      <c r="O65" s="226">
        <v>2</v>
      </c>
      <c r="P65" s="227"/>
      <c r="Q65" s="228" t="str">
        <f t="shared" si="5"/>
        <v/>
      </c>
      <c r="R65" s="229"/>
      <c r="S65" s="229"/>
      <c r="T65" s="230" t="str">
        <f t="shared" ref="T65:T69" si="59">IF(AND(R65="Preventivo",S65="Automático"),"50%",IF(AND(R65="Preventivo",S65="Manual"),"40%",IF(AND(R65="Detectivo",S65="Automático"),"40%",IF(AND(R65="Detectivo",S65="Manual"),"30%",IF(AND(R65="Correctivo",S65="Automático"),"35%",IF(AND(R65="Correctivo",S65="Manual"),"25%",""))))))</f>
        <v/>
      </c>
      <c r="U65" s="229"/>
      <c r="V65" s="229"/>
      <c r="W65" s="229"/>
      <c r="X65" s="231" t="str">
        <f>IFERROR(IF(AND(Q64="Probabilidad",Q65="Probabilidad"),(Z64-(+Z64*T65)),IF(Q65="Probabilidad",(I64-(+I64*T65)),IF(Q65="Impacto",Z64,""))),"")</f>
        <v/>
      </c>
      <c r="Y65" s="232" t="str">
        <f t="shared" si="1"/>
        <v/>
      </c>
      <c r="Z65" s="233" t="str">
        <f t="shared" ref="Z65:Z69" si="60">+X65</f>
        <v/>
      </c>
      <c r="AA65" s="232" t="str">
        <f t="shared" si="3"/>
        <v/>
      </c>
      <c r="AB65" s="233" t="str">
        <f>IFERROR(IF(AND(Q64="Impacto",Q65="Impacto"),(AB64-(+AB64*T65)),IF(Q65="Impacto",(M64-(+M64*T65)),IF(Q65="Probabilidad",AB64,""))),"")</f>
        <v/>
      </c>
      <c r="AC65" s="234"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5"/>
      <c r="AE65" s="236"/>
      <c r="AF65" s="237"/>
      <c r="AG65" s="238"/>
      <c r="AH65" s="238"/>
      <c r="AI65" s="236"/>
      <c r="AJ65" s="237"/>
      <c r="AK65" s="237"/>
      <c r="AL65" s="237"/>
    </row>
    <row r="66" spans="1:38" x14ac:dyDescent="0.3">
      <c r="A66" s="889"/>
      <c r="B66" s="689"/>
      <c r="C66" s="689"/>
      <c r="D66" s="689"/>
      <c r="E66" s="692"/>
      <c r="F66" s="689"/>
      <c r="G66" s="695"/>
      <c r="H66" s="698"/>
      <c r="I66" s="701"/>
      <c r="J66" s="704"/>
      <c r="K66" s="701">
        <f>IF(NOT(ISERROR(MATCH(J66,_xlfn.ANCHORARRAY(E77),0))),I79&amp;"Por favor no seleccionar los criterios de impacto",J66)</f>
        <v>0</v>
      </c>
      <c r="L66" s="886"/>
      <c r="M66" s="701"/>
      <c r="N66" s="707"/>
      <c r="O66" s="226">
        <v>3</v>
      </c>
      <c r="P66" s="241"/>
      <c r="Q66" s="228" t="str">
        <f t="shared" si="5"/>
        <v/>
      </c>
      <c r="R66" s="229"/>
      <c r="S66" s="229"/>
      <c r="T66" s="230" t="str">
        <f t="shared" si="59"/>
        <v/>
      </c>
      <c r="U66" s="229"/>
      <c r="V66" s="229"/>
      <c r="W66" s="229"/>
      <c r="X66" s="231" t="str">
        <f>IFERROR(IF(AND(Q65="Probabilidad",Q66="Probabilidad"),(Z65-(+Z65*T66)),IF(AND(Q65="Impacto",Q66="Probabilidad"),(Z64-(+Z64*T66)),IF(Q66="Impacto",Z65,""))),"")</f>
        <v/>
      </c>
      <c r="Y66" s="232" t="str">
        <f t="shared" si="1"/>
        <v/>
      </c>
      <c r="Z66" s="233" t="str">
        <f t="shared" si="60"/>
        <v/>
      </c>
      <c r="AA66" s="232" t="str">
        <f t="shared" si="3"/>
        <v/>
      </c>
      <c r="AB66" s="233" t="str">
        <f>IFERROR(IF(AND(Q65="Impacto",Q66="Impacto"),(AB65-(+AB65*T66)),IF(AND(Q65="Probabilidad",Q66="Impacto"),(AB64-(+AB64*T66)),IF(Q66="Probabilidad",AB65,""))),"")</f>
        <v/>
      </c>
      <c r="AC66" s="234" t="str">
        <f t="shared" si="61"/>
        <v/>
      </c>
      <c r="AD66" s="235"/>
      <c r="AE66" s="236"/>
      <c r="AF66" s="237"/>
      <c r="AG66" s="238"/>
      <c r="AH66" s="238"/>
      <c r="AI66" s="236"/>
      <c r="AJ66" s="237"/>
      <c r="AK66" s="237"/>
      <c r="AL66" s="237"/>
    </row>
    <row r="67" spans="1:38" x14ac:dyDescent="0.3">
      <c r="A67" s="889"/>
      <c r="B67" s="689"/>
      <c r="C67" s="689"/>
      <c r="D67" s="689"/>
      <c r="E67" s="692"/>
      <c r="F67" s="689"/>
      <c r="G67" s="695"/>
      <c r="H67" s="698"/>
      <c r="I67" s="701"/>
      <c r="J67" s="704"/>
      <c r="K67" s="701">
        <f>IF(NOT(ISERROR(MATCH(J67,_xlfn.ANCHORARRAY(E78),0))),I80&amp;"Por favor no seleccionar los criterios de impacto",J67)</f>
        <v>0</v>
      </c>
      <c r="L67" s="886"/>
      <c r="M67" s="701"/>
      <c r="N67" s="707"/>
      <c r="O67" s="226">
        <v>4</v>
      </c>
      <c r="P67" s="227"/>
      <c r="Q67" s="228" t="str">
        <f t="shared" si="5"/>
        <v/>
      </c>
      <c r="R67" s="229"/>
      <c r="S67" s="229"/>
      <c r="T67" s="230" t="str">
        <f t="shared" si="59"/>
        <v/>
      </c>
      <c r="U67" s="229"/>
      <c r="V67" s="229"/>
      <c r="W67" s="229"/>
      <c r="X67" s="231" t="str">
        <f t="shared" ref="X67:X69" si="62">IFERROR(IF(AND(Q66="Probabilidad",Q67="Probabilidad"),(Z66-(+Z66*T67)),IF(AND(Q66="Impacto",Q67="Probabilidad"),(Z65-(+Z65*T67)),IF(Q67="Impacto",Z66,""))),"")</f>
        <v/>
      </c>
      <c r="Y67" s="232" t="str">
        <f t="shared" si="1"/>
        <v/>
      </c>
      <c r="Z67" s="233" t="str">
        <f t="shared" si="60"/>
        <v/>
      </c>
      <c r="AA67" s="232" t="str">
        <f t="shared" si="3"/>
        <v/>
      </c>
      <c r="AB67" s="233" t="str">
        <f t="shared" ref="AB67:AB69" si="63">IFERROR(IF(AND(Q66="Impacto",Q67="Impacto"),(AB66-(+AB66*T67)),IF(AND(Q66="Probabilidad",Q67="Impacto"),(AB65-(+AB65*T67)),IF(Q67="Probabilidad",AB66,""))),"")</f>
        <v/>
      </c>
      <c r="AC67" s="23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5"/>
      <c r="AE67" s="236"/>
      <c r="AF67" s="237"/>
      <c r="AG67" s="238"/>
      <c r="AH67" s="238"/>
      <c r="AI67" s="236"/>
      <c r="AJ67" s="237"/>
      <c r="AK67" s="237"/>
      <c r="AL67" s="237"/>
    </row>
    <row r="68" spans="1:38" x14ac:dyDescent="0.3">
      <c r="A68" s="889"/>
      <c r="B68" s="689"/>
      <c r="C68" s="689"/>
      <c r="D68" s="689"/>
      <c r="E68" s="692"/>
      <c r="F68" s="689"/>
      <c r="G68" s="695"/>
      <c r="H68" s="698"/>
      <c r="I68" s="701"/>
      <c r="J68" s="704"/>
      <c r="K68" s="701">
        <f>IF(NOT(ISERROR(MATCH(J68,_xlfn.ANCHORARRAY(E79),0))),I81&amp;"Por favor no seleccionar los criterios de impacto",J68)</f>
        <v>0</v>
      </c>
      <c r="L68" s="886"/>
      <c r="M68" s="701"/>
      <c r="N68" s="707"/>
      <c r="O68" s="226">
        <v>5</v>
      </c>
      <c r="P68" s="227"/>
      <c r="Q68" s="228" t="str">
        <f t="shared" si="5"/>
        <v/>
      </c>
      <c r="R68" s="229"/>
      <c r="S68" s="229"/>
      <c r="T68" s="230" t="str">
        <f t="shared" si="59"/>
        <v/>
      </c>
      <c r="U68" s="229"/>
      <c r="V68" s="229"/>
      <c r="W68" s="229"/>
      <c r="X68" s="231" t="str">
        <f t="shared" si="62"/>
        <v/>
      </c>
      <c r="Y68" s="232" t="str">
        <f t="shared" si="1"/>
        <v/>
      </c>
      <c r="Z68" s="233" t="str">
        <f t="shared" si="60"/>
        <v/>
      </c>
      <c r="AA68" s="232" t="str">
        <f t="shared" si="3"/>
        <v/>
      </c>
      <c r="AB68" s="233" t="str">
        <f t="shared" si="63"/>
        <v/>
      </c>
      <c r="AC68" s="234"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5"/>
      <c r="AE68" s="236"/>
      <c r="AF68" s="237"/>
      <c r="AG68" s="238"/>
      <c r="AH68" s="238"/>
      <c r="AI68" s="236"/>
      <c r="AJ68" s="237"/>
      <c r="AK68" s="237"/>
      <c r="AL68" s="237"/>
    </row>
    <row r="69" spans="1:38" x14ac:dyDescent="0.3">
      <c r="A69" s="890"/>
      <c r="B69" s="690"/>
      <c r="C69" s="690"/>
      <c r="D69" s="690"/>
      <c r="E69" s="693"/>
      <c r="F69" s="690"/>
      <c r="G69" s="696"/>
      <c r="H69" s="699"/>
      <c r="I69" s="702"/>
      <c r="J69" s="705"/>
      <c r="K69" s="702">
        <f>IF(NOT(ISERROR(MATCH(J69,_xlfn.ANCHORARRAY(E80),0))),I82&amp;"Por favor no seleccionar los criterios de impacto",J69)</f>
        <v>0</v>
      </c>
      <c r="L69" s="887"/>
      <c r="M69" s="702"/>
      <c r="N69" s="708"/>
      <c r="O69" s="226">
        <v>6</v>
      </c>
      <c r="P69" s="227"/>
      <c r="Q69" s="228" t="str">
        <f t="shared" si="5"/>
        <v/>
      </c>
      <c r="R69" s="229"/>
      <c r="S69" s="229"/>
      <c r="T69" s="230" t="str">
        <f t="shared" si="59"/>
        <v/>
      </c>
      <c r="U69" s="229"/>
      <c r="V69" s="229"/>
      <c r="W69" s="229"/>
      <c r="X69" s="231" t="str">
        <f t="shared" si="62"/>
        <v/>
      </c>
      <c r="Y69" s="232" t="str">
        <f t="shared" si="1"/>
        <v/>
      </c>
      <c r="Z69" s="233" t="str">
        <f t="shared" si="60"/>
        <v/>
      </c>
      <c r="AA69" s="232" t="str">
        <f t="shared" si="3"/>
        <v/>
      </c>
      <c r="AB69" s="233" t="str">
        <f t="shared" si="63"/>
        <v/>
      </c>
      <c r="AC69" s="234" t="str">
        <f t="shared" si="64"/>
        <v/>
      </c>
      <c r="AD69" s="235"/>
      <c r="AE69" s="236"/>
      <c r="AF69" s="237"/>
      <c r="AG69" s="238"/>
      <c r="AH69" s="238"/>
      <c r="AI69" s="236"/>
      <c r="AJ69" s="237"/>
      <c r="AK69" s="237"/>
      <c r="AL69" s="237"/>
    </row>
    <row r="70" spans="1:38" ht="49.5" customHeight="1" x14ac:dyDescent="0.3">
      <c r="A70" s="243"/>
      <c r="B70" s="711" t="s">
        <v>185</v>
      </c>
      <c r="C70" s="712"/>
      <c r="D70" s="712"/>
      <c r="E70" s="712"/>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3"/>
    </row>
    <row r="72" spans="1:38" x14ac:dyDescent="0.3">
      <c r="A72" s="219"/>
      <c r="B72" s="244" t="s">
        <v>186</v>
      </c>
      <c r="C72" s="219"/>
      <c r="D72" s="219"/>
      <c r="F72" s="219"/>
    </row>
  </sheetData>
  <dataConsolidate/>
  <mergeCells count="187">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D8:AD9"/>
    <mergeCell ref="AE8:AE9"/>
    <mergeCell ref="AF8:AF9"/>
    <mergeCell ref="AG8:AG9"/>
    <mergeCell ref="AH8:AH9"/>
    <mergeCell ref="AI8:AI9"/>
    <mergeCell ref="AK7:AL7"/>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278" priority="105" operator="equal">
      <formula>"Muy Baja"</formula>
    </cfRule>
    <cfRule type="cellIs" dxfId="277" priority="104" operator="equal">
      <formula>"Baja"</formula>
    </cfRule>
    <cfRule type="cellIs" dxfId="276" priority="103" operator="equal">
      <formula>"Media"</formula>
    </cfRule>
    <cfRule type="cellIs" dxfId="275" priority="102" operator="equal">
      <formula>"Alta"</formula>
    </cfRule>
    <cfRule type="cellIs" dxfId="274" priority="101" operator="equal">
      <formula>"Muy Alta"</formula>
    </cfRule>
  </conditionalFormatting>
  <conditionalFormatting sqref="H22">
    <cfRule type="cellIs" dxfId="273" priority="83" operator="equal">
      <formula>"Muy Alta"</formula>
    </cfRule>
    <cfRule type="cellIs" dxfId="272" priority="87" operator="equal">
      <formula>"Muy Baja"</formula>
    </cfRule>
    <cfRule type="cellIs" dxfId="271" priority="86" operator="equal">
      <formula>"Baja"</formula>
    </cfRule>
    <cfRule type="cellIs" dxfId="270" priority="85" operator="equal">
      <formula>"Media"</formula>
    </cfRule>
    <cfRule type="cellIs" dxfId="269" priority="84" operator="equal">
      <formula>"Alta"</formula>
    </cfRule>
  </conditionalFormatting>
  <conditionalFormatting sqref="H28">
    <cfRule type="cellIs" dxfId="268" priority="78" operator="equal">
      <formula>"Muy Baja"</formula>
    </cfRule>
    <cfRule type="cellIs" dxfId="267" priority="77" operator="equal">
      <formula>"Baja"</formula>
    </cfRule>
    <cfRule type="cellIs" dxfId="266" priority="76" operator="equal">
      <formula>"Media"</formula>
    </cfRule>
    <cfRule type="cellIs" dxfId="265" priority="75" operator="equal">
      <formula>"Alta"</formula>
    </cfRule>
    <cfRule type="cellIs" dxfId="264" priority="74" operator="equal">
      <formula>"Muy Alta"</formula>
    </cfRule>
  </conditionalFormatting>
  <conditionalFormatting sqref="H34">
    <cfRule type="cellIs" dxfId="263" priority="69" operator="equal">
      <formula>"Muy Baja"</formula>
    </cfRule>
    <cfRule type="cellIs" dxfId="262" priority="68" operator="equal">
      <formula>"Baja"</formula>
    </cfRule>
    <cfRule type="cellIs" dxfId="261" priority="67" operator="equal">
      <formula>"Media"</formula>
    </cfRule>
    <cfRule type="cellIs" dxfId="260" priority="66" operator="equal">
      <formula>"Alta"</formula>
    </cfRule>
    <cfRule type="cellIs" dxfId="259" priority="65" operator="equal">
      <formula>"Muy Alta"</formula>
    </cfRule>
  </conditionalFormatting>
  <conditionalFormatting sqref="H40">
    <cfRule type="cellIs" dxfId="258" priority="56" operator="equal">
      <formula>"Muy Alta"</formula>
    </cfRule>
    <cfRule type="cellIs" dxfId="257" priority="57" operator="equal">
      <formula>"Alta"</formula>
    </cfRule>
    <cfRule type="cellIs" dxfId="256" priority="60" operator="equal">
      <formula>"Muy Baja"</formula>
    </cfRule>
    <cfRule type="cellIs" dxfId="255" priority="58" operator="equal">
      <formula>"Media"</formula>
    </cfRule>
    <cfRule type="cellIs" dxfId="254" priority="59" operator="equal">
      <formula>"Baja"</formula>
    </cfRule>
  </conditionalFormatting>
  <conditionalFormatting sqref="H46">
    <cfRule type="cellIs" dxfId="253" priority="49" operator="equal">
      <formula>"Media"</formula>
    </cfRule>
    <cfRule type="cellIs" dxfId="252" priority="47" operator="equal">
      <formula>"Muy Alta"</formula>
    </cfRule>
    <cfRule type="cellIs" dxfId="251" priority="48" operator="equal">
      <formula>"Alta"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30" operator="equal">
      <formula>"Alta"</formula>
    </cfRule>
    <cfRule type="cellIs" dxfId="242" priority="29" operator="equal">
      <formula>"Muy 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9" operator="equal">
      <formula>"Menor"</formula>
    </cfRule>
    <cfRule type="cellIs" dxfId="231" priority="97" operator="equal">
      <formula>"Mayor"</formula>
    </cfRule>
    <cfRule type="cellIs" dxfId="230" priority="96" operator="equal">
      <formula>"Catastrófico"</formula>
    </cfRule>
    <cfRule type="cellIs" dxfId="229" priority="98" operator="equal">
      <formula>"Moderado"</formula>
    </cfRule>
    <cfRule type="cellIs" dxfId="228" priority="100" operator="equal">
      <formula>"Leve"</formula>
    </cfRule>
  </conditionalFormatting>
  <conditionalFormatting sqref="N10 AC10:AC69">
    <cfRule type="cellIs" dxfId="227" priority="95" operator="equal">
      <formula>"Bajo"</formula>
    </cfRule>
    <cfRule type="cellIs" dxfId="226" priority="94" operator="equal">
      <formula>"Moderado"</formula>
    </cfRule>
    <cfRule type="cellIs" dxfId="225" priority="92" operator="equal">
      <formula>"Extremo"</formula>
    </cfRule>
    <cfRule type="cellIs" dxfId="224" priority="93" operator="equal">
      <formula>"Alto"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2" operator="equal">
      <formula>"Moderado"</formula>
    </cfRule>
    <cfRule type="cellIs" dxfId="214" priority="71" operator="equal">
      <formula>"Alto"</formula>
    </cfRule>
    <cfRule type="cellIs" dxfId="213" priority="70" operator="equal">
      <formula>"Extremo"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4" operator="equal">
      <formula>"Bajo"</formula>
    </cfRule>
    <cfRule type="cellIs" dxfId="208" priority="63" operator="equal">
      <formula>"Moderado"</formula>
    </cfRule>
  </conditionalFormatting>
  <conditionalFormatting sqref="N40">
    <cfRule type="cellIs" dxfId="207" priority="53" operator="equal">
      <formula>"Alto"</formula>
    </cfRule>
    <cfRule type="cellIs" dxfId="206" priority="52" operator="equal">
      <formula>"Extremo"</formula>
    </cfRule>
    <cfRule type="cellIs" dxfId="205" priority="54" operator="equal">
      <formula>"Moderado"</formula>
    </cfRule>
    <cfRule type="cellIs" dxfId="204" priority="55" operator="equal">
      <formula>"Bajo"</formula>
    </cfRule>
  </conditionalFormatting>
  <conditionalFormatting sqref="N46">
    <cfRule type="cellIs" dxfId="203" priority="44" operator="equal">
      <formula>"Alto"</formula>
    </cfRule>
    <cfRule type="cellIs" dxfId="202" priority="46" operator="equal">
      <formula>"Bajo"</formula>
    </cfRule>
    <cfRule type="cellIs" dxfId="201" priority="43" operator="equal">
      <formula>"Extremo"</formula>
    </cfRule>
    <cfRule type="cellIs" dxfId="200" priority="45" operator="equal">
      <formula>"Moderado"</formula>
    </cfRule>
  </conditionalFormatting>
  <conditionalFormatting sqref="N52">
    <cfRule type="cellIs" dxfId="199" priority="36" operator="equal">
      <formula>"Moderado"</formula>
    </cfRule>
    <cfRule type="cellIs" dxfId="198" priority="37" operator="equal">
      <formula>"Bajo"</formula>
    </cfRule>
    <cfRule type="cellIs" dxfId="197" priority="35" operator="equal">
      <formula>"Alto"</formula>
    </cfRule>
    <cfRule type="cellIs" dxfId="196" priority="34" operator="equal">
      <formula>"Extremo"</formula>
    </cfRule>
  </conditionalFormatting>
  <conditionalFormatting sqref="N58">
    <cfRule type="cellIs" dxfId="195" priority="25" operator="equal">
      <formula>"Extremo"</formula>
    </cfRule>
    <cfRule type="cellIs" dxfId="194" priority="27" operator="equal">
      <formula>"Moderado"</formula>
    </cfRule>
    <cfRule type="cellIs" dxfId="193" priority="28" operator="equal">
      <formula>"Bajo"</formula>
    </cfRule>
    <cfRule type="cellIs" dxfId="192" priority="26" operator="equal">
      <formula>"Alto"</formula>
    </cfRule>
  </conditionalFormatting>
  <conditionalFormatting sqref="N64">
    <cfRule type="cellIs" dxfId="191" priority="17" operator="equal">
      <formula>"Alto"</formula>
    </cfRule>
    <cfRule type="cellIs" dxfId="190" priority="18" operator="equal">
      <formula>"Moderado"</formula>
    </cfRule>
    <cfRule type="cellIs" dxfId="189" priority="19" operator="equal">
      <formula>"Bajo"</formula>
    </cfRule>
    <cfRule type="cellIs" dxfId="188"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N1" zoomScale="60" zoomScaleNormal="60" workbookViewId="0">
      <selection activeCell="AL8" sqref="AL8:AM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4" t="s">
        <v>187</v>
      </c>
      <c r="C2" s="714"/>
      <c r="D2" s="714"/>
      <c r="E2" s="714"/>
      <c r="F2" s="714"/>
      <c r="G2" s="714"/>
      <c r="H2" s="714"/>
      <c r="I2" s="714"/>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4"/>
      <c r="C3" s="714"/>
      <c r="D3" s="714"/>
      <c r="E3" s="714"/>
      <c r="F3" s="714"/>
      <c r="G3" s="714"/>
      <c r="H3" s="714"/>
      <c r="I3" s="714"/>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4"/>
      <c r="C4" s="714"/>
      <c r="D4" s="714"/>
      <c r="E4" s="714"/>
      <c r="F4" s="714"/>
      <c r="G4" s="714"/>
      <c r="H4" s="714"/>
      <c r="I4" s="714"/>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6" t="s">
        <v>188</v>
      </c>
      <c r="C6" s="716"/>
      <c r="D6" s="717"/>
      <c r="E6" s="718" t="s">
        <v>189</v>
      </c>
      <c r="F6" s="719"/>
      <c r="G6" s="719"/>
      <c r="H6" s="719"/>
      <c r="I6" s="720"/>
      <c r="J6" s="727" t="str">
        <f>IF(AND('Mapa R. Fiscal'!$H$10="Muy Alta",'Mapa R. Fiscal'!$L$10="Leve"),CONCATENATE("R",'Mapa R. Fiscal'!$A$10),"")</f>
        <v/>
      </c>
      <c r="K6" s="728"/>
      <c r="L6" s="728" t="str">
        <f>IF(AND('Mapa R. Fiscal'!$H$16="Muy Alta",'Mapa R. Fiscal'!$L$16="Leve"),CONCATENATE("R",'Mapa R. Fiscal'!$A$16),"")</f>
        <v/>
      </c>
      <c r="M6" s="728"/>
      <c r="N6" s="728" t="str">
        <f>IF(AND('Mapa R. Fiscal'!$H$22="Muy Alta",'Mapa R. Fiscal'!$L$22="Leve"),CONCATENATE("R",'Mapa R. Fiscal'!$A$22),"")</f>
        <v/>
      </c>
      <c r="O6" s="731"/>
      <c r="P6" s="727" t="str">
        <f>IF(AND('Mapa R. Fiscal'!$H$10="Muy Alta",'Mapa R. Fiscal'!$L$10="Menor"),CONCATENATE("R",'Mapa R. Fiscal'!$A$10),"")</f>
        <v/>
      </c>
      <c r="Q6" s="728"/>
      <c r="R6" s="728" t="str">
        <f>IF(AND('Mapa R. Fiscal'!$H$16="Muy Alta",'Mapa R. Fiscal'!$L$16="Menor"),CONCATENATE("R",'Mapa R. Fiscal'!$A$16),"")</f>
        <v/>
      </c>
      <c r="S6" s="728"/>
      <c r="T6" s="728" t="str">
        <f>IF(AND('Mapa R. Fiscal'!$H$22="Muy Alta",'Mapa R. Fiscal'!$L$22="Menor"),CONCATENATE("R",'Mapa R. Fiscal'!$A$22),"")</f>
        <v/>
      </c>
      <c r="U6" s="731"/>
      <c r="V6" s="727" t="str">
        <f>IF(AND('Mapa R. Fiscal'!$H$10="Muy Alta",'Mapa R. Fiscal'!$L$10="Moderado"),CONCATENATE("R",'Mapa R. Fiscal'!$A$10),"")</f>
        <v/>
      </c>
      <c r="W6" s="728"/>
      <c r="X6" s="728" t="str">
        <f>IF(AND('Mapa R. Fiscal'!$H$16="Muy Alta",'Mapa R. Fiscal'!$L$16="Moderado"),CONCATENATE("R",'Mapa R. Fiscal'!$A$16),"")</f>
        <v/>
      </c>
      <c r="Y6" s="728"/>
      <c r="Z6" s="728" t="str">
        <f>IF(AND('Mapa R. Fiscal'!$H$22="Muy Alta",'Mapa R. Fiscal'!$L$22="Moderado"),CONCATENATE("R",'Mapa R. Fiscal'!$A$22),"")</f>
        <v/>
      </c>
      <c r="AA6" s="731"/>
      <c r="AB6" s="727" t="str">
        <f>IF(AND('Mapa R. Fiscal'!$H$10="Muy Alta",'Mapa R. Fiscal'!$L$10="Mayor"),CONCATENATE("R",'Mapa R. Fiscal'!$A$10),"")</f>
        <v/>
      </c>
      <c r="AC6" s="728"/>
      <c r="AD6" s="728" t="str">
        <f>IF(AND('Mapa R. Fiscal'!$H$16="Muy Alta",'Mapa R. Fiscal'!$L$16="Mayor"),CONCATENATE("R",'Mapa R. Fiscal'!$A$16),"")</f>
        <v/>
      </c>
      <c r="AE6" s="728"/>
      <c r="AF6" s="728" t="str">
        <f>IF(AND('Mapa R. Fiscal'!$H$22="Muy Alta",'Mapa R. Fiscal'!$L$22="Mayor"),CONCATENATE("R",'Mapa R. Fiscal'!$A$22),"")</f>
        <v/>
      </c>
      <c r="AG6" s="731"/>
      <c r="AH6" s="733" t="str">
        <f>IF(AND('Mapa R. Fiscal'!$H$10="Muy Alta",'Mapa R. Fiscal'!$L$10="Catastrófico"),CONCATENATE("R",'Mapa R. Fiscal'!$A$10),"")</f>
        <v/>
      </c>
      <c r="AI6" s="734"/>
      <c r="AJ6" s="734" t="str">
        <f>IF(AND('Mapa R. Fiscal'!$H$16="Muy Alta",'Mapa R. Fiscal'!$L$16="Catastrófico"),CONCATENATE("R",'Mapa R. Fiscal'!$A$16),"")</f>
        <v/>
      </c>
      <c r="AK6" s="734"/>
      <c r="AL6" s="734" t="str">
        <f>IF(AND('Mapa R. Fiscal'!$H$22="Muy Alta",'Mapa R. Fiscal'!$L$22="Catastrófico"),CONCATENATE("R",'Mapa R. Fiscal'!$A$22),"")</f>
        <v/>
      </c>
      <c r="AM6" s="737"/>
      <c r="AO6" s="739" t="s">
        <v>190</v>
      </c>
      <c r="AP6" s="740"/>
      <c r="AQ6" s="740"/>
      <c r="AR6" s="740"/>
      <c r="AS6" s="740"/>
      <c r="AT6" s="7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6"/>
      <c r="C7" s="716"/>
      <c r="D7" s="717"/>
      <c r="E7" s="721"/>
      <c r="F7" s="722"/>
      <c r="G7" s="722"/>
      <c r="H7" s="722"/>
      <c r="I7" s="723"/>
      <c r="J7" s="729"/>
      <c r="K7" s="730"/>
      <c r="L7" s="730"/>
      <c r="M7" s="730"/>
      <c r="N7" s="730"/>
      <c r="O7" s="732"/>
      <c r="P7" s="729"/>
      <c r="Q7" s="730"/>
      <c r="R7" s="730"/>
      <c r="S7" s="730"/>
      <c r="T7" s="730"/>
      <c r="U7" s="732"/>
      <c r="V7" s="729"/>
      <c r="W7" s="730"/>
      <c r="X7" s="730"/>
      <c r="Y7" s="730"/>
      <c r="Z7" s="730"/>
      <c r="AA7" s="732"/>
      <c r="AB7" s="729"/>
      <c r="AC7" s="730"/>
      <c r="AD7" s="730"/>
      <c r="AE7" s="730"/>
      <c r="AF7" s="730"/>
      <c r="AG7" s="732"/>
      <c r="AH7" s="735"/>
      <c r="AI7" s="736"/>
      <c r="AJ7" s="736"/>
      <c r="AK7" s="736"/>
      <c r="AL7" s="736"/>
      <c r="AM7" s="738"/>
      <c r="AN7" s="15"/>
      <c r="AO7" s="742"/>
      <c r="AP7" s="743"/>
      <c r="AQ7" s="743"/>
      <c r="AR7" s="743"/>
      <c r="AS7" s="743"/>
      <c r="AT7" s="7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6"/>
      <c r="C8" s="716"/>
      <c r="D8" s="717"/>
      <c r="E8" s="721"/>
      <c r="F8" s="722"/>
      <c r="G8" s="722"/>
      <c r="H8" s="722"/>
      <c r="I8" s="723"/>
      <c r="J8" s="729" t="str">
        <f>IF(AND('Mapa R. Fiscal'!$H$28="Muy Alta",'Mapa R. Fiscal'!$L$28="Leve"),CONCATENATE("R",'Mapa R. Fiscal'!$A$28),"")</f>
        <v/>
      </c>
      <c r="K8" s="730"/>
      <c r="L8" s="730" t="str">
        <f>IF(AND('Mapa R. Fiscal'!$H$34="Muy Alta",'Mapa R. Fiscal'!$L$34="Leve"),CONCATENATE("R",'Mapa R. Fiscal'!$A$34),"")</f>
        <v/>
      </c>
      <c r="M8" s="730"/>
      <c r="N8" s="730" t="str">
        <f>IF(AND('Mapa R. Fiscal'!$H$40="Muy Alta",'Mapa R. Fiscal'!$L$40="Leve"),CONCATENATE("R",'Mapa R. Fiscal'!$A$40),"")</f>
        <v/>
      </c>
      <c r="O8" s="732"/>
      <c r="P8" s="729" t="str">
        <f>IF(AND('Mapa R. Fiscal'!$H$28="Muy Alta",'Mapa R. Fiscal'!$L$28="Menor"),CONCATENATE("R",'Mapa R. Fiscal'!$A$28),"")</f>
        <v/>
      </c>
      <c r="Q8" s="730"/>
      <c r="R8" s="730" t="str">
        <f>IF(AND('Mapa R. Fiscal'!$H$34="Muy Alta",'Mapa R. Fiscal'!$L$34="Menor"),CONCATENATE("R",'Mapa R. Fiscal'!$A$34),"")</f>
        <v/>
      </c>
      <c r="S8" s="730"/>
      <c r="T8" s="730" t="str">
        <f>IF(AND('Mapa R. Fiscal'!$H$40="Muy Alta",'Mapa R. Fiscal'!$L$40="Menor"),CONCATENATE("R",'Mapa R. Fiscal'!$A$40),"")</f>
        <v/>
      </c>
      <c r="U8" s="732"/>
      <c r="V8" s="729" t="str">
        <f>IF(AND('Mapa R. Fiscal'!$H$28="Muy Alta",'Mapa R. Fiscal'!$L$28="Moderado"),CONCATENATE("R",'Mapa R. Fiscal'!$A$28),"")</f>
        <v/>
      </c>
      <c r="W8" s="730"/>
      <c r="X8" s="730" t="str">
        <f>IF(AND('Mapa R. Fiscal'!$H$34="Muy Alta",'Mapa R. Fiscal'!$L$34="Moderado"),CONCATENATE("R",'Mapa R. Fiscal'!$A$34),"")</f>
        <v/>
      </c>
      <c r="Y8" s="730"/>
      <c r="Z8" s="730" t="str">
        <f>IF(AND('Mapa R. Fiscal'!$H$40="Muy Alta",'Mapa R. Fiscal'!$L$40="Moderado"),CONCATENATE("R",'Mapa R. Fiscal'!$A$40),"")</f>
        <v/>
      </c>
      <c r="AA8" s="732"/>
      <c r="AB8" s="729" t="str">
        <f>IF(AND('Mapa R. Fiscal'!$H$28="Muy Alta",'Mapa R. Fiscal'!$L$28="Mayor"),CONCATENATE("R",'Mapa R. Fiscal'!$A$28),"")</f>
        <v/>
      </c>
      <c r="AC8" s="730"/>
      <c r="AD8" s="730" t="str">
        <f>IF(AND('Mapa R. Fiscal'!$H$34="Muy Alta",'Mapa R. Fiscal'!$L$34="Mayor"),CONCATENATE("R",'Mapa R. Fiscal'!$A$34),"")</f>
        <v/>
      </c>
      <c r="AE8" s="730"/>
      <c r="AF8" s="730" t="str">
        <f>IF(AND('Mapa R. Fiscal'!$H$40="Muy Alta",'Mapa R. Fiscal'!$L$40="Mayor"),CONCATENATE("R",'Mapa R. Fiscal'!$A$40),"")</f>
        <v/>
      </c>
      <c r="AG8" s="732"/>
      <c r="AH8" s="735" t="str">
        <f>IF(AND('Mapa R. Fiscal'!$H$28="Muy Alta",'Mapa R. Fiscal'!$L$28="Catastrófico"),CONCATENATE("R",'Mapa R. Fiscal'!$A$28),"")</f>
        <v/>
      </c>
      <c r="AI8" s="736"/>
      <c r="AJ8" s="736" t="str">
        <f>IF(AND('Mapa R. Fiscal'!$H$34="Muy Alta",'Mapa R. Fiscal'!$L$34="Catastrófico"),CONCATENATE("R",'Mapa R. Fiscal'!$A$34),"")</f>
        <v/>
      </c>
      <c r="AK8" s="736"/>
      <c r="AL8" s="736" t="str">
        <f>IF(AND('Mapa R. Fiscal'!$H$40="Muy Alta",'Mapa R. Fiscal'!$L$40="Catastrófico"),CONCATENATE("R",'Mapa R. Fiscal'!$A$40),"")</f>
        <v/>
      </c>
      <c r="AM8" s="738"/>
      <c r="AN8" s="15"/>
      <c r="AO8" s="742"/>
      <c r="AP8" s="743"/>
      <c r="AQ8" s="743"/>
      <c r="AR8" s="743"/>
      <c r="AS8" s="743"/>
      <c r="AT8" s="7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6"/>
      <c r="C9" s="716"/>
      <c r="D9" s="717"/>
      <c r="E9" s="721"/>
      <c r="F9" s="722"/>
      <c r="G9" s="722"/>
      <c r="H9" s="722"/>
      <c r="I9" s="723"/>
      <c r="J9" s="729"/>
      <c r="K9" s="730"/>
      <c r="L9" s="730"/>
      <c r="M9" s="730"/>
      <c r="N9" s="730"/>
      <c r="O9" s="732"/>
      <c r="P9" s="729"/>
      <c r="Q9" s="730"/>
      <c r="R9" s="730"/>
      <c r="S9" s="730"/>
      <c r="T9" s="730"/>
      <c r="U9" s="732"/>
      <c r="V9" s="729"/>
      <c r="W9" s="730"/>
      <c r="X9" s="730"/>
      <c r="Y9" s="730"/>
      <c r="Z9" s="730"/>
      <c r="AA9" s="732"/>
      <c r="AB9" s="729"/>
      <c r="AC9" s="730"/>
      <c r="AD9" s="730"/>
      <c r="AE9" s="730"/>
      <c r="AF9" s="730"/>
      <c r="AG9" s="732"/>
      <c r="AH9" s="735"/>
      <c r="AI9" s="736"/>
      <c r="AJ9" s="736"/>
      <c r="AK9" s="736"/>
      <c r="AL9" s="736"/>
      <c r="AM9" s="738"/>
      <c r="AN9" s="15"/>
      <c r="AO9" s="742"/>
      <c r="AP9" s="743"/>
      <c r="AQ9" s="743"/>
      <c r="AR9" s="743"/>
      <c r="AS9" s="743"/>
      <c r="AT9" s="7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6"/>
      <c r="C10" s="716"/>
      <c r="D10" s="717"/>
      <c r="E10" s="721"/>
      <c r="F10" s="722"/>
      <c r="G10" s="722"/>
      <c r="H10" s="722"/>
      <c r="I10" s="723"/>
      <c r="J10" s="729" t="str">
        <f>IF(AND('Mapa R. Fiscal'!$H$46="Muy Alta",'Mapa R. Fiscal'!$L$46="Leve"),CONCATENATE("R",'Mapa R. Fiscal'!$A$46),"")</f>
        <v/>
      </c>
      <c r="K10" s="730"/>
      <c r="L10" s="730" t="str">
        <f>IF(AND('Mapa R. Fiscal'!$H$52="Muy Alta",'Mapa R. Fiscal'!$L$52="Leve"),CONCATENATE("R",'Mapa R. Fiscal'!$A$52),"")</f>
        <v/>
      </c>
      <c r="M10" s="730"/>
      <c r="N10" s="730" t="str">
        <f>IF(AND('Mapa R. Fiscal'!$H$58="Muy Alta",'Mapa R. Fiscal'!$L$58="Leve"),CONCATENATE("R",'Mapa R. Fiscal'!$A$58),"")</f>
        <v/>
      </c>
      <c r="O10" s="732"/>
      <c r="P10" s="729" t="str">
        <f>IF(AND('Mapa R. Fiscal'!$H$46="Muy Alta",'Mapa R. Fiscal'!$L$46="Menor"),CONCATENATE("R",'Mapa R. Fiscal'!$A$46),"")</f>
        <v/>
      </c>
      <c r="Q10" s="730"/>
      <c r="R10" s="730" t="str">
        <f>IF(AND('Mapa R. Fiscal'!$H$52="Muy Alta",'Mapa R. Fiscal'!$L$52="Menor"),CONCATENATE("R",'Mapa R. Fiscal'!$A$52),"")</f>
        <v/>
      </c>
      <c r="S10" s="730"/>
      <c r="T10" s="730" t="str">
        <f>IF(AND('Mapa R. Fiscal'!$H$58="Muy Alta",'Mapa R. Fiscal'!$L$58="Menor"),CONCATENATE("R",'Mapa R. Fiscal'!$A$58),"")</f>
        <v/>
      </c>
      <c r="U10" s="732"/>
      <c r="V10" s="729" t="str">
        <f>IF(AND('Mapa R. Fiscal'!$H$46="Muy Alta",'Mapa R. Fiscal'!$L$46="Moderado"),CONCATENATE("R",'Mapa R. Fiscal'!$A$46),"")</f>
        <v/>
      </c>
      <c r="W10" s="730"/>
      <c r="X10" s="730" t="str">
        <f>IF(AND('Mapa R. Fiscal'!$H$52="Muy Alta",'Mapa R. Fiscal'!$L$52="Moderado"),CONCATENATE("R",'Mapa R. Fiscal'!$A$52),"")</f>
        <v/>
      </c>
      <c r="Y10" s="730"/>
      <c r="Z10" s="730" t="str">
        <f>IF(AND('Mapa R. Fiscal'!$H$58="Muy Alta",'Mapa R. Fiscal'!$L$58="Moderado"),CONCATENATE("R",'Mapa R. Fiscal'!$A$58),"")</f>
        <v/>
      </c>
      <c r="AA10" s="732"/>
      <c r="AB10" s="729" t="str">
        <f>IF(AND('Mapa R. Fiscal'!$H$46="Muy Alta",'Mapa R. Fiscal'!$L$46="Mayor"),CONCATENATE("R",'Mapa R. Fiscal'!$A$46),"")</f>
        <v/>
      </c>
      <c r="AC10" s="730"/>
      <c r="AD10" s="730" t="str">
        <f>IF(AND('Mapa R. Fiscal'!$H$52="Muy Alta",'Mapa R. Fiscal'!$L$52="Mayor"),CONCATENATE("R",'Mapa R. Fiscal'!$A$52),"")</f>
        <v/>
      </c>
      <c r="AE10" s="730"/>
      <c r="AF10" s="730" t="str">
        <f>IF(AND('Mapa R. Fiscal'!$H$58="Muy Alta",'Mapa R. Fiscal'!$L$58="Mayor"),CONCATENATE("R",'Mapa R. Fiscal'!$A$58),"")</f>
        <v/>
      </c>
      <c r="AG10" s="732"/>
      <c r="AH10" s="735" t="str">
        <f>IF(AND('Mapa R. Fiscal'!$H$46="Muy Alta",'Mapa R. Fiscal'!$L$46="Catastrófico"),CONCATENATE("R",'Mapa R. Fiscal'!$A$46),"")</f>
        <v/>
      </c>
      <c r="AI10" s="736"/>
      <c r="AJ10" s="736" t="str">
        <f>IF(AND('Mapa R. Fiscal'!$H$52="Muy Alta",'Mapa R. Fiscal'!$L$52="Catastrófico"),CONCATENATE("R",'Mapa R. Fiscal'!$A$52),"")</f>
        <v/>
      </c>
      <c r="AK10" s="736"/>
      <c r="AL10" s="736" t="str">
        <f>IF(AND('Mapa R. Fiscal'!$H$58="Muy Alta",'Mapa R. Fiscal'!$L$58="Catastrófico"),CONCATENATE("R",'Mapa R. Fiscal'!$A$58),"")</f>
        <v/>
      </c>
      <c r="AM10" s="738"/>
      <c r="AN10" s="15"/>
      <c r="AO10" s="742"/>
      <c r="AP10" s="743"/>
      <c r="AQ10" s="743"/>
      <c r="AR10" s="743"/>
      <c r="AS10" s="743"/>
      <c r="AT10" s="7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6"/>
      <c r="C11" s="716"/>
      <c r="D11" s="717"/>
      <c r="E11" s="721"/>
      <c r="F11" s="722"/>
      <c r="G11" s="722"/>
      <c r="H11" s="722"/>
      <c r="I11" s="723"/>
      <c r="J11" s="729"/>
      <c r="K11" s="730"/>
      <c r="L11" s="730"/>
      <c r="M11" s="730"/>
      <c r="N11" s="730"/>
      <c r="O11" s="732"/>
      <c r="P11" s="729"/>
      <c r="Q11" s="730"/>
      <c r="R11" s="730"/>
      <c r="S11" s="730"/>
      <c r="T11" s="730"/>
      <c r="U11" s="732"/>
      <c r="V11" s="729"/>
      <c r="W11" s="730"/>
      <c r="X11" s="730"/>
      <c r="Y11" s="730"/>
      <c r="Z11" s="730"/>
      <c r="AA11" s="732"/>
      <c r="AB11" s="729"/>
      <c r="AC11" s="730"/>
      <c r="AD11" s="730"/>
      <c r="AE11" s="730"/>
      <c r="AF11" s="730"/>
      <c r="AG11" s="732"/>
      <c r="AH11" s="735"/>
      <c r="AI11" s="736"/>
      <c r="AJ11" s="736"/>
      <c r="AK11" s="736"/>
      <c r="AL11" s="736"/>
      <c r="AM11" s="738"/>
      <c r="AN11" s="15"/>
      <c r="AO11" s="742"/>
      <c r="AP11" s="743"/>
      <c r="AQ11" s="743"/>
      <c r="AR11" s="743"/>
      <c r="AS11" s="743"/>
      <c r="AT11" s="7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6"/>
      <c r="C12" s="716"/>
      <c r="D12" s="717"/>
      <c r="E12" s="721"/>
      <c r="F12" s="722"/>
      <c r="G12" s="722"/>
      <c r="H12" s="722"/>
      <c r="I12" s="723"/>
      <c r="J12" s="729" t="str">
        <f>IF(AND('Mapa R. Fiscal'!$H$64="Muy Alta",'Mapa R. Fiscal'!$L$64="Leve"),CONCATENATE("R",'Mapa R. Fiscal'!$A$64),"")</f>
        <v/>
      </c>
      <c r="K12" s="730"/>
      <c r="L12" s="730" t="str">
        <f>IF(AND('Mapa R. Fiscal'!$H$70="Muy Alta",'Mapa R. Fiscal'!$L$70="Leve"),CONCATENATE("R",'Mapa R. Fiscal'!$A$70),"")</f>
        <v/>
      </c>
      <c r="M12" s="730"/>
      <c r="N12" s="730" t="str">
        <f>IF(AND('Mapa R. Fiscal'!$H$76="Muy Alta",'Mapa R. Fiscal'!$L$76="Leve"),CONCATENATE("R",'Mapa R. Fiscal'!$A$76),"")</f>
        <v/>
      </c>
      <c r="O12" s="732"/>
      <c r="P12" s="729" t="str">
        <f>IF(AND('Mapa R. Fiscal'!$H$64="Muy Alta",'Mapa R. Fiscal'!$L$64="Menor"),CONCATENATE("R",'Mapa R. Fiscal'!$A$64),"")</f>
        <v/>
      </c>
      <c r="Q12" s="730"/>
      <c r="R12" s="730" t="str">
        <f>IF(AND('Mapa R. Fiscal'!$H$70="Muy Alta",'Mapa R. Fiscal'!$L$70="Menor"),CONCATENATE("R",'Mapa R. Fiscal'!$A$70),"")</f>
        <v/>
      </c>
      <c r="S12" s="730"/>
      <c r="T12" s="730" t="str">
        <f>IF(AND('Mapa R. Fiscal'!$H$76="Muy Alta",'Mapa R. Fiscal'!$L$76="Menor"),CONCATENATE("R",'Mapa R. Fiscal'!$A$76),"")</f>
        <v/>
      </c>
      <c r="U12" s="732"/>
      <c r="V12" s="729" t="str">
        <f>IF(AND('Mapa R. Fiscal'!$H$64="Muy Alta",'Mapa R. Fiscal'!$L$64="Moderado"),CONCATENATE("R",'Mapa R. Fiscal'!$A$64),"")</f>
        <v/>
      </c>
      <c r="W12" s="730"/>
      <c r="X12" s="730" t="str">
        <f>IF(AND('Mapa R. Fiscal'!$H$70="Muy Alta",'Mapa R. Fiscal'!$L$70="Moderado"),CONCATENATE("R",'Mapa R. Fiscal'!$A$70),"")</f>
        <v/>
      </c>
      <c r="Y12" s="730"/>
      <c r="Z12" s="730" t="str">
        <f>IF(AND('Mapa R. Fiscal'!$H$76="Muy Alta",'Mapa R. Fiscal'!$L$76="Moderado"),CONCATENATE("R",'Mapa R. Fiscal'!$A$76),"")</f>
        <v/>
      </c>
      <c r="AA12" s="732"/>
      <c r="AB12" s="729" t="str">
        <f>IF(AND('Mapa R. Fiscal'!$H$64="Muy Alta",'Mapa R. Fiscal'!$L$64="Mayor"),CONCATENATE("R",'Mapa R. Fiscal'!$A$64),"")</f>
        <v/>
      </c>
      <c r="AC12" s="730"/>
      <c r="AD12" s="730" t="str">
        <f>IF(AND('Mapa R. Fiscal'!$H$70="Muy Alta",'Mapa R. Fiscal'!$L$70="Mayor"),CONCATENATE("R",'Mapa R. Fiscal'!$A$70),"")</f>
        <v/>
      </c>
      <c r="AE12" s="730"/>
      <c r="AF12" s="730" t="str">
        <f>IF(AND('Mapa R. Fiscal'!$H$76="Muy Alta",'Mapa R. Fiscal'!$L$76="Mayor"),CONCATENATE("R",'Mapa R. Fiscal'!$A$76),"")</f>
        <v/>
      </c>
      <c r="AG12" s="732"/>
      <c r="AH12" s="735" t="str">
        <f>IF(AND('Mapa R. Fiscal'!$H$64="Muy Alta",'Mapa R. Fiscal'!$L$64="Catastrófico"),CONCATENATE("R",'Mapa R. Fiscal'!$A$64),"")</f>
        <v/>
      </c>
      <c r="AI12" s="736"/>
      <c r="AJ12" s="736" t="str">
        <f>IF(AND('Mapa R. Fiscal'!$H$70="Muy Alta",'Mapa R. Fiscal'!$L$70="Catastrófico"),CONCATENATE("R",'Mapa R. Fiscal'!$A$70),"")</f>
        <v/>
      </c>
      <c r="AK12" s="736"/>
      <c r="AL12" s="736" t="str">
        <f>IF(AND('Mapa R. Fiscal'!$H$76="Muy Alta",'Mapa R. Fiscal'!$L$76="Catastrófico"),CONCATENATE("R",'Mapa R. Fiscal'!$A$76),"")</f>
        <v/>
      </c>
      <c r="AM12" s="738"/>
      <c r="AN12" s="15"/>
      <c r="AO12" s="742"/>
      <c r="AP12" s="743"/>
      <c r="AQ12" s="743"/>
      <c r="AR12" s="743"/>
      <c r="AS12" s="743"/>
      <c r="AT12" s="7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6"/>
      <c r="C13" s="716"/>
      <c r="D13" s="717"/>
      <c r="E13" s="724"/>
      <c r="F13" s="725"/>
      <c r="G13" s="725"/>
      <c r="H13" s="725"/>
      <c r="I13" s="726"/>
      <c r="J13" s="729"/>
      <c r="K13" s="730"/>
      <c r="L13" s="730"/>
      <c r="M13" s="730"/>
      <c r="N13" s="730"/>
      <c r="O13" s="732"/>
      <c r="P13" s="729"/>
      <c r="Q13" s="730"/>
      <c r="R13" s="730"/>
      <c r="S13" s="730"/>
      <c r="T13" s="730"/>
      <c r="U13" s="732"/>
      <c r="V13" s="729"/>
      <c r="W13" s="730"/>
      <c r="X13" s="730"/>
      <c r="Y13" s="730"/>
      <c r="Z13" s="730"/>
      <c r="AA13" s="732"/>
      <c r="AB13" s="729"/>
      <c r="AC13" s="730"/>
      <c r="AD13" s="730"/>
      <c r="AE13" s="730"/>
      <c r="AF13" s="730"/>
      <c r="AG13" s="732"/>
      <c r="AH13" s="756"/>
      <c r="AI13" s="748"/>
      <c r="AJ13" s="748"/>
      <c r="AK13" s="748"/>
      <c r="AL13" s="748"/>
      <c r="AM13" s="749"/>
      <c r="AN13" s="15"/>
      <c r="AO13" s="745"/>
      <c r="AP13" s="746"/>
      <c r="AQ13" s="746"/>
      <c r="AR13" s="746"/>
      <c r="AS13" s="746"/>
      <c r="AT13" s="7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6"/>
      <c r="C14" s="716"/>
      <c r="D14" s="717"/>
      <c r="E14" s="718" t="s">
        <v>191</v>
      </c>
      <c r="F14" s="719"/>
      <c r="G14" s="719"/>
      <c r="H14" s="719"/>
      <c r="I14" s="719"/>
      <c r="J14" s="750" t="str">
        <f>IF(AND('Mapa R. Fiscal'!$H$10="Alta",'Mapa R. Fiscal'!$L$10="Leve"),CONCATENATE("R",'Mapa R. Fiscal'!$A$10),"")</f>
        <v/>
      </c>
      <c r="K14" s="751"/>
      <c r="L14" s="751" t="str">
        <f>IF(AND('Mapa R. Fiscal'!$H$16="Alta",'Mapa R. Fiscal'!$L$16="Leve"),CONCATENATE("R",'Mapa R. Fiscal'!$A$16),"")</f>
        <v/>
      </c>
      <c r="M14" s="751"/>
      <c r="N14" s="751" t="str">
        <f>IF(AND('Mapa R. Fiscal'!$H$22="Alta",'Mapa R. Fiscal'!$L$22="Leve"),CONCATENATE("R",'Mapa R. Fiscal'!$A$22),"")</f>
        <v/>
      </c>
      <c r="O14" s="754"/>
      <c r="P14" s="750" t="str">
        <f>IF(AND('Mapa R. Fiscal'!$H$10="Alta",'Mapa R. Fiscal'!$L$10="Menor"),CONCATENATE("R",'Mapa R. Fiscal'!$A$10),"")</f>
        <v/>
      </c>
      <c r="Q14" s="751"/>
      <c r="R14" s="751" t="str">
        <f>IF(AND('Mapa R. Fiscal'!$H$16="Alta",'Mapa R. Fiscal'!$L$16="Menor"),CONCATENATE("R",'Mapa R. Fiscal'!$A$16),"")</f>
        <v/>
      </c>
      <c r="S14" s="751"/>
      <c r="T14" s="751" t="str">
        <f>IF(AND('Mapa R. Fiscal'!$H$22="Alta",'Mapa R. Fiscal'!$L$22="Menor"),CONCATENATE("R",'Mapa R. Fiscal'!$A$22),"")</f>
        <v/>
      </c>
      <c r="U14" s="754"/>
      <c r="V14" s="727" t="str">
        <f>IF(AND('Mapa R. Fiscal'!$H$10="Alta",'Mapa R. Fiscal'!$L$10="Moderado"),CONCATENATE("R",'Mapa R. Fiscal'!$A$10),"")</f>
        <v/>
      </c>
      <c r="W14" s="728"/>
      <c r="X14" s="728" t="str">
        <f>IF(AND('Mapa R. Fiscal'!$H$16="Alta",'Mapa R. Fiscal'!$L$16="Moderado"),CONCATENATE("R",'Mapa R. Fiscal'!$A$16),"")</f>
        <v/>
      </c>
      <c r="Y14" s="728"/>
      <c r="Z14" s="728" t="str">
        <f>IF(AND('Mapa R. Fiscal'!$H$22="Alta",'Mapa R. Fiscal'!$L$22="Moderado"),CONCATENATE("R",'Mapa R. Fiscal'!$A$22),"")</f>
        <v/>
      </c>
      <c r="AA14" s="731"/>
      <c r="AB14" s="727" t="str">
        <f>IF(AND('Mapa R. Fiscal'!$H$10="Alta",'Mapa R. Fiscal'!$L$10="Mayor"),CONCATENATE("R",'Mapa R. Fiscal'!$A$10),"")</f>
        <v/>
      </c>
      <c r="AC14" s="728"/>
      <c r="AD14" s="728" t="str">
        <f>IF(AND('Mapa R. Fiscal'!$H$16="Alta",'Mapa R. Fiscal'!$L$16="Mayor"),CONCATENATE("R",'Mapa R. Fiscal'!$A$16),"")</f>
        <v/>
      </c>
      <c r="AE14" s="728"/>
      <c r="AF14" s="728" t="str">
        <f>IF(AND('Mapa R. Fiscal'!$H$22="Alta",'Mapa R. Fiscal'!$L$22="Mayor"),CONCATENATE("R",'Mapa R. Fiscal'!$A$22),"")</f>
        <v/>
      </c>
      <c r="AG14" s="731"/>
      <c r="AH14" s="733" t="str">
        <f>IF(AND('Mapa R. Fiscal'!$H$10="Alta",'Mapa R. Fiscal'!$L$10="Catastrófico"),CONCATENATE("R",'Mapa R. Fiscal'!$A$10),"")</f>
        <v/>
      </c>
      <c r="AI14" s="734"/>
      <c r="AJ14" s="734" t="str">
        <f>IF(AND('Mapa R. Fiscal'!$H$16="Alta",'Mapa R. Fiscal'!$L$16="Catastrófico"),CONCATENATE("R",'Mapa R. Fiscal'!$A$16),"")</f>
        <v/>
      </c>
      <c r="AK14" s="734"/>
      <c r="AL14" s="734" t="str">
        <f>IF(AND('Mapa R. Fiscal'!$H$22="Alta",'Mapa R. Fiscal'!$L$22="Catastrófico"),CONCATENATE("R",'Mapa R. Fiscal'!$A$22),"")</f>
        <v/>
      </c>
      <c r="AM14" s="737"/>
      <c r="AN14" s="15"/>
      <c r="AO14" s="757" t="s">
        <v>192</v>
      </c>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6"/>
      <c r="C15" s="716"/>
      <c r="D15" s="717"/>
      <c r="E15" s="721"/>
      <c r="F15" s="722"/>
      <c r="G15" s="722"/>
      <c r="H15" s="722"/>
      <c r="I15" s="722"/>
      <c r="J15" s="752"/>
      <c r="K15" s="753"/>
      <c r="L15" s="753"/>
      <c r="M15" s="753"/>
      <c r="N15" s="753"/>
      <c r="O15" s="755"/>
      <c r="P15" s="752"/>
      <c r="Q15" s="753"/>
      <c r="R15" s="753"/>
      <c r="S15" s="753"/>
      <c r="T15" s="753"/>
      <c r="U15" s="755"/>
      <c r="V15" s="729"/>
      <c r="W15" s="730"/>
      <c r="X15" s="730"/>
      <c r="Y15" s="730"/>
      <c r="Z15" s="730"/>
      <c r="AA15" s="732"/>
      <c r="AB15" s="729"/>
      <c r="AC15" s="730"/>
      <c r="AD15" s="730"/>
      <c r="AE15" s="730"/>
      <c r="AF15" s="730"/>
      <c r="AG15" s="732"/>
      <c r="AH15" s="735"/>
      <c r="AI15" s="736"/>
      <c r="AJ15" s="736"/>
      <c r="AK15" s="736"/>
      <c r="AL15" s="736"/>
      <c r="AM15" s="738"/>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6"/>
      <c r="C16" s="716"/>
      <c r="D16" s="717"/>
      <c r="E16" s="721"/>
      <c r="F16" s="722"/>
      <c r="G16" s="722"/>
      <c r="H16" s="722"/>
      <c r="I16" s="722"/>
      <c r="J16" s="752" t="str">
        <f>IF(AND('Mapa R. Fiscal'!$H$28="Alta",'Mapa R. Fiscal'!$L$28="Leve"),CONCATENATE("R",'Mapa R. Fiscal'!$A$28),"")</f>
        <v/>
      </c>
      <c r="K16" s="753"/>
      <c r="L16" s="753" t="str">
        <f>IF(AND('Mapa R. Fiscal'!$H$34="Alta",'Mapa R. Fiscal'!$L$34="Leve"),CONCATENATE("R",'Mapa R. Fiscal'!$A$34),"")</f>
        <v/>
      </c>
      <c r="M16" s="753"/>
      <c r="N16" s="753" t="str">
        <f>IF(AND('Mapa R. Fiscal'!$H$40="Alta",'Mapa R. Fiscal'!$L$40="Leve"),CONCATENATE("R",'Mapa R. Fiscal'!$A$40),"")</f>
        <v/>
      </c>
      <c r="O16" s="755"/>
      <c r="P16" s="752" t="str">
        <f>IF(AND('Mapa R. Fiscal'!$H$28="Alta",'Mapa R. Fiscal'!$L$28="Menor"),CONCATENATE("R",'Mapa R. Fiscal'!$A$28),"")</f>
        <v/>
      </c>
      <c r="Q16" s="753"/>
      <c r="R16" s="753" t="str">
        <f>IF(AND('Mapa R. Fiscal'!$H$34="Alta",'Mapa R. Fiscal'!$L$34="Menor"),CONCATENATE("R",'Mapa R. Fiscal'!$A$34),"")</f>
        <v/>
      </c>
      <c r="S16" s="753"/>
      <c r="T16" s="753" t="str">
        <f>IF(AND('Mapa R. Fiscal'!$H$40="Alta",'Mapa R. Fiscal'!$L$40="Menor"),CONCATENATE("R",'Mapa R. Fiscal'!$A$40),"")</f>
        <v/>
      </c>
      <c r="U16" s="755"/>
      <c r="V16" s="729" t="str">
        <f>IF(AND('Mapa R. Fiscal'!$H$28="Alta",'Mapa R. Fiscal'!$L$28="Moderado"),CONCATENATE("R",'Mapa R. Fiscal'!$A$28),"")</f>
        <v/>
      </c>
      <c r="W16" s="730"/>
      <c r="X16" s="730" t="str">
        <f>IF(AND('Mapa R. Fiscal'!$H$34="Alta",'Mapa R. Fiscal'!$L$34="Moderado"),CONCATENATE("R",'Mapa R. Fiscal'!$A$34),"")</f>
        <v/>
      </c>
      <c r="Y16" s="730"/>
      <c r="Z16" s="730" t="str">
        <f>IF(AND('Mapa R. Fiscal'!$H$40="Alta",'Mapa R. Fiscal'!$L$40="Moderado"),CONCATENATE("R",'Mapa R. Fiscal'!$A$40),"")</f>
        <v/>
      </c>
      <c r="AA16" s="732"/>
      <c r="AB16" s="729" t="str">
        <f>IF(AND('Mapa R. Fiscal'!$H$28="Alta",'Mapa R. Fiscal'!$L$28="Mayor"),CONCATENATE("R",'Mapa R. Fiscal'!$A$28),"")</f>
        <v/>
      </c>
      <c r="AC16" s="730"/>
      <c r="AD16" s="730" t="str">
        <f>IF(AND('Mapa R. Fiscal'!$H$34="Alta",'Mapa R. Fiscal'!$L$34="Mayor"),CONCATENATE("R",'Mapa R. Fiscal'!$A$34),"")</f>
        <v/>
      </c>
      <c r="AE16" s="730"/>
      <c r="AF16" s="730" t="str">
        <f>IF(AND('Mapa R. Fiscal'!$H$40="Alta",'Mapa R. Fiscal'!$L$40="Mayor"),CONCATENATE("R",'Mapa R. Fiscal'!$A$40),"")</f>
        <v/>
      </c>
      <c r="AG16" s="732"/>
      <c r="AH16" s="735" t="str">
        <f>IF(AND('Mapa R. Fiscal'!$H$28="Alta",'Mapa R. Fiscal'!$L$28="Catastrófico"),CONCATENATE("R",'Mapa R. Fiscal'!$A$28),"")</f>
        <v/>
      </c>
      <c r="AI16" s="736"/>
      <c r="AJ16" s="736" t="str">
        <f>IF(AND('Mapa R. Fiscal'!$H$34="Alta",'Mapa R. Fiscal'!$L$34="Catastrófico"),CONCATENATE("R",'Mapa R. Fiscal'!$A$34),"")</f>
        <v/>
      </c>
      <c r="AK16" s="736"/>
      <c r="AL16" s="736" t="str">
        <f>IF(AND('Mapa R. Fiscal'!$H$40="Alta",'Mapa R. Fiscal'!$L$40="Catastrófico"),CONCATENATE("R",'Mapa R. Fiscal'!$A$40),"")</f>
        <v/>
      </c>
      <c r="AM16" s="738"/>
      <c r="AN16" s="15"/>
      <c r="AO16" s="760"/>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6"/>
      <c r="C17" s="716"/>
      <c r="D17" s="717"/>
      <c r="E17" s="721"/>
      <c r="F17" s="722"/>
      <c r="G17" s="722"/>
      <c r="H17" s="722"/>
      <c r="I17" s="722"/>
      <c r="J17" s="752"/>
      <c r="K17" s="753"/>
      <c r="L17" s="753"/>
      <c r="M17" s="753"/>
      <c r="N17" s="753"/>
      <c r="O17" s="755"/>
      <c r="P17" s="752"/>
      <c r="Q17" s="753"/>
      <c r="R17" s="753"/>
      <c r="S17" s="753"/>
      <c r="T17" s="753"/>
      <c r="U17" s="755"/>
      <c r="V17" s="729"/>
      <c r="W17" s="730"/>
      <c r="X17" s="730"/>
      <c r="Y17" s="730"/>
      <c r="Z17" s="730"/>
      <c r="AA17" s="732"/>
      <c r="AB17" s="729"/>
      <c r="AC17" s="730"/>
      <c r="AD17" s="730"/>
      <c r="AE17" s="730"/>
      <c r="AF17" s="730"/>
      <c r="AG17" s="732"/>
      <c r="AH17" s="735"/>
      <c r="AI17" s="736"/>
      <c r="AJ17" s="736"/>
      <c r="AK17" s="736"/>
      <c r="AL17" s="736"/>
      <c r="AM17" s="738"/>
      <c r="AN17" s="15"/>
      <c r="AO17" s="760"/>
      <c r="AP17" s="761"/>
      <c r="AQ17" s="761"/>
      <c r="AR17" s="761"/>
      <c r="AS17" s="761"/>
      <c r="AT17" s="7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6"/>
      <c r="C18" s="716"/>
      <c r="D18" s="717"/>
      <c r="E18" s="721"/>
      <c r="F18" s="722"/>
      <c r="G18" s="722"/>
      <c r="H18" s="722"/>
      <c r="I18" s="722"/>
      <c r="J18" s="752" t="str">
        <f>IF(AND('Mapa R. Fiscal'!$H$46="Alta",'Mapa R. Fiscal'!$L$46="Leve"),CONCATENATE("R",'Mapa R. Fiscal'!$A$46),"")</f>
        <v/>
      </c>
      <c r="K18" s="753"/>
      <c r="L18" s="753" t="str">
        <f>IF(AND('Mapa R. Fiscal'!$H$52="Alta",'Mapa R. Fiscal'!$L$52="Leve"),CONCATENATE("R",'Mapa R. Fiscal'!$A$52),"")</f>
        <v/>
      </c>
      <c r="M18" s="753"/>
      <c r="N18" s="753" t="str">
        <f>IF(AND('Mapa R. Fiscal'!$H$58="Alta",'Mapa R. Fiscal'!$L$58="Leve"),CONCATENATE("R",'Mapa R. Fiscal'!$A$58),"")</f>
        <v/>
      </c>
      <c r="O18" s="755"/>
      <c r="P18" s="752" t="str">
        <f>IF(AND('Mapa R. Fiscal'!$H$46="Alta",'Mapa R. Fiscal'!$L$46="Menor"),CONCATENATE("R",'Mapa R. Fiscal'!$A$46),"")</f>
        <v/>
      </c>
      <c r="Q18" s="753"/>
      <c r="R18" s="753" t="str">
        <f>IF(AND('Mapa R. Fiscal'!$H$52="Alta",'Mapa R. Fiscal'!$L$52="Menor"),CONCATENATE("R",'Mapa R. Fiscal'!$A$52),"")</f>
        <v/>
      </c>
      <c r="S18" s="753"/>
      <c r="T18" s="753" t="str">
        <f>IF(AND('Mapa R. Fiscal'!$H$58="Alta",'Mapa R. Fiscal'!$L$58="Menor"),CONCATENATE("R",'Mapa R. Fiscal'!$A$58),"")</f>
        <v/>
      </c>
      <c r="U18" s="755"/>
      <c r="V18" s="729" t="str">
        <f>IF(AND('Mapa R. Fiscal'!$H$46="Alta",'Mapa R. Fiscal'!$L$46="Moderado"),CONCATENATE("R",'Mapa R. Fiscal'!$A$46),"")</f>
        <v/>
      </c>
      <c r="W18" s="730"/>
      <c r="X18" s="730" t="str">
        <f>IF(AND('Mapa R. Fiscal'!$H$52="Alta",'Mapa R. Fiscal'!$L$52="Moderado"),CONCATENATE("R",'Mapa R. Fiscal'!$A$52),"")</f>
        <v/>
      </c>
      <c r="Y18" s="730"/>
      <c r="Z18" s="730" t="str">
        <f>IF(AND('Mapa R. Fiscal'!$H$58="Alta",'Mapa R. Fiscal'!$L$58="Moderado"),CONCATENATE("R",'Mapa R. Fiscal'!$A$58),"")</f>
        <v/>
      </c>
      <c r="AA18" s="732"/>
      <c r="AB18" s="729" t="str">
        <f>IF(AND('Mapa R. Fiscal'!$H$46="Alta",'Mapa R. Fiscal'!$L$46="Mayor"),CONCATENATE("R",'Mapa R. Fiscal'!$A$46),"")</f>
        <v/>
      </c>
      <c r="AC18" s="730"/>
      <c r="AD18" s="730" t="str">
        <f>IF(AND('Mapa R. Fiscal'!$H$52="Alta",'Mapa R. Fiscal'!$L$52="Mayor"),CONCATENATE("R",'Mapa R. Fiscal'!$A$52),"")</f>
        <v/>
      </c>
      <c r="AE18" s="730"/>
      <c r="AF18" s="730" t="str">
        <f>IF(AND('Mapa R. Fiscal'!$H$58="Alta",'Mapa R. Fiscal'!$L$58="Mayor"),CONCATENATE("R",'Mapa R. Fiscal'!$A$58),"")</f>
        <v/>
      </c>
      <c r="AG18" s="732"/>
      <c r="AH18" s="735" t="str">
        <f>IF(AND('Mapa R. Fiscal'!$H$46="Alta",'Mapa R. Fiscal'!$L$46="Catastrófico"),CONCATENATE("R",'Mapa R. Fiscal'!$A$46),"")</f>
        <v/>
      </c>
      <c r="AI18" s="736"/>
      <c r="AJ18" s="736" t="str">
        <f>IF(AND('Mapa R. Fiscal'!$H$52="Alta",'Mapa R. Fiscal'!$L$52="Catastrófico"),CONCATENATE("R",'Mapa R. Fiscal'!$A$52),"")</f>
        <v/>
      </c>
      <c r="AK18" s="736"/>
      <c r="AL18" s="736" t="str">
        <f>IF(AND('Mapa R. Fiscal'!$H$58="Alta",'Mapa R. Fiscal'!$L$58="Catastrófico"),CONCATENATE("R",'Mapa R. Fiscal'!$A$58),"")</f>
        <v/>
      </c>
      <c r="AM18" s="738"/>
      <c r="AN18" s="15"/>
      <c r="AO18" s="760"/>
      <c r="AP18" s="761"/>
      <c r="AQ18" s="761"/>
      <c r="AR18" s="761"/>
      <c r="AS18" s="761"/>
      <c r="AT18" s="7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6"/>
      <c r="C19" s="716"/>
      <c r="D19" s="717"/>
      <c r="E19" s="721"/>
      <c r="F19" s="722"/>
      <c r="G19" s="722"/>
      <c r="H19" s="722"/>
      <c r="I19" s="722"/>
      <c r="J19" s="752"/>
      <c r="K19" s="753"/>
      <c r="L19" s="753"/>
      <c r="M19" s="753"/>
      <c r="N19" s="753"/>
      <c r="O19" s="755"/>
      <c r="P19" s="752"/>
      <c r="Q19" s="753"/>
      <c r="R19" s="753"/>
      <c r="S19" s="753"/>
      <c r="T19" s="753"/>
      <c r="U19" s="755"/>
      <c r="V19" s="729"/>
      <c r="W19" s="730"/>
      <c r="X19" s="730"/>
      <c r="Y19" s="730"/>
      <c r="Z19" s="730"/>
      <c r="AA19" s="732"/>
      <c r="AB19" s="729"/>
      <c r="AC19" s="730"/>
      <c r="AD19" s="730"/>
      <c r="AE19" s="730"/>
      <c r="AF19" s="730"/>
      <c r="AG19" s="732"/>
      <c r="AH19" s="735"/>
      <c r="AI19" s="736"/>
      <c r="AJ19" s="736"/>
      <c r="AK19" s="736"/>
      <c r="AL19" s="736"/>
      <c r="AM19" s="738"/>
      <c r="AN19" s="15"/>
      <c r="AO19" s="760"/>
      <c r="AP19" s="761"/>
      <c r="AQ19" s="761"/>
      <c r="AR19" s="761"/>
      <c r="AS19" s="761"/>
      <c r="AT19" s="7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6"/>
      <c r="C20" s="716"/>
      <c r="D20" s="717"/>
      <c r="E20" s="721"/>
      <c r="F20" s="722"/>
      <c r="G20" s="722"/>
      <c r="H20" s="722"/>
      <c r="I20" s="722"/>
      <c r="J20" s="752" t="str">
        <f>IF(AND('Mapa R. Fiscal'!$H$64="Alta",'Mapa R. Fiscal'!$L$64="Leve"),CONCATENATE("R",'Mapa R. Fiscal'!$A$64),"")</f>
        <v/>
      </c>
      <c r="K20" s="753"/>
      <c r="L20" s="753" t="str">
        <f>IF(AND('Mapa R. Fiscal'!$H$70="Alta",'Mapa R. Fiscal'!$L$70="Leve"),CONCATENATE("R",'Mapa R. Fiscal'!$A$70),"")</f>
        <v/>
      </c>
      <c r="M20" s="753"/>
      <c r="N20" s="753" t="str">
        <f>IF(AND('Mapa R. Fiscal'!$H$76="Alta",'Mapa R. Fiscal'!$L$76="Leve"),CONCATENATE("R",'Mapa R. Fiscal'!$A$76),"")</f>
        <v/>
      </c>
      <c r="O20" s="755"/>
      <c r="P20" s="752" t="str">
        <f>IF(AND('Mapa R. Fiscal'!$H$64="Alta",'Mapa R. Fiscal'!$L$64="Menor"),CONCATENATE("R",'Mapa R. Fiscal'!$A$64),"")</f>
        <v/>
      </c>
      <c r="Q20" s="753"/>
      <c r="R20" s="753" t="str">
        <f>IF(AND('Mapa R. Fiscal'!$H$70="Alta",'Mapa R. Fiscal'!$L$70="Menor"),CONCATENATE("R",'Mapa R. Fiscal'!$A$70),"")</f>
        <v/>
      </c>
      <c r="S20" s="753"/>
      <c r="T20" s="753" t="str">
        <f>IF(AND('Mapa R. Fiscal'!$H$76="Alta",'Mapa R. Fiscal'!$L$76="Menor"),CONCATENATE("R",'Mapa R. Fiscal'!$A$76),"")</f>
        <v/>
      </c>
      <c r="U20" s="755"/>
      <c r="V20" s="729" t="str">
        <f>IF(AND('Mapa R. Fiscal'!$H$64="Alta",'Mapa R. Fiscal'!$L$64="Moderado"),CONCATENATE("R",'Mapa R. Fiscal'!$A$64),"")</f>
        <v/>
      </c>
      <c r="W20" s="730"/>
      <c r="X20" s="730" t="str">
        <f>IF(AND('Mapa R. Fiscal'!$H$70="Alta",'Mapa R. Fiscal'!$L$70="Moderado"),CONCATENATE("R",'Mapa R. Fiscal'!$A$70),"")</f>
        <v/>
      </c>
      <c r="Y20" s="730"/>
      <c r="Z20" s="730" t="str">
        <f>IF(AND('Mapa R. Fiscal'!$H$76="Alta",'Mapa R. Fiscal'!$L$76="Moderado"),CONCATENATE("R",'Mapa R. Fiscal'!$A$76),"")</f>
        <v/>
      </c>
      <c r="AA20" s="732"/>
      <c r="AB20" s="729" t="str">
        <f>IF(AND('Mapa R. Fiscal'!$H$64="Alta",'Mapa R. Fiscal'!$L$64="Mayor"),CONCATENATE("R",'Mapa R. Fiscal'!$A$64),"")</f>
        <v/>
      </c>
      <c r="AC20" s="730"/>
      <c r="AD20" s="730" t="str">
        <f>IF(AND('Mapa R. Fiscal'!$H$70="Alta",'Mapa R. Fiscal'!$L$70="Mayor"),CONCATENATE("R",'Mapa R. Fiscal'!$A$70),"")</f>
        <v/>
      </c>
      <c r="AE20" s="730"/>
      <c r="AF20" s="730" t="str">
        <f>IF(AND('Mapa R. Fiscal'!$H$76="Alta",'Mapa R. Fiscal'!$L$76="Mayor"),CONCATENATE("R",'Mapa R. Fiscal'!$A$76),"")</f>
        <v/>
      </c>
      <c r="AG20" s="732"/>
      <c r="AH20" s="735" t="str">
        <f>IF(AND('Mapa R. Fiscal'!$H$64="Alta",'Mapa R. Fiscal'!$L$64="Catastrófico"),CONCATENATE("R",'Mapa R. Fiscal'!$A$64),"")</f>
        <v/>
      </c>
      <c r="AI20" s="736"/>
      <c r="AJ20" s="736" t="str">
        <f>IF(AND('Mapa R. Fiscal'!$H$70="Alta",'Mapa R. Fiscal'!$L$70="Catastrófico"),CONCATENATE("R",'Mapa R. Fiscal'!$A$70),"")</f>
        <v/>
      </c>
      <c r="AK20" s="736"/>
      <c r="AL20" s="736" t="str">
        <f>IF(AND('Mapa R. Fiscal'!$H$76="Alta",'Mapa R. Fiscal'!$L$76="Catastrófico"),CONCATENATE("R",'Mapa R. Fiscal'!$A$76),"")</f>
        <v/>
      </c>
      <c r="AM20" s="738"/>
      <c r="AN20" s="15"/>
      <c r="AO20" s="760"/>
      <c r="AP20" s="761"/>
      <c r="AQ20" s="761"/>
      <c r="AR20" s="761"/>
      <c r="AS20" s="761"/>
      <c r="AT20" s="7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6"/>
      <c r="C21" s="716"/>
      <c r="D21" s="717"/>
      <c r="E21" s="724"/>
      <c r="F21" s="725"/>
      <c r="G21" s="725"/>
      <c r="H21" s="725"/>
      <c r="I21" s="725"/>
      <c r="J21" s="769"/>
      <c r="K21" s="770"/>
      <c r="L21" s="770"/>
      <c r="M21" s="770"/>
      <c r="N21" s="770"/>
      <c r="O21" s="771"/>
      <c r="P21" s="769"/>
      <c r="Q21" s="770"/>
      <c r="R21" s="770"/>
      <c r="S21" s="770"/>
      <c r="T21" s="770"/>
      <c r="U21" s="771"/>
      <c r="V21" s="766"/>
      <c r="W21" s="767"/>
      <c r="X21" s="767"/>
      <c r="Y21" s="767"/>
      <c r="Z21" s="767"/>
      <c r="AA21" s="768"/>
      <c r="AB21" s="766"/>
      <c r="AC21" s="767"/>
      <c r="AD21" s="767"/>
      <c r="AE21" s="767"/>
      <c r="AF21" s="767"/>
      <c r="AG21" s="768"/>
      <c r="AH21" s="756"/>
      <c r="AI21" s="748"/>
      <c r="AJ21" s="748"/>
      <c r="AK21" s="748"/>
      <c r="AL21" s="748"/>
      <c r="AM21" s="749"/>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16"/>
      <c r="C22" s="716"/>
      <c r="D22" s="717"/>
      <c r="E22" s="718" t="s">
        <v>193</v>
      </c>
      <c r="F22" s="719"/>
      <c r="G22" s="719"/>
      <c r="H22" s="719"/>
      <c r="I22" s="720"/>
      <c r="J22" s="750" t="str">
        <f>IF(AND('Mapa R. Fiscal'!$H$10="Media",'Mapa R. Fiscal'!$L$10="Leve"),CONCATENATE("R",'Mapa R. Fiscal'!$A$10),"")</f>
        <v/>
      </c>
      <c r="K22" s="751"/>
      <c r="L22" s="751" t="str">
        <f>IF(AND('Mapa R. Fiscal'!$H$16="Media",'Mapa R. Fiscal'!$L$16="Leve"),CONCATENATE("R",'Mapa R. Fiscal'!$A$16),"")</f>
        <v/>
      </c>
      <c r="M22" s="751"/>
      <c r="N22" s="751" t="str">
        <f>IF(AND('Mapa R. Fiscal'!$H$22="Media",'Mapa R. Fiscal'!$L$22="Leve"),CONCATENATE("R",'Mapa R. Fiscal'!$A$22),"")</f>
        <v/>
      </c>
      <c r="O22" s="754"/>
      <c r="P22" s="750" t="str">
        <f>IF(AND('Mapa R. Fiscal'!$H$10="Media",'Mapa R. Fiscal'!$L$10="Menor"),CONCATENATE("R",'Mapa R. Fiscal'!$A$10),"")</f>
        <v/>
      </c>
      <c r="Q22" s="751"/>
      <c r="R22" s="751" t="str">
        <f>IF(AND('Mapa R. Fiscal'!$H$16="Media",'Mapa R. Fiscal'!$L$16="Menor"),CONCATENATE("R",'Mapa R. Fiscal'!$A$16),"")</f>
        <v/>
      </c>
      <c r="S22" s="751"/>
      <c r="T22" s="751" t="str">
        <f>IF(AND('Mapa R. Fiscal'!$H$22="Media",'Mapa R. Fiscal'!$L$22="Menor"),CONCATENATE("R",'Mapa R. Fiscal'!$A$22),"")</f>
        <v/>
      </c>
      <c r="U22" s="754"/>
      <c r="V22" s="750" t="str">
        <f>IF(AND('Mapa R. Fiscal'!$H$10="Media",'Mapa R. Fiscal'!$L$10="Moderado"),CONCATENATE("R",'Mapa R. Fiscal'!$A$10),"")</f>
        <v/>
      </c>
      <c r="W22" s="751"/>
      <c r="X22" s="751" t="str">
        <f>IF(AND('Mapa R. Fiscal'!$H$16="Media",'Mapa R. Fiscal'!$L$16="Moderado"),CONCATENATE("R",'Mapa R. Fiscal'!$A$16),"")</f>
        <v/>
      </c>
      <c r="Y22" s="751"/>
      <c r="Z22" s="751" t="str">
        <f>IF(AND('Mapa R. Fiscal'!$H$22="Media",'Mapa R. Fiscal'!$L$22="Moderado"),CONCATENATE("R",'Mapa R. Fiscal'!$A$22),"")</f>
        <v/>
      </c>
      <c r="AA22" s="754"/>
      <c r="AB22" s="727" t="str">
        <f>IF(AND('Mapa R. Fiscal'!$H$10="Media",'Mapa R. Fiscal'!$L$10="Mayor"),CONCATENATE("R",'Mapa R. Fiscal'!$A$10),"")</f>
        <v/>
      </c>
      <c r="AC22" s="728"/>
      <c r="AD22" s="728" t="str">
        <f>IF(AND('Mapa R. Fiscal'!$H$16="Media",'Mapa R. Fiscal'!$L$16="Mayor"),CONCATENATE("R",'Mapa R. Fiscal'!$A$16),"")</f>
        <v/>
      </c>
      <c r="AE22" s="728"/>
      <c r="AF22" s="728" t="str">
        <f>IF(AND('Mapa R. Fiscal'!$H$22="Media",'Mapa R. Fiscal'!$L$22="Mayor"),CONCATENATE("R",'Mapa R. Fiscal'!$A$22),"")</f>
        <v/>
      </c>
      <c r="AG22" s="731"/>
      <c r="AH22" s="733" t="str">
        <f>IF(AND('Mapa R. Fiscal'!$H$10="Media",'Mapa R. Fiscal'!$L$10="Catastrófico"),CONCATENATE("R",'Mapa R. Fiscal'!$A$10),"")</f>
        <v/>
      </c>
      <c r="AI22" s="734"/>
      <c r="AJ22" s="734" t="str">
        <f>IF(AND('Mapa R. Fiscal'!$H$16="Media",'Mapa R. Fiscal'!$L$16="Catastrófico"),CONCATENATE("R",'Mapa R. Fiscal'!$A$16),"")</f>
        <v/>
      </c>
      <c r="AK22" s="734"/>
      <c r="AL22" s="734" t="str">
        <f>IF(AND('Mapa R. Fiscal'!$H$22="Media",'Mapa R. Fiscal'!$L$22="Catastrófico"),CONCATENATE("R",'Mapa R. Fiscal'!$A$22),"")</f>
        <v/>
      </c>
      <c r="AM22" s="737"/>
      <c r="AN22" s="15"/>
      <c r="AO22" s="772" t="s">
        <v>194</v>
      </c>
      <c r="AP22" s="773"/>
      <c r="AQ22" s="773"/>
      <c r="AR22" s="773"/>
      <c r="AS22" s="773"/>
      <c r="AT22" s="7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16"/>
      <c r="C23" s="716"/>
      <c r="D23" s="717"/>
      <c r="E23" s="721"/>
      <c r="F23" s="722"/>
      <c r="G23" s="722"/>
      <c r="H23" s="722"/>
      <c r="I23" s="723"/>
      <c r="J23" s="752"/>
      <c r="K23" s="753"/>
      <c r="L23" s="753"/>
      <c r="M23" s="753"/>
      <c r="N23" s="753"/>
      <c r="O23" s="755"/>
      <c r="P23" s="752"/>
      <c r="Q23" s="753"/>
      <c r="R23" s="753"/>
      <c r="S23" s="753"/>
      <c r="T23" s="753"/>
      <c r="U23" s="755"/>
      <c r="V23" s="752"/>
      <c r="W23" s="753"/>
      <c r="X23" s="753"/>
      <c r="Y23" s="753"/>
      <c r="Z23" s="753"/>
      <c r="AA23" s="755"/>
      <c r="AB23" s="729"/>
      <c r="AC23" s="730"/>
      <c r="AD23" s="730"/>
      <c r="AE23" s="730"/>
      <c r="AF23" s="730"/>
      <c r="AG23" s="732"/>
      <c r="AH23" s="735"/>
      <c r="AI23" s="736"/>
      <c r="AJ23" s="736"/>
      <c r="AK23" s="736"/>
      <c r="AL23" s="736"/>
      <c r="AM23" s="738"/>
      <c r="AN23" s="15"/>
      <c r="AO23" s="775"/>
      <c r="AP23" s="776"/>
      <c r="AQ23" s="776"/>
      <c r="AR23" s="776"/>
      <c r="AS23" s="776"/>
      <c r="AT23" s="7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16"/>
      <c r="C24" s="716"/>
      <c r="D24" s="717"/>
      <c r="E24" s="721"/>
      <c r="F24" s="722"/>
      <c r="G24" s="722"/>
      <c r="H24" s="722"/>
      <c r="I24" s="723"/>
      <c r="J24" s="752" t="str">
        <f>IF(AND('Mapa R. Fiscal'!$H$28="Media",'Mapa R. Fiscal'!$L$28="Leve"),CONCATENATE("R",'Mapa R. Fiscal'!$A$28),"")</f>
        <v/>
      </c>
      <c r="K24" s="753"/>
      <c r="L24" s="753" t="str">
        <f>IF(AND('Mapa R. Fiscal'!$H$34="Media",'Mapa R. Fiscal'!$L$34="Leve"),CONCATENATE("R",'Mapa R. Fiscal'!$A$34),"")</f>
        <v/>
      </c>
      <c r="M24" s="753"/>
      <c r="N24" s="753" t="str">
        <f>IF(AND('Mapa R. Fiscal'!$H$40="Media",'Mapa R. Fiscal'!$L$40="Leve"),CONCATENATE("R",'Mapa R. Fiscal'!$A$40),"")</f>
        <v/>
      </c>
      <c r="O24" s="755"/>
      <c r="P24" s="752" t="str">
        <f>IF(AND('Mapa R. Fiscal'!$H$28="Media",'Mapa R. Fiscal'!$L$28="Menor"),CONCATENATE("R",'Mapa R. Fiscal'!$A$28),"")</f>
        <v/>
      </c>
      <c r="Q24" s="753"/>
      <c r="R24" s="753" t="str">
        <f>IF(AND('Mapa R. Fiscal'!$H$34="Media",'Mapa R. Fiscal'!$L$34="Menor"),CONCATENATE("R",'Mapa R. Fiscal'!$A$34),"")</f>
        <v/>
      </c>
      <c r="S24" s="753"/>
      <c r="T24" s="753" t="str">
        <f>IF(AND('Mapa R. Fiscal'!$H$40="Media",'Mapa R. Fiscal'!$L$40="Menor"),CONCATENATE("R",'Mapa R. Fiscal'!$A$40),"")</f>
        <v/>
      </c>
      <c r="U24" s="755"/>
      <c r="V24" s="752" t="str">
        <f>IF(AND('Mapa R. Fiscal'!$H$28="Media",'Mapa R. Fiscal'!$L$28="Moderado"),CONCATENATE("R",'Mapa R. Fiscal'!$A$28),"")</f>
        <v/>
      </c>
      <c r="W24" s="753"/>
      <c r="X24" s="753" t="str">
        <f>IF(AND('Mapa R. Fiscal'!$H$34="Media",'Mapa R. Fiscal'!$L$34="Moderado"),CONCATENATE("R",'Mapa R. Fiscal'!$A$34),"")</f>
        <v/>
      </c>
      <c r="Y24" s="753"/>
      <c r="Z24" s="753" t="str">
        <f>IF(AND('Mapa R. Fiscal'!$H$40="Media",'Mapa R. Fiscal'!$L$40="Moderado"),CONCATENATE("R",'Mapa R. Fiscal'!$A$40),"")</f>
        <v/>
      </c>
      <c r="AA24" s="755"/>
      <c r="AB24" s="729" t="str">
        <f>IF(AND('Mapa R. Fiscal'!$H$28="Media",'Mapa R. Fiscal'!$L$28="Mayor"),CONCATENATE("R",'Mapa R. Fiscal'!$A$28),"")</f>
        <v/>
      </c>
      <c r="AC24" s="730"/>
      <c r="AD24" s="730" t="str">
        <f>IF(AND('Mapa R. Fiscal'!$H$34="Media",'Mapa R. Fiscal'!$L$34="Mayor"),CONCATENATE("R",'Mapa R. Fiscal'!$A$34),"")</f>
        <v/>
      </c>
      <c r="AE24" s="730"/>
      <c r="AF24" s="730" t="str">
        <f>IF(AND('Mapa R. Fiscal'!$H$40="Media",'Mapa R. Fiscal'!$L$40="Mayor"),CONCATENATE("R",'Mapa R. Fiscal'!$A$40),"")</f>
        <v/>
      </c>
      <c r="AG24" s="732"/>
      <c r="AH24" s="735" t="str">
        <f>IF(AND('Mapa R. Fiscal'!$H$28="Media",'Mapa R. Fiscal'!$L$28="Catastrófico"),CONCATENATE("R",'Mapa R. Fiscal'!$A$28),"")</f>
        <v/>
      </c>
      <c r="AI24" s="736"/>
      <c r="AJ24" s="736" t="str">
        <f>IF(AND('Mapa R. Fiscal'!$H$34="Media",'Mapa R. Fiscal'!$L$34="Catastrófico"),CONCATENATE("R",'Mapa R. Fiscal'!$A$34),"")</f>
        <v/>
      </c>
      <c r="AK24" s="736"/>
      <c r="AL24" s="736" t="str">
        <f>IF(AND('Mapa R. Fiscal'!$H$40="Media",'Mapa R. Fiscal'!$L$40="Catastrófico"),CONCATENATE("R",'Mapa R. Fiscal'!$A$40),"")</f>
        <v/>
      </c>
      <c r="AM24" s="738"/>
      <c r="AN24" s="15"/>
      <c r="AO24" s="775"/>
      <c r="AP24" s="776"/>
      <c r="AQ24" s="776"/>
      <c r="AR24" s="776"/>
      <c r="AS24" s="776"/>
      <c r="AT24" s="7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16"/>
      <c r="C25" s="716"/>
      <c r="D25" s="717"/>
      <c r="E25" s="721"/>
      <c r="F25" s="722"/>
      <c r="G25" s="722"/>
      <c r="H25" s="722"/>
      <c r="I25" s="723"/>
      <c r="J25" s="752"/>
      <c r="K25" s="753"/>
      <c r="L25" s="753"/>
      <c r="M25" s="753"/>
      <c r="N25" s="753"/>
      <c r="O25" s="755"/>
      <c r="P25" s="752"/>
      <c r="Q25" s="753"/>
      <c r="R25" s="753"/>
      <c r="S25" s="753"/>
      <c r="T25" s="753"/>
      <c r="U25" s="755"/>
      <c r="V25" s="752"/>
      <c r="W25" s="753"/>
      <c r="X25" s="753"/>
      <c r="Y25" s="753"/>
      <c r="Z25" s="753"/>
      <c r="AA25" s="755"/>
      <c r="AB25" s="729"/>
      <c r="AC25" s="730"/>
      <c r="AD25" s="730"/>
      <c r="AE25" s="730"/>
      <c r="AF25" s="730"/>
      <c r="AG25" s="732"/>
      <c r="AH25" s="735"/>
      <c r="AI25" s="736"/>
      <c r="AJ25" s="736"/>
      <c r="AK25" s="736"/>
      <c r="AL25" s="736"/>
      <c r="AM25" s="738"/>
      <c r="AN25" s="15"/>
      <c r="AO25" s="775"/>
      <c r="AP25" s="776"/>
      <c r="AQ25" s="776"/>
      <c r="AR25" s="776"/>
      <c r="AS25" s="776"/>
      <c r="AT25" s="7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16"/>
      <c r="C26" s="716"/>
      <c r="D26" s="717"/>
      <c r="E26" s="721"/>
      <c r="F26" s="722"/>
      <c r="G26" s="722"/>
      <c r="H26" s="722"/>
      <c r="I26" s="723"/>
      <c r="J26" s="752" t="str">
        <f>IF(AND('Mapa R. Fiscal'!$H$46="Media",'Mapa R. Fiscal'!$L$46="Leve"),CONCATENATE("R",'Mapa R. Fiscal'!$A$46),"")</f>
        <v/>
      </c>
      <c r="K26" s="753"/>
      <c r="L26" s="753" t="str">
        <f>IF(AND('Mapa R. Fiscal'!$H$52="Media",'Mapa R. Fiscal'!$L$52="Leve"),CONCATENATE("R",'Mapa R. Fiscal'!$A$52),"")</f>
        <v/>
      </c>
      <c r="M26" s="753"/>
      <c r="N26" s="753" t="str">
        <f>IF(AND('Mapa R. Fiscal'!$H$58="Media",'Mapa R. Fiscal'!$L$58="Leve"),CONCATENATE("R",'Mapa R. Fiscal'!$A$58),"")</f>
        <v/>
      </c>
      <c r="O26" s="755"/>
      <c r="P26" s="752" t="str">
        <f>IF(AND('Mapa R. Fiscal'!$H$46="Media",'Mapa R. Fiscal'!$L$46="Menor"),CONCATENATE("R",'Mapa R. Fiscal'!$A$46),"")</f>
        <v/>
      </c>
      <c r="Q26" s="753"/>
      <c r="R26" s="753" t="str">
        <f>IF(AND('Mapa R. Fiscal'!$H$52="Media",'Mapa R. Fiscal'!$L$52="Menor"),CONCATENATE("R",'Mapa R. Fiscal'!$A$52),"")</f>
        <v/>
      </c>
      <c r="S26" s="753"/>
      <c r="T26" s="753" t="str">
        <f>IF(AND('Mapa R. Fiscal'!$H$58="Media",'Mapa R. Fiscal'!$L$58="Menor"),CONCATENATE("R",'Mapa R. Fiscal'!$A$58),"")</f>
        <v/>
      </c>
      <c r="U26" s="755"/>
      <c r="V26" s="752" t="str">
        <f>IF(AND('Mapa R. Fiscal'!$H$46="Media",'Mapa R. Fiscal'!$L$46="Moderado"),CONCATENATE("R",'Mapa R. Fiscal'!$A$46),"")</f>
        <v/>
      </c>
      <c r="W26" s="753"/>
      <c r="X26" s="753" t="str">
        <f>IF(AND('Mapa R. Fiscal'!$H$52="Media",'Mapa R. Fiscal'!$L$52="Moderado"),CONCATENATE("R",'Mapa R. Fiscal'!$A$52),"")</f>
        <v/>
      </c>
      <c r="Y26" s="753"/>
      <c r="Z26" s="753" t="str">
        <f>IF(AND('Mapa R. Fiscal'!$H$58="Media",'Mapa R. Fiscal'!$L$58="Moderado"),CONCATENATE("R",'Mapa R. Fiscal'!$A$58),"")</f>
        <v/>
      </c>
      <c r="AA26" s="755"/>
      <c r="AB26" s="729" t="str">
        <f>IF(AND('Mapa R. Fiscal'!$H$46="Media",'Mapa R. Fiscal'!$L$46="Mayor"),CONCATENATE("R",'Mapa R. Fiscal'!$A$46),"")</f>
        <v/>
      </c>
      <c r="AC26" s="730"/>
      <c r="AD26" s="730" t="str">
        <f>IF(AND('Mapa R. Fiscal'!$H$52="Media",'Mapa R. Fiscal'!$L$52="Mayor"),CONCATENATE("R",'Mapa R. Fiscal'!$A$52),"")</f>
        <v/>
      </c>
      <c r="AE26" s="730"/>
      <c r="AF26" s="730" t="str">
        <f>IF(AND('Mapa R. Fiscal'!$H$58="Media",'Mapa R. Fiscal'!$L$58="Mayor"),CONCATENATE("R",'Mapa R. Fiscal'!$A$58),"")</f>
        <v/>
      </c>
      <c r="AG26" s="732"/>
      <c r="AH26" s="735" t="str">
        <f>IF(AND('Mapa R. Fiscal'!$H$46="Media",'Mapa R. Fiscal'!$L$46="Catastrófico"),CONCATENATE("R",'Mapa R. Fiscal'!$A$46),"")</f>
        <v/>
      </c>
      <c r="AI26" s="736"/>
      <c r="AJ26" s="736" t="str">
        <f>IF(AND('Mapa R. Fiscal'!$H$52="Media",'Mapa R. Fiscal'!$L$52="Catastrófico"),CONCATENATE("R",'Mapa R. Fiscal'!$A$52),"")</f>
        <v/>
      </c>
      <c r="AK26" s="736"/>
      <c r="AL26" s="736" t="str">
        <f>IF(AND('Mapa R. Fiscal'!$H$58="Media",'Mapa R. Fiscal'!$L$58="Catastrófico"),CONCATENATE("R",'Mapa R. Fiscal'!$A$58),"")</f>
        <v/>
      </c>
      <c r="AM26" s="738"/>
      <c r="AN26" s="15"/>
      <c r="AO26" s="775"/>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16"/>
      <c r="C27" s="716"/>
      <c r="D27" s="717"/>
      <c r="E27" s="721"/>
      <c r="F27" s="722"/>
      <c r="G27" s="722"/>
      <c r="H27" s="722"/>
      <c r="I27" s="723"/>
      <c r="J27" s="752"/>
      <c r="K27" s="753"/>
      <c r="L27" s="753"/>
      <c r="M27" s="753"/>
      <c r="N27" s="753"/>
      <c r="O27" s="755"/>
      <c r="P27" s="752"/>
      <c r="Q27" s="753"/>
      <c r="R27" s="753"/>
      <c r="S27" s="753"/>
      <c r="T27" s="753"/>
      <c r="U27" s="755"/>
      <c r="V27" s="752"/>
      <c r="W27" s="753"/>
      <c r="X27" s="753"/>
      <c r="Y27" s="753"/>
      <c r="Z27" s="753"/>
      <c r="AA27" s="755"/>
      <c r="AB27" s="729"/>
      <c r="AC27" s="730"/>
      <c r="AD27" s="730"/>
      <c r="AE27" s="730"/>
      <c r="AF27" s="730"/>
      <c r="AG27" s="732"/>
      <c r="AH27" s="735"/>
      <c r="AI27" s="736"/>
      <c r="AJ27" s="736"/>
      <c r="AK27" s="736"/>
      <c r="AL27" s="736"/>
      <c r="AM27" s="738"/>
      <c r="AN27" s="15"/>
      <c r="AO27" s="775"/>
      <c r="AP27" s="776"/>
      <c r="AQ27" s="776"/>
      <c r="AR27" s="776"/>
      <c r="AS27" s="776"/>
      <c r="AT27" s="7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16"/>
      <c r="C28" s="716"/>
      <c r="D28" s="717"/>
      <c r="E28" s="721"/>
      <c r="F28" s="722"/>
      <c r="G28" s="722"/>
      <c r="H28" s="722"/>
      <c r="I28" s="723"/>
      <c r="J28" s="752" t="str">
        <f>IF(AND('Mapa R. Fiscal'!$H$64="Media",'Mapa R. Fiscal'!$L$64="Leve"),CONCATENATE("R",'Mapa R. Fiscal'!$A$64),"")</f>
        <v/>
      </c>
      <c r="K28" s="753"/>
      <c r="L28" s="753" t="str">
        <f>IF(AND('Mapa R. Fiscal'!$H$70="Media",'Mapa R. Fiscal'!$L$70="Leve"),CONCATENATE("R",'Mapa R. Fiscal'!$A$70),"")</f>
        <v/>
      </c>
      <c r="M28" s="753"/>
      <c r="N28" s="753" t="str">
        <f>IF(AND('Mapa R. Fiscal'!$H$76="Media",'Mapa R. Fiscal'!$L$76="Leve"),CONCATENATE("R",'Mapa R. Fiscal'!$A$76),"")</f>
        <v/>
      </c>
      <c r="O28" s="755"/>
      <c r="P28" s="752" t="str">
        <f>IF(AND('Mapa R. Fiscal'!$H$64="Media",'Mapa R. Fiscal'!$L$64="Menor"),CONCATENATE("R",'Mapa R. Fiscal'!$A$64),"")</f>
        <v/>
      </c>
      <c r="Q28" s="753"/>
      <c r="R28" s="753" t="str">
        <f>IF(AND('Mapa R. Fiscal'!$H$70="Media",'Mapa R. Fiscal'!$L$70="Menor"),CONCATENATE("R",'Mapa R. Fiscal'!$A$70),"")</f>
        <v/>
      </c>
      <c r="S28" s="753"/>
      <c r="T28" s="753" t="str">
        <f>IF(AND('Mapa R. Fiscal'!$H$76="Media",'Mapa R. Fiscal'!$L$76="Menor"),CONCATENATE("R",'Mapa R. Fiscal'!$A$76),"")</f>
        <v/>
      </c>
      <c r="U28" s="755"/>
      <c r="V28" s="752" t="str">
        <f>IF(AND('Mapa R. Fiscal'!$H$64="Media",'Mapa R. Fiscal'!$L$64="Moderado"),CONCATENATE("R",'Mapa R. Fiscal'!$A$64),"")</f>
        <v/>
      </c>
      <c r="W28" s="753"/>
      <c r="X28" s="753" t="str">
        <f>IF(AND('Mapa R. Fiscal'!$H$70="Media",'Mapa R. Fiscal'!$L$70="Moderado"),CONCATENATE("R",'Mapa R. Fiscal'!$A$70),"")</f>
        <v/>
      </c>
      <c r="Y28" s="753"/>
      <c r="Z28" s="753" t="str">
        <f>IF(AND('Mapa R. Fiscal'!$H$76="Media",'Mapa R. Fiscal'!$L$76="Moderado"),CONCATENATE("R",'Mapa R. Fiscal'!$A$76),"")</f>
        <v/>
      </c>
      <c r="AA28" s="755"/>
      <c r="AB28" s="729" t="str">
        <f>IF(AND('Mapa R. Fiscal'!$H$64="Media",'Mapa R. Fiscal'!$L$64="Mayor"),CONCATENATE("R",'Mapa R. Fiscal'!$A$64),"")</f>
        <v/>
      </c>
      <c r="AC28" s="730"/>
      <c r="AD28" s="730" t="str">
        <f>IF(AND('Mapa R. Fiscal'!$H$70="Media",'Mapa R. Fiscal'!$L$70="Mayor"),CONCATENATE("R",'Mapa R. Fiscal'!$A$70),"")</f>
        <v/>
      </c>
      <c r="AE28" s="730"/>
      <c r="AF28" s="730" t="str">
        <f>IF(AND('Mapa R. Fiscal'!$H$76="Media",'Mapa R. Fiscal'!$L$76="Mayor"),CONCATENATE("R",'Mapa R. Fiscal'!$A$76),"")</f>
        <v/>
      </c>
      <c r="AG28" s="732"/>
      <c r="AH28" s="735" t="str">
        <f>IF(AND('Mapa R. Fiscal'!$H$64="Media",'Mapa R. Fiscal'!$L$64="Catastrófico"),CONCATENATE("R",'Mapa R. Fiscal'!$A$64),"")</f>
        <v/>
      </c>
      <c r="AI28" s="736"/>
      <c r="AJ28" s="736" t="str">
        <f>IF(AND('Mapa R. Fiscal'!$H$70="Media",'Mapa R. Fiscal'!$L$70="Catastrófico"),CONCATENATE("R",'Mapa R. Fiscal'!$A$70),"")</f>
        <v/>
      </c>
      <c r="AK28" s="736"/>
      <c r="AL28" s="736" t="str">
        <f>IF(AND('Mapa R. Fiscal'!$H$76="Media",'Mapa R. Fiscal'!$L$76="Catastrófico"),CONCATENATE("R",'Mapa R. Fiscal'!$A$76),"")</f>
        <v/>
      </c>
      <c r="AM28" s="738"/>
      <c r="AN28" s="15"/>
      <c r="AO28" s="775"/>
      <c r="AP28" s="776"/>
      <c r="AQ28" s="776"/>
      <c r="AR28" s="776"/>
      <c r="AS28" s="776"/>
      <c r="AT28" s="7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16"/>
      <c r="C29" s="716"/>
      <c r="D29" s="717"/>
      <c r="E29" s="724"/>
      <c r="F29" s="725"/>
      <c r="G29" s="725"/>
      <c r="H29" s="725"/>
      <c r="I29" s="726"/>
      <c r="J29" s="752"/>
      <c r="K29" s="753"/>
      <c r="L29" s="753"/>
      <c r="M29" s="753"/>
      <c r="N29" s="753"/>
      <c r="O29" s="755"/>
      <c r="P29" s="769"/>
      <c r="Q29" s="770"/>
      <c r="R29" s="770"/>
      <c r="S29" s="770"/>
      <c r="T29" s="770"/>
      <c r="U29" s="771"/>
      <c r="V29" s="769"/>
      <c r="W29" s="770"/>
      <c r="X29" s="770"/>
      <c r="Y29" s="770"/>
      <c r="Z29" s="770"/>
      <c r="AA29" s="771"/>
      <c r="AB29" s="766"/>
      <c r="AC29" s="767"/>
      <c r="AD29" s="767"/>
      <c r="AE29" s="767"/>
      <c r="AF29" s="767"/>
      <c r="AG29" s="768"/>
      <c r="AH29" s="756"/>
      <c r="AI29" s="748"/>
      <c r="AJ29" s="748"/>
      <c r="AK29" s="748"/>
      <c r="AL29" s="748"/>
      <c r="AM29" s="749"/>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16"/>
      <c r="C30" s="716"/>
      <c r="D30" s="717"/>
      <c r="E30" s="718" t="s">
        <v>195</v>
      </c>
      <c r="F30" s="719"/>
      <c r="G30" s="719"/>
      <c r="H30" s="719"/>
      <c r="I30" s="719"/>
      <c r="J30" s="781" t="str">
        <f>IF(AND('Mapa R. Fiscal'!$H$10="Baja",'Mapa R. Fiscal'!$L$10="Leve"),CONCATENATE("R",'Mapa R. Fiscal'!$A$10),"")</f>
        <v/>
      </c>
      <c r="K30" s="782"/>
      <c r="L30" s="782" t="str">
        <f>IF(AND('Mapa R. Fiscal'!$H$16="Baja",'Mapa R. Fiscal'!$L$16="Leve"),CONCATENATE("R",'Mapa R. Fiscal'!$A$16),"")</f>
        <v/>
      </c>
      <c r="M30" s="782"/>
      <c r="N30" s="782" t="str">
        <f>IF(AND('Mapa R. Fiscal'!$H$22="Baja",'Mapa R. Fiscal'!$L$22="Leve"),CONCATENATE("R",'Mapa R. Fiscal'!$A$22),"")</f>
        <v/>
      </c>
      <c r="O30" s="785"/>
      <c r="P30" s="751" t="str">
        <f>IF(AND('Mapa R. Fiscal'!$H$10="Baja",'Mapa R. Fiscal'!$L$10="Menor"),CONCATENATE("R",'Mapa R. Fiscal'!$A$10),"")</f>
        <v/>
      </c>
      <c r="Q30" s="751"/>
      <c r="R30" s="751" t="str">
        <f>IF(AND('Mapa R. Fiscal'!$H$16="Baja",'Mapa R. Fiscal'!$L$16="Menor"),CONCATENATE("R",'Mapa R. Fiscal'!$A$16),"")</f>
        <v/>
      </c>
      <c r="S30" s="751"/>
      <c r="T30" s="751" t="str">
        <f>IF(AND('Mapa R. Fiscal'!$H$22="Baja",'Mapa R. Fiscal'!$L$22="Menor"),CONCATENATE("R",'Mapa R. Fiscal'!$A$22),"")</f>
        <v/>
      </c>
      <c r="U30" s="754"/>
      <c r="V30" s="750" t="str">
        <f>IF(AND('Mapa R. Fiscal'!$H$10="Baja",'Mapa R. Fiscal'!$L$10="Moderado"),CONCATENATE("R",'Mapa R. Fiscal'!$A$10),"")</f>
        <v/>
      </c>
      <c r="W30" s="751"/>
      <c r="X30" s="751" t="str">
        <f>IF(AND('Mapa R. Fiscal'!$H$16="Baja",'Mapa R. Fiscal'!$L$16="Moderado"),CONCATENATE("R",'Mapa R. Fiscal'!$A$16),"")</f>
        <v/>
      </c>
      <c r="Y30" s="751"/>
      <c r="Z30" s="751" t="str">
        <f>IF(AND('Mapa R. Fiscal'!$H$22="Baja",'Mapa R. Fiscal'!$L$22="Moderado"),CONCATENATE("R",'Mapa R. Fiscal'!$A$22),"")</f>
        <v/>
      </c>
      <c r="AA30" s="754"/>
      <c r="AB30" s="727" t="str">
        <f>IF(AND('Mapa R. Fiscal'!$H$10="Baja",'Mapa R. Fiscal'!$L$10="Mayor"),CONCATENATE("R",'Mapa R. Fiscal'!$A$10),"")</f>
        <v/>
      </c>
      <c r="AC30" s="728"/>
      <c r="AD30" s="728" t="str">
        <f>IF(AND('Mapa R. Fiscal'!$H$16="Baja",'Mapa R. Fiscal'!$L$16="Mayor"),CONCATENATE("R",'Mapa R. Fiscal'!$A$16),"")</f>
        <v/>
      </c>
      <c r="AE30" s="728"/>
      <c r="AF30" s="728" t="str">
        <f>IF(AND('Mapa R. Fiscal'!$H$22="Baja",'Mapa R. Fiscal'!$L$22="Mayor"),CONCATENATE("R",'Mapa R. Fiscal'!$A$22),"")</f>
        <v/>
      </c>
      <c r="AG30" s="731"/>
      <c r="AH30" s="733" t="str">
        <f>IF(AND('Mapa R. Fiscal'!$H$10="Baja",'Mapa R. Fiscal'!$L$10="Catastrófico"),CONCATENATE("R",'Mapa R. Fiscal'!$A$10),"")</f>
        <v/>
      </c>
      <c r="AI30" s="734"/>
      <c r="AJ30" s="734" t="str">
        <f>IF(AND('Mapa R. Fiscal'!$H$16="Baja",'Mapa R. Fiscal'!$L$16="Catastrófico"),CONCATENATE("R",'Mapa R. Fiscal'!$A$16),"")</f>
        <v/>
      </c>
      <c r="AK30" s="734"/>
      <c r="AL30" s="734" t="str">
        <f>IF(AND('Mapa R. Fiscal'!$H$22="Baja",'Mapa R. Fiscal'!$L$22="Catastrófico"),CONCATENATE("R",'Mapa R. Fiscal'!$A$22),"")</f>
        <v/>
      </c>
      <c r="AM30" s="737"/>
      <c r="AN30" s="15"/>
      <c r="AO30" s="787" t="s">
        <v>196</v>
      </c>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16"/>
      <c r="C31" s="716"/>
      <c r="D31" s="717"/>
      <c r="E31" s="721"/>
      <c r="F31" s="722"/>
      <c r="G31" s="722"/>
      <c r="H31" s="722"/>
      <c r="I31" s="722"/>
      <c r="J31" s="783"/>
      <c r="K31" s="784"/>
      <c r="L31" s="784"/>
      <c r="M31" s="784"/>
      <c r="N31" s="784"/>
      <c r="O31" s="786"/>
      <c r="P31" s="753"/>
      <c r="Q31" s="753"/>
      <c r="R31" s="753"/>
      <c r="S31" s="753"/>
      <c r="T31" s="753"/>
      <c r="U31" s="755"/>
      <c r="V31" s="752"/>
      <c r="W31" s="753"/>
      <c r="X31" s="753"/>
      <c r="Y31" s="753"/>
      <c r="Z31" s="753"/>
      <c r="AA31" s="755"/>
      <c r="AB31" s="729"/>
      <c r="AC31" s="730"/>
      <c r="AD31" s="730"/>
      <c r="AE31" s="730"/>
      <c r="AF31" s="730"/>
      <c r="AG31" s="732"/>
      <c r="AH31" s="735"/>
      <c r="AI31" s="736"/>
      <c r="AJ31" s="736"/>
      <c r="AK31" s="736"/>
      <c r="AL31" s="736"/>
      <c r="AM31" s="738"/>
      <c r="AN31" s="15"/>
      <c r="AO31" s="790"/>
      <c r="AP31" s="791"/>
      <c r="AQ31" s="791"/>
      <c r="AR31" s="791"/>
      <c r="AS31" s="791"/>
      <c r="AT31" s="7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16"/>
      <c r="C32" s="716"/>
      <c r="D32" s="717"/>
      <c r="E32" s="721"/>
      <c r="F32" s="722"/>
      <c r="G32" s="722"/>
      <c r="H32" s="722"/>
      <c r="I32" s="722"/>
      <c r="J32" s="783" t="str">
        <f>IF(AND('Mapa R. Fiscal'!$H$28="Baja",'Mapa R. Fiscal'!$L$28="Leve"),CONCATENATE("R",'Mapa R. Fiscal'!$A$28),"")</f>
        <v/>
      </c>
      <c r="K32" s="784"/>
      <c r="L32" s="784" t="str">
        <f>IF(AND('Mapa R. Fiscal'!$H$34="Baja",'Mapa R. Fiscal'!$L$34="Leve"),CONCATENATE("R",'Mapa R. Fiscal'!$A$34),"")</f>
        <v/>
      </c>
      <c r="M32" s="784"/>
      <c r="N32" s="784" t="str">
        <f>IF(AND('Mapa R. Fiscal'!$H$40="Baja",'Mapa R. Fiscal'!$L$40="Leve"),CONCATENATE("R",'Mapa R. Fiscal'!$A$40),"")</f>
        <v/>
      </c>
      <c r="O32" s="786"/>
      <c r="P32" s="753" t="str">
        <f>IF(AND('Mapa R. Fiscal'!$H$28="Baja",'Mapa R. Fiscal'!$L$28="Menor"),CONCATENATE("R",'Mapa R. Fiscal'!$A$28),"")</f>
        <v/>
      </c>
      <c r="Q32" s="753"/>
      <c r="R32" s="753" t="str">
        <f>IF(AND('Mapa R. Fiscal'!$H$34="Baja",'Mapa R. Fiscal'!$L$34="Menor"),CONCATENATE("R",'Mapa R. Fiscal'!$A$34),"")</f>
        <v/>
      </c>
      <c r="S32" s="753"/>
      <c r="T32" s="753" t="str">
        <f>IF(AND('Mapa R. Fiscal'!$H$40="Baja",'Mapa R. Fiscal'!$L$40="Menor"),CONCATENATE("R",'Mapa R. Fiscal'!$A$40),"")</f>
        <v/>
      </c>
      <c r="U32" s="755"/>
      <c r="V32" s="752" t="str">
        <f>IF(AND('Mapa R. Fiscal'!$H$28="Baja",'Mapa R. Fiscal'!$L$28="Moderado"),CONCATENATE("R",'Mapa R. Fiscal'!$A$28),"")</f>
        <v/>
      </c>
      <c r="W32" s="753"/>
      <c r="X32" s="753" t="str">
        <f>IF(AND('Mapa R. Fiscal'!$H$34="Baja",'Mapa R. Fiscal'!$L$34="Moderado"),CONCATENATE("R",'Mapa R. Fiscal'!$A$34),"")</f>
        <v/>
      </c>
      <c r="Y32" s="753"/>
      <c r="Z32" s="753" t="str">
        <f>IF(AND('Mapa R. Fiscal'!$H$40="Baja",'Mapa R. Fiscal'!$L$40="Moderado"),CONCATENATE("R",'Mapa R. Fiscal'!$A$40),"")</f>
        <v/>
      </c>
      <c r="AA32" s="755"/>
      <c r="AB32" s="729" t="str">
        <f>IF(AND('Mapa R. Fiscal'!$H$28="Baja",'Mapa R. Fiscal'!$L$28="Mayor"),CONCATENATE("R",'Mapa R. Fiscal'!$A$28),"")</f>
        <v/>
      </c>
      <c r="AC32" s="730"/>
      <c r="AD32" s="730" t="str">
        <f>IF(AND('Mapa R. Fiscal'!$H$34="Baja",'Mapa R. Fiscal'!$L$34="Mayor"),CONCATENATE("R",'Mapa R. Fiscal'!$A$34),"")</f>
        <v/>
      </c>
      <c r="AE32" s="730"/>
      <c r="AF32" s="730" t="str">
        <f>IF(AND('Mapa R. Fiscal'!$H$40="Baja",'Mapa R. Fiscal'!$L$40="Mayor"),CONCATENATE("R",'Mapa R. Fiscal'!$A$40),"")</f>
        <v/>
      </c>
      <c r="AG32" s="732"/>
      <c r="AH32" s="735" t="str">
        <f>IF(AND('Mapa R. Fiscal'!$H$28="Baja",'Mapa R. Fiscal'!$L$28="Catastrófico"),CONCATENATE("R",'Mapa R. Fiscal'!$A$28),"")</f>
        <v/>
      </c>
      <c r="AI32" s="736"/>
      <c r="AJ32" s="736" t="str">
        <f>IF(AND('Mapa R. Fiscal'!$H$34="Baja",'Mapa R. Fiscal'!$L$34="Catastrófico"),CONCATENATE("R",'Mapa R. Fiscal'!$A$34),"")</f>
        <v/>
      </c>
      <c r="AK32" s="736"/>
      <c r="AL32" s="736" t="str">
        <f>IF(AND('Mapa R. Fiscal'!$H$40="Baja",'Mapa R. Fiscal'!$L$40="Catastrófico"),CONCATENATE("R",'Mapa R. Fiscal'!$A$40),"")</f>
        <v/>
      </c>
      <c r="AM32" s="738"/>
      <c r="AN32" s="15"/>
      <c r="AO32" s="790"/>
      <c r="AP32" s="791"/>
      <c r="AQ32" s="791"/>
      <c r="AR32" s="791"/>
      <c r="AS32" s="791"/>
      <c r="AT32" s="7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16"/>
      <c r="C33" s="716"/>
      <c r="D33" s="717"/>
      <c r="E33" s="721"/>
      <c r="F33" s="722"/>
      <c r="G33" s="722"/>
      <c r="H33" s="722"/>
      <c r="I33" s="722"/>
      <c r="J33" s="783"/>
      <c r="K33" s="784"/>
      <c r="L33" s="784"/>
      <c r="M33" s="784"/>
      <c r="N33" s="784"/>
      <c r="O33" s="786"/>
      <c r="P33" s="753"/>
      <c r="Q33" s="753"/>
      <c r="R33" s="753"/>
      <c r="S33" s="753"/>
      <c r="T33" s="753"/>
      <c r="U33" s="755"/>
      <c r="V33" s="752"/>
      <c r="W33" s="753"/>
      <c r="X33" s="753"/>
      <c r="Y33" s="753"/>
      <c r="Z33" s="753"/>
      <c r="AA33" s="755"/>
      <c r="AB33" s="729"/>
      <c r="AC33" s="730"/>
      <c r="AD33" s="730"/>
      <c r="AE33" s="730"/>
      <c r="AF33" s="730"/>
      <c r="AG33" s="732"/>
      <c r="AH33" s="735"/>
      <c r="AI33" s="736"/>
      <c r="AJ33" s="736"/>
      <c r="AK33" s="736"/>
      <c r="AL33" s="736"/>
      <c r="AM33" s="738"/>
      <c r="AN33" s="15"/>
      <c r="AO33" s="790"/>
      <c r="AP33" s="791"/>
      <c r="AQ33" s="791"/>
      <c r="AR33" s="791"/>
      <c r="AS33" s="791"/>
      <c r="AT33" s="7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16"/>
      <c r="C34" s="716"/>
      <c r="D34" s="717"/>
      <c r="E34" s="721"/>
      <c r="F34" s="722"/>
      <c r="G34" s="722"/>
      <c r="H34" s="722"/>
      <c r="I34" s="722"/>
      <c r="J34" s="783" t="str">
        <f>IF(AND('Mapa R. Fiscal'!$H$46="Baja",'Mapa R. Fiscal'!$L$46="Leve"),CONCATENATE("R",'Mapa R. Fiscal'!$A$46),"")</f>
        <v/>
      </c>
      <c r="K34" s="784"/>
      <c r="L34" s="784" t="str">
        <f>IF(AND('Mapa R. Fiscal'!$H$52="Baja",'Mapa R. Fiscal'!$L$52="Leve"),CONCATENATE("R",'Mapa R. Fiscal'!$A$52),"")</f>
        <v/>
      </c>
      <c r="M34" s="784"/>
      <c r="N34" s="784" t="str">
        <f>IF(AND('Mapa R. Fiscal'!$H$58="Baja",'Mapa R. Fiscal'!$L$58="Leve"),CONCATENATE("R",'Mapa R. Fiscal'!$A$58),"")</f>
        <v/>
      </c>
      <c r="O34" s="786"/>
      <c r="P34" s="753" t="str">
        <f>IF(AND('Mapa R. Fiscal'!$H$46="Baja",'Mapa R. Fiscal'!$L$46="Menor"),CONCATENATE("R",'Mapa R. Fiscal'!$A$46),"")</f>
        <v/>
      </c>
      <c r="Q34" s="753"/>
      <c r="R34" s="753" t="str">
        <f>IF(AND('Mapa R. Fiscal'!$H$52="Baja",'Mapa R. Fiscal'!$L$52="Menor"),CONCATENATE("R",'Mapa R. Fiscal'!$A$52),"")</f>
        <v/>
      </c>
      <c r="S34" s="753"/>
      <c r="T34" s="753" t="str">
        <f>IF(AND('Mapa R. Fiscal'!$H$58="Baja",'Mapa R. Fiscal'!$L$58="Menor"),CONCATENATE("R",'Mapa R. Fiscal'!$A$58),"")</f>
        <v/>
      </c>
      <c r="U34" s="755"/>
      <c r="V34" s="752" t="str">
        <f>IF(AND('Mapa R. Fiscal'!$H$46="Baja",'Mapa R. Fiscal'!$L$46="Moderado"),CONCATENATE("R",'Mapa R. Fiscal'!$A$46),"")</f>
        <v/>
      </c>
      <c r="W34" s="753"/>
      <c r="X34" s="753" t="str">
        <f>IF(AND('Mapa R. Fiscal'!$H$52="Baja",'Mapa R. Fiscal'!$L$52="Moderado"),CONCATENATE("R",'Mapa R. Fiscal'!$A$52),"")</f>
        <v/>
      </c>
      <c r="Y34" s="753"/>
      <c r="Z34" s="753" t="str">
        <f>IF(AND('Mapa R. Fiscal'!$H$58="Baja",'Mapa R. Fiscal'!$L$58="Moderado"),CONCATENATE("R",'Mapa R. Fiscal'!$A$58),"")</f>
        <v/>
      </c>
      <c r="AA34" s="755"/>
      <c r="AB34" s="729" t="str">
        <f>IF(AND('Mapa R. Fiscal'!$H$46="Baja",'Mapa R. Fiscal'!$L$46="Mayor"),CONCATENATE("R",'Mapa R. Fiscal'!$A$46),"")</f>
        <v/>
      </c>
      <c r="AC34" s="730"/>
      <c r="AD34" s="730" t="str">
        <f>IF(AND('Mapa R. Fiscal'!$H$52="Baja",'Mapa R. Fiscal'!$L$52="Mayor"),CONCATENATE("R",'Mapa R. Fiscal'!$A$52),"")</f>
        <v/>
      </c>
      <c r="AE34" s="730"/>
      <c r="AF34" s="730" t="str">
        <f>IF(AND('Mapa R. Fiscal'!$H$58="Baja",'Mapa R. Fiscal'!$L$58="Mayor"),CONCATENATE("R",'Mapa R. Fiscal'!$A$58),"")</f>
        <v/>
      </c>
      <c r="AG34" s="732"/>
      <c r="AH34" s="735" t="str">
        <f>IF(AND('Mapa R. Fiscal'!$H$46="Baja",'Mapa R. Fiscal'!$L$46="Catastrófico"),CONCATENATE("R",'Mapa R. Fiscal'!$A$46),"")</f>
        <v/>
      </c>
      <c r="AI34" s="736"/>
      <c r="AJ34" s="736" t="str">
        <f>IF(AND('Mapa R. Fiscal'!$H$52="Baja",'Mapa R. Fiscal'!$L$52="Catastrófico"),CONCATENATE("R",'Mapa R. Fiscal'!$A$52),"")</f>
        <v/>
      </c>
      <c r="AK34" s="736"/>
      <c r="AL34" s="736" t="str">
        <f>IF(AND('Mapa R. Fiscal'!$H$58="Baja",'Mapa R. Fiscal'!$L$58="Catastrófico"),CONCATENATE("R",'Mapa R. Fiscal'!$A$58),"")</f>
        <v/>
      </c>
      <c r="AM34" s="738"/>
      <c r="AN34" s="15"/>
      <c r="AO34" s="790"/>
      <c r="AP34" s="791"/>
      <c r="AQ34" s="791"/>
      <c r="AR34" s="791"/>
      <c r="AS34" s="791"/>
      <c r="AT34" s="7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16"/>
      <c r="C35" s="716"/>
      <c r="D35" s="717"/>
      <c r="E35" s="721"/>
      <c r="F35" s="722"/>
      <c r="G35" s="722"/>
      <c r="H35" s="722"/>
      <c r="I35" s="722"/>
      <c r="J35" s="783"/>
      <c r="K35" s="784"/>
      <c r="L35" s="784"/>
      <c r="M35" s="784"/>
      <c r="N35" s="784"/>
      <c r="O35" s="786"/>
      <c r="P35" s="753"/>
      <c r="Q35" s="753"/>
      <c r="R35" s="753"/>
      <c r="S35" s="753"/>
      <c r="T35" s="753"/>
      <c r="U35" s="755"/>
      <c r="V35" s="752"/>
      <c r="W35" s="753"/>
      <c r="X35" s="753"/>
      <c r="Y35" s="753"/>
      <c r="Z35" s="753"/>
      <c r="AA35" s="755"/>
      <c r="AB35" s="729"/>
      <c r="AC35" s="730"/>
      <c r="AD35" s="730"/>
      <c r="AE35" s="730"/>
      <c r="AF35" s="730"/>
      <c r="AG35" s="732"/>
      <c r="AH35" s="735"/>
      <c r="AI35" s="736"/>
      <c r="AJ35" s="736"/>
      <c r="AK35" s="736"/>
      <c r="AL35" s="736"/>
      <c r="AM35" s="738"/>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16"/>
      <c r="C36" s="716"/>
      <c r="D36" s="717"/>
      <c r="E36" s="721"/>
      <c r="F36" s="722"/>
      <c r="G36" s="722"/>
      <c r="H36" s="722"/>
      <c r="I36" s="722"/>
      <c r="J36" s="783" t="str">
        <f>IF(AND('Mapa R. Fiscal'!$H$64="Baja",'Mapa R. Fiscal'!$L$64="Leve"),CONCATENATE("R",'Mapa R. Fiscal'!$A$64),"")</f>
        <v/>
      </c>
      <c r="K36" s="784"/>
      <c r="L36" s="784" t="str">
        <f>IF(AND('Mapa R. Fiscal'!$H$70="Baja",'Mapa R. Fiscal'!$L$70="Leve"),CONCATENATE("R",'Mapa R. Fiscal'!$A$70),"")</f>
        <v/>
      </c>
      <c r="M36" s="784"/>
      <c r="N36" s="784" t="str">
        <f>IF(AND('Mapa R. Fiscal'!$H$76="Baja",'Mapa R. Fiscal'!$L$76="Leve"),CONCATENATE("R",'Mapa R. Fiscal'!$A$76),"")</f>
        <v/>
      </c>
      <c r="O36" s="786"/>
      <c r="P36" s="753" t="str">
        <f>IF(AND('Mapa R. Fiscal'!$H$64="Baja",'Mapa R. Fiscal'!$L$64="Menor"),CONCATENATE("R",'Mapa R. Fiscal'!$A$64),"")</f>
        <v/>
      </c>
      <c r="Q36" s="753"/>
      <c r="R36" s="753" t="str">
        <f>IF(AND('Mapa R. Fiscal'!$H$70="Baja",'Mapa R. Fiscal'!$L$70="Menor"),CONCATENATE("R",'Mapa R. Fiscal'!$A$70),"")</f>
        <v/>
      </c>
      <c r="S36" s="753"/>
      <c r="T36" s="753" t="str">
        <f>IF(AND('Mapa R. Fiscal'!$H$76="Baja",'Mapa R. Fiscal'!$L$76="Menor"),CONCATENATE("R",'Mapa R. Fiscal'!$A$76),"")</f>
        <v/>
      </c>
      <c r="U36" s="755"/>
      <c r="V36" s="752" t="str">
        <f>IF(AND('Mapa R. Fiscal'!$H$64="Baja",'Mapa R. Fiscal'!$L$64="Moderado"),CONCATENATE("R",'Mapa R. Fiscal'!$A$64),"")</f>
        <v/>
      </c>
      <c r="W36" s="753"/>
      <c r="X36" s="753" t="str">
        <f>IF(AND('Mapa R. Fiscal'!$H$70="Baja",'Mapa R. Fiscal'!$L$70="Moderado"),CONCATENATE("R",'Mapa R. Fiscal'!$A$70),"")</f>
        <v/>
      </c>
      <c r="Y36" s="753"/>
      <c r="Z36" s="753" t="str">
        <f>IF(AND('Mapa R. Fiscal'!$H$76="Baja",'Mapa R. Fiscal'!$L$76="Moderado"),CONCATENATE("R",'Mapa R. Fiscal'!$A$76),"")</f>
        <v/>
      </c>
      <c r="AA36" s="755"/>
      <c r="AB36" s="729" t="str">
        <f>IF(AND('Mapa R. Fiscal'!$H$64="Baja",'Mapa R. Fiscal'!$L$64="Mayor"),CONCATENATE("R",'Mapa R. Fiscal'!$A$64),"")</f>
        <v/>
      </c>
      <c r="AC36" s="730"/>
      <c r="AD36" s="730" t="str">
        <f>IF(AND('Mapa R. Fiscal'!$H$70="Baja",'Mapa R. Fiscal'!$L$70="Mayor"),CONCATENATE("R",'Mapa R. Fiscal'!$A$70),"")</f>
        <v/>
      </c>
      <c r="AE36" s="730"/>
      <c r="AF36" s="730" t="str">
        <f>IF(AND('Mapa R. Fiscal'!$H$76="Baja",'Mapa R. Fiscal'!$L$76="Mayor"),CONCATENATE("R",'Mapa R. Fiscal'!$A$76),"")</f>
        <v/>
      </c>
      <c r="AG36" s="732"/>
      <c r="AH36" s="735" t="str">
        <f>IF(AND('Mapa R. Fiscal'!$H$64="Baja",'Mapa R. Fiscal'!$L$64="Catastrófico"),CONCATENATE("R",'Mapa R. Fiscal'!$A$64),"")</f>
        <v/>
      </c>
      <c r="AI36" s="736"/>
      <c r="AJ36" s="736" t="str">
        <f>IF(AND('Mapa R. Fiscal'!$H$70="Baja",'Mapa R. Fiscal'!$L$70="Catastrófico"),CONCATENATE("R",'Mapa R. Fiscal'!$A$70),"")</f>
        <v/>
      </c>
      <c r="AK36" s="736"/>
      <c r="AL36" s="736" t="str">
        <f>IF(AND('Mapa R. Fiscal'!$H$76="Baja",'Mapa R. Fiscal'!$L$76="Catastrófico"),CONCATENATE("R",'Mapa R. Fiscal'!$A$76),"")</f>
        <v/>
      </c>
      <c r="AM36" s="738"/>
      <c r="AN36" s="15"/>
      <c r="AO36" s="790"/>
      <c r="AP36" s="791"/>
      <c r="AQ36" s="791"/>
      <c r="AR36" s="791"/>
      <c r="AS36" s="791"/>
      <c r="AT36" s="7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16"/>
      <c r="C37" s="716"/>
      <c r="D37" s="717"/>
      <c r="E37" s="724"/>
      <c r="F37" s="725"/>
      <c r="G37" s="725"/>
      <c r="H37" s="725"/>
      <c r="I37" s="725"/>
      <c r="J37" s="796"/>
      <c r="K37" s="797"/>
      <c r="L37" s="797"/>
      <c r="M37" s="797"/>
      <c r="N37" s="797"/>
      <c r="O37" s="798"/>
      <c r="P37" s="770"/>
      <c r="Q37" s="770"/>
      <c r="R37" s="770"/>
      <c r="S37" s="770"/>
      <c r="T37" s="770"/>
      <c r="U37" s="771"/>
      <c r="V37" s="769"/>
      <c r="W37" s="770"/>
      <c r="X37" s="770"/>
      <c r="Y37" s="770"/>
      <c r="Z37" s="770"/>
      <c r="AA37" s="771"/>
      <c r="AB37" s="766"/>
      <c r="AC37" s="767"/>
      <c r="AD37" s="767"/>
      <c r="AE37" s="767"/>
      <c r="AF37" s="767"/>
      <c r="AG37" s="768"/>
      <c r="AH37" s="756"/>
      <c r="AI37" s="748"/>
      <c r="AJ37" s="748"/>
      <c r="AK37" s="748"/>
      <c r="AL37" s="748"/>
      <c r="AM37" s="749"/>
      <c r="AN37" s="15"/>
      <c r="AO37" s="793"/>
      <c r="AP37" s="794"/>
      <c r="AQ37" s="794"/>
      <c r="AR37" s="794"/>
      <c r="AS37" s="794"/>
      <c r="AT37" s="7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16"/>
      <c r="C38" s="716"/>
      <c r="D38" s="717"/>
      <c r="E38" s="718" t="s">
        <v>197</v>
      </c>
      <c r="F38" s="719"/>
      <c r="G38" s="719"/>
      <c r="H38" s="719"/>
      <c r="I38" s="720"/>
      <c r="J38" s="781" t="str">
        <f>IF(AND('Mapa R. Fiscal'!$H$10="Muy Baja",'Mapa R. Fiscal'!$L$10="Leve"),CONCATENATE("R",'Mapa R. Fiscal'!$A$10),"")</f>
        <v/>
      </c>
      <c r="K38" s="782"/>
      <c r="L38" s="782" t="str">
        <f>IF(AND('Mapa R. Fiscal'!$H$16="Muy Baja",'Mapa R. Fiscal'!$L$16="Leve"),CONCATENATE("R",'Mapa R. Fiscal'!$A$16),"")</f>
        <v/>
      </c>
      <c r="M38" s="782"/>
      <c r="N38" s="782" t="str">
        <f>IF(AND('Mapa R. Fiscal'!$H$22="Muy Baja",'Mapa R. Fiscal'!$L$22="Leve"),CONCATENATE("R",'Mapa R. Fiscal'!$A$22),"")</f>
        <v/>
      </c>
      <c r="O38" s="785"/>
      <c r="P38" s="781" t="str">
        <f>IF(AND('Mapa R. Fiscal'!$H$10="Muy Baja",'Mapa R. Fiscal'!$L$10="Menor"),CONCATENATE("R",'Mapa R. Fiscal'!$A$10),"")</f>
        <v/>
      </c>
      <c r="Q38" s="782"/>
      <c r="R38" s="782" t="str">
        <f>IF(AND('Mapa R. Fiscal'!$H$16="Muy Baja",'Mapa R. Fiscal'!$L$16="Menor"),CONCATENATE("R",'Mapa R. Fiscal'!$A$16),"")</f>
        <v/>
      </c>
      <c r="S38" s="782"/>
      <c r="T38" s="782" t="str">
        <f>IF(AND('Mapa R. Fiscal'!$H$22="Muy Baja",'Mapa R. Fiscal'!$L$22="Menor"),CONCATENATE("R",'Mapa R. Fiscal'!$A$22),"")</f>
        <v/>
      </c>
      <c r="U38" s="785"/>
      <c r="V38" s="750" t="str">
        <f>IF(AND('Mapa R. Fiscal'!$H$10="Muy Baja",'Mapa R. Fiscal'!$L$10="Moderado"),CONCATENATE("R",'Mapa R. Fiscal'!$A$10),"")</f>
        <v/>
      </c>
      <c r="W38" s="751"/>
      <c r="X38" s="751" t="str">
        <f>IF(AND('Mapa R. Fiscal'!$H$16="Muy Baja",'Mapa R. Fiscal'!$L$16="Moderado"),CONCATENATE("R",'Mapa R. Fiscal'!$A$16),"")</f>
        <v/>
      </c>
      <c r="Y38" s="751"/>
      <c r="Z38" s="751" t="str">
        <f>IF(AND('Mapa R. Fiscal'!$H$22="Muy Baja",'Mapa R. Fiscal'!$L$22="Moderado"),CONCATENATE("R",'Mapa R. Fiscal'!$A$22),"")</f>
        <v/>
      </c>
      <c r="AA38" s="754"/>
      <c r="AB38" s="727" t="str">
        <f>IF(AND('Mapa R. Fiscal'!$H$10="Muy Baja",'Mapa R. Fiscal'!$L$10="Mayor"),CONCATENATE("R",'Mapa R. Fiscal'!$A$10),"")</f>
        <v/>
      </c>
      <c r="AC38" s="728"/>
      <c r="AD38" s="728" t="str">
        <f>IF(AND('Mapa R. Fiscal'!$H$16="Muy Baja",'Mapa R. Fiscal'!$L$16="Mayor"),CONCATENATE("R",'Mapa R. Fiscal'!$A$16),"")</f>
        <v/>
      </c>
      <c r="AE38" s="728"/>
      <c r="AF38" s="728" t="str">
        <f>IF(AND('Mapa R. Fiscal'!$H$22="Muy Baja",'Mapa R. Fiscal'!$L$22="Mayor"),CONCATENATE("R",'Mapa R. Fiscal'!$A$22),"")</f>
        <v/>
      </c>
      <c r="AG38" s="731"/>
      <c r="AH38" s="733" t="str">
        <f>IF(AND('Mapa R. Fiscal'!$H$10="Muy Baja",'Mapa R. Fiscal'!$L$10="Catastrófico"),CONCATENATE("R",'Mapa R. Fiscal'!$A$10),"")</f>
        <v/>
      </c>
      <c r="AI38" s="734"/>
      <c r="AJ38" s="734" t="str">
        <f>IF(AND('Mapa R. Fiscal'!$H$16="Muy Baja",'Mapa R. Fiscal'!$L$16="Catastrófico"),CONCATENATE("R",'Mapa R. Fiscal'!$A$16),"")</f>
        <v/>
      </c>
      <c r="AK38" s="734"/>
      <c r="AL38" s="734" t="str">
        <f>IF(AND('Mapa R. Fiscal'!$H$22="Muy Baja",'Mapa R. Fiscal'!$L$22="Catastrófico"),CONCATENATE("R",'Mapa R. Fiscal'!$A$22),"")</f>
        <v/>
      </c>
      <c r="AM38" s="7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16"/>
      <c r="C39" s="716"/>
      <c r="D39" s="717"/>
      <c r="E39" s="721"/>
      <c r="F39" s="722"/>
      <c r="G39" s="722"/>
      <c r="H39" s="722"/>
      <c r="I39" s="723"/>
      <c r="J39" s="783"/>
      <c r="K39" s="784"/>
      <c r="L39" s="784"/>
      <c r="M39" s="784"/>
      <c r="N39" s="784"/>
      <c r="O39" s="786"/>
      <c r="P39" s="783"/>
      <c r="Q39" s="784"/>
      <c r="R39" s="784"/>
      <c r="S39" s="784"/>
      <c r="T39" s="784"/>
      <c r="U39" s="786"/>
      <c r="V39" s="752"/>
      <c r="W39" s="753"/>
      <c r="X39" s="753"/>
      <c r="Y39" s="753"/>
      <c r="Z39" s="753"/>
      <c r="AA39" s="755"/>
      <c r="AB39" s="729"/>
      <c r="AC39" s="730"/>
      <c r="AD39" s="730"/>
      <c r="AE39" s="730"/>
      <c r="AF39" s="730"/>
      <c r="AG39" s="732"/>
      <c r="AH39" s="735"/>
      <c r="AI39" s="736"/>
      <c r="AJ39" s="736"/>
      <c r="AK39" s="736"/>
      <c r="AL39" s="736"/>
      <c r="AM39" s="7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16"/>
      <c r="C40" s="716"/>
      <c r="D40" s="717"/>
      <c r="E40" s="721"/>
      <c r="F40" s="722"/>
      <c r="G40" s="722"/>
      <c r="H40" s="722"/>
      <c r="I40" s="723"/>
      <c r="J40" s="783" t="str">
        <f>IF(AND('Mapa R. Fiscal'!$H$28="Muy Baja",'Mapa R. Fiscal'!$L$28="Leve"),CONCATENATE("R",'Mapa R. Fiscal'!$A$28),"")</f>
        <v/>
      </c>
      <c r="K40" s="784"/>
      <c r="L40" s="784" t="str">
        <f>IF(AND('Mapa R. Fiscal'!$H$34="Muy Baja",'Mapa R. Fiscal'!$L$34="Leve"),CONCATENATE("R",'Mapa R. Fiscal'!$A$34),"")</f>
        <v/>
      </c>
      <c r="M40" s="784"/>
      <c r="N40" s="784" t="str">
        <f>IF(AND('Mapa R. Fiscal'!$H$40="Muy Baja",'Mapa R. Fiscal'!$L$40="Leve"),CONCATENATE("R",'Mapa R. Fiscal'!$A$40),"")</f>
        <v/>
      </c>
      <c r="O40" s="786"/>
      <c r="P40" s="783" t="str">
        <f>IF(AND('Mapa R. Fiscal'!$H$28="Muy Baja",'Mapa R. Fiscal'!$L$28="Menor"),CONCATENATE("R",'Mapa R. Fiscal'!$A$28),"")</f>
        <v/>
      </c>
      <c r="Q40" s="784"/>
      <c r="R40" s="784" t="str">
        <f>IF(AND('Mapa R. Fiscal'!$H$34="Muy Baja",'Mapa R. Fiscal'!$L$34="Menor"),CONCATENATE("R",'Mapa R. Fiscal'!$A$34),"")</f>
        <v/>
      </c>
      <c r="S40" s="784"/>
      <c r="T40" s="784" t="str">
        <f>IF(AND('Mapa R. Fiscal'!$H$40="Muy Baja",'Mapa R. Fiscal'!$L$40="Menor"),CONCATENATE("R",'Mapa R. Fiscal'!$A$40),"")</f>
        <v/>
      </c>
      <c r="U40" s="786"/>
      <c r="V40" s="752" t="str">
        <f>IF(AND('Mapa R. Fiscal'!$H$28="Muy Baja",'Mapa R. Fiscal'!$L$28="Moderado"),CONCATENATE("R",'Mapa R. Fiscal'!$A$28),"")</f>
        <v/>
      </c>
      <c r="W40" s="753"/>
      <c r="X40" s="753" t="str">
        <f>IF(AND('Mapa R. Fiscal'!$H$34="Muy Baja",'Mapa R. Fiscal'!$L$34="Moderado"),CONCATENATE("R",'Mapa R. Fiscal'!$A$34),"")</f>
        <v/>
      </c>
      <c r="Y40" s="753"/>
      <c r="Z40" s="753" t="str">
        <f>IF(AND('Mapa R. Fiscal'!$H$40="Muy Baja",'Mapa R. Fiscal'!$L$40="Moderado"),CONCATENATE("R",'Mapa R. Fiscal'!$A$40),"")</f>
        <v/>
      </c>
      <c r="AA40" s="755"/>
      <c r="AB40" s="729" t="str">
        <f>IF(AND('Mapa R. Fiscal'!$H$28="Muy Baja",'Mapa R. Fiscal'!$L$28="Mayor"),CONCATENATE("R",'Mapa R. Fiscal'!$A$28),"")</f>
        <v/>
      </c>
      <c r="AC40" s="730"/>
      <c r="AD40" s="730" t="str">
        <f>IF(AND('Mapa R. Fiscal'!$H$34="Muy Baja",'Mapa R. Fiscal'!$L$34="Mayor"),CONCATENATE("R",'Mapa R. Fiscal'!$A$34),"")</f>
        <v/>
      </c>
      <c r="AE40" s="730"/>
      <c r="AF40" s="730" t="str">
        <f>IF(AND('Mapa R. Fiscal'!$H$40="Muy Baja",'Mapa R. Fiscal'!$L$40="Mayor"),CONCATENATE("R",'Mapa R. Fiscal'!$A$40),"")</f>
        <v/>
      </c>
      <c r="AG40" s="732"/>
      <c r="AH40" s="735" t="str">
        <f>IF(AND('Mapa R. Fiscal'!$H$28="Muy Baja",'Mapa R. Fiscal'!$L$28="Catastrófico"),CONCATENATE("R",'Mapa R. Fiscal'!$A$28),"")</f>
        <v/>
      </c>
      <c r="AI40" s="736"/>
      <c r="AJ40" s="736" t="str">
        <f>IF(AND('Mapa R. Fiscal'!$H$34="Muy Baja",'Mapa R. Fiscal'!$L$34="Catastrófico"),CONCATENATE("R",'Mapa R. Fiscal'!$A$34),"")</f>
        <v/>
      </c>
      <c r="AK40" s="736"/>
      <c r="AL40" s="736" t="str">
        <f>IF(AND('Mapa R. Fiscal'!$H$40="Muy Baja",'Mapa R. Fiscal'!$L$40="Catastrófico"),CONCATENATE("R",'Mapa R. Fiscal'!$A$40),"")</f>
        <v/>
      </c>
      <c r="AM40" s="7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16"/>
      <c r="C41" s="716"/>
      <c r="D41" s="717"/>
      <c r="E41" s="721"/>
      <c r="F41" s="722"/>
      <c r="G41" s="722"/>
      <c r="H41" s="722"/>
      <c r="I41" s="723"/>
      <c r="J41" s="783"/>
      <c r="K41" s="784"/>
      <c r="L41" s="784"/>
      <c r="M41" s="784"/>
      <c r="N41" s="784"/>
      <c r="O41" s="786"/>
      <c r="P41" s="783"/>
      <c r="Q41" s="784"/>
      <c r="R41" s="784"/>
      <c r="S41" s="784"/>
      <c r="T41" s="784"/>
      <c r="U41" s="786"/>
      <c r="V41" s="752"/>
      <c r="W41" s="753"/>
      <c r="X41" s="753"/>
      <c r="Y41" s="753"/>
      <c r="Z41" s="753"/>
      <c r="AA41" s="755"/>
      <c r="AB41" s="729"/>
      <c r="AC41" s="730"/>
      <c r="AD41" s="730"/>
      <c r="AE41" s="730"/>
      <c r="AF41" s="730"/>
      <c r="AG41" s="732"/>
      <c r="AH41" s="735"/>
      <c r="AI41" s="736"/>
      <c r="AJ41" s="736"/>
      <c r="AK41" s="736"/>
      <c r="AL41" s="736"/>
      <c r="AM41" s="7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16"/>
      <c r="C42" s="716"/>
      <c r="D42" s="717"/>
      <c r="E42" s="721"/>
      <c r="F42" s="722"/>
      <c r="G42" s="722"/>
      <c r="H42" s="722"/>
      <c r="I42" s="723"/>
      <c r="J42" s="783" t="str">
        <f>IF(AND('Mapa R. Fiscal'!$H$46="Muy Baja",'Mapa R. Fiscal'!$L$46="Leve"),CONCATENATE("R",'Mapa R. Fiscal'!$A$46),"")</f>
        <v/>
      </c>
      <c r="K42" s="784"/>
      <c r="L42" s="784" t="str">
        <f>IF(AND('Mapa R. Fiscal'!$H$52="Muy Baja",'Mapa R. Fiscal'!$L$52="Leve"),CONCATENATE("R",'Mapa R. Fiscal'!$A$52),"")</f>
        <v/>
      </c>
      <c r="M42" s="784"/>
      <c r="N42" s="784" t="str">
        <f>IF(AND('Mapa R. Fiscal'!$H$58="Muy Baja",'Mapa R. Fiscal'!$L$58="Leve"),CONCATENATE("R",'Mapa R. Fiscal'!$A$58),"")</f>
        <v/>
      </c>
      <c r="O42" s="786"/>
      <c r="P42" s="783" t="str">
        <f>IF(AND('Mapa R. Fiscal'!$H$46="Muy Baja",'Mapa R. Fiscal'!$L$46="Menor"),CONCATENATE("R",'Mapa R. Fiscal'!$A$46),"")</f>
        <v/>
      </c>
      <c r="Q42" s="784"/>
      <c r="R42" s="784" t="str">
        <f>IF(AND('Mapa R. Fiscal'!$H$52="Muy Baja",'Mapa R. Fiscal'!$L$52="Menor"),CONCATENATE("R",'Mapa R. Fiscal'!$A$52),"")</f>
        <v/>
      </c>
      <c r="S42" s="784"/>
      <c r="T42" s="784" t="str">
        <f>IF(AND('Mapa R. Fiscal'!$H$58="Muy Baja",'Mapa R. Fiscal'!$L$58="Menor"),CONCATENATE("R",'Mapa R. Fiscal'!$A$58),"")</f>
        <v/>
      </c>
      <c r="U42" s="786"/>
      <c r="V42" s="752" t="str">
        <f>IF(AND('Mapa R. Fiscal'!$H$46="Muy Baja",'Mapa R. Fiscal'!$L$46="Moderado"),CONCATENATE("R",'Mapa R. Fiscal'!$A$46),"")</f>
        <v/>
      </c>
      <c r="W42" s="753"/>
      <c r="X42" s="753" t="str">
        <f>IF(AND('Mapa R. Fiscal'!$H$52="Muy Baja",'Mapa R. Fiscal'!$L$52="Moderado"),CONCATENATE("R",'Mapa R. Fiscal'!$A$52),"")</f>
        <v/>
      </c>
      <c r="Y42" s="753"/>
      <c r="Z42" s="753" t="str">
        <f>IF(AND('Mapa R. Fiscal'!$H$58="Muy Baja",'Mapa R. Fiscal'!$L$58="Moderado"),CONCATENATE("R",'Mapa R. Fiscal'!$A$58),"")</f>
        <v/>
      </c>
      <c r="AA42" s="755"/>
      <c r="AB42" s="729" t="str">
        <f>IF(AND('Mapa R. Fiscal'!$H$46="Muy Baja",'Mapa R. Fiscal'!$L$46="Mayor"),CONCATENATE("R",'Mapa R. Fiscal'!$A$46),"")</f>
        <v/>
      </c>
      <c r="AC42" s="730"/>
      <c r="AD42" s="730" t="str">
        <f>IF(AND('Mapa R. Fiscal'!$H$52="Muy Baja",'Mapa R. Fiscal'!$L$52="Mayor"),CONCATENATE("R",'Mapa R. Fiscal'!$A$52),"")</f>
        <v/>
      </c>
      <c r="AE42" s="730"/>
      <c r="AF42" s="730" t="str">
        <f>IF(AND('Mapa R. Fiscal'!$H$58="Muy Baja",'Mapa R. Fiscal'!$L$58="Mayor"),CONCATENATE("R",'Mapa R. Fiscal'!$A$58),"")</f>
        <v/>
      </c>
      <c r="AG42" s="732"/>
      <c r="AH42" s="735" t="str">
        <f>IF(AND('Mapa R. Fiscal'!$H$46="Muy Baja",'Mapa R. Fiscal'!$L$46="Catastrófico"),CONCATENATE("R",'Mapa R. Fiscal'!$A$46),"")</f>
        <v/>
      </c>
      <c r="AI42" s="736"/>
      <c r="AJ42" s="736" t="str">
        <f>IF(AND('Mapa R. Fiscal'!$H$52="Muy Baja",'Mapa R. Fiscal'!$L$52="Catastrófico"),CONCATENATE("R",'Mapa R. Fiscal'!$A$52),"")</f>
        <v/>
      </c>
      <c r="AK42" s="736"/>
      <c r="AL42" s="736" t="str">
        <f>IF(AND('Mapa R. Fiscal'!$H$58="Muy Baja",'Mapa R. Fiscal'!$L$58="Catastrófico"),CONCATENATE("R",'Mapa R. Fiscal'!$A$58),"")</f>
        <v/>
      </c>
      <c r="AM42" s="7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16"/>
      <c r="C43" s="716"/>
      <c r="D43" s="717"/>
      <c r="E43" s="721"/>
      <c r="F43" s="722"/>
      <c r="G43" s="722"/>
      <c r="H43" s="722"/>
      <c r="I43" s="723"/>
      <c r="J43" s="783"/>
      <c r="K43" s="784"/>
      <c r="L43" s="784"/>
      <c r="M43" s="784"/>
      <c r="N43" s="784"/>
      <c r="O43" s="786"/>
      <c r="P43" s="783"/>
      <c r="Q43" s="784"/>
      <c r="R43" s="784"/>
      <c r="S43" s="784"/>
      <c r="T43" s="784"/>
      <c r="U43" s="786"/>
      <c r="V43" s="752"/>
      <c r="W43" s="753"/>
      <c r="X43" s="753"/>
      <c r="Y43" s="753"/>
      <c r="Z43" s="753"/>
      <c r="AA43" s="755"/>
      <c r="AB43" s="729"/>
      <c r="AC43" s="730"/>
      <c r="AD43" s="730"/>
      <c r="AE43" s="730"/>
      <c r="AF43" s="730"/>
      <c r="AG43" s="732"/>
      <c r="AH43" s="735"/>
      <c r="AI43" s="736"/>
      <c r="AJ43" s="736"/>
      <c r="AK43" s="736"/>
      <c r="AL43" s="736"/>
      <c r="AM43" s="7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16"/>
      <c r="C44" s="716"/>
      <c r="D44" s="717"/>
      <c r="E44" s="721"/>
      <c r="F44" s="722"/>
      <c r="G44" s="722"/>
      <c r="H44" s="722"/>
      <c r="I44" s="723"/>
      <c r="J44" s="783" t="str">
        <f>IF(AND('Mapa R. Fiscal'!$H$64="Muy Baja",'Mapa R. Fiscal'!$L$64="Leve"),CONCATENATE("R",'Mapa R. Fiscal'!$A$64),"")</f>
        <v/>
      </c>
      <c r="K44" s="784"/>
      <c r="L44" s="784" t="str">
        <f>IF(AND('Mapa R. Fiscal'!$H$70="Muy Baja",'Mapa R. Fiscal'!$L$70="Leve"),CONCATENATE("R",'Mapa R. Fiscal'!$A$70),"")</f>
        <v/>
      </c>
      <c r="M44" s="784"/>
      <c r="N44" s="784" t="str">
        <f>IF(AND('Mapa R. Fiscal'!$H$76="Muy Baja",'Mapa R. Fiscal'!$L$76="Leve"),CONCATENATE("R",'Mapa R. Fiscal'!$A$76),"")</f>
        <v/>
      </c>
      <c r="O44" s="786"/>
      <c r="P44" s="783" t="str">
        <f>IF(AND('Mapa R. Fiscal'!$H$64="Muy Baja",'Mapa R. Fiscal'!$L$64="Menor"),CONCATENATE("R",'Mapa R. Fiscal'!$A$64),"")</f>
        <v/>
      </c>
      <c r="Q44" s="784"/>
      <c r="R44" s="784" t="str">
        <f>IF(AND('Mapa R. Fiscal'!$H$70="Muy Baja",'Mapa R. Fiscal'!$L$70="Menor"),CONCATENATE("R",'Mapa R. Fiscal'!$A$70),"")</f>
        <v/>
      </c>
      <c r="S44" s="784"/>
      <c r="T44" s="784" t="str">
        <f>IF(AND('Mapa R. Fiscal'!$H$76="Muy Baja",'Mapa R. Fiscal'!$L$76="Menor"),CONCATENATE("R",'Mapa R. Fiscal'!$A$76),"")</f>
        <v/>
      </c>
      <c r="U44" s="786"/>
      <c r="V44" s="752" t="str">
        <f>IF(AND('Mapa R. Fiscal'!$H$64="Muy Baja",'Mapa R. Fiscal'!$L$64="Moderado"),CONCATENATE("R",'Mapa R. Fiscal'!$A$64),"")</f>
        <v/>
      </c>
      <c r="W44" s="753"/>
      <c r="X44" s="753" t="str">
        <f>IF(AND('Mapa R. Fiscal'!$H$70="Muy Baja",'Mapa R. Fiscal'!$L$70="Moderado"),CONCATENATE("R",'Mapa R. Fiscal'!$A$70),"")</f>
        <v/>
      </c>
      <c r="Y44" s="753"/>
      <c r="Z44" s="753" t="str">
        <f>IF(AND('Mapa R. Fiscal'!$H$76="Muy Baja",'Mapa R. Fiscal'!$L$76="Moderado"),CONCATENATE("R",'Mapa R. Fiscal'!$A$76),"")</f>
        <v/>
      </c>
      <c r="AA44" s="755"/>
      <c r="AB44" s="729" t="str">
        <f>IF(AND('Mapa R. Fiscal'!$H$64="Muy Baja",'Mapa R. Fiscal'!$L$64="Mayor"),CONCATENATE("R",'Mapa R. Fiscal'!$A$64),"")</f>
        <v/>
      </c>
      <c r="AC44" s="730"/>
      <c r="AD44" s="730" t="str">
        <f>IF(AND('Mapa R. Fiscal'!$H$70="Muy Baja",'Mapa R. Fiscal'!$L$70="Mayor"),CONCATENATE("R",'Mapa R. Fiscal'!$A$70),"")</f>
        <v/>
      </c>
      <c r="AE44" s="730"/>
      <c r="AF44" s="730" t="str">
        <f>IF(AND('Mapa R. Fiscal'!$H$76="Muy Baja",'Mapa R. Fiscal'!$L$76="Mayor"),CONCATENATE("R",'Mapa R. Fiscal'!$A$76),"")</f>
        <v/>
      </c>
      <c r="AG44" s="732"/>
      <c r="AH44" s="735" t="str">
        <f>IF(AND('Mapa R. Fiscal'!$H$64="Muy Baja",'Mapa R. Fiscal'!$L$64="Catastrófico"),CONCATENATE("R",'Mapa R. Fiscal'!$A$64),"")</f>
        <v/>
      </c>
      <c r="AI44" s="736"/>
      <c r="AJ44" s="736" t="str">
        <f>IF(AND('Mapa R. Fiscal'!$H$70="Muy Baja",'Mapa R. Fiscal'!$L$70="Catastrófico"),CONCATENATE("R",'Mapa R. Fiscal'!$A$70),"")</f>
        <v/>
      </c>
      <c r="AK44" s="736"/>
      <c r="AL44" s="736" t="str">
        <f>IF(AND('Mapa R. Fiscal'!$H$76="Muy Baja",'Mapa R. Fiscal'!$L$76="Catastrófico"),CONCATENATE("R",'Mapa R. Fiscal'!$A$76),"")</f>
        <v/>
      </c>
      <c r="AM44" s="7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16"/>
      <c r="C45" s="716"/>
      <c r="D45" s="717"/>
      <c r="E45" s="724"/>
      <c r="F45" s="725"/>
      <c r="G45" s="725"/>
      <c r="H45" s="725"/>
      <c r="I45" s="726"/>
      <c r="J45" s="796"/>
      <c r="K45" s="797"/>
      <c r="L45" s="797"/>
      <c r="M45" s="797"/>
      <c r="N45" s="797"/>
      <c r="O45" s="798"/>
      <c r="P45" s="796"/>
      <c r="Q45" s="797"/>
      <c r="R45" s="797"/>
      <c r="S45" s="797"/>
      <c r="T45" s="797"/>
      <c r="U45" s="798"/>
      <c r="V45" s="769"/>
      <c r="W45" s="770"/>
      <c r="X45" s="770"/>
      <c r="Y45" s="770"/>
      <c r="Z45" s="770"/>
      <c r="AA45" s="771"/>
      <c r="AB45" s="766"/>
      <c r="AC45" s="767"/>
      <c r="AD45" s="767"/>
      <c r="AE45" s="767"/>
      <c r="AF45" s="767"/>
      <c r="AG45" s="768"/>
      <c r="AH45" s="756"/>
      <c r="AI45" s="748"/>
      <c r="AJ45" s="748"/>
      <c r="AK45" s="748"/>
      <c r="AL45" s="748"/>
      <c r="AM45" s="7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18" t="s">
        <v>198</v>
      </c>
      <c r="K46" s="719"/>
      <c r="L46" s="719"/>
      <c r="M46" s="719"/>
      <c r="N46" s="719"/>
      <c r="O46" s="720"/>
      <c r="P46" s="718" t="s">
        <v>199</v>
      </c>
      <c r="Q46" s="719"/>
      <c r="R46" s="719"/>
      <c r="S46" s="719"/>
      <c r="T46" s="719"/>
      <c r="U46" s="720"/>
      <c r="V46" s="718" t="s">
        <v>200</v>
      </c>
      <c r="W46" s="719"/>
      <c r="X46" s="719"/>
      <c r="Y46" s="719"/>
      <c r="Z46" s="719"/>
      <c r="AA46" s="720"/>
      <c r="AB46" s="718" t="s">
        <v>201</v>
      </c>
      <c r="AC46" s="799"/>
      <c r="AD46" s="719"/>
      <c r="AE46" s="719"/>
      <c r="AF46" s="719"/>
      <c r="AG46" s="720"/>
      <c r="AH46" s="718" t="s">
        <v>202</v>
      </c>
      <c r="AI46" s="719"/>
      <c r="AJ46" s="719"/>
      <c r="AK46" s="719"/>
      <c r="AL46" s="719"/>
      <c r="AM46" s="7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21"/>
      <c r="K47" s="722"/>
      <c r="L47" s="722"/>
      <c r="M47" s="722"/>
      <c r="N47" s="722"/>
      <c r="O47" s="723"/>
      <c r="P47" s="721"/>
      <c r="Q47" s="722"/>
      <c r="R47" s="722"/>
      <c r="S47" s="722"/>
      <c r="T47" s="722"/>
      <c r="U47" s="723"/>
      <c r="V47" s="721"/>
      <c r="W47" s="722"/>
      <c r="X47" s="722"/>
      <c r="Y47" s="722"/>
      <c r="Z47" s="722"/>
      <c r="AA47" s="723"/>
      <c r="AB47" s="721"/>
      <c r="AC47" s="722"/>
      <c r="AD47" s="722"/>
      <c r="AE47" s="722"/>
      <c r="AF47" s="722"/>
      <c r="AG47" s="723"/>
      <c r="AH47" s="721"/>
      <c r="AI47" s="722"/>
      <c r="AJ47" s="722"/>
      <c r="AK47" s="722"/>
      <c r="AL47" s="722"/>
      <c r="AM47" s="7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21"/>
      <c r="K48" s="722"/>
      <c r="L48" s="722"/>
      <c r="M48" s="722"/>
      <c r="N48" s="722"/>
      <c r="O48" s="723"/>
      <c r="P48" s="721"/>
      <c r="Q48" s="722"/>
      <c r="R48" s="722"/>
      <c r="S48" s="722"/>
      <c r="T48" s="722"/>
      <c r="U48" s="723"/>
      <c r="V48" s="721"/>
      <c r="W48" s="722"/>
      <c r="X48" s="722"/>
      <c r="Y48" s="722"/>
      <c r="Z48" s="722"/>
      <c r="AA48" s="723"/>
      <c r="AB48" s="721"/>
      <c r="AC48" s="722"/>
      <c r="AD48" s="722"/>
      <c r="AE48" s="722"/>
      <c r="AF48" s="722"/>
      <c r="AG48" s="723"/>
      <c r="AH48" s="721"/>
      <c r="AI48" s="722"/>
      <c r="AJ48" s="722"/>
      <c r="AK48" s="722"/>
      <c r="AL48" s="722"/>
      <c r="AM48" s="7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21"/>
      <c r="K49" s="722"/>
      <c r="L49" s="722"/>
      <c r="M49" s="722"/>
      <c r="N49" s="722"/>
      <c r="O49" s="723"/>
      <c r="P49" s="721"/>
      <c r="Q49" s="722"/>
      <c r="R49" s="722"/>
      <c r="S49" s="722"/>
      <c r="T49" s="722"/>
      <c r="U49" s="723"/>
      <c r="V49" s="721"/>
      <c r="W49" s="722"/>
      <c r="X49" s="722"/>
      <c r="Y49" s="722"/>
      <c r="Z49" s="722"/>
      <c r="AA49" s="723"/>
      <c r="AB49" s="721"/>
      <c r="AC49" s="722"/>
      <c r="AD49" s="722"/>
      <c r="AE49" s="722"/>
      <c r="AF49" s="722"/>
      <c r="AG49" s="723"/>
      <c r="AH49" s="721"/>
      <c r="AI49" s="722"/>
      <c r="AJ49" s="722"/>
      <c r="AK49" s="722"/>
      <c r="AL49" s="722"/>
      <c r="AM49" s="7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21"/>
      <c r="K50" s="722"/>
      <c r="L50" s="722"/>
      <c r="M50" s="722"/>
      <c r="N50" s="722"/>
      <c r="O50" s="723"/>
      <c r="P50" s="721"/>
      <c r="Q50" s="722"/>
      <c r="R50" s="722"/>
      <c r="S50" s="722"/>
      <c r="T50" s="722"/>
      <c r="U50" s="723"/>
      <c r="V50" s="721"/>
      <c r="W50" s="722"/>
      <c r="X50" s="722"/>
      <c r="Y50" s="722"/>
      <c r="Z50" s="722"/>
      <c r="AA50" s="723"/>
      <c r="AB50" s="721"/>
      <c r="AC50" s="722"/>
      <c r="AD50" s="722"/>
      <c r="AE50" s="722"/>
      <c r="AF50" s="722"/>
      <c r="AG50" s="723"/>
      <c r="AH50" s="721"/>
      <c r="AI50" s="722"/>
      <c r="AJ50" s="722"/>
      <c r="AK50" s="722"/>
      <c r="AL50" s="722"/>
      <c r="AM50" s="7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24"/>
      <c r="K51" s="725"/>
      <c r="L51" s="725"/>
      <c r="M51" s="725"/>
      <c r="N51" s="725"/>
      <c r="O51" s="726"/>
      <c r="P51" s="724"/>
      <c r="Q51" s="725"/>
      <c r="R51" s="725"/>
      <c r="S51" s="725"/>
      <c r="T51" s="725"/>
      <c r="U51" s="726"/>
      <c r="V51" s="724"/>
      <c r="W51" s="725"/>
      <c r="X51" s="725"/>
      <c r="Y51" s="725"/>
      <c r="Z51" s="725"/>
      <c r="AA51" s="726"/>
      <c r="AB51" s="724"/>
      <c r="AC51" s="725"/>
      <c r="AD51" s="725"/>
      <c r="AE51" s="725"/>
      <c r="AF51" s="725"/>
      <c r="AG51" s="726"/>
      <c r="AH51" s="724"/>
      <c r="AI51" s="725"/>
      <c r="AJ51" s="725"/>
      <c r="AK51" s="725"/>
      <c r="AL51" s="725"/>
      <c r="AM51" s="7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M8" sqref="AM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00" t="s">
        <v>203</v>
      </c>
      <c r="C2" s="801"/>
      <c r="D2" s="801"/>
      <c r="E2" s="801"/>
      <c r="F2" s="801"/>
      <c r="G2" s="801"/>
      <c r="H2" s="801"/>
      <c r="I2" s="801"/>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01"/>
      <c r="C3" s="801"/>
      <c r="D3" s="801"/>
      <c r="E3" s="801"/>
      <c r="F3" s="801"/>
      <c r="G3" s="801"/>
      <c r="H3" s="801"/>
      <c r="I3" s="801"/>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01"/>
      <c r="C4" s="801"/>
      <c r="D4" s="801"/>
      <c r="E4" s="801"/>
      <c r="F4" s="801"/>
      <c r="G4" s="801"/>
      <c r="H4" s="801"/>
      <c r="I4" s="801"/>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6" t="s">
        <v>188</v>
      </c>
      <c r="C6" s="716"/>
      <c r="D6" s="717"/>
      <c r="E6" s="802" t="s">
        <v>189</v>
      </c>
      <c r="F6" s="803"/>
      <c r="G6" s="803"/>
      <c r="H6" s="803"/>
      <c r="I6" s="804"/>
      <c r="J6" s="248" t="str">
        <f>IF(AND('Mapa R. Fiscal'!$Y$10="Muy Alta",'Mapa R. Fiscal'!$AA$10="Leve"),CONCATENATE("R1C",'Mapa R. Fiscal'!$O$10),"")</f>
        <v/>
      </c>
      <c r="K6" s="249" t="str">
        <f>IF(AND('Mapa R. Fiscal'!$Y$11="Muy Alta",'Mapa R. Fiscal'!$AA$11="Leve"),CONCATENATE("R1C",'Mapa R. Fiscal'!$O$11),"")</f>
        <v/>
      </c>
      <c r="L6" s="249" t="str">
        <f>IF(AND('Mapa R. Fiscal'!$Y$12="Muy Alta",'Mapa R. Fiscal'!$AA$12="Leve"),CONCATENATE("R1C",'Mapa R. Fiscal'!$O$12),"")</f>
        <v/>
      </c>
      <c r="M6" s="249" t="str">
        <f>IF(AND('Mapa R. Fiscal'!$Y$13="Muy Alta",'Mapa R. Fiscal'!$AA$13="Leve"),CONCATENATE("R1C",'Mapa R. Fiscal'!$O$13),"")</f>
        <v/>
      </c>
      <c r="N6" s="249" t="str">
        <f>IF(AND('Mapa R. Fiscal'!$Y$14="Muy Alta",'Mapa R. Fiscal'!$AA$14="Leve"),CONCATENATE("R1C",'Mapa R. Fiscal'!$O$14),"")</f>
        <v/>
      </c>
      <c r="O6" s="250" t="str">
        <f>IF(AND('Mapa R. Fiscal'!$Y$15="Muy Alta",'Mapa R. Fiscal'!$AA$15="Leve"),CONCATENATE("R1C",'Mapa R. Fiscal'!$O$15),"")</f>
        <v/>
      </c>
      <c r="P6" s="248" t="str">
        <f>IF(AND('Mapa R. Fiscal'!$Y$10="Muy Alta",'Mapa R. Fiscal'!$AA$10="Menor"),CONCATENATE("R1C",'Mapa R. Fiscal'!$O$10),"")</f>
        <v/>
      </c>
      <c r="Q6" s="249" t="str">
        <f>IF(AND('Mapa R. Fiscal'!$Y$11="Muy Alta",'Mapa R. Fiscal'!$AA$11="Menor"),CONCATENATE("R1C",'Mapa R. Fiscal'!$O$11),"")</f>
        <v/>
      </c>
      <c r="R6" s="249" t="str">
        <f>IF(AND('Mapa R. Fiscal'!$Y$12="Muy Alta",'Mapa R. Fiscal'!$AA$12="Menor"),CONCATENATE("R1C",'Mapa R. Fiscal'!$O$12),"")</f>
        <v/>
      </c>
      <c r="S6" s="249" t="str">
        <f>IF(AND('Mapa R. Fiscal'!$Y$13="Muy Alta",'Mapa R. Fiscal'!$AA$13="Menor"),CONCATENATE("R1C",'Mapa R. Fiscal'!$O$13),"")</f>
        <v/>
      </c>
      <c r="T6" s="249" t="str">
        <f>IF(AND('Mapa R. Fiscal'!$Y$14="Muy Alta",'Mapa R. Fiscal'!$AA$14="Menor"),CONCATENATE("R1C",'Mapa R. Fiscal'!$O$14),"")</f>
        <v/>
      </c>
      <c r="U6" s="250" t="str">
        <f>IF(AND('Mapa R. Fiscal'!$Y$15="Muy Alta",'Mapa R. Fiscal'!$AA$15="Menor"),CONCATENATE("R1C",'Mapa R. Fiscal'!$O$15),"")</f>
        <v/>
      </c>
      <c r="V6" s="248" t="str">
        <f>IF(AND('Mapa R. Fiscal'!$Y$10="Muy Alta",'Mapa R. Fiscal'!$AA$10="Moderado"),CONCATENATE("R1C",'Mapa R. Fiscal'!$O$10),"")</f>
        <v/>
      </c>
      <c r="W6" s="249" t="str">
        <f>IF(AND('Mapa R. Fiscal'!$Y$11="Muy Alta",'Mapa R. Fiscal'!$AA$11="Moderado"),CONCATENATE("R1C",'Mapa R. Fiscal'!$O$11),"")</f>
        <v/>
      </c>
      <c r="X6" s="249" t="str">
        <f>IF(AND('Mapa R. Fiscal'!$Y$12="Muy Alta",'Mapa R. Fiscal'!$AA$12="Moderado"),CONCATENATE("R1C",'Mapa R. Fiscal'!$O$12),"")</f>
        <v/>
      </c>
      <c r="Y6" s="249" t="str">
        <f>IF(AND('Mapa R. Fiscal'!$Y$13="Muy Alta",'Mapa R. Fiscal'!$AA$13="Moderado"),CONCATENATE("R1C",'Mapa R. Fiscal'!$O$13),"")</f>
        <v/>
      </c>
      <c r="Z6" s="249" t="str">
        <f>IF(AND('Mapa R. Fiscal'!$Y$14="Muy Alta",'Mapa R. Fiscal'!$AA$14="Moderado"),CONCATENATE("R1C",'Mapa R. Fiscal'!$O$14),"")</f>
        <v/>
      </c>
      <c r="AA6" s="250" t="str">
        <f>IF(AND('Mapa R. Fiscal'!$Y$15="Muy Alta",'Mapa R. Fiscal'!$AA$15="Moderado"),CONCATENATE("R1C",'Mapa R. Fiscal'!$O$15),"")</f>
        <v/>
      </c>
      <c r="AB6" s="248" t="str">
        <f>IF(AND('Mapa R. Fiscal'!$Y$10="Muy Alta",'Mapa R. Fiscal'!$AA$10="Mayor"),CONCATENATE("R1C",'Mapa R. Fiscal'!$O$10),"")</f>
        <v/>
      </c>
      <c r="AC6" s="249" t="str">
        <f>IF(AND('Mapa R. Fiscal'!$Y$11="Muy Alta",'Mapa R. Fiscal'!$AA$11="Mayor"),CONCATENATE("R1C",'Mapa R. Fiscal'!$O$11),"")</f>
        <v/>
      </c>
      <c r="AD6" s="249" t="str">
        <f>IF(AND('Mapa R. Fiscal'!$Y$12="Muy Alta",'Mapa R. Fiscal'!$AA$12="Mayor"),CONCATENATE("R1C",'Mapa R. Fiscal'!$O$12),"")</f>
        <v/>
      </c>
      <c r="AE6" s="249" t="str">
        <f>IF(AND('Mapa R. Fiscal'!$Y$13="Muy Alta",'Mapa R. Fiscal'!$AA$13="Mayor"),CONCATENATE("R1C",'Mapa R. Fiscal'!$O$13),"")</f>
        <v/>
      </c>
      <c r="AF6" s="249" t="str">
        <f>IF(AND('Mapa R. Fiscal'!$Y$14="Muy Alta",'Mapa R. Fiscal'!$AA$14="Mayor"),CONCATENATE("R1C",'Mapa R. Fiscal'!$O$14),"")</f>
        <v/>
      </c>
      <c r="AG6" s="250" t="str">
        <f>IF(AND('Mapa R. Fiscal'!$Y$15="Muy Alta",'Mapa R. Fiscal'!$AA$15="Mayor"),CONCATENATE("R1C",'Mapa R. Fiscal'!$O$15),"")</f>
        <v/>
      </c>
      <c r="AH6" s="251" t="str">
        <f>IF(AND('Mapa R. Fiscal'!$Y$10="Muy Alta",'Mapa R. Fiscal'!$AA$10="Catastrófico"),CONCATENATE("R1C",'Mapa R. Fiscal'!$O$10),"")</f>
        <v/>
      </c>
      <c r="AI6" s="252" t="str">
        <f>IF(AND('Mapa R. Fiscal'!$Y$11="Muy Alta",'Mapa R. Fiscal'!$AA$11="Catastrófico"),CONCATENATE("R1C",'Mapa R. Fiscal'!$O$11),"")</f>
        <v/>
      </c>
      <c r="AJ6" s="252" t="str">
        <f>IF(AND('Mapa R. Fiscal'!$Y$12="Muy Alta",'Mapa R. Fiscal'!$AA$12="Catastrófico"),CONCATENATE("R1C",'Mapa R. Fiscal'!$O$12),"")</f>
        <v/>
      </c>
      <c r="AK6" s="252" t="str">
        <f>IF(AND('Mapa R. Fiscal'!$Y$13="Muy Alta",'Mapa R. Fiscal'!$AA$13="Catastrófico"),CONCATENATE("R1C",'Mapa R. Fiscal'!$O$13),"")</f>
        <v/>
      </c>
      <c r="AL6" s="252" t="str">
        <f>IF(AND('Mapa R. Fiscal'!$Y$14="Muy Alta",'Mapa R. Fiscal'!$AA$14="Catastrófico"),CONCATENATE("R1C",'Mapa R. Fiscal'!$O$14),"")</f>
        <v/>
      </c>
      <c r="AM6" s="253" t="str">
        <f>IF(AND('Mapa R. Fiscal'!$Y$15="Muy Alta",'Mapa R. Fiscal'!$AA$15="Catastrófico"),CONCATENATE("R1C",'Mapa R. Fiscal'!$O$15),"")</f>
        <v/>
      </c>
      <c r="AN6" s="15"/>
      <c r="AO6" s="811" t="s">
        <v>190</v>
      </c>
      <c r="AP6" s="812"/>
      <c r="AQ6" s="812"/>
      <c r="AR6" s="812"/>
      <c r="AS6" s="812"/>
      <c r="AT6" s="8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6"/>
      <c r="C7" s="716"/>
      <c r="D7" s="717"/>
      <c r="E7" s="805"/>
      <c r="F7" s="806"/>
      <c r="G7" s="806"/>
      <c r="H7" s="806"/>
      <c r="I7" s="807"/>
      <c r="J7" s="254" t="str">
        <f>IF(AND('Mapa R. Fiscal'!$Y$16="Muy Alta",'Mapa R. Fiscal'!$AA$16="Leve"),CONCATENATE("R2C",'Mapa R. Fiscal'!$O$16),"")</f>
        <v/>
      </c>
      <c r="K7" s="255" t="str">
        <f>IF(AND('Mapa R. Fiscal'!$Y$17="Muy Alta",'Mapa R. Fiscal'!$AA$17="Leve"),CONCATENATE("R2C",'Mapa R. Fiscal'!$O$17),"")</f>
        <v/>
      </c>
      <c r="L7" s="255" t="str">
        <f>IF(AND('Mapa R. Fiscal'!$Y$18="Muy Alta",'Mapa R. Fiscal'!$AA$18="Leve"),CONCATENATE("R2C",'Mapa R. Fiscal'!$O$18),"")</f>
        <v/>
      </c>
      <c r="M7" s="255" t="str">
        <f>IF(AND('Mapa R. Fiscal'!$Y$19="Muy Alta",'Mapa R. Fiscal'!$AA$19="Leve"),CONCATENATE("R2C",'Mapa R. Fiscal'!$O$19),"")</f>
        <v/>
      </c>
      <c r="N7" s="255" t="str">
        <f>IF(AND('Mapa R. Fiscal'!$Y$20="Muy Alta",'Mapa R. Fiscal'!$AA$20="Leve"),CONCATENATE("R2C",'Mapa R. Fiscal'!$O$20),"")</f>
        <v/>
      </c>
      <c r="O7" s="256" t="str">
        <f>IF(AND('Mapa R. Fiscal'!$Y$21="Muy Alta",'Mapa R. Fiscal'!$AA$21="Leve"),CONCATENATE("R2C",'Mapa R. Fiscal'!$O$21),"")</f>
        <v/>
      </c>
      <c r="P7" s="254" t="str">
        <f>IF(AND('Mapa R. Fiscal'!$Y$16="Muy Alta",'Mapa R. Fiscal'!$AA$16="Menor"),CONCATENATE("R2C",'Mapa R. Fiscal'!$O$16),"")</f>
        <v/>
      </c>
      <c r="Q7" s="255" t="str">
        <f>IF(AND('Mapa R. Fiscal'!$Y$17="Muy Alta",'Mapa R. Fiscal'!$AA$17="Menor"),CONCATENATE("R2C",'Mapa R. Fiscal'!$O$17),"")</f>
        <v/>
      </c>
      <c r="R7" s="255" t="str">
        <f>IF(AND('Mapa R. Fiscal'!$Y$18="Muy Alta",'Mapa R. Fiscal'!$AA$18="Menor"),CONCATENATE("R2C",'Mapa R. Fiscal'!$O$18),"")</f>
        <v/>
      </c>
      <c r="S7" s="255" t="str">
        <f>IF(AND('Mapa R. Fiscal'!$Y$19="Muy Alta",'Mapa R. Fiscal'!$AA$19="Menor"),CONCATENATE("R2C",'Mapa R. Fiscal'!$O$19),"")</f>
        <v/>
      </c>
      <c r="T7" s="255" t="str">
        <f>IF(AND('Mapa R. Fiscal'!$Y$20="Muy Alta",'Mapa R. Fiscal'!$AA$20="Menor"),CONCATENATE("R2C",'Mapa R. Fiscal'!$O$20),"")</f>
        <v/>
      </c>
      <c r="U7" s="256" t="str">
        <f>IF(AND('Mapa R. Fiscal'!$Y$21="Muy Alta",'Mapa R. Fiscal'!$AA$21="Menor"),CONCATENATE("R2C",'Mapa R. Fiscal'!$O$21),"")</f>
        <v/>
      </c>
      <c r="V7" s="254" t="str">
        <f>IF(AND('Mapa R. Fiscal'!$Y$16="Muy Alta",'Mapa R. Fiscal'!$AA$16="Moderado"),CONCATENATE("R2C",'Mapa R. Fiscal'!$O$16),"")</f>
        <v/>
      </c>
      <c r="W7" s="255" t="str">
        <f>IF(AND('Mapa R. Fiscal'!$Y$17="Muy Alta",'Mapa R. Fiscal'!$AA$17="Moderado"),CONCATENATE("R2C",'Mapa R. Fiscal'!$O$17),"")</f>
        <v/>
      </c>
      <c r="X7" s="255" t="str">
        <f>IF(AND('Mapa R. Fiscal'!$Y$18="Muy Alta",'Mapa R. Fiscal'!$AA$18="Moderado"),CONCATENATE("R2C",'Mapa R. Fiscal'!$O$18),"")</f>
        <v/>
      </c>
      <c r="Y7" s="255" t="str">
        <f>IF(AND('Mapa R. Fiscal'!$Y$19="Muy Alta",'Mapa R. Fiscal'!$AA$19="Moderado"),CONCATENATE("R2C",'Mapa R. Fiscal'!$O$19),"")</f>
        <v/>
      </c>
      <c r="Z7" s="255" t="str">
        <f>IF(AND('Mapa R. Fiscal'!$Y$20="Muy Alta",'Mapa R. Fiscal'!$AA$20="Moderado"),CONCATENATE("R2C",'Mapa R. Fiscal'!$O$20),"")</f>
        <v/>
      </c>
      <c r="AA7" s="256" t="str">
        <f>IF(AND('Mapa R. Fiscal'!$Y$21="Muy Alta",'Mapa R. Fiscal'!$AA$21="Moderado"),CONCATENATE("R2C",'Mapa R. Fiscal'!$O$21),"")</f>
        <v/>
      </c>
      <c r="AB7" s="254" t="str">
        <f>IF(AND('Mapa R. Fiscal'!$Y$16="Muy Alta",'Mapa R. Fiscal'!$AA$16="Mayor"),CONCATENATE("R2C",'Mapa R. Fiscal'!$O$16),"")</f>
        <v/>
      </c>
      <c r="AC7" s="255" t="str">
        <f>IF(AND('Mapa R. Fiscal'!$Y$17="Muy Alta",'Mapa R. Fiscal'!$AA$17="Mayor"),CONCATENATE("R2C",'Mapa R. Fiscal'!$O$17),"")</f>
        <v/>
      </c>
      <c r="AD7" s="255" t="str">
        <f>IF(AND('Mapa R. Fiscal'!$Y$18="Muy Alta",'Mapa R. Fiscal'!$AA$18="Mayor"),CONCATENATE("R2C",'Mapa R. Fiscal'!$O$18),"")</f>
        <v/>
      </c>
      <c r="AE7" s="255" t="str">
        <f>IF(AND('Mapa R. Fiscal'!$Y$19="Muy Alta",'Mapa R. Fiscal'!$AA$19="Mayor"),CONCATENATE("R2C",'Mapa R. Fiscal'!$O$19),"")</f>
        <v/>
      </c>
      <c r="AF7" s="255" t="str">
        <f>IF(AND('Mapa R. Fiscal'!$Y$20="Muy Alta",'Mapa R. Fiscal'!$AA$20="Mayor"),CONCATENATE("R2C",'Mapa R. Fiscal'!$O$20),"")</f>
        <v/>
      </c>
      <c r="AG7" s="256" t="str">
        <f>IF(AND('Mapa R. Fiscal'!$Y$21="Muy Alta",'Mapa R. Fiscal'!$AA$21="Mayor"),CONCATENATE("R2C",'Mapa R. Fiscal'!$O$21),"")</f>
        <v/>
      </c>
      <c r="AH7" s="257" t="str">
        <f>IF(AND('Mapa R. Fiscal'!$Y$16="Muy Alta",'Mapa R. Fiscal'!$AA$16="Catastrófico"),CONCATENATE("R2C",'Mapa R. Fiscal'!$O$16),"")</f>
        <v/>
      </c>
      <c r="AI7" s="258" t="str">
        <f>IF(AND('Mapa R. Fiscal'!$Y$17="Muy Alta",'Mapa R. Fiscal'!$AA$17="Catastrófico"),CONCATENATE("R2C",'Mapa R. Fiscal'!$O$17),"")</f>
        <v/>
      </c>
      <c r="AJ7" s="258" t="str">
        <f>IF(AND('Mapa R. Fiscal'!$Y$18="Muy Alta",'Mapa R. Fiscal'!$AA$18="Catastrófico"),CONCATENATE("R2C",'Mapa R. Fiscal'!$O$18),"")</f>
        <v/>
      </c>
      <c r="AK7" s="258" t="str">
        <f>IF(AND('Mapa R. Fiscal'!$Y$19="Muy Alta",'Mapa R. Fiscal'!$AA$19="Catastrófico"),CONCATENATE("R2C",'Mapa R. Fiscal'!$O$19),"")</f>
        <v/>
      </c>
      <c r="AL7" s="258" t="str">
        <f>IF(AND('Mapa R. Fiscal'!$Y$20="Muy Alta",'Mapa R. Fiscal'!$AA$20="Catastrófico"),CONCATENATE("R2C",'Mapa R. Fiscal'!$O$20),"")</f>
        <v/>
      </c>
      <c r="AM7" s="259" t="str">
        <f>IF(AND('Mapa R. Fiscal'!$Y$21="Muy Alta",'Mapa R. Fiscal'!$AA$21="Catastrófico"),CONCATENATE("R2C",'Mapa R. Fiscal'!$O$21),"")</f>
        <v/>
      </c>
      <c r="AN7" s="15"/>
      <c r="AO7" s="814"/>
      <c r="AP7" s="815"/>
      <c r="AQ7" s="815"/>
      <c r="AR7" s="815"/>
      <c r="AS7" s="815"/>
      <c r="AT7" s="8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6"/>
      <c r="C8" s="716"/>
      <c r="D8" s="717"/>
      <c r="E8" s="805"/>
      <c r="F8" s="806"/>
      <c r="G8" s="806"/>
      <c r="H8" s="806"/>
      <c r="I8" s="807"/>
      <c r="J8" s="254" t="str">
        <f>IF(AND('Mapa R. Fiscal'!$Y$22="Muy Alta",'Mapa R. Fiscal'!$AA$22="Leve"),CONCATENATE("R3C",'Mapa R. Fiscal'!$O$22),"")</f>
        <v/>
      </c>
      <c r="K8" s="255" t="str">
        <f>IF(AND('Mapa R. Fiscal'!$Y$23="Muy Alta",'Mapa R. Fiscal'!$AA$23="Leve"),CONCATENATE("R3C",'Mapa R. Fiscal'!$O$23),"")</f>
        <v/>
      </c>
      <c r="L8" s="255" t="str">
        <f>IF(AND('Mapa R. Fiscal'!$Y$24="Muy Alta",'Mapa R. Fiscal'!$AA$24="Leve"),CONCATENATE("R3C",'Mapa R. Fiscal'!$O$24),"")</f>
        <v/>
      </c>
      <c r="M8" s="255" t="str">
        <f>IF(AND('Mapa R. Fiscal'!$Y$25="Muy Alta",'Mapa R. Fiscal'!$AA$25="Leve"),CONCATENATE("R3C",'Mapa R. Fiscal'!$O$25),"")</f>
        <v/>
      </c>
      <c r="N8" s="255" t="str">
        <f>IF(AND('Mapa R. Fiscal'!$Y$26="Muy Alta",'Mapa R. Fiscal'!$AA$26="Leve"),CONCATENATE("R3C",'Mapa R. Fiscal'!$O$26),"")</f>
        <v/>
      </c>
      <c r="O8" s="256" t="str">
        <f>IF(AND('Mapa R. Fiscal'!$Y$27="Muy Alta",'Mapa R. Fiscal'!$AA$27="Leve"),CONCATENATE("R3C",'Mapa R. Fiscal'!$O$27),"")</f>
        <v/>
      </c>
      <c r="P8" s="254" t="str">
        <f>IF(AND('Mapa R. Fiscal'!$Y$22="Muy Alta",'Mapa R. Fiscal'!$AA$22="Menor"),CONCATENATE("R3C",'Mapa R. Fiscal'!$O$22),"")</f>
        <v/>
      </c>
      <c r="Q8" s="255" t="str">
        <f>IF(AND('Mapa R. Fiscal'!$Y$23="Muy Alta",'Mapa R. Fiscal'!$AA$23="Menor"),CONCATENATE("R3C",'Mapa R. Fiscal'!$O$23),"")</f>
        <v/>
      </c>
      <c r="R8" s="255" t="str">
        <f>IF(AND('Mapa R. Fiscal'!$Y$24="Muy Alta",'Mapa R. Fiscal'!$AA$24="Menor"),CONCATENATE("R3C",'Mapa R. Fiscal'!$O$24),"")</f>
        <v/>
      </c>
      <c r="S8" s="255" t="str">
        <f>IF(AND('Mapa R. Fiscal'!$Y$25="Muy Alta",'Mapa R. Fiscal'!$AA$25="Menor"),CONCATENATE("R3C",'Mapa R. Fiscal'!$O$25),"")</f>
        <v/>
      </c>
      <c r="T8" s="255" t="str">
        <f>IF(AND('Mapa R. Fiscal'!$Y$26="Muy Alta",'Mapa R. Fiscal'!$AA$26="Menor"),CONCATENATE("R3C",'Mapa R. Fiscal'!$O$26),"")</f>
        <v/>
      </c>
      <c r="U8" s="256" t="str">
        <f>IF(AND('Mapa R. Fiscal'!$Y$27="Muy Alta",'Mapa R. Fiscal'!$AA$27="Menor"),CONCATENATE("R3C",'Mapa R. Fiscal'!$O$27),"")</f>
        <v/>
      </c>
      <c r="V8" s="254" t="str">
        <f>IF(AND('Mapa R. Fiscal'!$Y$22="Muy Alta",'Mapa R. Fiscal'!$AA$22="Moderado"),CONCATENATE("R3C",'Mapa R. Fiscal'!$O$22),"")</f>
        <v/>
      </c>
      <c r="W8" s="255" t="str">
        <f>IF(AND('Mapa R. Fiscal'!$Y$23="Muy Alta",'Mapa R. Fiscal'!$AA$23="Moderado"),CONCATENATE("R3C",'Mapa R. Fiscal'!$O$23),"")</f>
        <v/>
      </c>
      <c r="X8" s="255" t="str">
        <f>IF(AND('Mapa R. Fiscal'!$Y$24="Muy Alta",'Mapa R. Fiscal'!$AA$24="Moderado"),CONCATENATE("R3C",'Mapa R. Fiscal'!$O$24),"")</f>
        <v/>
      </c>
      <c r="Y8" s="255" t="str">
        <f>IF(AND('Mapa R. Fiscal'!$Y$25="Muy Alta",'Mapa R. Fiscal'!$AA$25="Moderado"),CONCATENATE("R3C",'Mapa R. Fiscal'!$O$25),"")</f>
        <v/>
      </c>
      <c r="Z8" s="255" t="str">
        <f>IF(AND('Mapa R. Fiscal'!$Y$26="Muy Alta",'Mapa R. Fiscal'!$AA$26="Moderado"),CONCATENATE("R3C",'Mapa R. Fiscal'!$O$26),"")</f>
        <v/>
      </c>
      <c r="AA8" s="256" t="str">
        <f>IF(AND('Mapa R. Fiscal'!$Y$27="Muy Alta",'Mapa R. Fiscal'!$AA$27="Moderado"),CONCATENATE("R3C",'Mapa R. Fiscal'!$O$27),"")</f>
        <v/>
      </c>
      <c r="AB8" s="254" t="str">
        <f>IF(AND('Mapa R. Fiscal'!$Y$22="Muy Alta",'Mapa R. Fiscal'!$AA$22="Mayor"),CONCATENATE("R3C",'Mapa R. Fiscal'!$O$22),"")</f>
        <v/>
      </c>
      <c r="AC8" s="255" t="str">
        <f>IF(AND('Mapa R. Fiscal'!$Y$23="Muy Alta",'Mapa R. Fiscal'!$AA$23="Mayor"),CONCATENATE("R3C",'Mapa R. Fiscal'!$O$23),"")</f>
        <v/>
      </c>
      <c r="AD8" s="255" t="str">
        <f>IF(AND('Mapa R. Fiscal'!$Y$24="Muy Alta",'Mapa R. Fiscal'!$AA$24="Mayor"),CONCATENATE("R3C",'Mapa R. Fiscal'!$O$24),"")</f>
        <v/>
      </c>
      <c r="AE8" s="255" t="str">
        <f>IF(AND('Mapa R. Fiscal'!$Y$25="Muy Alta",'Mapa R. Fiscal'!$AA$25="Mayor"),CONCATENATE("R3C",'Mapa R. Fiscal'!$O$25),"")</f>
        <v/>
      </c>
      <c r="AF8" s="255" t="str">
        <f>IF(AND('Mapa R. Fiscal'!$Y$26="Muy Alta",'Mapa R. Fiscal'!$AA$26="Mayor"),CONCATENATE("R3C",'Mapa R. Fiscal'!$O$26),"")</f>
        <v/>
      </c>
      <c r="AG8" s="256" t="str">
        <f>IF(AND('Mapa R. Fiscal'!$Y$27="Muy Alta",'Mapa R. Fiscal'!$AA$27="Mayor"),CONCATENATE("R3C",'Mapa R. Fiscal'!$O$27),"")</f>
        <v/>
      </c>
      <c r="AH8" s="257" t="str">
        <f>IF(AND('Mapa R. Fiscal'!$Y$22="Muy Alta",'Mapa R. Fiscal'!$AA$22="Catastrófico"),CONCATENATE("R3C",'Mapa R. Fiscal'!$O$22),"")</f>
        <v/>
      </c>
      <c r="AI8" s="258" t="str">
        <f>IF(AND('Mapa R. Fiscal'!$Y$23="Muy Alta",'Mapa R. Fiscal'!$AA$23="Catastrófico"),CONCATENATE("R3C",'Mapa R. Fiscal'!$O$23),"")</f>
        <v/>
      </c>
      <c r="AJ8" s="258" t="str">
        <f>IF(AND('Mapa R. Fiscal'!$Y$24="Muy Alta",'Mapa R. Fiscal'!$AA$24="Catastrófico"),CONCATENATE("R3C",'Mapa R. Fiscal'!$O$24),"")</f>
        <v/>
      </c>
      <c r="AK8" s="258" t="str">
        <f>IF(AND('Mapa R. Fiscal'!$Y$25="Muy Alta",'Mapa R. Fiscal'!$AA$25="Catastrófico"),CONCATENATE("R3C",'Mapa R. Fiscal'!$O$25),"")</f>
        <v/>
      </c>
      <c r="AL8" s="258" t="str">
        <f>IF(AND('Mapa R. Fiscal'!$Y$26="Muy Alta",'Mapa R. Fiscal'!$AA$26="Catastrófico"),CONCATENATE("R3C",'Mapa R. Fiscal'!$O$26),"")</f>
        <v/>
      </c>
      <c r="AM8" s="259" t="str">
        <f>IF(AND('Mapa R. Fiscal'!$Y$27="Muy Alta",'Mapa R. Fiscal'!$AA$27="Catastrófico"),CONCATENATE("R3C",'Mapa R. Fiscal'!$O$27),"")</f>
        <v/>
      </c>
      <c r="AN8" s="15"/>
      <c r="AO8" s="814"/>
      <c r="AP8" s="815"/>
      <c r="AQ8" s="815"/>
      <c r="AR8" s="815"/>
      <c r="AS8" s="815"/>
      <c r="AT8" s="8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6"/>
      <c r="C9" s="716"/>
      <c r="D9" s="717"/>
      <c r="E9" s="805"/>
      <c r="F9" s="806"/>
      <c r="G9" s="806"/>
      <c r="H9" s="806"/>
      <c r="I9" s="807"/>
      <c r="J9" s="254" t="str">
        <f>IF(AND('Mapa R. Fiscal'!$Y$28="Muy Alta",'Mapa R. Fiscal'!$AA$28="Leve"),CONCATENATE("R4C",'Mapa R. Fiscal'!$O$28),"")</f>
        <v/>
      </c>
      <c r="K9" s="255" t="str">
        <f>IF(AND('Mapa R. Fiscal'!$Y$29="Muy Alta",'Mapa R. Fiscal'!$AA$29="Leve"),CONCATENATE("R4C",'Mapa R. Fiscal'!$O$29),"")</f>
        <v/>
      </c>
      <c r="L9" s="255" t="str">
        <f>IF(AND('Mapa R. Fiscal'!$Y$30="Muy Alta",'Mapa R. Fiscal'!$AA$30="Leve"),CONCATENATE("R4C",'Mapa R. Fiscal'!$O$30),"")</f>
        <v/>
      </c>
      <c r="M9" s="255" t="str">
        <f>IF(AND('Mapa R. Fiscal'!$Y$31="Muy Alta",'Mapa R. Fiscal'!$AA$31="Leve"),CONCATENATE("R4C",'Mapa R. Fiscal'!$O$31),"")</f>
        <v/>
      </c>
      <c r="N9" s="255" t="str">
        <f>IF(AND('Mapa R. Fiscal'!$Y$32="Muy Alta",'Mapa R. Fiscal'!$AA$32="Leve"),CONCATENATE("R4C",'Mapa R. Fiscal'!$O$32),"")</f>
        <v/>
      </c>
      <c r="O9" s="256" t="str">
        <f>IF(AND('Mapa R. Fiscal'!$Y$33="Muy Alta",'Mapa R. Fiscal'!$AA$33="Leve"),CONCATENATE("R4C",'Mapa R. Fiscal'!$O$33),"")</f>
        <v/>
      </c>
      <c r="P9" s="254" t="str">
        <f>IF(AND('Mapa R. Fiscal'!$Y$28="Muy Alta",'Mapa R. Fiscal'!$AA$28="Menor"),CONCATENATE("R4C",'Mapa R. Fiscal'!$O$28),"")</f>
        <v/>
      </c>
      <c r="Q9" s="255" t="str">
        <f>IF(AND('Mapa R. Fiscal'!$Y$29="Muy Alta",'Mapa R. Fiscal'!$AA$29="Menor"),CONCATENATE("R4C",'Mapa R. Fiscal'!$O$29),"")</f>
        <v/>
      </c>
      <c r="R9" s="255" t="str">
        <f>IF(AND('Mapa R. Fiscal'!$Y$30="Muy Alta",'Mapa R. Fiscal'!$AA$30="Menor"),CONCATENATE("R4C",'Mapa R. Fiscal'!$O$30),"")</f>
        <v/>
      </c>
      <c r="S9" s="255" t="str">
        <f>IF(AND('Mapa R. Fiscal'!$Y$31="Muy Alta",'Mapa R. Fiscal'!$AA$31="Menor"),CONCATENATE("R4C",'Mapa R. Fiscal'!$O$31),"")</f>
        <v/>
      </c>
      <c r="T9" s="255" t="str">
        <f>IF(AND('Mapa R. Fiscal'!$Y$32="Muy Alta",'Mapa R. Fiscal'!$AA$32="Menor"),CONCATENATE("R4C",'Mapa R. Fiscal'!$O$32),"")</f>
        <v/>
      </c>
      <c r="U9" s="256" t="str">
        <f>IF(AND('Mapa R. Fiscal'!$Y$33="Muy Alta",'Mapa R. Fiscal'!$AA$33="Menor"),CONCATENATE("R4C",'Mapa R. Fiscal'!$O$33),"")</f>
        <v/>
      </c>
      <c r="V9" s="254" t="str">
        <f>IF(AND('Mapa R. Fiscal'!$Y$28="Muy Alta",'Mapa R. Fiscal'!$AA$28="Moderado"),CONCATENATE("R4C",'Mapa R. Fiscal'!$O$28),"")</f>
        <v/>
      </c>
      <c r="W9" s="255" t="str">
        <f>IF(AND('Mapa R. Fiscal'!$Y$29="Muy Alta",'Mapa R. Fiscal'!$AA$29="Moderado"),CONCATENATE("R4C",'Mapa R. Fiscal'!$O$29),"")</f>
        <v/>
      </c>
      <c r="X9" s="255" t="str">
        <f>IF(AND('Mapa R. Fiscal'!$Y$30="Muy Alta",'Mapa R. Fiscal'!$AA$30="Moderado"),CONCATENATE("R4C",'Mapa R. Fiscal'!$O$30),"")</f>
        <v/>
      </c>
      <c r="Y9" s="255" t="str">
        <f>IF(AND('Mapa R. Fiscal'!$Y$31="Muy Alta",'Mapa R. Fiscal'!$AA$31="Moderado"),CONCATENATE("R4C",'Mapa R. Fiscal'!$O$31),"")</f>
        <v/>
      </c>
      <c r="Z9" s="255" t="str">
        <f>IF(AND('Mapa R. Fiscal'!$Y$32="Muy Alta",'Mapa R. Fiscal'!$AA$32="Moderado"),CONCATENATE("R4C",'Mapa R. Fiscal'!$O$32),"")</f>
        <v/>
      </c>
      <c r="AA9" s="256" t="str">
        <f>IF(AND('Mapa R. Fiscal'!$Y$33="Muy Alta",'Mapa R. Fiscal'!$AA$33="Moderado"),CONCATENATE("R4C",'Mapa R. Fiscal'!$O$33),"")</f>
        <v/>
      </c>
      <c r="AB9" s="254" t="str">
        <f>IF(AND('Mapa R. Fiscal'!$Y$28="Muy Alta",'Mapa R. Fiscal'!$AA$28="Mayor"),CONCATENATE("R4C",'Mapa R. Fiscal'!$O$28),"")</f>
        <v/>
      </c>
      <c r="AC9" s="255" t="str">
        <f>IF(AND('Mapa R. Fiscal'!$Y$29="Muy Alta",'Mapa R. Fiscal'!$AA$29="Mayor"),CONCATENATE("R4C",'Mapa R. Fiscal'!$O$29),"")</f>
        <v/>
      </c>
      <c r="AD9" s="255" t="str">
        <f>IF(AND('Mapa R. Fiscal'!$Y$30="Muy Alta",'Mapa R. Fiscal'!$AA$30="Mayor"),CONCATENATE("R4C",'Mapa R. Fiscal'!$O$30),"")</f>
        <v/>
      </c>
      <c r="AE9" s="255" t="str">
        <f>IF(AND('Mapa R. Fiscal'!$Y$31="Muy Alta",'Mapa R. Fiscal'!$AA$31="Mayor"),CONCATENATE("R4C",'Mapa R. Fiscal'!$O$31),"")</f>
        <v/>
      </c>
      <c r="AF9" s="255" t="str">
        <f>IF(AND('Mapa R. Fiscal'!$Y$32="Muy Alta",'Mapa R. Fiscal'!$AA$32="Mayor"),CONCATENATE("R4C",'Mapa R. Fiscal'!$O$32),"")</f>
        <v/>
      </c>
      <c r="AG9" s="256" t="str">
        <f>IF(AND('Mapa R. Fiscal'!$Y$33="Muy Alta",'Mapa R. Fiscal'!$AA$33="Mayor"),CONCATENATE("R4C",'Mapa R. Fiscal'!$O$33),"")</f>
        <v/>
      </c>
      <c r="AH9" s="257" t="str">
        <f>IF(AND('Mapa R. Fiscal'!$Y$28="Muy Alta",'Mapa R. Fiscal'!$AA$28="Catastrófico"),CONCATENATE("R4C",'Mapa R. Fiscal'!$O$28),"")</f>
        <v/>
      </c>
      <c r="AI9" s="258" t="str">
        <f>IF(AND('Mapa R. Fiscal'!$Y$29="Muy Alta",'Mapa R. Fiscal'!$AA$29="Catastrófico"),CONCATENATE("R4C",'Mapa R. Fiscal'!$O$29),"")</f>
        <v/>
      </c>
      <c r="AJ9" s="258" t="str">
        <f>IF(AND('Mapa R. Fiscal'!$Y$30="Muy Alta",'Mapa R. Fiscal'!$AA$30="Catastrófico"),CONCATENATE("R4C",'Mapa R. Fiscal'!$O$30),"")</f>
        <v/>
      </c>
      <c r="AK9" s="258" t="str">
        <f>IF(AND('Mapa R. Fiscal'!$Y$31="Muy Alta",'Mapa R. Fiscal'!$AA$31="Catastrófico"),CONCATENATE("R4C",'Mapa R. Fiscal'!$O$31),"")</f>
        <v/>
      </c>
      <c r="AL9" s="258" t="str">
        <f>IF(AND('Mapa R. Fiscal'!$Y$32="Muy Alta",'Mapa R. Fiscal'!$AA$32="Catastrófico"),CONCATENATE("R4C",'Mapa R. Fiscal'!$O$32),"")</f>
        <v/>
      </c>
      <c r="AM9" s="259" t="str">
        <f>IF(AND('Mapa R. Fiscal'!$Y$33="Muy Alta",'Mapa R. Fiscal'!$AA$33="Catastrófico"),CONCATENATE("R4C",'Mapa R. Fiscal'!$O$33),"")</f>
        <v/>
      </c>
      <c r="AN9" s="15"/>
      <c r="AO9" s="814"/>
      <c r="AP9" s="815"/>
      <c r="AQ9" s="815"/>
      <c r="AR9" s="815"/>
      <c r="AS9" s="815"/>
      <c r="AT9" s="8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6"/>
      <c r="C10" s="716"/>
      <c r="D10" s="717"/>
      <c r="E10" s="805"/>
      <c r="F10" s="806"/>
      <c r="G10" s="806"/>
      <c r="H10" s="806"/>
      <c r="I10" s="807"/>
      <c r="J10" s="254" t="str">
        <f>IF(AND('Mapa R. Fiscal'!$Y$34="Muy Alta",'Mapa R. Fiscal'!$AA$34="Leve"),CONCATENATE("R5C",'Mapa R. Fiscal'!$O$34),"")</f>
        <v/>
      </c>
      <c r="K10" s="255" t="str">
        <f>IF(AND('Mapa R. Fiscal'!$Y$35="Muy Alta",'Mapa R. Fiscal'!$AA$35="Leve"),CONCATENATE("R5C",'Mapa R. Fiscal'!$O$35),"")</f>
        <v/>
      </c>
      <c r="L10" s="255" t="str">
        <f>IF(AND('Mapa R. Fiscal'!$Y$36="Muy Alta",'Mapa R. Fiscal'!$AA$36="Leve"),CONCATENATE("R5C",'Mapa R. Fiscal'!$O$36),"")</f>
        <v/>
      </c>
      <c r="M10" s="255" t="str">
        <f>IF(AND('Mapa R. Fiscal'!$Y$37="Muy Alta",'Mapa R. Fiscal'!$AA$37="Leve"),CONCATENATE("R5C",'Mapa R. Fiscal'!$O$37),"")</f>
        <v/>
      </c>
      <c r="N10" s="255" t="str">
        <f>IF(AND('Mapa R. Fiscal'!$Y$38="Muy Alta",'Mapa R. Fiscal'!$AA$38="Leve"),CONCATENATE("R5C",'Mapa R. Fiscal'!$O$38),"")</f>
        <v/>
      </c>
      <c r="O10" s="256" t="str">
        <f>IF(AND('Mapa R. Fiscal'!$Y$39="Muy Alta",'Mapa R. Fiscal'!$AA$39="Leve"),CONCATENATE("R5C",'Mapa R. Fiscal'!$O$39),"")</f>
        <v/>
      </c>
      <c r="P10" s="254" t="str">
        <f>IF(AND('Mapa R. Fiscal'!$Y$34="Muy Alta",'Mapa R. Fiscal'!$AA$34="Menor"),CONCATENATE("R5C",'Mapa R. Fiscal'!$O$34),"")</f>
        <v/>
      </c>
      <c r="Q10" s="255" t="str">
        <f>IF(AND('Mapa R. Fiscal'!$Y$35="Muy Alta",'Mapa R. Fiscal'!$AA$35="Menor"),CONCATENATE("R5C",'Mapa R. Fiscal'!$O$35),"")</f>
        <v/>
      </c>
      <c r="R10" s="255" t="str">
        <f>IF(AND('Mapa R. Fiscal'!$Y$36="Muy Alta",'Mapa R. Fiscal'!$AA$36="Menor"),CONCATENATE("R5C",'Mapa R. Fiscal'!$O$36),"")</f>
        <v/>
      </c>
      <c r="S10" s="255" t="str">
        <f>IF(AND('Mapa R. Fiscal'!$Y$37="Muy Alta",'Mapa R. Fiscal'!$AA$37="Menor"),CONCATENATE("R5C",'Mapa R. Fiscal'!$O$37),"")</f>
        <v/>
      </c>
      <c r="T10" s="255" t="str">
        <f>IF(AND('Mapa R. Fiscal'!$Y$38="Muy Alta",'Mapa R. Fiscal'!$AA$38="Menor"),CONCATENATE("R5C",'Mapa R. Fiscal'!$O$38),"")</f>
        <v/>
      </c>
      <c r="U10" s="256" t="str">
        <f>IF(AND('Mapa R. Fiscal'!$Y$39="Muy Alta",'Mapa R. Fiscal'!$AA$39="Menor"),CONCATENATE("R5C",'Mapa R. Fiscal'!$O$39),"")</f>
        <v/>
      </c>
      <c r="V10" s="254" t="str">
        <f>IF(AND('Mapa R. Fiscal'!$Y$34="Muy Alta",'Mapa R. Fiscal'!$AA$34="Moderado"),CONCATENATE("R5C",'Mapa R. Fiscal'!$O$34),"")</f>
        <v/>
      </c>
      <c r="W10" s="255" t="str">
        <f>IF(AND('Mapa R. Fiscal'!$Y$35="Muy Alta",'Mapa R. Fiscal'!$AA$35="Moderado"),CONCATENATE("R5C",'Mapa R. Fiscal'!$O$35),"")</f>
        <v/>
      </c>
      <c r="X10" s="255" t="str">
        <f>IF(AND('Mapa R. Fiscal'!$Y$36="Muy Alta",'Mapa R. Fiscal'!$AA$36="Moderado"),CONCATENATE("R5C",'Mapa R. Fiscal'!$O$36),"")</f>
        <v/>
      </c>
      <c r="Y10" s="255" t="str">
        <f>IF(AND('Mapa R. Fiscal'!$Y$37="Muy Alta",'Mapa R. Fiscal'!$AA$37="Moderado"),CONCATENATE("R5C",'Mapa R. Fiscal'!$O$37),"")</f>
        <v/>
      </c>
      <c r="Z10" s="255" t="str">
        <f>IF(AND('Mapa R. Fiscal'!$Y$38="Muy Alta",'Mapa R. Fiscal'!$AA$38="Moderado"),CONCATENATE("R5C",'Mapa R. Fiscal'!$O$38),"")</f>
        <v/>
      </c>
      <c r="AA10" s="256" t="str">
        <f>IF(AND('Mapa R. Fiscal'!$Y$39="Muy Alta",'Mapa R. Fiscal'!$AA$39="Moderado"),CONCATENATE("R5C",'Mapa R. Fiscal'!$O$39),"")</f>
        <v/>
      </c>
      <c r="AB10" s="254" t="str">
        <f>IF(AND('Mapa R. Fiscal'!$Y$34="Muy Alta",'Mapa R. Fiscal'!$AA$34="Mayor"),CONCATENATE("R5C",'Mapa R. Fiscal'!$O$34),"")</f>
        <v/>
      </c>
      <c r="AC10" s="255" t="str">
        <f>IF(AND('Mapa R. Fiscal'!$Y$35="Muy Alta",'Mapa R. Fiscal'!$AA$35="Mayor"),CONCATENATE("R5C",'Mapa R. Fiscal'!$O$35),"")</f>
        <v/>
      </c>
      <c r="AD10" s="255" t="str">
        <f>IF(AND('Mapa R. Fiscal'!$Y$36="Muy Alta",'Mapa R. Fiscal'!$AA$36="Mayor"),CONCATENATE("R5C",'Mapa R. Fiscal'!$O$36),"")</f>
        <v/>
      </c>
      <c r="AE10" s="255" t="str">
        <f>IF(AND('Mapa R. Fiscal'!$Y$37="Muy Alta",'Mapa R. Fiscal'!$AA$37="Mayor"),CONCATENATE("R5C",'Mapa R. Fiscal'!$O$37),"")</f>
        <v/>
      </c>
      <c r="AF10" s="255" t="str">
        <f>IF(AND('Mapa R. Fiscal'!$Y$38="Muy Alta",'Mapa R. Fiscal'!$AA$38="Mayor"),CONCATENATE("R5C",'Mapa R. Fiscal'!$O$38),"")</f>
        <v/>
      </c>
      <c r="AG10" s="256" t="str">
        <f>IF(AND('Mapa R. Fiscal'!$Y$39="Muy Alta",'Mapa R. Fiscal'!$AA$39="Mayor"),CONCATENATE("R5C",'Mapa R. Fiscal'!$O$39),"")</f>
        <v/>
      </c>
      <c r="AH10" s="257" t="str">
        <f>IF(AND('Mapa R. Fiscal'!$Y$34="Muy Alta",'Mapa R. Fiscal'!$AA$34="Catastrófico"),CONCATENATE("R5C",'Mapa R. Fiscal'!$O$34),"")</f>
        <v/>
      </c>
      <c r="AI10" s="258" t="str">
        <f>IF(AND('Mapa R. Fiscal'!$Y$35="Muy Alta",'Mapa R. Fiscal'!$AA$35="Catastrófico"),CONCATENATE("R5C",'Mapa R. Fiscal'!$O$35),"")</f>
        <v/>
      </c>
      <c r="AJ10" s="258" t="str">
        <f>IF(AND('Mapa R. Fiscal'!$Y$36="Muy Alta",'Mapa R. Fiscal'!$AA$36="Catastrófico"),CONCATENATE("R5C",'Mapa R. Fiscal'!$O$36),"")</f>
        <v/>
      </c>
      <c r="AK10" s="258" t="str">
        <f>IF(AND('Mapa R. Fiscal'!$Y$37="Muy Alta",'Mapa R. Fiscal'!$AA$37="Catastrófico"),CONCATENATE("R5C",'Mapa R. Fiscal'!$O$37),"")</f>
        <v/>
      </c>
      <c r="AL10" s="258" t="str">
        <f>IF(AND('Mapa R. Fiscal'!$Y$38="Muy Alta",'Mapa R. Fiscal'!$AA$38="Catastrófico"),CONCATENATE("R5C",'Mapa R. Fiscal'!$O$38),"")</f>
        <v/>
      </c>
      <c r="AM10" s="259" t="str">
        <f>IF(AND('Mapa R. Fiscal'!$Y$39="Muy Alta",'Mapa R. Fiscal'!$AA$39="Catastrófico"),CONCATENATE("R5C",'Mapa R. Fiscal'!$O$39),"")</f>
        <v/>
      </c>
      <c r="AN10" s="15"/>
      <c r="AO10" s="814"/>
      <c r="AP10" s="815"/>
      <c r="AQ10" s="815"/>
      <c r="AR10" s="815"/>
      <c r="AS10" s="815"/>
      <c r="AT10" s="8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6"/>
      <c r="C11" s="716"/>
      <c r="D11" s="717"/>
      <c r="E11" s="805"/>
      <c r="F11" s="806"/>
      <c r="G11" s="806"/>
      <c r="H11" s="806"/>
      <c r="I11" s="807"/>
      <c r="J11" s="254" t="str">
        <f>IF(AND('Mapa R. Fiscal'!$Y$40="Muy Alta",'Mapa R. Fiscal'!$AA$40="Leve"),CONCATENATE("R6C",'Mapa R. Fiscal'!$O$40),"")</f>
        <v/>
      </c>
      <c r="K11" s="255" t="str">
        <f>IF(AND('Mapa R. Fiscal'!$Y$41="Muy Alta",'Mapa R. Fiscal'!$AA$41="Leve"),CONCATENATE("R6C",'Mapa R. Fiscal'!$O$41),"")</f>
        <v/>
      </c>
      <c r="L11" s="255" t="str">
        <f>IF(AND('Mapa R. Fiscal'!$Y$42="Muy Alta",'Mapa R. Fiscal'!$AA$42="Leve"),CONCATENATE("R6C",'Mapa R. Fiscal'!$O$42),"")</f>
        <v/>
      </c>
      <c r="M11" s="255" t="str">
        <f>IF(AND('Mapa R. Fiscal'!$Y$43="Muy Alta",'Mapa R. Fiscal'!$AA$43="Leve"),CONCATENATE("R6C",'Mapa R. Fiscal'!$O$43),"")</f>
        <v/>
      </c>
      <c r="N11" s="255" t="str">
        <f>IF(AND('Mapa R. Fiscal'!$Y$44="Muy Alta",'Mapa R. Fiscal'!$AA$44="Leve"),CONCATENATE("R6C",'Mapa R. Fiscal'!$O$44),"")</f>
        <v/>
      </c>
      <c r="O11" s="256" t="str">
        <f>IF(AND('Mapa R. Fiscal'!$Y$45="Muy Alta",'Mapa R. Fiscal'!$AA$45="Leve"),CONCATENATE("R6C",'Mapa R. Fiscal'!$O$45),"")</f>
        <v/>
      </c>
      <c r="P11" s="254" t="str">
        <f>IF(AND('Mapa R. Fiscal'!$Y$40="Muy Alta",'Mapa R. Fiscal'!$AA$40="Menor"),CONCATENATE("R6C",'Mapa R. Fiscal'!$O$40),"")</f>
        <v/>
      </c>
      <c r="Q11" s="255" t="str">
        <f>IF(AND('Mapa R. Fiscal'!$Y$41="Muy Alta",'Mapa R. Fiscal'!$AA$41="Menor"),CONCATENATE("R6C",'Mapa R. Fiscal'!$O$41),"")</f>
        <v/>
      </c>
      <c r="R11" s="255" t="str">
        <f>IF(AND('Mapa R. Fiscal'!$Y$42="Muy Alta",'Mapa R. Fiscal'!$AA$42="Menor"),CONCATENATE("R6C",'Mapa R. Fiscal'!$O$42),"")</f>
        <v/>
      </c>
      <c r="S11" s="255" t="str">
        <f>IF(AND('Mapa R. Fiscal'!$Y$43="Muy Alta",'Mapa R. Fiscal'!$AA$43="Menor"),CONCATENATE("R6C",'Mapa R. Fiscal'!$O$43),"")</f>
        <v/>
      </c>
      <c r="T11" s="255" t="str">
        <f>IF(AND('Mapa R. Fiscal'!$Y$44="Muy Alta",'Mapa R. Fiscal'!$AA$44="Menor"),CONCATENATE("R6C",'Mapa R. Fiscal'!$O$44),"")</f>
        <v/>
      </c>
      <c r="U11" s="256" t="str">
        <f>IF(AND('Mapa R. Fiscal'!$Y$45="Muy Alta",'Mapa R. Fiscal'!$AA$45="Menor"),CONCATENATE("R6C",'Mapa R. Fiscal'!$O$45),"")</f>
        <v/>
      </c>
      <c r="V11" s="254" t="str">
        <f>IF(AND('Mapa R. Fiscal'!$Y$40="Muy Alta",'Mapa R. Fiscal'!$AA$40="Moderado"),CONCATENATE("R6C",'Mapa R. Fiscal'!$O$40),"")</f>
        <v/>
      </c>
      <c r="W11" s="255" t="str">
        <f>IF(AND('Mapa R. Fiscal'!$Y$41="Muy Alta",'Mapa R. Fiscal'!$AA$41="Moderado"),CONCATENATE("R6C",'Mapa R. Fiscal'!$O$41),"")</f>
        <v/>
      </c>
      <c r="X11" s="255" t="str">
        <f>IF(AND('Mapa R. Fiscal'!$Y$42="Muy Alta",'Mapa R. Fiscal'!$AA$42="Moderado"),CONCATENATE("R6C",'Mapa R. Fiscal'!$O$42),"")</f>
        <v/>
      </c>
      <c r="Y11" s="255" t="str">
        <f>IF(AND('Mapa R. Fiscal'!$Y$43="Muy Alta",'Mapa R. Fiscal'!$AA$43="Moderado"),CONCATENATE("R6C",'Mapa R. Fiscal'!$O$43),"")</f>
        <v/>
      </c>
      <c r="Z11" s="255" t="str">
        <f>IF(AND('Mapa R. Fiscal'!$Y$44="Muy Alta",'Mapa R. Fiscal'!$AA$44="Moderado"),CONCATENATE("R6C",'Mapa R. Fiscal'!$O$44),"")</f>
        <v/>
      </c>
      <c r="AA11" s="256" t="str">
        <f>IF(AND('Mapa R. Fiscal'!$Y$45="Muy Alta",'Mapa R. Fiscal'!$AA$45="Moderado"),CONCATENATE("R6C",'Mapa R. Fiscal'!$O$45),"")</f>
        <v/>
      </c>
      <c r="AB11" s="254" t="str">
        <f>IF(AND('Mapa R. Fiscal'!$Y$40="Muy Alta",'Mapa R. Fiscal'!$AA$40="Mayor"),CONCATENATE("R6C",'Mapa R. Fiscal'!$O$40),"")</f>
        <v/>
      </c>
      <c r="AC11" s="255" t="str">
        <f>IF(AND('Mapa R. Fiscal'!$Y$41="Muy Alta",'Mapa R. Fiscal'!$AA$41="Mayor"),CONCATENATE("R6C",'Mapa R. Fiscal'!$O$41),"")</f>
        <v/>
      </c>
      <c r="AD11" s="255" t="str">
        <f>IF(AND('Mapa R. Fiscal'!$Y$42="Muy Alta",'Mapa R. Fiscal'!$AA$42="Mayor"),CONCATENATE("R6C",'Mapa R. Fiscal'!$O$42),"")</f>
        <v/>
      </c>
      <c r="AE11" s="255" t="str">
        <f>IF(AND('Mapa R. Fiscal'!$Y$43="Muy Alta",'Mapa R. Fiscal'!$AA$43="Mayor"),CONCATENATE("R6C",'Mapa R. Fiscal'!$O$43),"")</f>
        <v/>
      </c>
      <c r="AF11" s="255" t="str">
        <f>IF(AND('Mapa R. Fiscal'!$Y$44="Muy Alta",'Mapa R. Fiscal'!$AA$44="Mayor"),CONCATENATE("R6C",'Mapa R. Fiscal'!$O$44),"")</f>
        <v/>
      </c>
      <c r="AG11" s="256" t="str">
        <f>IF(AND('Mapa R. Fiscal'!$Y$45="Muy Alta",'Mapa R. Fiscal'!$AA$45="Mayor"),CONCATENATE("R6C",'Mapa R. Fiscal'!$O$45),"")</f>
        <v/>
      </c>
      <c r="AH11" s="257" t="str">
        <f>IF(AND('Mapa R. Fiscal'!$Y$40="Muy Alta",'Mapa R. Fiscal'!$AA$40="Catastrófico"),CONCATENATE("R6C",'Mapa R. Fiscal'!$O$40),"")</f>
        <v/>
      </c>
      <c r="AI11" s="258" t="str">
        <f>IF(AND('Mapa R. Fiscal'!$Y$41="Muy Alta",'Mapa R. Fiscal'!$AA$41="Catastrófico"),CONCATENATE("R6C",'Mapa R. Fiscal'!$O$41),"")</f>
        <v/>
      </c>
      <c r="AJ11" s="258" t="str">
        <f>IF(AND('Mapa R. Fiscal'!$Y$42="Muy Alta",'Mapa R. Fiscal'!$AA$42="Catastrófico"),CONCATENATE("R6C",'Mapa R. Fiscal'!$O$42),"")</f>
        <v/>
      </c>
      <c r="AK11" s="258" t="str">
        <f>IF(AND('Mapa R. Fiscal'!$Y$43="Muy Alta",'Mapa R. Fiscal'!$AA$43="Catastrófico"),CONCATENATE("R6C",'Mapa R. Fiscal'!$O$43),"")</f>
        <v/>
      </c>
      <c r="AL11" s="258" t="str">
        <f>IF(AND('Mapa R. Fiscal'!$Y$44="Muy Alta",'Mapa R. Fiscal'!$AA$44="Catastrófico"),CONCATENATE("R6C",'Mapa R. Fiscal'!$O$44),"")</f>
        <v/>
      </c>
      <c r="AM11" s="259" t="str">
        <f>IF(AND('Mapa R. Fiscal'!$Y$45="Muy Alta",'Mapa R. Fiscal'!$AA$45="Catastrófico"),CONCATENATE("R6C",'Mapa R. Fiscal'!$O$45),"")</f>
        <v/>
      </c>
      <c r="AN11" s="15"/>
      <c r="AO11" s="814"/>
      <c r="AP11" s="815"/>
      <c r="AQ11" s="815"/>
      <c r="AR11" s="815"/>
      <c r="AS11" s="815"/>
      <c r="AT11" s="8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6"/>
      <c r="C12" s="716"/>
      <c r="D12" s="717"/>
      <c r="E12" s="805"/>
      <c r="F12" s="806"/>
      <c r="G12" s="806"/>
      <c r="H12" s="806"/>
      <c r="I12" s="807"/>
      <c r="J12" s="254" t="str">
        <f>IF(AND('Mapa R. Fiscal'!$Y$46="Muy Alta",'Mapa R. Fiscal'!$AA$46="Leve"),CONCATENATE("R7C",'Mapa R. Fiscal'!$O$46),"")</f>
        <v/>
      </c>
      <c r="K12" s="255" t="str">
        <f>IF(AND('Mapa R. Fiscal'!$Y$47="Muy Alta",'Mapa R. Fiscal'!$AA$47="Leve"),CONCATENATE("R7C",'Mapa R. Fiscal'!$O$47),"")</f>
        <v/>
      </c>
      <c r="L12" s="255" t="str">
        <f>IF(AND('Mapa R. Fiscal'!$Y$48="Muy Alta",'Mapa R. Fiscal'!$AA$48="Leve"),CONCATENATE("R7C",'Mapa R. Fiscal'!$O$48),"")</f>
        <v/>
      </c>
      <c r="M12" s="255" t="str">
        <f>IF(AND('Mapa R. Fiscal'!$Y$49="Muy Alta",'Mapa R. Fiscal'!$AA$49="Leve"),CONCATENATE("R7C",'Mapa R. Fiscal'!$O$49),"")</f>
        <v/>
      </c>
      <c r="N12" s="255" t="str">
        <f>IF(AND('Mapa R. Fiscal'!$Y$50="Muy Alta",'Mapa R. Fiscal'!$AA$50="Leve"),CONCATENATE("R7C",'Mapa R. Fiscal'!$O$50),"")</f>
        <v/>
      </c>
      <c r="O12" s="256" t="str">
        <f>IF(AND('Mapa R. Fiscal'!$Y$51="Muy Alta",'Mapa R. Fiscal'!$AA$51="Leve"),CONCATENATE("R7C",'Mapa R. Fiscal'!$O$51),"")</f>
        <v/>
      </c>
      <c r="P12" s="254" t="str">
        <f>IF(AND('Mapa R. Fiscal'!$Y$46="Muy Alta",'Mapa R. Fiscal'!$AA$46="Menor"),CONCATENATE("R7C",'Mapa R. Fiscal'!$O$46),"")</f>
        <v/>
      </c>
      <c r="Q12" s="255" t="str">
        <f>IF(AND('Mapa R. Fiscal'!$Y$47="Muy Alta",'Mapa R. Fiscal'!$AA$47="Menor"),CONCATENATE("R7C",'Mapa R. Fiscal'!$O$47),"")</f>
        <v/>
      </c>
      <c r="R12" s="255" t="str">
        <f>IF(AND('Mapa R. Fiscal'!$Y$48="Muy Alta",'Mapa R. Fiscal'!$AA$48="Menor"),CONCATENATE("R7C",'Mapa R. Fiscal'!$O$48),"")</f>
        <v/>
      </c>
      <c r="S12" s="255" t="str">
        <f>IF(AND('Mapa R. Fiscal'!$Y$49="Muy Alta",'Mapa R. Fiscal'!$AA$49="Menor"),CONCATENATE("R7C",'Mapa R. Fiscal'!$O$49),"")</f>
        <v/>
      </c>
      <c r="T12" s="255" t="str">
        <f>IF(AND('Mapa R. Fiscal'!$Y$50="Muy Alta",'Mapa R. Fiscal'!$AA$50="Menor"),CONCATENATE("R7C",'Mapa R. Fiscal'!$O$50),"")</f>
        <v/>
      </c>
      <c r="U12" s="256" t="str">
        <f>IF(AND('Mapa R. Fiscal'!$Y$51="Muy Alta",'Mapa R. Fiscal'!$AA$51="Menor"),CONCATENATE("R7C",'Mapa R. Fiscal'!$O$51),"")</f>
        <v/>
      </c>
      <c r="V12" s="254" t="str">
        <f>IF(AND('Mapa R. Fiscal'!$Y$46="Muy Alta",'Mapa R. Fiscal'!$AA$46="Moderado"),CONCATENATE("R7C",'Mapa R. Fiscal'!$O$46),"")</f>
        <v/>
      </c>
      <c r="W12" s="255" t="str">
        <f>IF(AND('Mapa R. Fiscal'!$Y$47="Muy Alta",'Mapa R. Fiscal'!$AA$47="Moderado"),CONCATENATE("R7C",'Mapa R. Fiscal'!$O$47),"")</f>
        <v/>
      </c>
      <c r="X12" s="255" t="str">
        <f>IF(AND('Mapa R. Fiscal'!$Y$48="Muy Alta",'Mapa R. Fiscal'!$AA$48="Moderado"),CONCATENATE("R7C",'Mapa R. Fiscal'!$O$48),"")</f>
        <v/>
      </c>
      <c r="Y12" s="255" t="str">
        <f>IF(AND('Mapa R. Fiscal'!$Y$49="Muy Alta",'Mapa R. Fiscal'!$AA$49="Moderado"),CONCATENATE("R7C",'Mapa R. Fiscal'!$O$49),"")</f>
        <v/>
      </c>
      <c r="Z12" s="255" t="str">
        <f>IF(AND('Mapa R. Fiscal'!$Y$50="Muy Alta",'Mapa R. Fiscal'!$AA$50="Moderado"),CONCATENATE("R7C",'Mapa R. Fiscal'!$O$50),"")</f>
        <v/>
      </c>
      <c r="AA12" s="256" t="str">
        <f>IF(AND('Mapa R. Fiscal'!$Y$51="Muy Alta",'Mapa R. Fiscal'!$AA$51="Moderado"),CONCATENATE("R7C",'Mapa R. Fiscal'!$O$51),"")</f>
        <v/>
      </c>
      <c r="AB12" s="254" t="str">
        <f>IF(AND('Mapa R. Fiscal'!$Y$46="Muy Alta",'Mapa R. Fiscal'!$AA$46="Mayor"),CONCATENATE("R7C",'Mapa R. Fiscal'!$O$46),"")</f>
        <v/>
      </c>
      <c r="AC12" s="255" t="str">
        <f>IF(AND('Mapa R. Fiscal'!$Y$47="Muy Alta",'Mapa R. Fiscal'!$AA$47="Mayor"),CONCATENATE("R7C",'Mapa R. Fiscal'!$O$47),"")</f>
        <v/>
      </c>
      <c r="AD12" s="255" t="str">
        <f>IF(AND('Mapa R. Fiscal'!$Y$48="Muy Alta",'Mapa R. Fiscal'!$AA$48="Mayor"),CONCATENATE("R7C",'Mapa R. Fiscal'!$O$48),"")</f>
        <v/>
      </c>
      <c r="AE12" s="255" t="str">
        <f>IF(AND('Mapa R. Fiscal'!$Y$49="Muy Alta",'Mapa R. Fiscal'!$AA$49="Mayor"),CONCATENATE("R7C",'Mapa R. Fiscal'!$O$49),"")</f>
        <v/>
      </c>
      <c r="AF12" s="255" t="str">
        <f>IF(AND('Mapa R. Fiscal'!$Y$50="Muy Alta",'Mapa R. Fiscal'!$AA$50="Mayor"),CONCATENATE("R7C",'Mapa R. Fiscal'!$O$50),"")</f>
        <v/>
      </c>
      <c r="AG12" s="256" t="str">
        <f>IF(AND('Mapa R. Fiscal'!$Y$51="Muy Alta",'Mapa R. Fiscal'!$AA$51="Mayor"),CONCATENATE("R7C",'Mapa R. Fiscal'!$O$51),"")</f>
        <v/>
      </c>
      <c r="AH12" s="257" t="str">
        <f>IF(AND('Mapa R. Fiscal'!$Y$46="Muy Alta",'Mapa R. Fiscal'!$AA$46="Catastrófico"),CONCATENATE("R7C",'Mapa R. Fiscal'!$O$46),"")</f>
        <v/>
      </c>
      <c r="AI12" s="258" t="str">
        <f>IF(AND('Mapa R. Fiscal'!$Y$47="Muy Alta",'Mapa R. Fiscal'!$AA$47="Catastrófico"),CONCATENATE("R7C",'Mapa R. Fiscal'!$O$47),"")</f>
        <v/>
      </c>
      <c r="AJ12" s="258" t="str">
        <f>IF(AND('Mapa R. Fiscal'!$Y$48="Muy Alta",'Mapa R. Fiscal'!$AA$48="Catastrófico"),CONCATENATE("R7C",'Mapa R. Fiscal'!$O$48),"")</f>
        <v/>
      </c>
      <c r="AK12" s="258" t="str">
        <f>IF(AND('Mapa R. Fiscal'!$Y$49="Muy Alta",'Mapa R. Fiscal'!$AA$49="Catastrófico"),CONCATENATE("R7C",'Mapa R. Fiscal'!$O$49),"")</f>
        <v/>
      </c>
      <c r="AL12" s="258" t="str">
        <f>IF(AND('Mapa R. Fiscal'!$Y$50="Muy Alta",'Mapa R. Fiscal'!$AA$50="Catastrófico"),CONCATENATE("R7C",'Mapa R. Fiscal'!$O$50),"")</f>
        <v/>
      </c>
      <c r="AM12" s="259" t="str">
        <f>IF(AND('Mapa R. Fiscal'!$Y$51="Muy Alta",'Mapa R. Fiscal'!$AA$51="Catastrófico"),CONCATENATE("R7C",'Mapa R. Fiscal'!$O$51),"")</f>
        <v/>
      </c>
      <c r="AN12" s="15"/>
      <c r="AO12" s="814"/>
      <c r="AP12" s="815"/>
      <c r="AQ12" s="815"/>
      <c r="AR12" s="815"/>
      <c r="AS12" s="815"/>
      <c r="AT12" s="8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6"/>
      <c r="C13" s="716"/>
      <c r="D13" s="717"/>
      <c r="E13" s="805"/>
      <c r="F13" s="806"/>
      <c r="G13" s="806"/>
      <c r="H13" s="806"/>
      <c r="I13" s="807"/>
      <c r="J13" s="254" t="str">
        <f>IF(AND('Mapa R. Fiscal'!$Y$52="Muy Alta",'Mapa R. Fiscal'!$AA$52="Leve"),CONCATENATE("R8C",'Mapa R. Fiscal'!$O$52),"")</f>
        <v/>
      </c>
      <c r="K13" s="255" t="str">
        <f>IF(AND('Mapa R. Fiscal'!$Y$53="Muy Alta",'Mapa R. Fiscal'!$AA$53="Leve"),CONCATENATE("R8C",'Mapa R. Fiscal'!$O$53),"")</f>
        <v/>
      </c>
      <c r="L13" s="255" t="str">
        <f>IF(AND('Mapa R. Fiscal'!$Y$54="Muy Alta",'Mapa R. Fiscal'!$AA$54="Leve"),CONCATENATE("R8C",'Mapa R. Fiscal'!$O$54),"")</f>
        <v/>
      </c>
      <c r="M13" s="255" t="str">
        <f>IF(AND('Mapa R. Fiscal'!$Y$55="Muy Alta",'Mapa R. Fiscal'!$AA$55="Leve"),CONCATENATE("R8C",'Mapa R. Fiscal'!$O$55),"")</f>
        <v/>
      </c>
      <c r="N13" s="255" t="str">
        <f>IF(AND('Mapa R. Fiscal'!$Y$56="Muy Alta",'Mapa R. Fiscal'!$AA$56="Leve"),CONCATENATE("R8C",'Mapa R. Fiscal'!$O$56),"")</f>
        <v/>
      </c>
      <c r="O13" s="256" t="str">
        <f>IF(AND('Mapa R. Fiscal'!$Y$57="Muy Alta",'Mapa R. Fiscal'!$AA$57="Leve"),CONCATENATE("R8C",'Mapa R. Fiscal'!$O$57),"")</f>
        <v/>
      </c>
      <c r="P13" s="254" t="str">
        <f>IF(AND('Mapa R. Fiscal'!$Y$52="Muy Alta",'Mapa R. Fiscal'!$AA$52="Menor"),CONCATENATE("R8C",'Mapa R. Fiscal'!$O$52),"")</f>
        <v/>
      </c>
      <c r="Q13" s="255" t="str">
        <f>IF(AND('Mapa R. Fiscal'!$Y$53="Muy Alta",'Mapa R. Fiscal'!$AA$53="Menor"),CONCATENATE("R8C",'Mapa R. Fiscal'!$O$53),"")</f>
        <v/>
      </c>
      <c r="R13" s="255" t="str">
        <f>IF(AND('Mapa R. Fiscal'!$Y$54="Muy Alta",'Mapa R. Fiscal'!$AA$54="Menor"),CONCATENATE("R8C",'Mapa R. Fiscal'!$O$54),"")</f>
        <v/>
      </c>
      <c r="S13" s="255" t="str">
        <f>IF(AND('Mapa R. Fiscal'!$Y$55="Muy Alta",'Mapa R. Fiscal'!$AA$55="Menor"),CONCATENATE("R8C",'Mapa R. Fiscal'!$O$55),"")</f>
        <v/>
      </c>
      <c r="T13" s="255" t="str">
        <f>IF(AND('Mapa R. Fiscal'!$Y$56="Muy Alta",'Mapa R. Fiscal'!$AA$56="Menor"),CONCATENATE("R8C",'Mapa R. Fiscal'!$O$56),"")</f>
        <v/>
      </c>
      <c r="U13" s="256" t="str">
        <f>IF(AND('Mapa R. Fiscal'!$Y$57="Muy Alta",'Mapa R. Fiscal'!$AA$57="Menor"),CONCATENATE("R8C",'Mapa R. Fiscal'!$O$57),"")</f>
        <v/>
      </c>
      <c r="V13" s="254" t="str">
        <f>IF(AND('Mapa R. Fiscal'!$Y$52="Muy Alta",'Mapa R. Fiscal'!$AA$52="Moderado"),CONCATENATE("R8C",'Mapa R. Fiscal'!$O$52),"")</f>
        <v/>
      </c>
      <c r="W13" s="255" t="str">
        <f>IF(AND('Mapa R. Fiscal'!$Y$53="Muy Alta",'Mapa R. Fiscal'!$AA$53="Moderado"),CONCATENATE("R8C",'Mapa R. Fiscal'!$O$53),"")</f>
        <v/>
      </c>
      <c r="X13" s="255" t="str">
        <f>IF(AND('Mapa R. Fiscal'!$Y$54="Muy Alta",'Mapa R. Fiscal'!$AA$54="Moderado"),CONCATENATE("R8C",'Mapa R. Fiscal'!$O$54),"")</f>
        <v/>
      </c>
      <c r="Y13" s="255" t="str">
        <f>IF(AND('Mapa R. Fiscal'!$Y$55="Muy Alta",'Mapa R. Fiscal'!$AA$55="Moderado"),CONCATENATE("R8C",'Mapa R. Fiscal'!$O$55),"")</f>
        <v/>
      </c>
      <c r="Z13" s="255" t="str">
        <f>IF(AND('Mapa R. Fiscal'!$Y$56="Muy Alta",'Mapa R. Fiscal'!$AA$56="Moderado"),CONCATENATE("R8C",'Mapa R. Fiscal'!$O$56),"")</f>
        <v/>
      </c>
      <c r="AA13" s="256" t="str">
        <f>IF(AND('Mapa R. Fiscal'!$Y$57="Muy Alta",'Mapa R. Fiscal'!$AA$57="Moderado"),CONCATENATE("R8C",'Mapa R. Fiscal'!$O$57),"")</f>
        <v/>
      </c>
      <c r="AB13" s="254" t="str">
        <f>IF(AND('Mapa R. Fiscal'!$Y$52="Muy Alta",'Mapa R. Fiscal'!$AA$52="Mayor"),CONCATENATE("R8C",'Mapa R. Fiscal'!$O$52),"")</f>
        <v/>
      </c>
      <c r="AC13" s="255" t="str">
        <f>IF(AND('Mapa R. Fiscal'!$Y$53="Muy Alta",'Mapa R. Fiscal'!$AA$53="Mayor"),CONCATENATE("R8C",'Mapa R. Fiscal'!$O$53),"")</f>
        <v/>
      </c>
      <c r="AD13" s="255" t="str">
        <f>IF(AND('Mapa R. Fiscal'!$Y$54="Muy Alta",'Mapa R. Fiscal'!$AA$54="Mayor"),CONCATENATE("R8C",'Mapa R. Fiscal'!$O$54),"")</f>
        <v/>
      </c>
      <c r="AE13" s="255" t="str">
        <f>IF(AND('Mapa R. Fiscal'!$Y$55="Muy Alta",'Mapa R. Fiscal'!$AA$55="Mayor"),CONCATENATE("R8C",'Mapa R. Fiscal'!$O$55),"")</f>
        <v/>
      </c>
      <c r="AF13" s="255" t="str">
        <f>IF(AND('Mapa R. Fiscal'!$Y$56="Muy Alta",'Mapa R. Fiscal'!$AA$56="Mayor"),CONCATENATE("R8C",'Mapa R. Fiscal'!$O$56),"")</f>
        <v/>
      </c>
      <c r="AG13" s="256" t="str">
        <f>IF(AND('Mapa R. Fiscal'!$Y$57="Muy Alta",'Mapa R. Fiscal'!$AA$57="Mayor"),CONCATENATE("R8C",'Mapa R. Fiscal'!$O$57),"")</f>
        <v/>
      </c>
      <c r="AH13" s="257" t="str">
        <f>IF(AND('Mapa R. Fiscal'!$Y$52="Muy Alta",'Mapa R. Fiscal'!$AA$52="Catastrófico"),CONCATENATE("R8C",'Mapa R. Fiscal'!$O$52),"")</f>
        <v/>
      </c>
      <c r="AI13" s="258" t="str">
        <f>IF(AND('Mapa R. Fiscal'!$Y$53="Muy Alta",'Mapa R. Fiscal'!$AA$53="Catastrófico"),CONCATENATE("R8C",'Mapa R. Fiscal'!$O$53),"")</f>
        <v/>
      </c>
      <c r="AJ13" s="258" t="str">
        <f>IF(AND('Mapa R. Fiscal'!$Y$54="Muy Alta",'Mapa R. Fiscal'!$AA$54="Catastrófico"),CONCATENATE("R8C",'Mapa R. Fiscal'!$O$54),"")</f>
        <v/>
      </c>
      <c r="AK13" s="258" t="str">
        <f>IF(AND('Mapa R. Fiscal'!$Y$55="Muy Alta",'Mapa R. Fiscal'!$AA$55="Catastrófico"),CONCATENATE("R8C",'Mapa R. Fiscal'!$O$55),"")</f>
        <v/>
      </c>
      <c r="AL13" s="258" t="str">
        <f>IF(AND('Mapa R. Fiscal'!$Y$56="Muy Alta",'Mapa R. Fiscal'!$AA$56="Catastrófico"),CONCATENATE("R8C",'Mapa R. Fiscal'!$O$56),"")</f>
        <v/>
      </c>
      <c r="AM13" s="259" t="str">
        <f>IF(AND('Mapa R. Fiscal'!$Y$57="Muy Alta",'Mapa R. Fiscal'!$AA$57="Catastrófico"),CONCATENATE("R8C",'Mapa R. Fiscal'!$O$57),"")</f>
        <v/>
      </c>
      <c r="AN13" s="15"/>
      <c r="AO13" s="814"/>
      <c r="AP13" s="815"/>
      <c r="AQ13" s="815"/>
      <c r="AR13" s="815"/>
      <c r="AS13" s="815"/>
      <c r="AT13" s="8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6"/>
      <c r="C14" s="716"/>
      <c r="D14" s="717"/>
      <c r="E14" s="805"/>
      <c r="F14" s="806"/>
      <c r="G14" s="806"/>
      <c r="H14" s="806"/>
      <c r="I14" s="807"/>
      <c r="J14" s="254" t="str">
        <f>IF(AND('Mapa R. Fiscal'!$Y$58="Muy Alta",'Mapa R. Fiscal'!$AA$58="Leve"),CONCATENATE("R9C",'Mapa R. Fiscal'!$O$58),"")</f>
        <v/>
      </c>
      <c r="K14" s="255" t="str">
        <f>IF(AND('Mapa R. Fiscal'!$Y$59="Muy Alta",'Mapa R. Fiscal'!$AA$59="Leve"),CONCATENATE("R9C",'Mapa R. Fiscal'!$O$59),"")</f>
        <v/>
      </c>
      <c r="L14" s="255" t="str">
        <f>IF(AND('Mapa R. Fiscal'!$Y$60="Muy Alta",'Mapa R. Fiscal'!$AA$60="Leve"),CONCATENATE("R9C",'Mapa R. Fiscal'!$O$60),"")</f>
        <v/>
      </c>
      <c r="M14" s="255" t="str">
        <f>IF(AND('Mapa R. Fiscal'!$Y$61="Muy Alta",'Mapa R. Fiscal'!$AA$61="Leve"),CONCATENATE("R9C",'Mapa R. Fiscal'!$O$61),"")</f>
        <v/>
      </c>
      <c r="N14" s="255" t="str">
        <f>IF(AND('Mapa R. Fiscal'!$Y$62="Muy Alta",'Mapa R. Fiscal'!$AA$62="Leve"),CONCATENATE("R9C",'Mapa R. Fiscal'!$O$62),"")</f>
        <v/>
      </c>
      <c r="O14" s="256" t="str">
        <f>IF(AND('Mapa R. Fiscal'!$Y$63="Muy Alta",'Mapa R. Fiscal'!$AA$63="Leve"),CONCATENATE("R9C",'Mapa R. Fiscal'!$O$63),"")</f>
        <v/>
      </c>
      <c r="P14" s="254" t="str">
        <f>IF(AND('Mapa R. Fiscal'!$Y$58="Muy Alta",'Mapa R. Fiscal'!$AA$58="Menor"),CONCATENATE("R9C",'Mapa R. Fiscal'!$O$58),"")</f>
        <v/>
      </c>
      <c r="Q14" s="255" t="str">
        <f>IF(AND('Mapa R. Fiscal'!$Y$59="Muy Alta",'Mapa R. Fiscal'!$AA$59="Menor"),CONCATENATE("R9C",'Mapa R. Fiscal'!$O$59),"")</f>
        <v/>
      </c>
      <c r="R14" s="255" t="str">
        <f>IF(AND('Mapa R. Fiscal'!$Y$60="Muy Alta",'Mapa R. Fiscal'!$AA$60="Menor"),CONCATENATE("R9C",'Mapa R. Fiscal'!$O$60),"")</f>
        <v/>
      </c>
      <c r="S14" s="255" t="str">
        <f>IF(AND('Mapa R. Fiscal'!$Y$61="Muy Alta",'Mapa R. Fiscal'!$AA$61="Menor"),CONCATENATE("R9C",'Mapa R. Fiscal'!$O$61),"")</f>
        <v/>
      </c>
      <c r="T14" s="255" t="str">
        <f>IF(AND('Mapa R. Fiscal'!$Y$62="Muy Alta",'Mapa R. Fiscal'!$AA$62="Menor"),CONCATENATE("R9C",'Mapa R. Fiscal'!$O$62),"")</f>
        <v/>
      </c>
      <c r="U14" s="256" t="str">
        <f>IF(AND('Mapa R. Fiscal'!$Y$63="Muy Alta",'Mapa R. Fiscal'!$AA$63="Menor"),CONCATENATE("R9C",'Mapa R. Fiscal'!$O$63),"")</f>
        <v/>
      </c>
      <c r="V14" s="254" t="str">
        <f>IF(AND('Mapa R. Fiscal'!$Y$58="Muy Alta",'Mapa R. Fiscal'!$AA$58="Moderado"),CONCATENATE("R9C",'Mapa R. Fiscal'!$O$58),"")</f>
        <v/>
      </c>
      <c r="W14" s="255" t="str">
        <f>IF(AND('Mapa R. Fiscal'!$Y$59="Muy Alta",'Mapa R. Fiscal'!$AA$59="Moderado"),CONCATENATE("R9C",'Mapa R. Fiscal'!$O$59),"")</f>
        <v/>
      </c>
      <c r="X14" s="255" t="str">
        <f>IF(AND('Mapa R. Fiscal'!$Y$60="Muy Alta",'Mapa R. Fiscal'!$AA$60="Moderado"),CONCATENATE("R9C",'Mapa R. Fiscal'!$O$60),"")</f>
        <v/>
      </c>
      <c r="Y14" s="255" t="str">
        <f>IF(AND('Mapa R. Fiscal'!$Y$61="Muy Alta",'Mapa R. Fiscal'!$AA$61="Moderado"),CONCATENATE("R9C",'Mapa R. Fiscal'!$O$61),"")</f>
        <v/>
      </c>
      <c r="Z14" s="255" t="str">
        <f>IF(AND('Mapa R. Fiscal'!$Y$62="Muy Alta",'Mapa R. Fiscal'!$AA$62="Moderado"),CONCATENATE("R9C",'Mapa R. Fiscal'!$O$62),"")</f>
        <v/>
      </c>
      <c r="AA14" s="256" t="str">
        <f>IF(AND('Mapa R. Fiscal'!$Y$63="Muy Alta",'Mapa R. Fiscal'!$AA$63="Moderado"),CONCATENATE("R9C",'Mapa R. Fiscal'!$O$63),"")</f>
        <v/>
      </c>
      <c r="AB14" s="254" t="str">
        <f>IF(AND('Mapa R. Fiscal'!$Y$58="Muy Alta",'Mapa R. Fiscal'!$AA$58="Mayor"),CONCATENATE("R9C",'Mapa R. Fiscal'!$O$58),"")</f>
        <v/>
      </c>
      <c r="AC14" s="255" t="str">
        <f>IF(AND('Mapa R. Fiscal'!$Y$59="Muy Alta",'Mapa R. Fiscal'!$AA$59="Mayor"),CONCATENATE("R9C",'Mapa R. Fiscal'!$O$59),"")</f>
        <v/>
      </c>
      <c r="AD14" s="255" t="str">
        <f>IF(AND('Mapa R. Fiscal'!$Y$60="Muy Alta",'Mapa R. Fiscal'!$AA$60="Mayor"),CONCATENATE("R9C",'Mapa R. Fiscal'!$O$60),"")</f>
        <v/>
      </c>
      <c r="AE14" s="255" t="str">
        <f>IF(AND('Mapa R. Fiscal'!$Y$61="Muy Alta",'Mapa R. Fiscal'!$AA$61="Mayor"),CONCATENATE("R9C",'Mapa R. Fiscal'!$O$61),"")</f>
        <v/>
      </c>
      <c r="AF14" s="255" t="str">
        <f>IF(AND('Mapa R. Fiscal'!$Y$62="Muy Alta",'Mapa R. Fiscal'!$AA$62="Mayor"),CONCATENATE("R9C",'Mapa R. Fiscal'!$O$62),"")</f>
        <v/>
      </c>
      <c r="AG14" s="256" t="str">
        <f>IF(AND('Mapa R. Fiscal'!$Y$63="Muy Alta",'Mapa R. Fiscal'!$AA$63="Mayor"),CONCATENATE("R9C",'Mapa R. Fiscal'!$O$63),"")</f>
        <v/>
      </c>
      <c r="AH14" s="257" t="str">
        <f>IF(AND('Mapa R. Fiscal'!$Y$58="Muy Alta",'Mapa R. Fiscal'!$AA$58="Catastrófico"),CONCATENATE("R9C",'Mapa R. Fiscal'!$O$58),"")</f>
        <v/>
      </c>
      <c r="AI14" s="258" t="str">
        <f>IF(AND('Mapa R. Fiscal'!$Y$59="Muy Alta",'Mapa R. Fiscal'!$AA$59="Catastrófico"),CONCATENATE("R9C",'Mapa R. Fiscal'!$O$59),"")</f>
        <v/>
      </c>
      <c r="AJ14" s="258" t="str">
        <f>IF(AND('Mapa R. Fiscal'!$Y$60="Muy Alta",'Mapa R. Fiscal'!$AA$60="Catastrófico"),CONCATENATE("R9C",'Mapa R. Fiscal'!$O$60),"")</f>
        <v/>
      </c>
      <c r="AK14" s="258" t="str">
        <f>IF(AND('Mapa R. Fiscal'!$Y$61="Muy Alta",'Mapa R. Fiscal'!$AA$61="Catastrófico"),CONCATENATE("R9C",'Mapa R. Fiscal'!$O$61),"")</f>
        <v/>
      </c>
      <c r="AL14" s="258" t="str">
        <f>IF(AND('Mapa R. Fiscal'!$Y$62="Muy Alta",'Mapa R. Fiscal'!$AA$62="Catastrófico"),CONCATENATE("R9C",'Mapa R. Fiscal'!$O$62),"")</f>
        <v/>
      </c>
      <c r="AM14" s="259" t="str">
        <f>IF(AND('Mapa R. Fiscal'!$Y$63="Muy Alta",'Mapa R. Fiscal'!$AA$63="Catastrófico"),CONCATENATE("R9C",'Mapa R. Fiscal'!$O$63),"")</f>
        <v/>
      </c>
      <c r="AN14" s="15"/>
      <c r="AO14" s="814"/>
      <c r="AP14" s="815"/>
      <c r="AQ14" s="815"/>
      <c r="AR14" s="815"/>
      <c r="AS14" s="815"/>
      <c r="AT14" s="8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6"/>
      <c r="C15" s="716"/>
      <c r="D15" s="717"/>
      <c r="E15" s="808"/>
      <c r="F15" s="809"/>
      <c r="G15" s="809"/>
      <c r="H15" s="809"/>
      <c r="I15" s="810"/>
      <c r="J15" s="260" t="str">
        <f>IF(AND('Mapa R. Fiscal'!$Y$64="Muy Alta",'Mapa R. Fiscal'!$AA$64="Leve"),CONCATENATE("R10C",'Mapa R. Fiscal'!$O$64),"")</f>
        <v/>
      </c>
      <c r="K15" s="261" t="str">
        <f>IF(AND('Mapa R. Fiscal'!$Y$65="Muy Alta",'Mapa R. Fiscal'!$AA$65="Leve"),CONCATENATE("R10C",'Mapa R. Fiscal'!$O$65),"")</f>
        <v/>
      </c>
      <c r="L15" s="261" t="str">
        <f>IF(AND('Mapa R. Fiscal'!$Y$66="Muy Alta",'Mapa R. Fiscal'!$AA$66="Leve"),CONCATENATE("R10C",'Mapa R. Fiscal'!$O$66),"")</f>
        <v/>
      </c>
      <c r="M15" s="261" t="str">
        <f>IF(AND('Mapa R. Fiscal'!$Y$67="Muy Alta",'Mapa R. Fiscal'!$AA$67="Leve"),CONCATENATE("R10C",'Mapa R. Fiscal'!$O$67),"")</f>
        <v/>
      </c>
      <c r="N15" s="261" t="str">
        <f>IF(AND('Mapa R. Fiscal'!$Y$68="Muy Alta",'Mapa R. Fiscal'!$AA$68="Leve"),CONCATENATE("R10C",'Mapa R. Fiscal'!$O$68),"")</f>
        <v/>
      </c>
      <c r="O15" s="262" t="str">
        <f>IF(AND('Mapa R. Fiscal'!$Y$69="Muy Alta",'Mapa R. Fiscal'!$AA$69="Leve"),CONCATENATE("R10C",'Mapa R. Fiscal'!$O$69),"")</f>
        <v/>
      </c>
      <c r="P15" s="254" t="str">
        <f>IF(AND('Mapa R. Fiscal'!$Y$64="Muy Alta",'Mapa R. Fiscal'!$AA$64="Menor"),CONCATENATE("R10C",'Mapa R. Fiscal'!$O$64),"")</f>
        <v/>
      </c>
      <c r="Q15" s="255" t="str">
        <f>IF(AND('Mapa R. Fiscal'!$Y$65="Muy Alta",'Mapa R. Fiscal'!$AA$65="Menor"),CONCATENATE("R10C",'Mapa R. Fiscal'!$O$65),"")</f>
        <v/>
      </c>
      <c r="R15" s="255" t="str">
        <f>IF(AND('Mapa R. Fiscal'!$Y$66="Muy Alta",'Mapa R. Fiscal'!$AA$66="Menor"),CONCATENATE("R10C",'Mapa R. Fiscal'!$O$66),"")</f>
        <v/>
      </c>
      <c r="S15" s="255" t="str">
        <f>IF(AND('Mapa R. Fiscal'!$Y$67="Muy Alta",'Mapa R. Fiscal'!$AA$67="Menor"),CONCATENATE("R10C",'Mapa R. Fiscal'!$O$67),"")</f>
        <v/>
      </c>
      <c r="T15" s="255" t="str">
        <f>IF(AND('Mapa R. Fiscal'!$Y$68="Muy Alta",'Mapa R. Fiscal'!$AA$68="Menor"),CONCATENATE("R10C",'Mapa R. Fiscal'!$O$68),"")</f>
        <v/>
      </c>
      <c r="U15" s="256" t="str">
        <f>IF(AND('Mapa R. Fiscal'!$Y$69="Muy Alta",'Mapa R. Fiscal'!$AA$69="Menor"),CONCATENATE("R10C",'Mapa R. Fiscal'!$O$69),"")</f>
        <v/>
      </c>
      <c r="V15" s="260" t="str">
        <f>IF(AND('Mapa R. Fiscal'!$Y$64="Muy Alta",'Mapa R. Fiscal'!$AA$64="Moderado"),CONCATENATE("R10C",'Mapa R. Fiscal'!$O$64),"")</f>
        <v/>
      </c>
      <c r="W15" s="261" t="str">
        <f>IF(AND('Mapa R. Fiscal'!$Y$65="Muy Alta",'Mapa R. Fiscal'!$AA$65="Moderado"),CONCATENATE("R10C",'Mapa R. Fiscal'!$O$65),"")</f>
        <v/>
      </c>
      <c r="X15" s="261" t="str">
        <f>IF(AND('Mapa R. Fiscal'!$Y$66="Muy Alta",'Mapa R. Fiscal'!$AA$66="Moderado"),CONCATENATE("R10C",'Mapa R. Fiscal'!$O$66),"")</f>
        <v/>
      </c>
      <c r="Y15" s="261" t="str">
        <f>IF(AND('Mapa R. Fiscal'!$Y$67="Muy Alta",'Mapa R. Fiscal'!$AA$67="Moderado"),CONCATENATE("R10C",'Mapa R. Fiscal'!$O$67),"")</f>
        <v/>
      </c>
      <c r="Z15" s="261" t="str">
        <f>IF(AND('Mapa R. Fiscal'!$Y$68="Muy Alta",'Mapa R. Fiscal'!$AA$68="Moderado"),CONCATENATE("R10C",'Mapa R. Fiscal'!$O$68),"")</f>
        <v/>
      </c>
      <c r="AA15" s="262" t="str">
        <f>IF(AND('Mapa R. Fiscal'!$Y$69="Muy Alta",'Mapa R. Fiscal'!$AA$69="Moderado"),CONCATENATE("R10C",'Mapa R. Fiscal'!$O$69),"")</f>
        <v/>
      </c>
      <c r="AB15" s="254" t="str">
        <f>IF(AND('Mapa R. Fiscal'!$Y$64="Muy Alta",'Mapa R. Fiscal'!$AA$64="Mayor"),CONCATENATE("R10C",'Mapa R. Fiscal'!$O$64),"")</f>
        <v/>
      </c>
      <c r="AC15" s="255" t="str">
        <f>IF(AND('Mapa R. Fiscal'!$Y$65="Muy Alta",'Mapa R. Fiscal'!$AA$65="Mayor"),CONCATENATE("R10C",'Mapa R. Fiscal'!$O$65),"")</f>
        <v/>
      </c>
      <c r="AD15" s="255" t="str">
        <f>IF(AND('Mapa R. Fiscal'!$Y$66="Muy Alta",'Mapa R. Fiscal'!$AA$66="Mayor"),CONCATENATE("R10C",'Mapa R. Fiscal'!$O$66),"")</f>
        <v/>
      </c>
      <c r="AE15" s="255" t="str">
        <f>IF(AND('Mapa R. Fiscal'!$Y$67="Muy Alta",'Mapa R. Fiscal'!$AA$67="Mayor"),CONCATENATE("R10C",'Mapa R. Fiscal'!$O$67),"")</f>
        <v/>
      </c>
      <c r="AF15" s="255" t="str">
        <f>IF(AND('Mapa R. Fiscal'!$Y$68="Muy Alta",'Mapa R. Fiscal'!$AA$68="Mayor"),CONCATENATE("R10C",'Mapa R. Fiscal'!$O$68),"")</f>
        <v/>
      </c>
      <c r="AG15" s="256" t="str">
        <f>IF(AND('Mapa R. Fiscal'!$Y$69="Muy Alta",'Mapa R. Fiscal'!$AA$69="Mayor"),CONCATENATE("R10C",'Mapa R. Fiscal'!$O$69),"")</f>
        <v/>
      </c>
      <c r="AH15" s="263" t="str">
        <f>IF(AND('Mapa R. Fiscal'!$Y$64="Muy Alta",'Mapa R. Fiscal'!$AA$64="Catastrófico"),CONCATENATE("R10C",'Mapa R. Fiscal'!$O$64),"")</f>
        <v/>
      </c>
      <c r="AI15" s="264" t="str">
        <f>IF(AND('Mapa R. Fiscal'!$Y$65="Muy Alta",'Mapa R. Fiscal'!$AA$65="Catastrófico"),CONCATENATE("R10C",'Mapa R. Fiscal'!$O$65),"")</f>
        <v/>
      </c>
      <c r="AJ15" s="264" t="str">
        <f>IF(AND('Mapa R. Fiscal'!$Y$66="Muy Alta",'Mapa R. Fiscal'!$AA$66="Catastrófico"),CONCATENATE("R10C",'Mapa R. Fiscal'!$O$66),"")</f>
        <v/>
      </c>
      <c r="AK15" s="264" t="str">
        <f>IF(AND('Mapa R. Fiscal'!$Y$67="Muy Alta",'Mapa R. Fiscal'!$AA$67="Catastrófico"),CONCATENATE("R10C",'Mapa R. Fiscal'!$O$67),"")</f>
        <v/>
      </c>
      <c r="AL15" s="264" t="str">
        <f>IF(AND('Mapa R. Fiscal'!$Y$68="Muy Alta",'Mapa R. Fiscal'!$AA$68="Catastrófico"),CONCATENATE("R10C",'Mapa R. Fiscal'!$O$68),"")</f>
        <v/>
      </c>
      <c r="AM15" s="265" t="str">
        <f>IF(AND('Mapa R. Fiscal'!$Y$69="Muy Alta",'Mapa R. Fiscal'!$AA$69="Catastrófico"),CONCATENATE("R10C",'Mapa R. Fiscal'!$O$69),"")</f>
        <v/>
      </c>
      <c r="AN15" s="15"/>
      <c r="AO15" s="817"/>
      <c r="AP15" s="818"/>
      <c r="AQ15" s="818"/>
      <c r="AR15" s="818"/>
      <c r="AS15" s="818"/>
      <c r="AT15" s="8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6"/>
      <c r="C16" s="716"/>
      <c r="D16" s="717"/>
      <c r="E16" s="802" t="s">
        <v>191</v>
      </c>
      <c r="F16" s="803"/>
      <c r="G16" s="803"/>
      <c r="H16" s="803"/>
      <c r="I16" s="803"/>
      <c r="J16" s="266" t="str">
        <f>IF(AND('Mapa R. Fiscal'!$Y$10="Alta",'Mapa R. Fiscal'!$AA$10="Leve"),CONCATENATE("R1C",'Mapa R. Fiscal'!$O$10),"")</f>
        <v/>
      </c>
      <c r="K16" s="267" t="str">
        <f>IF(AND('Mapa R. Fiscal'!$Y$11="Alta",'Mapa R. Fiscal'!$AA$11="Leve"),CONCATENATE("R1C",'Mapa R. Fiscal'!$O$11),"")</f>
        <v/>
      </c>
      <c r="L16" s="267" t="str">
        <f>IF(AND('Mapa R. Fiscal'!$Y$12="Alta",'Mapa R. Fiscal'!$AA$12="Leve"),CONCATENATE("R1C",'Mapa R. Fiscal'!$O$12),"")</f>
        <v/>
      </c>
      <c r="M16" s="267" t="str">
        <f>IF(AND('Mapa R. Fiscal'!$Y$13="Alta",'Mapa R. Fiscal'!$AA$13="Leve"),CONCATENATE("R1C",'Mapa R. Fiscal'!$O$13),"")</f>
        <v/>
      </c>
      <c r="N16" s="267" t="str">
        <f>IF(AND('Mapa R. Fiscal'!$Y$14="Alta",'Mapa R. Fiscal'!$AA$14="Leve"),CONCATENATE("R1C",'Mapa R. Fiscal'!$O$14),"")</f>
        <v/>
      </c>
      <c r="O16" s="268" t="str">
        <f>IF(AND('Mapa R. Fiscal'!$Y$15="Alta",'Mapa R. Fiscal'!$AA$15="Leve"),CONCATENATE("R1C",'Mapa R. Fiscal'!$O$15),"")</f>
        <v/>
      </c>
      <c r="P16" s="266" t="str">
        <f>IF(AND('Mapa R. Fiscal'!$Y$10="Alta",'Mapa R. Fiscal'!$AA$10="Menor"),CONCATENATE("R1C",'Mapa R. Fiscal'!$O$10),"")</f>
        <v/>
      </c>
      <c r="Q16" s="267" t="str">
        <f>IF(AND('Mapa R. Fiscal'!$Y$11="Alta",'Mapa R. Fiscal'!$AA$11="Menor"),CONCATENATE("R1C",'Mapa R. Fiscal'!$O$11),"")</f>
        <v/>
      </c>
      <c r="R16" s="267" t="str">
        <f>IF(AND('Mapa R. Fiscal'!$Y$12="Alta",'Mapa R. Fiscal'!$AA$12="Menor"),CONCATENATE("R1C",'Mapa R. Fiscal'!$O$12),"")</f>
        <v/>
      </c>
      <c r="S16" s="267" t="str">
        <f>IF(AND('Mapa R. Fiscal'!$Y$13="Alta",'Mapa R. Fiscal'!$AA$13="Menor"),CONCATENATE("R1C",'Mapa R. Fiscal'!$O$13),"")</f>
        <v/>
      </c>
      <c r="T16" s="267" t="str">
        <f>IF(AND('Mapa R. Fiscal'!$Y$14="Alta",'Mapa R. Fiscal'!$AA$14="Menor"),CONCATENATE("R1C",'Mapa R. Fiscal'!$O$14),"")</f>
        <v/>
      </c>
      <c r="U16" s="268" t="str">
        <f>IF(AND('Mapa R. Fiscal'!$Y$15="Alta",'Mapa R. Fiscal'!$AA$15="Menor"),CONCATENATE("R1C",'Mapa R. Fiscal'!$O$15),"")</f>
        <v/>
      </c>
      <c r="V16" s="248" t="str">
        <f>IF(AND('Mapa R. Fiscal'!$Y$10="Alta",'Mapa R. Fiscal'!$AA$10="Moderado"),CONCATENATE("R1C",'Mapa R. Fiscal'!$O$10),"")</f>
        <v/>
      </c>
      <c r="W16" s="249" t="str">
        <f>IF(AND('Mapa R. Fiscal'!$Y$11="Alta",'Mapa R. Fiscal'!$AA$11="Moderado"),CONCATENATE("R1C",'Mapa R. Fiscal'!$O$11),"")</f>
        <v/>
      </c>
      <c r="X16" s="249" t="str">
        <f>IF(AND('Mapa R. Fiscal'!$Y$12="Alta",'Mapa R. Fiscal'!$AA$12="Moderado"),CONCATENATE("R1C",'Mapa R. Fiscal'!$O$12),"")</f>
        <v/>
      </c>
      <c r="Y16" s="249" t="str">
        <f>IF(AND('Mapa R. Fiscal'!$Y$13="Alta",'Mapa R. Fiscal'!$AA$13="Moderado"),CONCATENATE("R1C",'Mapa R. Fiscal'!$O$13),"")</f>
        <v/>
      </c>
      <c r="Z16" s="249" t="str">
        <f>IF(AND('Mapa R. Fiscal'!$Y$14="Alta",'Mapa R. Fiscal'!$AA$14="Moderado"),CONCATENATE("R1C",'Mapa R. Fiscal'!$O$14),"")</f>
        <v/>
      </c>
      <c r="AA16" s="250" t="str">
        <f>IF(AND('Mapa R. Fiscal'!$Y$15="Alta",'Mapa R. Fiscal'!$AA$15="Moderado"),CONCATENATE("R1C",'Mapa R. Fiscal'!$O$15),"")</f>
        <v/>
      </c>
      <c r="AB16" s="248" t="str">
        <f>IF(AND('Mapa R. Fiscal'!$Y$10="Alta",'Mapa R. Fiscal'!$AA$10="Mayor"),CONCATENATE("R1C",'Mapa R. Fiscal'!$O$10),"")</f>
        <v/>
      </c>
      <c r="AC16" s="249" t="str">
        <f>IF(AND('Mapa R. Fiscal'!$Y$11="Alta",'Mapa R. Fiscal'!$AA$11="Mayor"),CONCATENATE("R1C",'Mapa R. Fiscal'!$O$11),"")</f>
        <v/>
      </c>
      <c r="AD16" s="249" t="str">
        <f>IF(AND('Mapa R. Fiscal'!$Y$12="Alta",'Mapa R. Fiscal'!$AA$12="Mayor"),CONCATENATE("R1C",'Mapa R. Fiscal'!$O$12),"")</f>
        <v/>
      </c>
      <c r="AE16" s="249" t="str">
        <f>IF(AND('Mapa R. Fiscal'!$Y$13="Alta",'Mapa R. Fiscal'!$AA$13="Mayor"),CONCATENATE("R1C",'Mapa R. Fiscal'!$O$13),"")</f>
        <v/>
      </c>
      <c r="AF16" s="249" t="str">
        <f>IF(AND('Mapa R. Fiscal'!$Y$14="Alta",'Mapa R. Fiscal'!$AA$14="Mayor"),CONCATENATE("R1C",'Mapa R. Fiscal'!$O$14),"")</f>
        <v/>
      </c>
      <c r="AG16" s="250" t="str">
        <f>IF(AND('Mapa R. Fiscal'!$Y$15="Alta",'Mapa R. Fiscal'!$AA$15="Mayor"),CONCATENATE("R1C",'Mapa R. Fiscal'!$O$15),"")</f>
        <v/>
      </c>
      <c r="AH16" s="251" t="str">
        <f>IF(AND('Mapa R. Fiscal'!$Y$10="Alta",'Mapa R. Fiscal'!$AA$10="Catastrófico"),CONCATENATE("R1C",'Mapa R. Fiscal'!$O$10),"")</f>
        <v/>
      </c>
      <c r="AI16" s="252" t="str">
        <f>IF(AND('Mapa R. Fiscal'!$Y$11="Alta",'Mapa R. Fiscal'!$AA$11="Catastrófico"),CONCATENATE("R1C",'Mapa R. Fiscal'!$O$11),"")</f>
        <v/>
      </c>
      <c r="AJ16" s="252" t="str">
        <f>IF(AND('Mapa R. Fiscal'!$Y$12="Alta",'Mapa R. Fiscal'!$AA$12="Catastrófico"),CONCATENATE("R1C",'Mapa R. Fiscal'!$O$12),"")</f>
        <v/>
      </c>
      <c r="AK16" s="252" t="str">
        <f>IF(AND('Mapa R. Fiscal'!$Y$13="Alta",'Mapa R. Fiscal'!$AA$13="Catastrófico"),CONCATENATE("R1C",'Mapa R. Fiscal'!$O$13),"")</f>
        <v/>
      </c>
      <c r="AL16" s="252" t="str">
        <f>IF(AND('Mapa R. Fiscal'!$Y$14="Alta",'Mapa R. Fiscal'!$AA$14="Catastrófico"),CONCATENATE("R1C",'Mapa R. Fiscal'!$O$14),"")</f>
        <v/>
      </c>
      <c r="AM16" s="253" t="str">
        <f>IF(AND('Mapa R. Fiscal'!$Y$15="Alta",'Mapa R. Fiscal'!$AA$15="Catastrófico"),CONCATENATE("R1C",'Mapa R. Fiscal'!$O$15),"")</f>
        <v/>
      </c>
      <c r="AN16" s="15"/>
      <c r="AO16" s="821" t="s">
        <v>192</v>
      </c>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6"/>
      <c r="C17" s="716"/>
      <c r="D17" s="717"/>
      <c r="E17" s="820"/>
      <c r="F17" s="806"/>
      <c r="G17" s="806"/>
      <c r="H17" s="806"/>
      <c r="I17" s="806"/>
      <c r="J17" s="269" t="str">
        <f>IF(AND('Mapa R. Fiscal'!$Y$16="Alta",'Mapa R. Fiscal'!$AA$16="Leve"),CONCATENATE("R2C",'Mapa R. Fiscal'!$O$16),"")</f>
        <v/>
      </c>
      <c r="K17" s="270" t="str">
        <f>IF(AND('Mapa R. Fiscal'!$Y$17="Alta",'Mapa R. Fiscal'!$AA$17="Leve"),CONCATENATE("R2C",'Mapa R. Fiscal'!$O$17),"")</f>
        <v/>
      </c>
      <c r="L17" s="270" t="str">
        <f>IF(AND('Mapa R. Fiscal'!$Y$18="Alta",'Mapa R. Fiscal'!$AA$18="Leve"),CONCATENATE("R2C",'Mapa R. Fiscal'!$O$18),"")</f>
        <v/>
      </c>
      <c r="M17" s="270" t="str">
        <f>IF(AND('Mapa R. Fiscal'!$Y$19="Alta",'Mapa R. Fiscal'!$AA$19="Leve"),CONCATENATE("R2C",'Mapa R. Fiscal'!$O$19),"")</f>
        <v/>
      </c>
      <c r="N17" s="270" t="str">
        <f>IF(AND('Mapa R. Fiscal'!$Y$20="Alta",'Mapa R. Fiscal'!$AA$20="Leve"),CONCATENATE("R2C",'Mapa R. Fiscal'!$O$20),"")</f>
        <v/>
      </c>
      <c r="O17" s="271" t="str">
        <f>IF(AND('Mapa R. Fiscal'!$Y$21="Alta",'Mapa R. Fiscal'!$AA$21="Leve"),CONCATENATE("R2C",'Mapa R. Fiscal'!$O$21),"")</f>
        <v/>
      </c>
      <c r="P17" s="269" t="str">
        <f>IF(AND('Mapa R. Fiscal'!$Y$16="Alta",'Mapa R. Fiscal'!$AA$16="Menor"),CONCATENATE("R2C",'Mapa R. Fiscal'!$O$16),"")</f>
        <v/>
      </c>
      <c r="Q17" s="270" t="str">
        <f>IF(AND('Mapa R. Fiscal'!$Y$17="Alta",'Mapa R. Fiscal'!$AA$17="Menor"),CONCATENATE("R2C",'Mapa R. Fiscal'!$O$17),"")</f>
        <v/>
      </c>
      <c r="R17" s="270" t="str">
        <f>IF(AND('Mapa R. Fiscal'!$Y$18="Alta",'Mapa R. Fiscal'!$AA$18="Menor"),CONCATENATE("R2C",'Mapa R. Fiscal'!$O$18),"")</f>
        <v/>
      </c>
      <c r="S17" s="270" t="str">
        <f>IF(AND('Mapa R. Fiscal'!$Y$19="Alta",'Mapa R. Fiscal'!$AA$19="Menor"),CONCATENATE("R2C",'Mapa R. Fiscal'!$O$19),"")</f>
        <v/>
      </c>
      <c r="T17" s="270" t="str">
        <f>IF(AND('Mapa R. Fiscal'!$Y$20="Alta",'Mapa R. Fiscal'!$AA$20="Menor"),CONCATENATE("R2C",'Mapa R. Fiscal'!$O$20),"")</f>
        <v/>
      </c>
      <c r="U17" s="271" t="str">
        <f>IF(AND('Mapa R. Fiscal'!$Y$21="Alta",'Mapa R. Fiscal'!$AA$21="Menor"),CONCATENATE("R2C",'Mapa R. Fiscal'!$O$21),"")</f>
        <v/>
      </c>
      <c r="V17" s="254" t="str">
        <f>IF(AND('Mapa R. Fiscal'!$Y$16="Alta",'Mapa R. Fiscal'!$AA$16="Moderado"),CONCATENATE("R2C",'Mapa R. Fiscal'!$O$16),"")</f>
        <v/>
      </c>
      <c r="W17" s="255" t="str">
        <f>IF(AND('Mapa R. Fiscal'!$Y$17="Alta",'Mapa R. Fiscal'!$AA$17="Moderado"),CONCATENATE("R2C",'Mapa R. Fiscal'!$O$17),"")</f>
        <v/>
      </c>
      <c r="X17" s="255" t="str">
        <f>IF(AND('Mapa R. Fiscal'!$Y$18="Alta",'Mapa R. Fiscal'!$AA$18="Moderado"),CONCATENATE("R2C",'Mapa R. Fiscal'!$O$18),"")</f>
        <v/>
      </c>
      <c r="Y17" s="255" t="str">
        <f>IF(AND('Mapa R. Fiscal'!$Y$19="Alta",'Mapa R. Fiscal'!$AA$19="Moderado"),CONCATENATE("R2C",'Mapa R. Fiscal'!$O$19),"")</f>
        <v/>
      </c>
      <c r="Z17" s="255" t="str">
        <f>IF(AND('Mapa R. Fiscal'!$Y$20="Alta",'Mapa R. Fiscal'!$AA$20="Moderado"),CONCATENATE("R2C",'Mapa R. Fiscal'!$O$20),"")</f>
        <v/>
      </c>
      <c r="AA17" s="256" t="str">
        <f>IF(AND('Mapa R. Fiscal'!$Y$21="Alta",'Mapa R. Fiscal'!$AA$21="Moderado"),CONCATENATE("R2C",'Mapa R. Fiscal'!$O$21),"")</f>
        <v/>
      </c>
      <c r="AB17" s="254" t="str">
        <f>IF(AND('Mapa R. Fiscal'!$Y$16="Alta",'Mapa R. Fiscal'!$AA$16="Mayor"),CONCATENATE("R2C",'Mapa R. Fiscal'!$O$16),"")</f>
        <v/>
      </c>
      <c r="AC17" s="255" t="str">
        <f>IF(AND('Mapa R. Fiscal'!$Y$17="Alta",'Mapa R. Fiscal'!$AA$17="Mayor"),CONCATENATE("R2C",'Mapa R. Fiscal'!$O$17),"")</f>
        <v/>
      </c>
      <c r="AD17" s="255" t="str">
        <f>IF(AND('Mapa R. Fiscal'!$Y$18="Alta",'Mapa R. Fiscal'!$AA$18="Mayor"),CONCATENATE("R2C",'Mapa R. Fiscal'!$O$18),"")</f>
        <v/>
      </c>
      <c r="AE17" s="255" t="str">
        <f>IF(AND('Mapa R. Fiscal'!$Y$19="Alta",'Mapa R. Fiscal'!$AA$19="Mayor"),CONCATENATE("R2C",'Mapa R. Fiscal'!$O$19),"")</f>
        <v/>
      </c>
      <c r="AF17" s="255" t="str">
        <f>IF(AND('Mapa R. Fiscal'!$Y$20="Alta",'Mapa R. Fiscal'!$AA$20="Mayor"),CONCATENATE("R2C",'Mapa R. Fiscal'!$O$20),"")</f>
        <v/>
      </c>
      <c r="AG17" s="256" t="str">
        <f>IF(AND('Mapa R. Fiscal'!$Y$21="Alta",'Mapa R. Fiscal'!$AA$21="Mayor"),CONCATENATE("R2C",'Mapa R. Fiscal'!$O$21),"")</f>
        <v/>
      </c>
      <c r="AH17" s="257" t="str">
        <f>IF(AND('Mapa R. Fiscal'!$Y$16="Alta",'Mapa R. Fiscal'!$AA$16="Catastrófico"),CONCATENATE("R2C",'Mapa R. Fiscal'!$O$16),"")</f>
        <v/>
      </c>
      <c r="AI17" s="258" t="str">
        <f>IF(AND('Mapa R. Fiscal'!$Y$17="Alta",'Mapa R. Fiscal'!$AA$17="Catastrófico"),CONCATENATE("R2C",'Mapa R. Fiscal'!$O$17),"")</f>
        <v/>
      </c>
      <c r="AJ17" s="258" t="str">
        <f>IF(AND('Mapa R. Fiscal'!$Y$18="Alta",'Mapa R. Fiscal'!$AA$18="Catastrófico"),CONCATENATE("R2C",'Mapa R. Fiscal'!$O$18),"")</f>
        <v/>
      </c>
      <c r="AK17" s="258" t="str">
        <f>IF(AND('Mapa R. Fiscal'!$Y$19="Alta",'Mapa R. Fiscal'!$AA$19="Catastrófico"),CONCATENATE("R2C",'Mapa R. Fiscal'!$O$19),"")</f>
        <v/>
      </c>
      <c r="AL17" s="258" t="str">
        <f>IF(AND('Mapa R. Fiscal'!$Y$20="Alta",'Mapa R. Fiscal'!$AA$20="Catastrófico"),CONCATENATE("R2C",'Mapa R. Fiscal'!$O$20),"")</f>
        <v/>
      </c>
      <c r="AM17" s="259" t="str">
        <f>IF(AND('Mapa R. Fiscal'!$Y$21="Alta",'Mapa R. Fiscal'!$AA$21="Catastrófico"),CONCATENATE("R2C",'Mapa R. Fiscal'!$O$21),"")</f>
        <v/>
      </c>
      <c r="AN17" s="15"/>
      <c r="AO17" s="824"/>
      <c r="AP17" s="825"/>
      <c r="AQ17" s="825"/>
      <c r="AR17" s="825"/>
      <c r="AS17" s="825"/>
      <c r="AT17" s="8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6"/>
      <c r="C18" s="716"/>
      <c r="D18" s="717"/>
      <c r="E18" s="805"/>
      <c r="F18" s="806"/>
      <c r="G18" s="806"/>
      <c r="H18" s="806"/>
      <c r="I18" s="806"/>
      <c r="J18" s="269" t="str">
        <f>IF(AND('Mapa R. Fiscal'!$Y$22="Alta",'Mapa R. Fiscal'!$AA$22="Leve"),CONCATENATE("R3C",'Mapa R. Fiscal'!$O$22),"")</f>
        <v/>
      </c>
      <c r="K18" s="270" t="str">
        <f>IF(AND('Mapa R. Fiscal'!$Y$23="Alta",'Mapa R. Fiscal'!$AA$23="Leve"),CONCATENATE("R3C",'Mapa R. Fiscal'!$O$23),"")</f>
        <v/>
      </c>
      <c r="L18" s="270" t="str">
        <f>IF(AND('Mapa R. Fiscal'!$Y$24="Alta",'Mapa R. Fiscal'!$AA$24="Leve"),CONCATENATE("R3C",'Mapa R. Fiscal'!$O$24),"")</f>
        <v/>
      </c>
      <c r="M18" s="270" t="str">
        <f>IF(AND('Mapa R. Fiscal'!$Y$25="Alta",'Mapa R. Fiscal'!$AA$25="Leve"),CONCATENATE("R3C",'Mapa R. Fiscal'!$O$25),"")</f>
        <v/>
      </c>
      <c r="N18" s="270" t="str">
        <f>IF(AND('Mapa R. Fiscal'!$Y$26="Alta",'Mapa R. Fiscal'!$AA$26="Leve"),CONCATENATE("R3C",'Mapa R. Fiscal'!$O$26),"")</f>
        <v/>
      </c>
      <c r="O18" s="271" t="str">
        <f>IF(AND('Mapa R. Fiscal'!$Y$27="Alta",'Mapa R. Fiscal'!$AA$27="Leve"),CONCATENATE("R3C",'Mapa R. Fiscal'!$O$27),"")</f>
        <v/>
      </c>
      <c r="P18" s="269" t="str">
        <f>IF(AND('Mapa R. Fiscal'!$Y$22="Alta",'Mapa R. Fiscal'!$AA$22="Menor"),CONCATENATE("R3C",'Mapa R. Fiscal'!$O$22),"")</f>
        <v/>
      </c>
      <c r="Q18" s="270" t="str">
        <f>IF(AND('Mapa R. Fiscal'!$Y$23="Alta",'Mapa R. Fiscal'!$AA$23="Menor"),CONCATENATE("R3C",'Mapa R. Fiscal'!$O$23),"")</f>
        <v/>
      </c>
      <c r="R18" s="270" t="str">
        <f>IF(AND('Mapa R. Fiscal'!$Y$24="Alta",'Mapa R. Fiscal'!$AA$24="Menor"),CONCATENATE("R3C",'Mapa R. Fiscal'!$O$24),"")</f>
        <v/>
      </c>
      <c r="S18" s="270" t="str">
        <f>IF(AND('Mapa R. Fiscal'!$Y$25="Alta",'Mapa R. Fiscal'!$AA$25="Menor"),CONCATENATE("R3C",'Mapa R. Fiscal'!$O$25),"")</f>
        <v/>
      </c>
      <c r="T18" s="270" t="str">
        <f>IF(AND('Mapa R. Fiscal'!$Y$26="Alta",'Mapa R. Fiscal'!$AA$26="Menor"),CONCATENATE("R3C",'Mapa R. Fiscal'!$O$26),"")</f>
        <v/>
      </c>
      <c r="U18" s="271" t="str">
        <f>IF(AND('Mapa R. Fiscal'!$Y$27="Alta",'Mapa R. Fiscal'!$AA$27="Menor"),CONCATENATE("R3C",'Mapa R. Fiscal'!$O$27),"")</f>
        <v/>
      </c>
      <c r="V18" s="254" t="str">
        <f>IF(AND('Mapa R. Fiscal'!$Y$22="Alta",'Mapa R. Fiscal'!$AA$22="Moderado"),CONCATENATE("R3C",'Mapa R. Fiscal'!$O$22),"")</f>
        <v/>
      </c>
      <c r="W18" s="255" t="str">
        <f>IF(AND('Mapa R. Fiscal'!$Y$23="Alta",'Mapa R. Fiscal'!$AA$23="Moderado"),CONCATENATE("R3C",'Mapa R. Fiscal'!$O$23),"")</f>
        <v/>
      </c>
      <c r="X18" s="255" t="str">
        <f>IF(AND('Mapa R. Fiscal'!$Y$24="Alta",'Mapa R. Fiscal'!$AA$24="Moderado"),CONCATENATE("R3C",'Mapa R. Fiscal'!$O$24),"")</f>
        <v/>
      </c>
      <c r="Y18" s="255" t="str">
        <f>IF(AND('Mapa R. Fiscal'!$Y$25="Alta",'Mapa R. Fiscal'!$AA$25="Moderado"),CONCATENATE("R3C",'Mapa R. Fiscal'!$O$25),"")</f>
        <v/>
      </c>
      <c r="Z18" s="255" t="str">
        <f>IF(AND('Mapa R. Fiscal'!$Y$26="Alta",'Mapa R. Fiscal'!$AA$26="Moderado"),CONCATENATE("R3C",'Mapa R. Fiscal'!$O$26),"")</f>
        <v/>
      </c>
      <c r="AA18" s="256" t="str">
        <f>IF(AND('Mapa R. Fiscal'!$Y$27="Alta",'Mapa R. Fiscal'!$AA$27="Moderado"),CONCATENATE("R3C",'Mapa R. Fiscal'!$O$27),"")</f>
        <v/>
      </c>
      <c r="AB18" s="254" t="str">
        <f>IF(AND('Mapa R. Fiscal'!$Y$22="Alta",'Mapa R. Fiscal'!$AA$22="Mayor"),CONCATENATE("R3C",'Mapa R. Fiscal'!$O$22),"")</f>
        <v/>
      </c>
      <c r="AC18" s="255" t="str">
        <f>IF(AND('Mapa R. Fiscal'!$Y$23="Alta",'Mapa R. Fiscal'!$AA$23="Mayor"),CONCATENATE("R3C",'Mapa R. Fiscal'!$O$23),"")</f>
        <v/>
      </c>
      <c r="AD18" s="255" t="str">
        <f>IF(AND('Mapa R. Fiscal'!$Y$24="Alta",'Mapa R. Fiscal'!$AA$24="Mayor"),CONCATENATE("R3C",'Mapa R. Fiscal'!$O$24),"")</f>
        <v/>
      </c>
      <c r="AE18" s="255" t="str">
        <f>IF(AND('Mapa R. Fiscal'!$Y$25="Alta",'Mapa R. Fiscal'!$AA$25="Mayor"),CONCATENATE("R3C",'Mapa R. Fiscal'!$O$25),"")</f>
        <v/>
      </c>
      <c r="AF18" s="255" t="str">
        <f>IF(AND('Mapa R. Fiscal'!$Y$26="Alta",'Mapa R. Fiscal'!$AA$26="Mayor"),CONCATENATE("R3C",'Mapa R. Fiscal'!$O$26),"")</f>
        <v/>
      </c>
      <c r="AG18" s="256" t="str">
        <f>IF(AND('Mapa R. Fiscal'!$Y$27="Alta",'Mapa R. Fiscal'!$AA$27="Mayor"),CONCATENATE("R3C",'Mapa R. Fiscal'!$O$27),"")</f>
        <v/>
      </c>
      <c r="AH18" s="257" t="str">
        <f>IF(AND('Mapa R. Fiscal'!$Y$22="Alta",'Mapa R. Fiscal'!$AA$22="Catastrófico"),CONCATENATE("R3C",'Mapa R. Fiscal'!$O$22),"")</f>
        <v/>
      </c>
      <c r="AI18" s="258" t="str">
        <f>IF(AND('Mapa R. Fiscal'!$Y$23="Alta",'Mapa R. Fiscal'!$AA$23="Catastrófico"),CONCATENATE("R3C",'Mapa R. Fiscal'!$O$23),"")</f>
        <v/>
      </c>
      <c r="AJ18" s="258" t="str">
        <f>IF(AND('Mapa R. Fiscal'!$Y$24="Alta",'Mapa R. Fiscal'!$AA$24="Catastrófico"),CONCATENATE("R3C",'Mapa R. Fiscal'!$O$24),"")</f>
        <v/>
      </c>
      <c r="AK18" s="258" t="str">
        <f>IF(AND('Mapa R. Fiscal'!$Y$25="Alta",'Mapa R. Fiscal'!$AA$25="Catastrófico"),CONCATENATE("R3C",'Mapa R. Fiscal'!$O$25),"")</f>
        <v/>
      </c>
      <c r="AL18" s="258" t="str">
        <f>IF(AND('Mapa R. Fiscal'!$Y$26="Alta",'Mapa R. Fiscal'!$AA$26="Catastrófico"),CONCATENATE("R3C",'Mapa R. Fiscal'!$O$26),"")</f>
        <v/>
      </c>
      <c r="AM18" s="259" t="str">
        <f>IF(AND('Mapa R. Fiscal'!$Y$27="Alta",'Mapa R. Fiscal'!$AA$27="Catastrófico"),CONCATENATE("R3C",'Mapa R. Fiscal'!$O$27),"")</f>
        <v/>
      </c>
      <c r="AN18" s="15"/>
      <c r="AO18" s="824"/>
      <c r="AP18" s="825"/>
      <c r="AQ18" s="825"/>
      <c r="AR18" s="825"/>
      <c r="AS18" s="825"/>
      <c r="AT18" s="8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6"/>
      <c r="C19" s="716"/>
      <c r="D19" s="717"/>
      <c r="E19" s="805"/>
      <c r="F19" s="806"/>
      <c r="G19" s="806"/>
      <c r="H19" s="806"/>
      <c r="I19" s="806"/>
      <c r="J19" s="269" t="str">
        <f>IF(AND('Mapa R. Fiscal'!$Y$28="Alta",'Mapa R. Fiscal'!$AA$28="Leve"),CONCATENATE("R4C",'Mapa R. Fiscal'!$O$28),"")</f>
        <v/>
      </c>
      <c r="K19" s="270" t="str">
        <f>IF(AND('Mapa R. Fiscal'!$Y$29="Alta",'Mapa R. Fiscal'!$AA$29="Leve"),CONCATENATE("R4C",'Mapa R. Fiscal'!$O$29),"")</f>
        <v/>
      </c>
      <c r="L19" s="270" t="str">
        <f>IF(AND('Mapa R. Fiscal'!$Y$30="Alta",'Mapa R. Fiscal'!$AA$30="Leve"),CONCATENATE("R4C",'Mapa R. Fiscal'!$O$30),"")</f>
        <v/>
      </c>
      <c r="M19" s="270" t="str">
        <f>IF(AND('Mapa R. Fiscal'!$Y$31="Alta",'Mapa R. Fiscal'!$AA$31="Leve"),CONCATENATE("R4C",'Mapa R. Fiscal'!$O$31),"")</f>
        <v/>
      </c>
      <c r="N19" s="270" t="str">
        <f>IF(AND('Mapa R. Fiscal'!$Y$32="Alta",'Mapa R. Fiscal'!$AA$32="Leve"),CONCATENATE("R4C",'Mapa R. Fiscal'!$O$32),"")</f>
        <v/>
      </c>
      <c r="O19" s="271" t="str">
        <f>IF(AND('Mapa R. Fiscal'!$Y$33="Alta",'Mapa R. Fiscal'!$AA$33="Leve"),CONCATENATE("R4C",'Mapa R. Fiscal'!$O$33),"")</f>
        <v/>
      </c>
      <c r="P19" s="269" t="str">
        <f>IF(AND('Mapa R. Fiscal'!$Y$28="Alta",'Mapa R. Fiscal'!$AA$28="Menor"),CONCATENATE("R4C",'Mapa R. Fiscal'!$O$28),"")</f>
        <v/>
      </c>
      <c r="Q19" s="270" t="str">
        <f>IF(AND('Mapa R. Fiscal'!$Y$29="Alta",'Mapa R. Fiscal'!$AA$29="Menor"),CONCATENATE("R4C",'Mapa R. Fiscal'!$O$29),"")</f>
        <v/>
      </c>
      <c r="R19" s="270" t="str">
        <f>IF(AND('Mapa R. Fiscal'!$Y$30="Alta",'Mapa R. Fiscal'!$AA$30="Menor"),CONCATENATE("R4C",'Mapa R. Fiscal'!$O$30),"")</f>
        <v/>
      </c>
      <c r="S19" s="270" t="str">
        <f>IF(AND('Mapa R. Fiscal'!$Y$31="Alta",'Mapa R. Fiscal'!$AA$31="Menor"),CONCATENATE("R4C",'Mapa R. Fiscal'!$O$31),"")</f>
        <v/>
      </c>
      <c r="T19" s="270" t="str">
        <f>IF(AND('Mapa R. Fiscal'!$Y$32="Alta",'Mapa R. Fiscal'!$AA$32="Menor"),CONCATENATE("R4C",'Mapa R. Fiscal'!$O$32),"")</f>
        <v/>
      </c>
      <c r="U19" s="271" t="str">
        <f>IF(AND('Mapa R. Fiscal'!$Y$33="Alta",'Mapa R. Fiscal'!$AA$33="Menor"),CONCATENATE("R4C",'Mapa R. Fiscal'!$O$33),"")</f>
        <v/>
      </c>
      <c r="V19" s="254" t="str">
        <f>IF(AND('Mapa R. Fiscal'!$Y$28="Alta",'Mapa R. Fiscal'!$AA$28="Moderado"),CONCATENATE("R4C",'Mapa R. Fiscal'!$O$28),"")</f>
        <v/>
      </c>
      <c r="W19" s="255" t="str">
        <f>IF(AND('Mapa R. Fiscal'!$Y$29="Alta",'Mapa R. Fiscal'!$AA$29="Moderado"),CONCATENATE("R4C",'Mapa R. Fiscal'!$O$29),"")</f>
        <v/>
      </c>
      <c r="X19" s="255" t="str">
        <f>IF(AND('Mapa R. Fiscal'!$Y$30="Alta",'Mapa R. Fiscal'!$AA$30="Moderado"),CONCATENATE("R4C",'Mapa R. Fiscal'!$O$30),"")</f>
        <v/>
      </c>
      <c r="Y19" s="255" t="str">
        <f>IF(AND('Mapa R. Fiscal'!$Y$31="Alta",'Mapa R. Fiscal'!$AA$31="Moderado"),CONCATENATE("R4C",'Mapa R. Fiscal'!$O$31),"")</f>
        <v/>
      </c>
      <c r="Z19" s="255" t="str">
        <f>IF(AND('Mapa R. Fiscal'!$Y$32="Alta",'Mapa R. Fiscal'!$AA$32="Moderado"),CONCATENATE("R4C",'Mapa R. Fiscal'!$O$32),"")</f>
        <v/>
      </c>
      <c r="AA19" s="256" t="str">
        <f>IF(AND('Mapa R. Fiscal'!$Y$33="Alta",'Mapa R. Fiscal'!$AA$33="Moderado"),CONCATENATE("R4C",'Mapa R. Fiscal'!$O$33),"")</f>
        <v/>
      </c>
      <c r="AB19" s="254" t="str">
        <f>IF(AND('Mapa R. Fiscal'!$Y$28="Alta",'Mapa R. Fiscal'!$AA$28="Mayor"),CONCATENATE("R4C",'Mapa R. Fiscal'!$O$28),"")</f>
        <v/>
      </c>
      <c r="AC19" s="255" t="str">
        <f>IF(AND('Mapa R. Fiscal'!$Y$29="Alta",'Mapa R. Fiscal'!$AA$29="Mayor"),CONCATENATE("R4C",'Mapa R. Fiscal'!$O$29),"")</f>
        <v/>
      </c>
      <c r="AD19" s="255" t="str">
        <f>IF(AND('Mapa R. Fiscal'!$Y$30="Alta",'Mapa R. Fiscal'!$AA$30="Mayor"),CONCATENATE("R4C",'Mapa R. Fiscal'!$O$30),"")</f>
        <v/>
      </c>
      <c r="AE19" s="255" t="str">
        <f>IF(AND('Mapa R. Fiscal'!$Y$31="Alta",'Mapa R. Fiscal'!$AA$31="Mayor"),CONCATENATE("R4C",'Mapa R. Fiscal'!$O$31),"")</f>
        <v/>
      </c>
      <c r="AF19" s="255" t="str">
        <f>IF(AND('Mapa R. Fiscal'!$Y$32="Alta",'Mapa R. Fiscal'!$AA$32="Mayor"),CONCATENATE("R4C",'Mapa R. Fiscal'!$O$32),"")</f>
        <v/>
      </c>
      <c r="AG19" s="256" t="str">
        <f>IF(AND('Mapa R. Fiscal'!$Y$33="Alta",'Mapa R. Fiscal'!$AA$33="Mayor"),CONCATENATE("R4C",'Mapa R. Fiscal'!$O$33),"")</f>
        <v/>
      </c>
      <c r="AH19" s="257" t="str">
        <f>IF(AND('Mapa R. Fiscal'!$Y$28="Alta",'Mapa R. Fiscal'!$AA$28="Catastrófico"),CONCATENATE("R4C",'Mapa R. Fiscal'!$O$28),"")</f>
        <v/>
      </c>
      <c r="AI19" s="258" t="str">
        <f>IF(AND('Mapa R. Fiscal'!$Y$29="Alta",'Mapa R. Fiscal'!$AA$29="Catastrófico"),CONCATENATE("R4C",'Mapa R. Fiscal'!$O$29),"")</f>
        <v/>
      </c>
      <c r="AJ19" s="258" t="str">
        <f>IF(AND('Mapa R. Fiscal'!$Y$30="Alta",'Mapa R. Fiscal'!$AA$30="Catastrófico"),CONCATENATE("R4C",'Mapa R. Fiscal'!$O$30),"")</f>
        <v/>
      </c>
      <c r="AK19" s="258" t="str">
        <f>IF(AND('Mapa R. Fiscal'!$Y$31="Alta",'Mapa R. Fiscal'!$AA$31="Catastrófico"),CONCATENATE("R4C",'Mapa R. Fiscal'!$O$31),"")</f>
        <v/>
      </c>
      <c r="AL19" s="258" t="str">
        <f>IF(AND('Mapa R. Fiscal'!$Y$32="Alta",'Mapa R. Fiscal'!$AA$32="Catastrófico"),CONCATENATE("R4C",'Mapa R. Fiscal'!$O$32),"")</f>
        <v/>
      </c>
      <c r="AM19" s="259" t="str">
        <f>IF(AND('Mapa R. Fiscal'!$Y$33="Alta",'Mapa R. Fiscal'!$AA$33="Catastrófico"),CONCATENATE("R4C",'Mapa R. Fiscal'!$O$33),"")</f>
        <v/>
      </c>
      <c r="AN19" s="15"/>
      <c r="AO19" s="824"/>
      <c r="AP19" s="825"/>
      <c r="AQ19" s="825"/>
      <c r="AR19" s="825"/>
      <c r="AS19" s="825"/>
      <c r="AT19" s="8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6"/>
      <c r="C20" s="716"/>
      <c r="D20" s="717"/>
      <c r="E20" s="805"/>
      <c r="F20" s="806"/>
      <c r="G20" s="806"/>
      <c r="H20" s="806"/>
      <c r="I20" s="806"/>
      <c r="J20" s="269" t="str">
        <f>IF(AND('Mapa R. Fiscal'!$Y$34="Alta",'Mapa R. Fiscal'!$AA$34="Leve"),CONCATENATE("R5C",'Mapa R. Fiscal'!$O$34),"")</f>
        <v/>
      </c>
      <c r="K20" s="270" t="str">
        <f>IF(AND('Mapa R. Fiscal'!$Y$35="Alta",'Mapa R. Fiscal'!$AA$35="Leve"),CONCATENATE("R5C",'Mapa R. Fiscal'!$O$35),"")</f>
        <v/>
      </c>
      <c r="L20" s="270" t="str">
        <f>IF(AND('Mapa R. Fiscal'!$Y$36="Alta",'Mapa R. Fiscal'!$AA$36="Leve"),CONCATENATE("R5C",'Mapa R. Fiscal'!$O$36),"")</f>
        <v/>
      </c>
      <c r="M20" s="270" t="str">
        <f>IF(AND('Mapa R. Fiscal'!$Y$37="Alta",'Mapa R. Fiscal'!$AA$37="Leve"),CONCATENATE("R5C",'Mapa R. Fiscal'!$O$37),"")</f>
        <v/>
      </c>
      <c r="N20" s="270" t="str">
        <f>IF(AND('Mapa R. Fiscal'!$Y$38="Alta",'Mapa R. Fiscal'!$AA$38="Leve"),CONCATENATE("R5C",'Mapa R. Fiscal'!$O$38),"")</f>
        <v/>
      </c>
      <c r="O20" s="271" t="str">
        <f>IF(AND('Mapa R. Fiscal'!$Y$39="Alta",'Mapa R. Fiscal'!$AA$39="Leve"),CONCATENATE("R5C",'Mapa R. Fiscal'!$O$39),"")</f>
        <v/>
      </c>
      <c r="P20" s="269" t="str">
        <f>IF(AND('Mapa R. Fiscal'!$Y$34="Alta",'Mapa R. Fiscal'!$AA$34="Menor"),CONCATENATE("R5C",'Mapa R. Fiscal'!$O$34),"")</f>
        <v/>
      </c>
      <c r="Q20" s="270" t="str">
        <f>IF(AND('Mapa R. Fiscal'!$Y$35="Alta",'Mapa R. Fiscal'!$AA$35="Menor"),CONCATENATE("R5C",'Mapa R. Fiscal'!$O$35),"")</f>
        <v/>
      </c>
      <c r="R20" s="270" t="str">
        <f>IF(AND('Mapa R. Fiscal'!$Y$36="Alta",'Mapa R. Fiscal'!$AA$36="Menor"),CONCATENATE("R5C",'Mapa R. Fiscal'!$O$36),"")</f>
        <v/>
      </c>
      <c r="S20" s="270" t="str">
        <f>IF(AND('Mapa R. Fiscal'!$Y$37="Alta",'Mapa R. Fiscal'!$AA$37="Menor"),CONCATENATE("R5C",'Mapa R. Fiscal'!$O$37),"")</f>
        <v/>
      </c>
      <c r="T20" s="270" t="str">
        <f>IF(AND('Mapa R. Fiscal'!$Y$38="Alta",'Mapa R. Fiscal'!$AA$38="Menor"),CONCATENATE("R5C",'Mapa R. Fiscal'!$O$38),"")</f>
        <v/>
      </c>
      <c r="U20" s="271" t="str">
        <f>IF(AND('Mapa R. Fiscal'!$Y$39="Alta",'Mapa R. Fiscal'!$AA$39="Menor"),CONCATENATE("R5C",'Mapa R. Fiscal'!$O$39),"")</f>
        <v/>
      </c>
      <c r="V20" s="254" t="str">
        <f>IF(AND('Mapa R. Fiscal'!$Y$34="Alta",'Mapa R. Fiscal'!$AA$34="Moderado"),CONCATENATE("R5C",'Mapa R. Fiscal'!$O$34),"")</f>
        <v/>
      </c>
      <c r="W20" s="255" t="str">
        <f>IF(AND('Mapa R. Fiscal'!$Y$35="Alta",'Mapa R. Fiscal'!$AA$35="Moderado"),CONCATENATE("R5C",'Mapa R. Fiscal'!$O$35),"")</f>
        <v/>
      </c>
      <c r="X20" s="255" t="str">
        <f>IF(AND('Mapa R. Fiscal'!$Y$36="Alta",'Mapa R. Fiscal'!$AA$36="Moderado"),CONCATENATE("R5C",'Mapa R. Fiscal'!$O$36),"")</f>
        <v/>
      </c>
      <c r="Y20" s="255" t="str">
        <f>IF(AND('Mapa R. Fiscal'!$Y$37="Alta",'Mapa R. Fiscal'!$AA$37="Moderado"),CONCATENATE("R5C",'Mapa R. Fiscal'!$O$37),"")</f>
        <v/>
      </c>
      <c r="Z20" s="255" t="str">
        <f>IF(AND('Mapa R. Fiscal'!$Y$38="Alta",'Mapa R. Fiscal'!$AA$38="Moderado"),CONCATENATE("R5C",'Mapa R. Fiscal'!$O$38),"")</f>
        <v/>
      </c>
      <c r="AA20" s="256" t="str">
        <f>IF(AND('Mapa R. Fiscal'!$Y$39="Alta",'Mapa R. Fiscal'!$AA$39="Moderado"),CONCATENATE("R5C",'Mapa R. Fiscal'!$O$39),"")</f>
        <v/>
      </c>
      <c r="AB20" s="254" t="str">
        <f>IF(AND('Mapa R. Fiscal'!$Y$34="Alta",'Mapa R. Fiscal'!$AA$34="Mayor"),CONCATENATE("R5C",'Mapa R. Fiscal'!$O$34),"")</f>
        <v/>
      </c>
      <c r="AC20" s="255" t="str">
        <f>IF(AND('Mapa R. Fiscal'!$Y$35="Alta",'Mapa R. Fiscal'!$AA$35="Mayor"),CONCATENATE("R5C",'Mapa R. Fiscal'!$O$35),"")</f>
        <v/>
      </c>
      <c r="AD20" s="255" t="str">
        <f>IF(AND('Mapa R. Fiscal'!$Y$36="Alta",'Mapa R. Fiscal'!$AA$36="Mayor"),CONCATENATE("R5C",'Mapa R. Fiscal'!$O$36),"")</f>
        <v/>
      </c>
      <c r="AE20" s="255" t="str">
        <f>IF(AND('Mapa R. Fiscal'!$Y$37="Alta",'Mapa R. Fiscal'!$AA$37="Mayor"),CONCATENATE("R5C",'Mapa R. Fiscal'!$O$37),"")</f>
        <v/>
      </c>
      <c r="AF20" s="255" t="str">
        <f>IF(AND('Mapa R. Fiscal'!$Y$38="Alta",'Mapa R. Fiscal'!$AA$38="Mayor"),CONCATENATE("R5C",'Mapa R. Fiscal'!$O$38),"")</f>
        <v/>
      </c>
      <c r="AG20" s="256" t="str">
        <f>IF(AND('Mapa R. Fiscal'!$Y$39="Alta",'Mapa R. Fiscal'!$AA$39="Mayor"),CONCATENATE("R5C",'Mapa R. Fiscal'!$O$39),"")</f>
        <v/>
      </c>
      <c r="AH20" s="257" t="str">
        <f>IF(AND('Mapa R. Fiscal'!$Y$34="Alta",'Mapa R. Fiscal'!$AA$34="Catastrófico"),CONCATENATE("R5C",'Mapa R. Fiscal'!$O$34),"")</f>
        <v/>
      </c>
      <c r="AI20" s="258" t="str">
        <f>IF(AND('Mapa R. Fiscal'!$Y$35="Alta",'Mapa R. Fiscal'!$AA$35="Catastrófico"),CONCATENATE("R5C",'Mapa R. Fiscal'!$O$35),"")</f>
        <v/>
      </c>
      <c r="AJ20" s="258" t="str">
        <f>IF(AND('Mapa R. Fiscal'!$Y$36="Alta",'Mapa R. Fiscal'!$AA$36="Catastrófico"),CONCATENATE("R5C",'Mapa R. Fiscal'!$O$36),"")</f>
        <v/>
      </c>
      <c r="AK20" s="258" t="str">
        <f>IF(AND('Mapa R. Fiscal'!$Y$37="Alta",'Mapa R. Fiscal'!$AA$37="Catastrófico"),CONCATENATE("R5C",'Mapa R. Fiscal'!$O$37),"")</f>
        <v/>
      </c>
      <c r="AL20" s="258" t="str">
        <f>IF(AND('Mapa R. Fiscal'!$Y$38="Alta",'Mapa R. Fiscal'!$AA$38="Catastrófico"),CONCATENATE("R5C",'Mapa R. Fiscal'!$O$38),"")</f>
        <v/>
      </c>
      <c r="AM20" s="259" t="str">
        <f>IF(AND('Mapa R. Fiscal'!$Y$39="Alta",'Mapa R. Fiscal'!$AA$39="Catastrófico"),CONCATENATE("R5C",'Mapa R. Fiscal'!$O$39),"")</f>
        <v/>
      </c>
      <c r="AN20" s="15"/>
      <c r="AO20" s="824"/>
      <c r="AP20" s="825"/>
      <c r="AQ20" s="825"/>
      <c r="AR20" s="825"/>
      <c r="AS20" s="825"/>
      <c r="AT20" s="8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6"/>
      <c r="C21" s="716"/>
      <c r="D21" s="717"/>
      <c r="E21" s="805"/>
      <c r="F21" s="806"/>
      <c r="G21" s="806"/>
      <c r="H21" s="806"/>
      <c r="I21" s="806"/>
      <c r="J21" s="269" t="str">
        <f>IF(AND('Mapa R. Fiscal'!$Y$40="Alta",'Mapa R. Fiscal'!$AA$40="Leve"),CONCATENATE("R6C",'Mapa R. Fiscal'!$O$40),"")</f>
        <v/>
      </c>
      <c r="K21" s="270" t="str">
        <f>IF(AND('Mapa R. Fiscal'!$Y$41="Alta",'Mapa R. Fiscal'!$AA$41="Leve"),CONCATENATE("R6C",'Mapa R. Fiscal'!$O$41),"")</f>
        <v/>
      </c>
      <c r="L21" s="270" t="str">
        <f>IF(AND('Mapa R. Fiscal'!$Y$42="Alta",'Mapa R. Fiscal'!$AA$42="Leve"),CONCATENATE("R6C",'Mapa R. Fiscal'!$O$42),"")</f>
        <v/>
      </c>
      <c r="M21" s="270" t="str">
        <f>IF(AND('Mapa R. Fiscal'!$Y$43="Alta",'Mapa R. Fiscal'!$AA$43="Leve"),CONCATENATE("R6C",'Mapa R. Fiscal'!$O$43),"")</f>
        <v/>
      </c>
      <c r="N21" s="270" t="str">
        <f>IF(AND('Mapa R. Fiscal'!$Y$44="Alta",'Mapa R. Fiscal'!$AA$44="Leve"),CONCATENATE("R6C",'Mapa R. Fiscal'!$O$44),"")</f>
        <v/>
      </c>
      <c r="O21" s="271" t="str">
        <f>IF(AND('Mapa R. Fiscal'!$Y$45="Alta",'Mapa R. Fiscal'!$AA$45="Leve"),CONCATENATE("R6C",'Mapa R. Fiscal'!$O$45),"")</f>
        <v/>
      </c>
      <c r="P21" s="269" t="str">
        <f>IF(AND('Mapa R. Fiscal'!$Y$40="Alta",'Mapa R. Fiscal'!$AA$40="Menor"),CONCATENATE("R6C",'Mapa R. Fiscal'!$O$40),"")</f>
        <v/>
      </c>
      <c r="Q21" s="270" t="str">
        <f>IF(AND('Mapa R. Fiscal'!$Y$41="Alta",'Mapa R. Fiscal'!$AA$41="Menor"),CONCATENATE("R6C",'Mapa R. Fiscal'!$O$41),"")</f>
        <v/>
      </c>
      <c r="R21" s="270" t="str">
        <f>IF(AND('Mapa R. Fiscal'!$Y$42="Alta",'Mapa R. Fiscal'!$AA$42="Menor"),CONCATENATE("R6C",'Mapa R. Fiscal'!$O$42),"")</f>
        <v/>
      </c>
      <c r="S21" s="270" t="str">
        <f>IF(AND('Mapa R. Fiscal'!$Y$43="Alta",'Mapa R. Fiscal'!$AA$43="Menor"),CONCATENATE("R6C",'Mapa R. Fiscal'!$O$43),"")</f>
        <v/>
      </c>
      <c r="T21" s="270" t="str">
        <f>IF(AND('Mapa R. Fiscal'!$Y$44="Alta",'Mapa R. Fiscal'!$AA$44="Menor"),CONCATENATE("R6C",'Mapa R. Fiscal'!$O$44),"")</f>
        <v/>
      </c>
      <c r="U21" s="271" t="str">
        <f>IF(AND('Mapa R. Fiscal'!$Y$45="Alta",'Mapa R. Fiscal'!$AA$45="Menor"),CONCATENATE("R6C",'Mapa R. Fiscal'!$O$45),"")</f>
        <v/>
      </c>
      <c r="V21" s="254" t="str">
        <f>IF(AND('Mapa R. Fiscal'!$Y$40="Alta",'Mapa R. Fiscal'!$AA$40="Moderado"),CONCATENATE("R6C",'Mapa R. Fiscal'!$O$40),"")</f>
        <v/>
      </c>
      <c r="W21" s="255" t="str">
        <f>IF(AND('Mapa R. Fiscal'!$Y$41="Alta",'Mapa R. Fiscal'!$AA$41="Moderado"),CONCATENATE("R6C",'Mapa R. Fiscal'!$O$41),"")</f>
        <v/>
      </c>
      <c r="X21" s="255" t="str">
        <f>IF(AND('Mapa R. Fiscal'!$Y$42="Alta",'Mapa R. Fiscal'!$AA$42="Moderado"),CONCATENATE("R6C",'Mapa R. Fiscal'!$O$42),"")</f>
        <v/>
      </c>
      <c r="Y21" s="255" t="str">
        <f>IF(AND('Mapa R. Fiscal'!$Y$43="Alta",'Mapa R. Fiscal'!$AA$43="Moderado"),CONCATENATE("R6C",'Mapa R. Fiscal'!$O$43),"")</f>
        <v/>
      </c>
      <c r="Z21" s="255" t="str">
        <f>IF(AND('Mapa R. Fiscal'!$Y$44="Alta",'Mapa R. Fiscal'!$AA$44="Moderado"),CONCATENATE("R6C",'Mapa R. Fiscal'!$O$44),"")</f>
        <v/>
      </c>
      <c r="AA21" s="256" t="str">
        <f>IF(AND('Mapa R. Fiscal'!$Y$45="Alta",'Mapa R. Fiscal'!$AA$45="Moderado"),CONCATENATE("R6C",'Mapa R. Fiscal'!$O$45),"")</f>
        <v/>
      </c>
      <c r="AB21" s="254" t="str">
        <f>IF(AND('Mapa R. Fiscal'!$Y$40="Alta",'Mapa R. Fiscal'!$AA$40="Mayor"),CONCATENATE("R6C",'Mapa R. Fiscal'!$O$40),"")</f>
        <v/>
      </c>
      <c r="AC21" s="255" t="str">
        <f>IF(AND('Mapa R. Fiscal'!$Y$41="Alta",'Mapa R. Fiscal'!$AA$41="Mayor"),CONCATENATE("R6C",'Mapa R. Fiscal'!$O$41),"")</f>
        <v/>
      </c>
      <c r="AD21" s="255" t="str">
        <f>IF(AND('Mapa R. Fiscal'!$Y$42="Alta",'Mapa R. Fiscal'!$AA$42="Mayor"),CONCATENATE("R6C",'Mapa R. Fiscal'!$O$42),"")</f>
        <v/>
      </c>
      <c r="AE21" s="255" t="str">
        <f>IF(AND('Mapa R. Fiscal'!$Y$43="Alta",'Mapa R. Fiscal'!$AA$43="Mayor"),CONCATENATE("R6C",'Mapa R. Fiscal'!$O$43),"")</f>
        <v/>
      </c>
      <c r="AF21" s="255" t="str">
        <f>IF(AND('Mapa R. Fiscal'!$Y$44="Alta",'Mapa R. Fiscal'!$AA$44="Mayor"),CONCATENATE("R6C",'Mapa R. Fiscal'!$O$44),"")</f>
        <v/>
      </c>
      <c r="AG21" s="256" t="str">
        <f>IF(AND('Mapa R. Fiscal'!$Y$45="Alta",'Mapa R. Fiscal'!$AA$45="Mayor"),CONCATENATE("R6C",'Mapa R. Fiscal'!$O$45),"")</f>
        <v/>
      </c>
      <c r="AH21" s="257" t="str">
        <f>IF(AND('Mapa R. Fiscal'!$Y$40="Alta",'Mapa R. Fiscal'!$AA$40="Catastrófico"),CONCATENATE("R6C",'Mapa R. Fiscal'!$O$40),"")</f>
        <v/>
      </c>
      <c r="AI21" s="258" t="str">
        <f>IF(AND('Mapa R. Fiscal'!$Y$41="Alta",'Mapa R. Fiscal'!$AA$41="Catastrófico"),CONCATENATE("R6C",'Mapa R. Fiscal'!$O$41),"")</f>
        <v/>
      </c>
      <c r="AJ21" s="258" t="str">
        <f>IF(AND('Mapa R. Fiscal'!$Y$42="Alta",'Mapa R. Fiscal'!$AA$42="Catastrófico"),CONCATENATE("R6C",'Mapa R. Fiscal'!$O$42),"")</f>
        <v/>
      </c>
      <c r="AK21" s="258" t="str">
        <f>IF(AND('Mapa R. Fiscal'!$Y$43="Alta",'Mapa R. Fiscal'!$AA$43="Catastrófico"),CONCATENATE("R6C",'Mapa R. Fiscal'!$O$43),"")</f>
        <v/>
      </c>
      <c r="AL21" s="258" t="str">
        <f>IF(AND('Mapa R. Fiscal'!$Y$44="Alta",'Mapa R. Fiscal'!$AA$44="Catastrófico"),CONCATENATE("R6C",'Mapa R. Fiscal'!$O$44),"")</f>
        <v/>
      </c>
      <c r="AM21" s="259" t="str">
        <f>IF(AND('Mapa R. Fiscal'!$Y$45="Alta",'Mapa R. Fiscal'!$AA$45="Catastrófico"),CONCATENATE("R6C",'Mapa R. Fiscal'!$O$45),"")</f>
        <v/>
      </c>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6"/>
      <c r="C22" s="716"/>
      <c r="D22" s="717"/>
      <c r="E22" s="805"/>
      <c r="F22" s="806"/>
      <c r="G22" s="806"/>
      <c r="H22" s="806"/>
      <c r="I22" s="806"/>
      <c r="J22" s="269" t="str">
        <f>IF(AND('Mapa R. Fiscal'!$Y$46="Alta",'Mapa R. Fiscal'!$AA$46="Leve"),CONCATENATE("R7C",'Mapa R. Fiscal'!$O$46),"")</f>
        <v/>
      </c>
      <c r="K22" s="270" t="str">
        <f>IF(AND('Mapa R. Fiscal'!$Y$47="Alta",'Mapa R. Fiscal'!$AA$47="Leve"),CONCATENATE("R7C",'Mapa R. Fiscal'!$O$47),"")</f>
        <v/>
      </c>
      <c r="L22" s="270" t="str">
        <f>IF(AND('Mapa R. Fiscal'!$Y$48="Alta",'Mapa R. Fiscal'!$AA$48="Leve"),CONCATENATE("R7C",'Mapa R. Fiscal'!$O$48),"")</f>
        <v/>
      </c>
      <c r="M22" s="270" t="str">
        <f>IF(AND('Mapa R. Fiscal'!$Y$49="Alta",'Mapa R. Fiscal'!$AA$49="Leve"),CONCATENATE("R7C",'Mapa R. Fiscal'!$O$49),"")</f>
        <v/>
      </c>
      <c r="N22" s="270" t="str">
        <f>IF(AND('Mapa R. Fiscal'!$Y$50="Alta",'Mapa R. Fiscal'!$AA$50="Leve"),CONCATENATE("R7C",'Mapa R. Fiscal'!$O$50),"")</f>
        <v/>
      </c>
      <c r="O22" s="271" t="str">
        <f>IF(AND('Mapa R. Fiscal'!$Y$51="Alta",'Mapa R. Fiscal'!$AA$51="Leve"),CONCATENATE("R7C",'Mapa R. Fiscal'!$O$51),"")</f>
        <v/>
      </c>
      <c r="P22" s="269" t="str">
        <f>IF(AND('Mapa R. Fiscal'!$Y$46="Alta",'Mapa R. Fiscal'!$AA$46="Menor"),CONCATENATE("R7C",'Mapa R. Fiscal'!$O$46),"")</f>
        <v/>
      </c>
      <c r="Q22" s="270" t="str">
        <f>IF(AND('Mapa R. Fiscal'!$Y$47="Alta",'Mapa R. Fiscal'!$AA$47="Menor"),CONCATENATE("R7C",'Mapa R. Fiscal'!$O$47),"")</f>
        <v/>
      </c>
      <c r="R22" s="270" t="str">
        <f>IF(AND('Mapa R. Fiscal'!$Y$48="Alta",'Mapa R. Fiscal'!$AA$48="Menor"),CONCATENATE("R7C",'Mapa R. Fiscal'!$O$48),"")</f>
        <v/>
      </c>
      <c r="S22" s="270" t="str">
        <f>IF(AND('Mapa R. Fiscal'!$Y$49="Alta",'Mapa R. Fiscal'!$AA$49="Menor"),CONCATENATE("R7C",'Mapa R. Fiscal'!$O$49),"")</f>
        <v/>
      </c>
      <c r="T22" s="270" t="str">
        <f>IF(AND('Mapa R. Fiscal'!$Y$50="Alta",'Mapa R. Fiscal'!$AA$50="Menor"),CONCATENATE("R7C",'Mapa R. Fiscal'!$O$50),"")</f>
        <v/>
      </c>
      <c r="U22" s="271" t="str">
        <f>IF(AND('Mapa R. Fiscal'!$Y$51="Alta",'Mapa R. Fiscal'!$AA$51="Menor"),CONCATENATE("R7C",'Mapa R. Fiscal'!$O$51),"")</f>
        <v/>
      </c>
      <c r="V22" s="254" t="str">
        <f>IF(AND('Mapa R. Fiscal'!$Y$46="Alta",'Mapa R. Fiscal'!$AA$46="Moderado"),CONCATENATE("R7C",'Mapa R. Fiscal'!$O$46),"")</f>
        <v/>
      </c>
      <c r="W22" s="255" t="str">
        <f>IF(AND('Mapa R. Fiscal'!$Y$47="Alta",'Mapa R. Fiscal'!$AA$47="Moderado"),CONCATENATE("R7C",'Mapa R. Fiscal'!$O$47),"")</f>
        <v/>
      </c>
      <c r="X22" s="255" t="str">
        <f>IF(AND('Mapa R. Fiscal'!$Y$48="Alta",'Mapa R. Fiscal'!$AA$48="Moderado"),CONCATENATE("R7C",'Mapa R. Fiscal'!$O$48),"")</f>
        <v/>
      </c>
      <c r="Y22" s="255" t="str">
        <f>IF(AND('Mapa R. Fiscal'!$Y$49="Alta",'Mapa R. Fiscal'!$AA$49="Moderado"),CONCATENATE("R7C",'Mapa R. Fiscal'!$O$49),"")</f>
        <v/>
      </c>
      <c r="Z22" s="255" t="str">
        <f>IF(AND('Mapa R. Fiscal'!$Y$50="Alta",'Mapa R. Fiscal'!$AA$50="Moderado"),CONCATENATE("R7C",'Mapa R. Fiscal'!$O$50),"")</f>
        <v/>
      </c>
      <c r="AA22" s="256" t="str">
        <f>IF(AND('Mapa R. Fiscal'!$Y$51="Alta",'Mapa R. Fiscal'!$AA$51="Moderado"),CONCATENATE("R7C",'Mapa R. Fiscal'!$O$51),"")</f>
        <v/>
      </c>
      <c r="AB22" s="254" t="str">
        <f>IF(AND('Mapa R. Fiscal'!$Y$46="Alta",'Mapa R. Fiscal'!$AA$46="Mayor"),CONCATENATE("R7C",'Mapa R. Fiscal'!$O$46),"")</f>
        <v/>
      </c>
      <c r="AC22" s="255" t="str">
        <f>IF(AND('Mapa R. Fiscal'!$Y$47="Alta",'Mapa R. Fiscal'!$AA$47="Mayor"),CONCATENATE("R7C",'Mapa R. Fiscal'!$O$47),"")</f>
        <v/>
      </c>
      <c r="AD22" s="255" t="str">
        <f>IF(AND('Mapa R. Fiscal'!$Y$48="Alta",'Mapa R. Fiscal'!$AA$48="Mayor"),CONCATENATE("R7C",'Mapa R. Fiscal'!$O$48),"")</f>
        <v/>
      </c>
      <c r="AE22" s="255" t="str">
        <f>IF(AND('Mapa R. Fiscal'!$Y$49="Alta",'Mapa R. Fiscal'!$AA$49="Mayor"),CONCATENATE("R7C",'Mapa R. Fiscal'!$O$49),"")</f>
        <v/>
      </c>
      <c r="AF22" s="255" t="str">
        <f>IF(AND('Mapa R. Fiscal'!$Y$50="Alta",'Mapa R. Fiscal'!$AA$50="Mayor"),CONCATENATE("R7C",'Mapa R. Fiscal'!$O$50),"")</f>
        <v/>
      </c>
      <c r="AG22" s="256" t="str">
        <f>IF(AND('Mapa R. Fiscal'!$Y$51="Alta",'Mapa R. Fiscal'!$AA$51="Mayor"),CONCATENATE("R7C",'Mapa R. Fiscal'!$O$51),"")</f>
        <v/>
      </c>
      <c r="AH22" s="257" t="str">
        <f>IF(AND('Mapa R. Fiscal'!$Y$46="Alta",'Mapa R. Fiscal'!$AA$46="Catastrófico"),CONCATENATE("R7C",'Mapa R. Fiscal'!$O$46),"")</f>
        <v/>
      </c>
      <c r="AI22" s="258" t="str">
        <f>IF(AND('Mapa R. Fiscal'!$Y$47="Alta",'Mapa R. Fiscal'!$AA$47="Catastrófico"),CONCATENATE("R7C",'Mapa R. Fiscal'!$O$47),"")</f>
        <v/>
      </c>
      <c r="AJ22" s="258" t="str">
        <f>IF(AND('Mapa R. Fiscal'!$Y$48="Alta",'Mapa R. Fiscal'!$AA$48="Catastrófico"),CONCATENATE("R7C",'Mapa R. Fiscal'!$O$48),"")</f>
        <v/>
      </c>
      <c r="AK22" s="258" t="str">
        <f>IF(AND('Mapa R. Fiscal'!$Y$49="Alta",'Mapa R. Fiscal'!$AA$49="Catastrófico"),CONCATENATE("R7C",'Mapa R. Fiscal'!$O$49),"")</f>
        <v/>
      </c>
      <c r="AL22" s="258" t="str">
        <f>IF(AND('Mapa R. Fiscal'!$Y$50="Alta",'Mapa R. Fiscal'!$AA$50="Catastrófico"),CONCATENATE("R7C",'Mapa R. Fiscal'!$O$50),"")</f>
        <v/>
      </c>
      <c r="AM22" s="259" t="str">
        <f>IF(AND('Mapa R. Fiscal'!$Y$51="Alta",'Mapa R. Fiscal'!$AA$51="Catastrófico"),CONCATENATE("R7C",'Mapa R. Fiscal'!$O$51),"")</f>
        <v/>
      </c>
      <c r="AN22" s="15"/>
      <c r="AO22" s="824"/>
      <c r="AP22" s="825"/>
      <c r="AQ22" s="825"/>
      <c r="AR22" s="825"/>
      <c r="AS22" s="825"/>
      <c r="AT22" s="8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6"/>
      <c r="C23" s="716"/>
      <c r="D23" s="717"/>
      <c r="E23" s="805"/>
      <c r="F23" s="806"/>
      <c r="G23" s="806"/>
      <c r="H23" s="806"/>
      <c r="I23" s="806"/>
      <c r="J23" s="269" t="str">
        <f>IF(AND('Mapa R. Fiscal'!$Y$52="Alta",'Mapa R. Fiscal'!$AA$52="Leve"),CONCATENATE("R8C",'Mapa R. Fiscal'!$O$52),"")</f>
        <v/>
      </c>
      <c r="K23" s="270" t="str">
        <f>IF(AND('Mapa R. Fiscal'!$Y$53="Alta",'Mapa R. Fiscal'!$AA$53="Leve"),CONCATENATE("R8C",'Mapa R. Fiscal'!$O$53),"")</f>
        <v/>
      </c>
      <c r="L23" s="270" t="str">
        <f>IF(AND('Mapa R. Fiscal'!$Y$54="Alta",'Mapa R. Fiscal'!$AA$54="Leve"),CONCATENATE("R8C",'Mapa R. Fiscal'!$O$54),"")</f>
        <v/>
      </c>
      <c r="M23" s="270" t="str">
        <f>IF(AND('Mapa R. Fiscal'!$Y$55="Alta",'Mapa R. Fiscal'!$AA$55="Leve"),CONCATENATE("R8C",'Mapa R. Fiscal'!$O$55),"")</f>
        <v/>
      </c>
      <c r="N23" s="270" t="str">
        <f>IF(AND('Mapa R. Fiscal'!$Y$56="Alta",'Mapa R. Fiscal'!$AA$56="Leve"),CONCATENATE("R8C",'Mapa R. Fiscal'!$O$56),"")</f>
        <v/>
      </c>
      <c r="O23" s="271" t="str">
        <f>IF(AND('Mapa R. Fiscal'!$Y$57="Alta",'Mapa R. Fiscal'!$AA$57="Leve"),CONCATENATE("R8C",'Mapa R. Fiscal'!$O$57),"")</f>
        <v/>
      </c>
      <c r="P23" s="269" t="str">
        <f>IF(AND('Mapa R. Fiscal'!$Y$52="Alta",'Mapa R. Fiscal'!$AA$52="Menor"),CONCATENATE("R8C",'Mapa R. Fiscal'!$O$52),"")</f>
        <v/>
      </c>
      <c r="Q23" s="270" t="str">
        <f>IF(AND('Mapa R. Fiscal'!$Y$53="Alta",'Mapa R. Fiscal'!$AA$53="Menor"),CONCATENATE("R8C",'Mapa R. Fiscal'!$O$53),"")</f>
        <v/>
      </c>
      <c r="R23" s="270" t="str">
        <f>IF(AND('Mapa R. Fiscal'!$Y$54="Alta",'Mapa R. Fiscal'!$AA$54="Menor"),CONCATENATE("R8C",'Mapa R. Fiscal'!$O$54),"")</f>
        <v/>
      </c>
      <c r="S23" s="270" t="str">
        <f>IF(AND('Mapa R. Fiscal'!$Y$55="Alta",'Mapa R. Fiscal'!$AA$55="Menor"),CONCATENATE("R8C",'Mapa R. Fiscal'!$O$55),"")</f>
        <v/>
      </c>
      <c r="T23" s="270" t="str">
        <f>IF(AND('Mapa R. Fiscal'!$Y$56="Alta",'Mapa R. Fiscal'!$AA$56="Menor"),CONCATENATE("R8C",'Mapa R. Fiscal'!$O$56),"")</f>
        <v/>
      </c>
      <c r="U23" s="271" t="str">
        <f>IF(AND('Mapa R. Fiscal'!$Y$57="Alta",'Mapa R. Fiscal'!$AA$57="Menor"),CONCATENATE("R8C",'Mapa R. Fiscal'!$O$57),"")</f>
        <v/>
      </c>
      <c r="V23" s="254" t="str">
        <f>IF(AND('Mapa R. Fiscal'!$Y$52="Alta",'Mapa R. Fiscal'!$AA$52="Moderado"),CONCATENATE("R8C",'Mapa R. Fiscal'!$O$52),"")</f>
        <v/>
      </c>
      <c r="W23" s="255" t="str">
        <f>IF(AND('Mapa R. Fiscal'!$Y$53="Alta",'Mapa R. Fiscal'!$AA$53="Moderado"),CONCATENATE("R8C",'Mapa R. Fiscal'!$O$53),"")</f>
        <v/>
      </c>
      <c r="X23" s="255" t="str">
        <f>IF(AND('Mapa R. Fiscal'!$Y$54="Alta",'Mapa R. Fiscal'!$AA$54="Moderado"),CONCATENATE("R8C",'Mapa R. Fiscal'!$O$54),"")</f>
        <v/>
      </c>
      <c r="Y23" s="255" t="str">
        <f>IF(AND('Mapa R. Fiscal'!$Y$55="Alta",'Mapa R. Fiscal'!$AA$55="Moderado"),CONCATENATE("R8C",'Mapa R. Fiscal'!$O$55),"")</f>
        <v/>
      </c>
      <c r="Z23" s="255" t="str">
        <f>IF(AND('Mapa R. Fiscal'!$Y$56="Alta",'Mapa R. Fiscal'!$AA$56="Moderado"),CONCATENATE("R8C",'Mapa R. Fiscal'!$O$56),"")</f>
        <v/>
      </c>
      <c r="AA23" s="256" t="str">
        <f>IF(AND('Mapa R. Fiscal'!$Y$57="Alta",'Mapa R. Fiscal'!$AA$57="Moderado"),CONCATENATE("R8C",'Mapa R. Fiscal'!$O$57),"")</f>
        <v/>
      </c>
      <c r="AB23" s="254" t="str">
        <f>IF(AND('Mapa R. Fiscal'!$Y$52="Alta",'Mapa R. Fiscal'!$AA$52="Mayor"),CONCATENATE("R8C",'Mapa R. Fiscal'!$O$52),"")</f>
        <v/>
      </c>
      <c r="AC23" s="255" t="str">
        <f>IF(AND('Mapa R. Fiscal'!$Y$53="Alta",'Mapa R. Fiscal'!$AA$53="Mayor"),CONCATENATE("R8C",'Mapa R. Fiscal'!$O$53),"")</f>
        <v/>
      </c>
      <c r="AD23" s="255" t="str">
        <f>IF(AND('Mapa R. Fiscal'!$Y$54="Alta",'Mapa R. Fiscal'!$AA$54="Mayor"),CONCATENATE("R8C",'Mapa R. Fiscal'!$O$54),"")</f>
        <v/>
      </c>
      <c r="AE23" s="255" t="str">
        <f>IF(AND('Mapa R. Fiscal'!$Y$55="Alta",'Mapa R. Fiscal'!$AA$55="Mayor"),CONCATENATE("R8C",'Mapa R. Fiscal'!$O$55),"")</f>
        <v/>
      </c>
      <c r="AF23" s="255" t="str">
        <f>IF(AND('Mapa R. Fiscal'!$Y$56="Alta",'Mapa R. Fiscal'!$AA$56="Mayor"),CONCATENATE("R8C",'Mapa R. Fiscal'!$O$56),"")</f>
        <v/>
      </c>
      <c r="AG23" s="256" t="str">
        <f>IF(AND('Mapa R. Fiscal'!$Y$57="Alta",'Mapa R. Fiscal'!$AA$57="Mayor"),CONCATENATE("R8C",'Mapa R. Fiscal'!$O$57),"")</f>
        <v/>
      </c>
      <c r="AH23" s="257" t="str">
        <f>IF(AND('Mapa R. Fiscal'!$Y$52="Alta",'Mapa R. Fiscal'!$AA$52="Catastrófico"),CONCATENATE("R8C",'Mapa R. Fiscal'!$O$52),"")</f>
        <v/>
      </c>
      <c r="AI23" s="258" t="str">
        <f>IF(AND('Mapa R. Fiscal'!$Y$53="Alta",'Mapa R. Fiscal'!$AA$53="Catastrófico"),CONCATENATE("R8C",'Mapa R. Fiscal'!$O$53),"")</f>
        <v/>
      </c>
      <c r="AJ23" s="258" t="str">
        <f>IF(AND('Mapa R. Fiscal'!$Y$54="Alta",'Mapa R. Fiscal'!$AA$54="Catastrófico"),CONCATENATE("R8C",'Mapa R. Fiscal'!$O$54),"")</f>
        <v/>
      </c>
      <c r="AK23" s="258" t="str">
        <f>IF(AND('Mapa R. Fiscal'!$Y$55="Alta",'Mapa R. Fiscal'!$AA$55="Catastrófico"),CONCATENATE("R8C",'Mapa R. Fiscal'!$O$55),"")</f>
        <v/>
      </c>
      <c r="AL23" s="258" t="str">
        <f>IF(AND('Mapa R. Fiscal'!$Y$56="Alta",'Mapa R. Fiscal'!$AA$56="Catastrófico"),CONCATENATE("R8C",'Mapa R. Fiscal'!$O$56),"")</f>
        <v/>
      </c>
      <c r="AM23" s="259" t="str">
        <f>IF(AND('Mapa R. Fiscal'!$Y$57="Alta",'Mapa R. Fiscal'!$AA$57="Catastrófico"),CONCATENATE("R8C",'Mapa R. Fiscal'!$O$57),"")</f>
        <v/>
      </c>
      <c r="AN23" s="15"/>
      <c r="AO23" s="824"/>
      <c r="AP23" s="825"/>
      <c r="AQ23" s="825"/>
      <c r="AR23" s="825"/>
      <c r="AS23" s="825"/>
      <c r="AT23" s="8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6"/>
      <c r="C24" s="716"/>
      <c r="D24" s="717"/>
      <c r="E24" s="805"/>
      <c r="F24" s="806"/>
      <c r="G24" s="806"/>
      <c r="H24" s="806"/>
      <c r="I24" s="806"/>
      <c r="J24" s="269" t="str">
        <f>IF(AND('Mapa R. Fiscal'!$Y$58="Alta",'Mapa R. Fiscal'!$AA$58="Leve"),CONCATENATE("R9C",'Mapa R. Fiscal'!$O$58),"")</f>
        <v/>
      </c>
      <c r="K24" s="270" t="str">
        <f>IF(AND('Mapa R. Fiscal'!$Y$59="Alta",'Mapa R. Fiscal'!$AA$59="Leve"),CONCATENATE("R9C",'Mapa R. Fiscal'!$O$59),"")</f>
        <v/>
      </c>
      <c r="L24" s="270" t="str">
        <f>IF(AND('Mapa R. Fiscal'!$Y$60="Alta",'Mapa R. Fiscal'!$AA$60="Leve"),CONCATENATE("R9C",'Mapa R. Fiscal'!$O$60),"")</f>
        <v/>
      </c>
      <c r="M24" s="270" t="str">
        <f>IF(AND('Mapa R. Fiscal'!$Y$61="Alta",'Mapa R. Fiscal'!$AA$61="Leve"),CONCATENATE("R9C",'Mapa R. Fiscal'!$O$61),"")</f>
        <v/>
      </c>
      <c r="N24" s="270" t="str">
        <f>IF(AND('Mapa R. Fiscal'!$Y$62="Alta",'Mapa R. Fiscal'!$AA$62="Leve"),CONCATENATE("R9C",'Mapa R. Fiscal'!$O$62),"")</f>
        <v/>
      </c>
      <c r="O24" s="271" t="str">
        <f>IF(AND('Mapa R. Fiscal'!$Y$63="Alta",'Mapa R. Fiscal'!$AA$63="Leve"),CONCATENATE("R9C",'Mapa R. Fiscal'!$O$63),"")</f>
        <v/>
      </c>
      <c r="P24" s="269" t="str">
        <f>IF(AND('Mapa R. Fiscal'!$Y$58="Alta",'Mapa R. Fiscal'!$AA$58="Menor"),CONCATENATE("R9C",'Mapa R. Fiscal'!$O$58),"")</f>
        <v/>
      </c>
      <c r="Q24" s="270" t="str">
        <f>IF(AND('Mapa R. Fiscal'!$Y$59="Alta",'Mapa R. Fiscal'!$AA$59="Menor"),CONCATENATE("R9C",'Mapa R. Fiscal'!$O$59),"")</f>
        <v/>
      </c>
      <c r="R24" s="270" t="str">
        <f>IF(AND('Mapa R. Fiscal'!$Y$60="Alta",'Mapa R. Fiscal'!$AA$60="Menor"),CONCATENATE("R9C",'Mapa R. Fiscal'!$O$60),"")</f>
        <v/>
      </c>
      <c r="S24" s="270" t="str">
        <f>IF(AND('Mapa R. Fiscal'!$Y$61="Alta",'Mapa R. Fiscal'!$AA$61="Menor"),CONCATENATE("R9C",'Mapa R. Fiscal'!$O$61),"")</f>
        <v/>
      </c>
      <c r="T24" s="270" t="str">
        <f>IF(AND('Mapa R. Fiscal'!$Y$62="Alta",'Mapa R. Fiscal'!$AA$62="Menor"),CONCATENATE("R9C",'Mapa R. Fiscal'!$O$62),"")</f>
        <v/>
      </c>
      <c r="U24" s="271" t="str">
        <f>IF(AND('Mapa R. Fiscal'!$Y$63="Alta",'Mapa R. Fiscal'!$AA$63="Menor"),CONCATENATE("R9C",'Mapa R. Fiscal'!$O$63),"")</f>
        <v/>
      </c>
      <c r="V24" s="254" t="str">
        <f>IF(AND('Mapa R. Fiscal'!$Y$58="Alta",'Mapa R. Fiscal'!$AA$58="Moderado"),CONCATENATE("R9C",'Mapa R. Fiscal'!$O$58),"")</f>
        <v/>
      </c>
      <c r="W24" s="255" t="str">
        <f>IF(AND('Mapa R. Fiscal'!$Y$59="Alta",'Mapa R. Fiscal'!$AA$59="Moderado"),CONCATENATE("R9C",'Mapa R. Fiscal'!$O$59),"")</f>
        <v/>
      </c>
      <c r="X24" s="255" t="str">
        <f>IF(AND('Mapa R. Fiscal'!$Y$60="Alta",'Mapa R. Fiscal'!$AA$60="Moderado"),CONCATENATE("R9C",'Mapa R. Fiscal'!$O$60),"")</f>
        <v/>
      </c>
      <c r="Y24" s="255" t="str">
        <f>IF(AND('Mapa R. Fiscal'!$Y$61="Alta",'Mapa R. Fiscal'!$AA$61="Moderado"),CONCATENATE("R9C",'Mapa R. Fiscal'!$O$61),"")</f>
        <v/>
      </c>
      <c r="Z24" s="255" t="str">
        <f>IF(AND('Mapa R. Fiscal'!$Y$62="Alta",'Mapa R. Fiscal'!$AA$62="Moderado"),CONCATENATE("R9C",'Mapa R. Fiscal'!$O$62),"")</f>
        <v/>
      </c>
      <c r="AA24" s="256" t="str">
        <f>IF(AND('Mapa R. Fiscal'!$Y$63="Alta",'Mapa R. Fiscal'!$AA$63="Moderado"),CONCATENATE("R9C",'Mapa R. Fiscal'!$O$63),"")</f>
        <v/>
      </c>
      <c r="AB24" s="254" t="str">
        <f>IF(AND('Mapa R. Fiscal'!$Y$58="Alta",'Mapa R. Fiscal'!$AA$58="Mayor"),CONCATENATE("R9C",'Mapa R. Fiscal'!$O$58),"")</f>
        <v/>
      </c>
      <c r="AC24" s="255" t="str">
        <f>IF(AND('Mapa R. Fiscal'!$Y$59="Alta",'Mapa R. Fiscal'!$AA$59="Mayor"),CONCATENATE("R9C",'Mapa R. Fiscal'!$O$59),"")</f>
        <v/>
      </c>
      <c r="AD24" s="255" t="str">
        <f>IF(AND('Mapa R. Fiscal'!$Y$60="Alta",'Mapa R. Fiscal'!$AA$60="Mayor"),CONCATENATE("R9C",'Mapa R. Fiscal'!$O$60),"")</f>
        <v/>
      </c>
      <c r="AE24" s="255" t="str">
        <f>IF(AND('Mapa R. Fiscal'!$Y$61="Alta",'Mapa R. Fiscal'!$AA$61="Mayor"),CONCATENATE("R9C",'Mapa R. Fiscal'!$O$61),"")</f>
        <v/>
      </c>
      <c r="AF24" s="255" t="str">
        <f>IF(AND('Mapa R. Fiscal'!$Y$62="Alta",'Mapa R. Fiscal'!$AA$62="Mayor"),CONCATENATE("R9C",'Mapa R. Fiscal'!$O$62),"")</f>
        <v/>
      </c>
      <c r="AG24" s="256" t="str">
        <f>IF(AND('Mapa R. Fiscal'!$Y$63="Alta",'Mapa R. Fiscal'!$AA$63="Mayor"),CONCATENATE("R9C",'Mapa R. Fiscal'!$O$63),"")</f>
        <v/>
      </c>
      <c r="AH24" s="257" t="str">
        <f>IF(AND('Mapa R. Fiscal'!$Y$58="Alta",'Mapa R. Fiscal'!$AA$58="Catastrófico"),CONCATENATE("R9C",'Mapa R. Fiscal'!$O$58),"")</f>
        <v/>
      </c>
      <c r="AI24" s="258" t="str">
        <f>IF(AND('Mapa R. Fiscal'!$Y$59="Alta",'Mapa R. Fiscal'!$AA$59="Catastrófico"),CONCATENATE("R9C",'Mapa R. Fiscal'!$O$59),"")</f>
        <v/>
      </c>
      <c r="AJ24" s="258" t="str">
        <f>IF(AND('Mapa R. Fiscal'!$Y$60="Alta",'Mapa R. Fiscal'!$AA$60="Catastrófico"),CONCATENATE("R9C",'Mapa R. Fiscal'!$O$60),"")</f>
        <v/>
      </c>
      <c r="AK24" s="258" t="str">
        <f>IF(AND('Mapa R. Fiscal'!$Y$61="Alta",'Mapa R. Fiscal'!$AA$61="Catastrófico"),CONCATENATE("R9C",'Mapa R. Fiscal'!$O$61),"")</f>
        <v/>
      </c>
      <c r="AL24" s="258" t="str">
        <f>IF(AND('Mapa R. Fiscal'!$Y$62="Alta",'Mapa R. Fiscal'!$AA$62="Catastrófico"),CONCATENATE("R9C",'Mapa R. Fiscal'!$O$62),"")</f>
        <v/>
      </c>
      <c r="AM24" s="259" t="str">
        <f>IF(AND('Mapa R. Fiscal'!$Y$63="Alta",'Mapa R. Fiscal'!$AA$63="Catastrófico"),CONCATENATE("R9C",'Mapa R. Fiscal'!$O$63),"")</f>
        <v/>
      </c>
      <c r="AN24" s="15"/>
      <c r="AO24" s="824"/>
      <c r="AP24" s="825"/>
      <c r="AQ24" s="825"/>
      <c r="AR24" s="825"/>
      <c r="AS24" s="825"/>
      <c r="AT24" s="8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6"/>
      <c r="C25" s="716"/>
      <c r="D25" s="717"/>
      <c r="E25" s="808"/>
      <c r="F25" s="809"/>
      <c r="G25" s="809"/>
      <c r="H25" s="809"/>
      <c r="I25" s="809"/>
      <c r="J25" s="272" t="str">
        <f>IF(AND('Mapa R. Fiscal'!$Y$64="Alta",'Mapa R. Fiscal'!$AA$64="Leve"),CONCATENATE("R10C",'Mapa R. Fiscal'!$O$64),"")</f>
        <v/>
      </c>
      <c r="K25" s="273" t="str">
        <f>IF(AND('Mapa R. Fiscal'!$Y$65="Alta",'Mapa R. Fiscal'!$AA$65="Leve"),CONCATENATE("R10C",'Mapa R. Fiscal'!$O$65),"")</f>
        <v/>
      </c>
      <c r="L25" s="273" t="str">
        <f>IF(AND('Mapa R. Fiscal'!$Y$66="Alta",'Mapa R. Fiscal'!$AA$66="Leve"),CONCATENATE("R10C",'Mapa R. Fiscal'!$O$66),"")</f>
        <v/>
      </c>
      <c r="M25" s="273" t="str">
        <f>IF(AND('Mapa R. Fiscal'!$Y$67="Alta",'Mapa R. Fiscal'!$AA$67="Leve"),CONCATENATE("R10C",'Mapa R. Fiscal'!$O$67),"")</f>
        <v/>
      </c>
      <c r="N25" s="273" t="str">
        <f>IF(AND('Mapa R. Fiscal'!$Y$68="Alta",'Mapa R. Fiscal'!$AA$68="Leve"),CONCATENATE("R10C",'Mapa R. Fiscal'!$O$68),"")</f>
        <v/>
      </c>
      <c r="O25" s="274" t="str">
        <f>IF(AND('Mapa R. Fiscal'!$Y$69="Alta",'Mapa R. Fiscal'!$AA$69="Leve"),CONCATENATE("R10C",'Mapa R. Fiscal'!$O$69),"")</f>
        <v/>
      </c>
      <c r="P25" s="272" t="str">
        <f>IF(AND('Mapa R. Fiscal'!$Y$64="Alta",'Mapa R. Fiscal'!$AA$64="Menor"),CONCATENATE("R10C",'Mapa R. Fiscal'!$O$64),"")</f>
        <v/>
      </c>
      <c r="Q25" s="273" t="str">
        <f>IF(AND('Mapa R. Fiscal'!$Y$65="Alta",'Mapa R. Fiscal'!$AA$65="Menor"),CONCATENATE("R10C",'Mapa R. Fiscal'!$O$65),"")</f>
        <v/>
      </c>
      <c r="R25" s="273" t="str">
        <f>IF(AND('Mapa R. Fiscal'!$Y$66="Alta",'Mapa R. Fiscal'!$AA$66="Menor"),CONCATENATE("R10C",'Mapa R. Fiscal'!$O$66),"")</f>
        <v/>
      </c>
      <c r="S25" s="273" t="str">
        <f>IF(AND('Mapa R. Fiscal'!$Y$67="Alta",'Mapa R. Fiscal'!$AA$67="Menor"),CONCATENATE("R10C",'Mapa R. Fiscal'!$O$67),"")</f>
        <v/>
      </c>
      <c r="T25" s="273" t="str">
        <f>IF(AND('Mapa R. Fiscal'!$Y$68="Alta",'Mapa R. Fiscal'!$AA$68="Menor"),CONCATENATE("R10C",'Mapa R. Fiscal'!$O$68),"")</f>
        <v/>
      </c>
      <c r="U25" s="274" t="str">
        <f>IF(AND('Mapa R. Fiscal'!$Y$69="Alta",'Mapa R. Fiscal'!$AA$69="Menor"),CONCATENATE("R10C",'Mapa R. Fiscal'!$O$69),"")</f>
        <v/>
      </c>
      <c r="V25" s="260" t="str">
        <f>IF(AND('Mapa R. Fiscal'!$Y$64="Alta",'Mapa R. Fiscal'!$AA$64="Moderado"),CONCATENATE("R10C",'Mapa R. Fiscal'!$O$64),"")</f>
        <v/>
      </c>
      <c r="W25" s="261" t="str">
        <f>IF(AND('Mapa R. Fiscal'!$Y$65="Alta",'Mapa R. Fiscal'!$AA$65="Moderado"),CONCATENATE("R10C",'Mapa R. Fiscal'!$O$65),"")</f>
        <v/>
      </c>
      <c r="X25" s="261" t="str">
        <f>IF(AND('Mapa R. Fiscal'!$Y$66="Alta",'Mapa R. Fiscal'!$AA$66="Moderado"),CONCATENATE("R10C",'Mapa R. Fiscal'!$O$66),"")</f>
        <v/>
      </c>
      <c r="Y25" s="261" t="str">
        <f>IF(AND('Mapa R. Fiscal'!$Y$67="Alta",'Mapa R. Fiscal'!$AA$67="Moderado"),CONCATENATE("R10C",'Mapa R. Fiscal'!$O$67),"")</f>
        <v/>
      </c>
      <c r="Z25" s="261" t="str">
        <f>IF(AND('Mapa R. Fiscal'!$Y$68="Alta",'Mapa R. Fiscal'!$AA$68="Moderado"),CONCATENATE("R10C",'Mapa R. Fiscal'!$O$68),"")</f>
        <v/>
      </c>
      <c r="AA25" s="262" t="str">
        <f>IF(AND('Mapa R. Fiscal'!$Y$69="Alta",'Mapa R. Fiscal'!$AA$69="Moderado"),CONCATENATE("R10C",'Mapa R. Fiscal'!$O$69),"")</f>
        <v/>
      </c>
      <c r="AB25" s="260" t="str">
        <f>IF(AND('Mapa R. Fiscal'!$Y$64="Alta",'Mapa R. Fiscal'!$AA$64="Mayor"),CONCATENATE("R10C",'Mapa R. Fiscal'!$O$64),"")</f>
        <v/>
      </c>
      <c r="AC25" s="261" t="str">
        <f>IF(AND('Mapa R. Fiscal'!$Y$65="Alta",'Mapa R. Fiscal'!$AA$65="Mayor"),CONCATENATE("R10C",'Mapa R. Fiscal'!$O$65),"")</f>
        <v/>
      </c>
      <c r="AD25" s="261" t="str">
        <f>IF(AND('Mapa R. Fiscal'!$Y$66="Alta",'Mapa R. Fiscal'!$AA$66="Mayor"),CONCATENATE("R10C",'Mapa R. Fiscal'!$O$66),"")</f>
        <v/>
      </c>
      <c r="AE25" s="261" t="str">
        <f>IF(AND('Mapa R. Fiscal'!$Y$67="Alta",'Mapa R. Fiscal'!$AA$67="Mayor"),CONCATENATE("R10C",'Mapa R. Fiscal'!$O$67),"")</f>
        <v/>
      </c>
      <c r="AF25" s="261" t="str">
        <f>IF(AND('Mapa R. Fiscal'!$Y$68="Alta",'Mapa R. Fiscal'!$AA$68="Mayor"),CONCATENATE("R10C",'Mapa R. Fiscal'!$O$68),"")</f>
        <v/>
      </c>
      <c r="AG25" s="262" t="str">
        <f>IF(AND('Mapa R. Fiscal'!$Y$69="Alta",'Mapa R. Fiscal'!$AA$69="Mayor"),CONCATENATE("R10C",'Mapa R. Fiscal'!$O$69),"")</f>
        <v/>
      </c>
      <c r="AH25" s="263" t="str">
        <f>IF(AND('Mapa R. Fiscal'!$Y$64="Alta",'Mapa R. Fiscal'!$AA$64="Catastrófico"),CONCATENATE("R10C",'Mapa R. Fiscal'!$O$64),"")</f>
        <v/>
      </c>
      <c r="AI25" s="264" t="str">
        <f>IF(AND('Mapa R. Fiscal'!$Y$65="Alta",'Mapa R. Fiscal'!$AA$65="Catastrófico"),CONCATENATE("R10C",'Mapa R. Fiscal'!$O$65),"")</f>
        <v/>
      </c>
      <c r="AJ25" s="264" t="str">
        <f>IF(AND('Mapa R. Fiscal'!$Y$66="Alta",'Mapa R. Fiscal'!$AA$66="Catastrófico"),CONCATENATE("R10C",'Mapa R. Fiscal'!$O$66),"")</f>
        <v/>
      </c>
      <c r="AK25" s="264" t="str">
        <f>IF(AND('Mapa R. Fiscal'!$Y$67="Alta",'Mapa R. Fiscal'!$AA$67="Catastrófico"),CONCATENATE("R10C",'Mapa R. Fiscal'!$O$67),"")</f>
        <v/>
      </c>
      <c r="AL25" s="264" t="str">
        <f>IF(AND('Mapa R. Fiscal'!$Y$68="Alta",'Mapa R. Fiscal'!$AA$68="Catastrófico"),CONCATENATE("R10C",'Mapa R. Fiscal'!$O$68),"")</f>
        <v/>
      </c>
      <c r="AM25" s="265" t="str">
        <f>IF(AND('Mapa R. Fiscal'!$Y$69="Alta",'Mapa R. Fiscal'!$AA$69="Catastrófico"),CONCATENATE("R10C",'Mapa R. Fiscal'!$O$69),"")</f>
        <v/>
      </c>
      <c r="AN25" s="15"/>
      <c r="AO25" s="827"/>
      <c r="AP25" s="828"/>
      <c r="AQ25" s="828"/>
      <c r="AR25" s="828"/>
      <c r="AS25" s="828"/>
      <c r="AT25" s="8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6"/>
      <c r="C26" s="716"/>
      <c r="D26" s="717"/>
      <c r="E26" s="802" t="s">
        <v>193</v>
      </c>
      <c r="F26" s="803"/>
      <c r="G26" s="803"/>
      <c r="H26" s="803"/>
      <c r="I26" s="804"/>
      <c r="J26" s="266" t="str">
        <f>IF(AND('Mapa R. Fiscal'!$Y$10="Media",'Mapa R. Fiscal'!$AA$10="Leve"),CONCATENATE("R1C",'Mapa R. Fiscal'!$O$10),"")</f>
        <v/>
      </c>
      <c r="K26" s="267" t="str">
        <f>IF(AND('Mapa R. Fiscal'!$Y$11="Media",'Mapa R. Fiscal'!$AA$11="Leve"),CONCATENATE("R1C",'Mapa R. Fiscal'!$O$11),"")</f>
        <v/>
      </c>
      <c r="L26" s="267" t="str">
        <f>IF(AND('Mapa R. Fiscal'!$Y$12="Media",'Mapa R. Fiscal'!$AA$12="Leve"),CONCATENATE("R1C",'Mapa R. Fiscal'!$O$12),"")</f>
        <v/>
      </c>
      <c r="M26" s="267" t="str">
        <f>IF(AND('Mapa R. Fiscal'!$Y$13="Media",'Mapa R. Fiscal'!$AA$13="Leve"),CONCATENATE("R1C",'Mapa R. Fiscal'!$O$13),"")</f>
        <v/>
      </c>
      <c r="N26" s="267" t="str">
        <f>IF(AND('Mapa R. Fiscal'!$Y$14="Media",'Mapa R. Fiscal'!$AA$14="Leve"),CONCATENATE("R1C",'Mapa R. Fiscal'!$O$14),"")</f>
        <v/>
      </c>
      <c r="O26" s="268" t="str">
        <f>IF(AND('Mapa R. Fiscal'!$Y$15="Media",'Mapa R. Fiscal'!$AA$15="Leve"),CONCATENATE("R1C",'Mapa R. Fiscal'!$O$15),"")</f>
        <v/>
      </c>
      <c r="P26" s="266" t="str">
        <f>IF(AND('Mapa R. Fiscal'!$Y$10="Media",'Mapa R. Fiscal'!$AA$10="Menor"),CONCATENATE("R1C",'Mapa R. Fiscal'!$O$10),"")</f>
        <v/>
      </c>
      <c r="Q26" s="267" t="str">
        <f>IF(AND('Mapa R. Fiscal'!$Y$11="Media",'Mapa R. Fiscal'!$AA$11="Menor"),CONCATENATE("R1C",'Mapa R. Fiscal'!$O$11),"")</f>
        <v/>
      </c>
      <c r="R26" s="267" t="str">
        <f>IF(AND('Mapa R. Fiscal'!$Y$12="Media",'Mapa R. Fiscal'!$AA$12="Menor"),CONCATENATE("R1C",'Mapa R. Fiscal'!$O$12),"")</f>
        <v/>
      </c>
      <c r="S26" s="267" t="str">
        <f>IF(AND('Mapa R. Fiscal'!$Y$13="Media",'Mapa R. Fiscal'!$AA$13="Menor"),CONCATENATE("R1C",'Mapa R. Fiscal'!$O$13),"")</f>
        <v/>
      </c>
      <c r="T26" s="267" t="str">
        <f>IF(AND('Mapa R. Fiscal'!$Y$14="Media",'Mapa R. Fiscal'!$AA$14="Menor"),CONCATENATE("R1C",'Mapa R. Fiscal'!$O$14),"")</f>
        <v/>
      </c>
      <c r="U26" s="268" t="str">
        <f>IF(AND('Mapa R. Fiscal'!$Y$15="Media",'Mapa R. Fiscal'!$AA$15="Menor"),CONCATENATE("R1C",'Mapa R. Fiscal'!$O$15),"")</f>
        <v/>
      </c>
      <c r="V26" s="266" t="str">
        <f>IF(AND('Mapa R. Fiscal'!$Y$10="Media",'Mapa R. Fiscal'!$AA$10="Moderado"),CONCATENATE("R1C",'Mapa R. Fiscal'!$O$10),"")</f>
        <v/>
      </c>
      <c r="W26" s="267" t="str">
        <f>IF(AND('Mapa R. Fiscal'!$Y$11="Media",'Mapa R. Fiscal'!$AA$11="Moderado"),CONCATENATE("R1C",'Mapa R. Fiscal'!$O$11),"")</f>
        <v/>
      </c>
      <c r="X26" s="267" t="str">
        <f>IF(AND('Mapa R. Fiscal'!$Y$12="Media",'Mapa R. Fiscal'!$AA$12="Moderado"),CONCATENATE("R1C",'Mapa R. Fiscal'!$O$12),"")</f>
        <v/>
      </c>
      <c r="Y26" s="267" t="str">
        <f>IF(AND('Mapa R. Fiscal'!$Y$13="Media",'Mapa R. Fiscal'!$AA$13="Moderado"),CONCATENATE("R1C",'Mapa R. Fiscal'!$O$13),"")</f>
        <v/>
      </c>
      <c r="Z26" s="267" t="str">
        <f>IF(AND('Mapa R. Fiscal'!$Y$14="Media",'Mapa R. Fiscal'!$AA$14="Moderado"),CONCATENATE("R1C",'Mapa R. Fiscal'!$O$14),"")</f>
        <v/>
      </c>
      <c r="AA26" s="268" t="str">
        <f>IF(AND('Mapa R. Fiscal'!$Y$15="Media",'Mapa R. Fiscal'!$AA$15="Moderado"),CONCATENATE("R1C",'Mapa R. Fiscal'!$O$15),"")</f>
        <v/>
      </c>
      <c r="AB26" s="248" t="str">
        <f>IF(AND('Mapa R. Fiscal'!$Y$10="Media",'Mapa R. Fiscal'!$AA$10="Mayor"),CONCATENATE("R1C",'Mapa R. Fiscal'!$O$10),"")</f>
        <v/>
      </c>
      <c r="AC26" s="249" t="str">
        <f>IF(AND('Mapa R. Fiscal'!$Y$11="Media",'Mapa R. Fiscal'!$AA$11="Mayor"),CONCATENATE("R1C",'Mapa R. Fiscal'!$O$11),"")</f>
        <v/>
      </c>
      <c r="AD26" s="249" t="str">
        <f>IF(AND('Mapa R. Fiscal'!$Y$12="Media",'Mapa R. Fiscal'!$AA$12="Mayor"),CONCATENATE("R1C",'Mapa R. Fiscal'!$O$12),"")</f>
        <v/>
      </c>
      <c r="AE26" s="249" t="str">
        <f>IF(AND('Mapa R. Fiscal'!$Y$13="Media",'Mapa R. Fiscal'!$AA$13="Mayor"),CONCATENATE("R1C",'Mapa R. Fiscal'!$O$13),"")</f>
        <v/>
      </c>
      <c r="AF26" s="249" t="str">
        <f>IF(AND('Mapa R. Fiscal'!$Y$14="Media",'Mapa R. Fiscal'!$AA$14="Mayor"),CONCATENATE("R1C",'Mapa R. Fiscal'!$O$14),"")</f>
        <v/>
      </c>
      <c r="AG26" s="250" t="str">
        <f>IF(AND('Mapa R. Fiscal'!$Y$15="Media",'Mapa R. Fiscal'!$AA$15="Mayor"),CONCATENATE("R1C",'Mapa R. Fiscal'!$O$15),"")</f>
        <v/>
      </c>
      <c r="AH26" s="251" t="str">
        <f>IF(AND('Mapa R. Fiscal'!$Y$10="Media",'Mapa R. Fiscal'!$AA$10="Catastrófico"),CONCATENATE("R1C",'Mapa R. Fiscal'!$O$10),"")</f>
        <v/>
      </c>
      <c r="AI26" s="252" t="str">
        <f>IF(AND('Mapa R. Fiscal'!$Y$11="Media",'Mapa R. Fiscal'!$AA$11="Catastrófico"),CONCATENATE("R1C",'Mapa R. Fiscal'!$O$11),"")</f>
        <v/>
      </c>
      <c r="AJ26" s="252" t="str">
        <f>IF(AND('Mapa R. Fiscal'!$Y$12="Media",'Mapa R. Fiscal'!$AA$12="Catastrófico"),CONCATENATE("R1C",'Mapa R. Fiscal'!$O$12),"")</f>
        <v/>
      </c>
      <c r="AK26" s="252" t="str">
        <f>IF(AND('Mapa R. Fiscal'!$Y$13="Media",'Mapa R. Fiscal'!$AA$13="Catastrófico"),CONCATENATE("R1C",'Mapa R. Fiscal'!$O$13),"")</f>
        <v/>
      </c>
      <c r="AL26" s="252" t="str">
        <f>IF(AND('Mapa R. Fiscal'!$Y$14="Media",'Mapa R. Fiscal'!$AA$14="Catastrófico"),CONCATENATE("R1C",'Mapa R. Fiscal'!$O$14),"")</f>
        <v/>
      </c>
      <c r="AM26" s="253" t="str">
        <f>IF(AND('Mapa R. Fiscal'!$Y$15="Media",'Mapa R. Fiscal'!$AA$15="Catastrófico"),CONCATENATE("R1C",'Mapa R. Fiscal'!$O$15),"")</f>
        <v/>
      </c>
      <c r="AN26" s="15"/>
      <c r="AO26" s="830" t="s">
        <v>194</v>
      </c>
      <c r="AP26" s="831"/>
      <c r="AQ26" s="831"/>
      <c r="AR26" s="831"/>
      <c r="AS26" s="831"/>
      <c r="AT26" s="8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6"/>
      <c r="C27" s="716"/>
      <c r="D27" s="717"/>
      <c r="E27" s="820"/>
      <c r="F27" s="806"/>
      <c r="G27" s="806"/>
      <c r="H27" s="806"/>
      <c r="I27" s="807"/>
      <c r="J27" s="269" t="str">
        <f>IF(AND('Mapa R. Fiscal'!$Y$16="Media",'Mapa R. Fiscal'!$AA$16="Leve"),CONCATENATE("R2C",'Mapa R. Fiscal'!$O$16),"")</f>
        <v/>
      </c>
      <c r="K27" s="270" t="str">
        <f>IF(AND('Mapa R. Fiscal'!$Y$17="Media",'Mapa R. Fiscal'!$AA$17="Leve"),CONCATENATE("R2C",'Mapa R. Fiscal'!$O$17),"")</f>
        <v/>
      </c>
      <c r="L27" s="270" t="str">
        <f>IF(AND('Mapa R. Fiscal'!$Y$18="Media",'Mapa R. Fiscal'!$AA$18="Leve"),CONCATENATE("R2C",'Mapa R. Fiscal'!$O$18),"")</f>
        <v/>
      </c>
      <c r="M27" s="270" t="str">
        <f>IF(AND('Mapa R. Fiscal'!$Y$19="Media",'Mapa R. Fiscal'!$AA$19="Leve"),CONCATENATE("R2C",'Mapa R. Fiscal'!$O$19),"")</f>
        <v/>
      </c>
      <c r="N27" s="270" t="str">
        <f>IF(AND('Mapa R. Fiscal'!$Y$20="Media",'Mapa R. Fiscal'!$AA$20="Leve"),CONCATENATE("R2C",'Mapa R. Fiscal'!$O$20),"")</f>
        <v/>
      </c>
      <c r="O27" s="271" t="str">
        <f>IF(AND('Mapa R. Fiscal'!$Y$21="Media",'Mapa R. Fiscal'!$AA$21="Leve"),CONCATENATE("R2C",'Mapa R. Fiscal'!$O$21),"")</f>
        <v/>
      </c>
      <c r="P27" s="269" t="str">
        <f>IF(AND('Mapa R. Fiscal'!$Y$16="Media",'Mapa R. Fiscal'!$AA$16="Menor"),CONCATENATE("R2C",'Mapa R. Fiscal'!$O$16),"")</f>
        <v/>
      </c>
      <c r="Q27" s="270" t="str">
        <f>IF(AND('Mapa R. Fiscal'!$Y$17="Media",'Mapa R. Fiscal'!$AA$17="Menor"),CONCATENATE("R2C",'Mapa R. Fiscal'!$O$17),"")</f>
        <v/>
      </c>
      <c r="R27" s="270" t="str">
        <f>IF(AND('Mapa R. Fiscal'!$Y$18="Media",'Mapa R. Fiscal'!$AA$18="Menor"),CONCATENATE("R2C",'Mapa R. Fiscal'!$O$18),"")</f>
        <v/>
      </c>
      <c r="S27" s="270" t="str">
        <f>IF(AND('Mapa R. Fiscal'!$Y$19="Media",'Mapa R. Fiscal'!$AA$19="Menor"),CONCATENATE("R2C",'Mapa R. Fiscal'!$O$19),"")</f>
        <v/>
      </c>
      <c r="T27" s="270" t="str">
        <f>IF(AND('Mapa R. Fiscal'!$Y$20="Media",'Mapa R. Fiscal'!$AA$20="Menor"),CONCATENATE("R2C",'Mapa R. Fiscal'!$O$20),"")</f>
        <v/>
      </c>
      <c r="U27" s="271" t="str">
        <f>IF(AND('Mapa R. Fiscal'!$Y$21="Media",'Mapa R. Fiscal'!$AA$21="Menor"),CONCATENATE("R2C",'Mapa R. Fiscal'!$O$21),"")</f>
        <v/>
      </c>
      <c r="V27" s="269" t="str">
        <f>IF(AND('Mapa R. Fiscal'!$Y$16="Media",'Mapa R. Fiscal'!$AA$16="Moderado"),CONCATENATE("R2C",'Mapa R. Fiscal'!$O$16),"")</f>
        <v/>
      </c>
      <c r="W27" s="270" t="str">
        <f>IF(AND('Mapa R. Fiscal'!$Y$17="Media",'Mapa R. Fiscal'!$AA$17="Moderado"),CONCATENATE("R2C",'Mapa R. Fiscal'!$O$17),"")</f>
        <v/>
      </c>
      <c r="X27" s="270" t="str">
        <f>IF(AND('Mapa R. Fiscal'!$Y$18="Media",'Mapa R. Fiscal'!$AA$18="Moderado"),CONCATENATE("R2C",'Mapa R. Fiscal'!$O$18),"")</f>
        <v/>
      </c>
      <c r="Y27" s="270" t="str">
        <f>IF(AND('Mapa R. Fiscal'!$Y$19="Media",'Mapa R. Fiscal'!$AA$19="Moderado"),CONCATENATE("R2C",'Mapa R. Fiscal'!$O$19),"")</f>
        <v/>
      </c>
      <c r="Z27" s="270" t="str">
        <f>IF(AND('Mapa R. Fiscal'!$Y$20="Media",'Mapa R. Fiscal'!$AA$20="Moderado"),CONCATENATE("R2C",'Mapa R. Fiscal'!$O$20),"")</f>
        <v/>
      </c>
      <c r="AA27" s="271" t="str">
        <f>IF(AND('Mapa R. Fiscal'!$Y$21="Media",'Mapa R. Fiscal'!$AA$21="Moderado"),CONCATENATE("R2C",'Mapa R. Fiscal'!$O$21),"")</f>
        <v/>
      </c>
      <c r="AB27" s="254" t="str">
        <f>IF(AND('Mapa R. Fiscal'!$Y$16="Media",'Mapa R. Fiscal'!$AA$16="Mayor"),CONCATENATE("R2C",'Mapa R. Fiscal'!$O$16),"")</f>
        <v/>
      </c>
      <c r="AC27" s="255" t="str">
        <f>IF(AND('Mapa R. Fiscal'!$Y$17="Media",'Mapa R. Fiscal'!$AA$17="Mayor"),CONCATENATE("R2C",'Mapa R. Fiscal'!$O$17),"")</f>
        <v/>
      </c>
      <c r="AD27" s="255" t="str">
        <f>IF(AND('Mapa R. Fiscal'!$Y$18="Media",'Mapa R. Fiscal'!$AA$18="Mayor"),CONCATENATE("R2C",'Mapa R. Fiscal'!$O$18),"")</f>
        <v/>
      </c>
      <c r="AE27" s="255" t="str">
        <f>IF(AND('Mapa R. Fiscal'!$Y$19="Media",'Mapa R. Fiscal'!$AA$19="Mayor"),CONCATENATE("R2C",'Mapa R. Fiscal'!$O$19),"")</f>
        <v/>
      </c>
      <c r="AF27" s="255" t="str">
        <f>IF(AND('Mapa R. Fiscal'!$Y$20="Media",'Mapa R. Fiscal'!$AA$20="Mayor"),CONCATENATE("R2C",'Mapa R. Fiscal'!$O$20),"")</f>
        <v/>
      </c>
      <c r="AG27" s="256" t="str">
        <f>IF(AND('Mapa R. Fiscal'!$Y$21="Media",'Mapa R. Fiscal'!$AA$21="Mayor"),CONCATENATE("R2C",'Mapa R. Fiscal'!$O$21),"")</f>
        <v/>
      </c>
      <c r="AH27" s="257" t="str">
        <f>IF(AND('Mapa R. Fiscal'!$Y$16="Media",'Mapa R. Fiscal'!$AA$16="Catastrófico"),CONCATENATE("R2C",'Mapa R. Fiscal'!$O$16),"")</f>
        <v/>
      </c>
      <c r="AI27" s="258" t="str">
        <f>IF(AND('Mapa R. Fiscal'!$Y$17="Media",'Mapa R. Fiscal'!$AA$17="Catastrófico"),CONCATENATE("R2C",'Mapa R. Fiscal'!$O$17),"")</f>
        <v/>
      </c>
      <c r="AJ27" s="258" t="str">
        <f>IF(AND('Mapa R. Fiscal'!$Y$18="Media",'Mapa R. Fiscal'!$AA$18="Catastrófico"),CONCATENATE("R2C",'Mapa R. Fiscal'!$O$18),"")</f>
        <v/>
      </c>
      <c r="AK27" s="258" t="str">
        <f>IF(AND('Mapa R. Fiscal'!$Y$19="Media",'Mapa R. Fiscal'!$AA$19="Catastrófico"),CONCATENATE("R2C",'Mapa R. Fiscal'!$O$19),"")</f>
        <v/>
      </c>
      <c r="AL27" s="258" t="str">
        <f>IF(AND('Mapa R. Fiscal'!$Y$20="Media",'Mapa R. Fiscal'!$AA$20="Catastrófico"),CONCATENATE("R2C",'Mapa R. Fiscal'!$O$20),"")</f>
        <v/>
      </c>
      <c r="AM27" s="259" t="str">
        <f>IF(AND('Mapa R. Fiscal'!$Y$21="Media",'Mapa R. Fiscal'!$AA$21="Catastrófico"),CONCATENATE("R2C",'Mapa R. Fiscal'!$O$21),"")</f>
        <v/>
      </c>
      <c r="AN27" s="15"/>
      <c r="AO27" s="833"/>
      <c r="AP27" s="834"/>
      <c r="AQ27" s="834"/>
      <c r="AR27" s="834"/>
      <c r="AS27" s="834"/>
      <c r="AT27" s="8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6"/>
      <c r="C28" s="716"/>
      <c r="D28" s="717"/>
      <c r="E28" s="805"/>
      <c r="F28" s="806"/>
      <c r="G28" s="806"/>
      <c r="H28" s="806"/>
      <c r="I28" s="807"/>
      <c r="J28" s="269" t="str">
        <f>IF(AND('Mapa R. Fiscal'!$Y$22="Media",'Mapa R. Fiscal'!$AA$22="Leve"),CONCATENATE("R3C",'Mapa R. Fiscal'!$O$22),"")</f>
        <v/>
      </c>
      <c r="K28" s="270" t="str">
        <f>IF(AND('Mapa R. Fiscal'!$Y$23="Media",'Mapa R. Fiscal'!$AA$23="Leve"),CONCATENATE("R3C",'Mapa R. Fiscal'!$O$23),"")</f>
        <v/>
      </c>
      <c r="L28" s="270" t="str">
        <f>IF(AND('Mapa R. Fiscal'!$Y$24="Media",'Mapa R. Fiscal'!$AA$24="Leve"),CONCATENATE("R3C",'Mapa R. Fiscal'!$O$24),"")</f>
        <v/>
      </c>
      <c r="M28" s="270" t="str">
        <f>IF(AND('Mapa R. Fiscal'!$Y$25="Media",'Mapa R. Fiscal'!$AA$25="Leve"),CONCATENATE("R3C",'Mapa R. Fiscal'!$O$25),"")</f>
        <v/>
      </c>
      <c r="N28" s="270" t="str">
        <f>IF(AND('Mapa R. Fiscal'!$Y$26="Media",'Mapa R. Fiscal'!$AA$26="Leve"),CONCATENATE("R3C",'Mapa R. Fiscal'!$O$26),"")</f>
        <v/>
      </c>
      <c r="O28" s="271" t="str">
        <f>IF(AND('Mapa R. Fiscal'!$Y$27="Media",'Mapa R. Fiscal'!$AA$27="Leve"),CONCATENATE("R3C",'Mapa R. Fiscal'!$O$27),"")</f>
        <v/>
      </c>
      <c r="P28" s="269" t="str">
        <f>IF(AND('Mapa R. Fiscal'!$Y$22="Media",'Mapa R. Fiscal'!$AA$22="Menor"),CONCATENATE("R3C",'Mapa R. Fiscal'!$O$22),"")</f>
        <v/>
      </c>
      <c r="Q28" s="270" t="str">
        <f>IF(AND('Mapa R. Fiscal'!$Y$23="Media",'Mapa R. Fiscal'!$AA$23="Menor"),CONCATENATE("R3C",'Mapa R. Fiscal'!$O$23),"")</f>
        <v/>
      </c>
      <c r="R28" s="270" t="str">
        <f>IF(AND('Mapa R. Fiscal'!$Y$24="Media",'Mapa R. Fiscal'!$AA$24="Menor"),CONCATENATE("R3C",'Mapa R. Fiscal'!$O$24),"")</f>
        <v/>
      </c>
      <c r="S28" s="270" t="str">
        <f>IF(AND('Mapa R. Fiscal'!$Y$25="Media",'Mapa R. Fiscal'!$AA$25="Menor"),CONCATENATE("R3C",'Mapa R. Fiscal'!$O$25),"")</f>
        <v/>
      </c>
      <c r="T28" s="270" t="str">
        <f>IF(AND('Mapa R. Fiscal'!$Y$26="Media",'Mapa R. Fiscal'!$AA$26="Menor"),CONCATENATE("R3C",'Mapa R. Fiscal'!$O$26),"")</f>
        <v/>
      </c>
      <c r="U28" s="271" t="str">
        <f>IF(AND('Mapa R. Fiscal'!$Y$27="Media",'Mapa R. Fiscal'!$AA$27="Menor"),CONCATENATE("R3C",'Mapa R. Fiscal'!$O$27),"")</f>
        <v/>
      </c>
      <c r="V28" s="269" t="str">
        <f>IF(AND('Mapa R. Fiscal'!$Y$22="Media",'Mapa R. Fiscal'!$AA$22="Moderado"),CONCATENATE("R3C",'Mapa R. Fiscal'!$O$22),"")</f>
        <v/>
      </c>
      <c r="W28" s="270" t="str">
        <f>IF(AND('Mapa R. Fiscal'!$Y$23="Media",'Mapa R. Fiscal'!$AA$23="Moderado"),CONCATENATE("R3C",'Mapa R. Fiscal'!$O$23),"")</f>
        <v/>
      </c>
      <c r="X28" s="270" t="str">
        <f>IF(AND('Mapa R. Fiscal'!$Y$24="Media",'Mapa R. Fiscal'!$AA$24="Moderado"),CONCATENATE("R3C",'Mapa R. Fiscal'!$O$24),"")</f>
        <v/>
      </c>
      <c r="Y28" s="270" t="str">
        <f>IF(AND('Mapa R. Fiscal'!$Y$25="Media",'Mapa R. Fiscal'!$AA$25="Moderado"),CONCATENATE("R3C",'Mapa R. Fiscal'!$O$25),"")</f>
        <v/>
      </c>
      <c r="Z28" s="270" t="str">
        <f>IF(AND('Mapa R. Fiscal'!$Y$26="Media",'Mapa R. Fiscal'!$AA$26="Moderado"),CONCATENATE("R3C",'Mapa R. Fiscal'!$O$26),"")</f>
        <v/>
      </c>
      <c r="AA28" s="271" t="str">
        <f>IF(AND('Mapa R. Fiscal'!$Y$27="Media",'Mapa R. Fiscal'!$AA$27="Moderado"),CONCATENATE("R3C",'Mapa R. Fiscal'!$O$27),"")</f>
        <v/>
      </c>
      <c r="AB28" s="254" t="str">
        <f>IF(AND('Mapa R. Fiscal'!$Y$22="Media",'Mapa R. Fiscal'!$AA$22="Mayor"),CONCATENATE("R3C",'Mapa R. Fiscal'!$O$22),"")</f>
        <v/>
      </c>
      <c r="AC28" s="255" t="str">
        <f>IF(AND('Mapa R. Fiscal'!$Y$23="Media",'Mapa R. Fiscal'!$AA$23="Mayor"),CONCATENATE("R3C",'Mapa R. Fiscal'!$O$23),"")</f>
        <v/>
      </c>
      <c r="AD28" s="255" t="str">
        <f>IF(AND('Mapa R. Fiscal'!$Y$24="Media",'Mapa R. Fiscal'!$AA$24="Mayor"),CONCATENATE("R3C",'Mapa R. Fiscal'!$O$24),"")</f>
        <v/>
      </c>
      <c r="AE28" s="255" t="str">
        <f>IF(AND('Mapa R. Fiscal'!$Y$25="Media",'Mapa R. Fiscal'!$AA$25="Mayor"),CONCATENATE("R3C",'Mapa R. Fiscal'!$O$25),"")</f>
        <v/>
      </c>
      <c r="AF28" s="255" t="str">
        <f>IF(AND('Mapa R. Fiscal'!$Y$26="Media",'Mapa R. Fiscal'!$AA$26="Mayor"),CONCATENATE("R3C",'Mapa R. Fiscal'!$O$26),"")</f>
        <v/>
      </c>
      <c r="AG28" s="256" t="str">
        <f>IF(AND('Mapa R. Fiscal'!$Y$27="Media",'Mapa R. Fiscal'!$AA$27="Mayor"),CONCATENATE("R3C",'Mapa R. Fiscal'!$O$27),"")</f>
        <v/>
      </c>
      <c r="AH28" s="257" t="str">
        <f>IF(AND('Mapa R. Fiscal'!$Y$22="Media",'Mapa R. Fiscal'!$AA$22="Catastrófico"),CONCATENATE("R3C",'Mapa R. Fiscal'!$O$22),"")</f>
        <v/>
      </c>
      <c r="AI28" s="258" t="str">
        <f>IF(AND('Mapa R. Fiscal'!$Y$23="Media",'Mapa R. Fiscal'!$AA$23="Catastrófico"),CONCATENATE("R3C",'Mapa R. Fiscal'!$O$23),"")</f>
        <v/>
      </c>
      <c r="AJ28" s="258" t="str">
        <f>IF(AND('Mapa R. Fiscal'!$Y$24="Media",'Mapa R. Fiscal'!$AA$24="Catastrófico"),CONCATENATE("R3C",'Mapa R. Fiscal'!$O$24),"")</f>
        <v/>
      </c>
      <c r="AK28" s="258" t="str">
        <f>IF(AND('Mapa R. Fiscal'!$Y$25="Media",'Mapa R. Fiscal'!$AA$25="Catastrófico"),CONCATENATE("R3C",'Mapa R. Fiscal'!$O$25),"")</f>
        <v/>
      </c>
      <c r="AL28" s="258" t="str">
        <f>IF(AND('Mapa R. Fiscal'!$Y$26="Media",'Mapa R. Fiscal'!$AA$26="Catastrófico"),CONCATENATE("R3C",'Mapa R. Fiscal'!$O$26),"")</f>
        <v/>
      </c>
      <c r="AM28" s="259" t="str">
        <f>IF(AND('Mapa R. Fiscal'!$Y$27="Media",'Mapa R. Fiscal'!$AA$27="Catastrófico"),CONCATENATE("R3C",'Mapa R. Fiscal'!$O$27),"")</f>
        <v/>
      </c>
      <c r="AN28" s="15"/>
      <c r="AO28" s="833"/>
      <c r="AP28" s="834"/>
      <c r="AQ28" s="834"/>
      <c r="AR28" s="834"/>
      <c r="AS28" s="834"/>
      <c r="AT28" s="8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6"/>
      <c r="C29" s="716"/>
      <c r="D29" s="717"/>
      <c r="E29" s="805"/>
      <c r="F29" s="806"/>
      <c r="G29" s="806"/>
      <c r="H29" s="806"/>
      <c r="I29" s="807"/>
      <c r="J29" s="269" t="str">
        <f>IF(AND('Mapa R. Fiscal'!$Y$28="Media",'Mapa R. Fiscal'!$AA$28="Leve"),CONCATENATE("R4C",'Mapa R. Fiscal'!$O$28),"")</f>
        <v/>
      </c>
      <c r="K29" s="270" t="str">
        <f>IF(AND('Mapa R. Fiscal'!$Y$29="Media",'Mapa R. Fiscal'!$AA$29="Leve"),CONCATENATE("R4C",'Mapa R. Fiscal'!$O$29),"")</f>
        <v/>
      </c>
      <c r="L29" s="270" t="str">
        <f>IF(AND('Mapa R. Fiscal'!$Y$30="Media",'Mapa R. Fiscal'!$AA$30="Leve"),CONCATENATE("R4C",'Mapa R. Fiscal'!$O$30),"")</f>
        <v/>
      </c>
      <c r="M29" s="270" t="str">
        <f>IF(AND('Mapa R. Fiscal'!$Y$31="Media",'Mapa R. Fiscal'!$AA$31="Leve"),CONCATENATE("R4C",'Mapa R. Fiscal'!$O$31),"")</f>
        <v/>
      </c>
      <c r="N29" s="270" t="str">
        <f>IF(AND('Mapa R. Fiscal'!$Y$32="Media",'Mapa R. Fiscal'!$AA$32="Leve"),CONCATENATE("R4C",'Mapa R. Fiscal'!$O$32),"")</f>
        <v/>
      </c>
      <c r="O29" s="271" t="str">
        <f>IF(AND('Mapa R. Fiscal'!$Y$33="Media",'Mapa R. Fiscal'!$AA$33="Leve"),CONCATENATE("R4C",'Mapa R. Fiscal'!$O$33),"")</f>
        <v/>
      </c>
      <c r="P29" s="269" t="str">
        <f>IF(AND('Mapa R. Fiscal'!$Y$28="Media",'Mapa R. Fiscal'!$AA$28="Menor"),CONCATENATE("R4C",'Mapa R. Fiscal'!$O$28),"")</f>
        <v/>
      </c>
      <c r="Q29" s="270" t="str">
        <f>IF(AND('Mapa R. Fiscal'!$Y$29="Media",'Mapa R. Fiscal'!$AA$29="Menor"),CONCATENATE("R4C",'Mapa R. Fiscal'!$O$29),"")</f>
        <v/>
      </c>
      <c r="R29" s="270" t="str">
        <f>IF(AND('Mapa R. Fiscal'!$Y$30="Media",'Mapa R. Fiscal'!$AA$30="Menor"),CONCATENATE("R4C",'Mapa R. Fiscal'!$O$30),"")</f>
        <v/>
      </c>
      <c r="S29" s="270" t="str">
        <f>IF(AND('Mapa R. Fiscal'!$Y$31="Media",'Mapa R. Fiscal'!$AA$31="Menor"),CONCATENATE("R4C",'Mapa R. Fiscal'!$O$31),"")</f>
        <v/>
      </c>
      <c r="T29" s="270" t="str">
        <f>IF(AND('Mapa R. Fiscal'!$Y$32="Media",'Mapa R. Fiscal'!$AA$32="Menor"),CONCATENATE("R4C",'Mapa R. Fiscal'!$O$32),"")</f>
        <v/>
      </c>
      <c r="U29" s="271" t="str">
        <f>IF(AND('Mapa R. Fiscal'!$Y$33="Media",'Mapa R. Fiscal'!$AA$33="Menor"),CONCATENATE("R4C",'Mapa R. Fiscal'!$O$33),"")</f>
        <v/>
      </c>
      <c r="V29" s="269" t="str">
        <f>IF(AND('Mapa R. Fiscal'!$Y$28="Media",'Mapa R. Fiscal'!$AA$28="Moderado"),CONCATENATE("R4C",'Mapa R. Fiscal'!$O$28),"")</f>
        <v/>
      </c>
      <c r="W29" s="270" t="str">
        <f>IF(AND('Mapa R. Fiscal'!$Y$29="Media",'Mapa R. Fiscal'!$AA$29="Moderado"),CONCATENATE("R4C",'Mapa R. Fiscal'!$O$29),"")</f>
        <v/>
      </c>
      <c r="X29" s="270" t="str">
        <f>IF(AND('Mapa R. Fiscal'!$Y$30="Media",'Mapa R. Fiscal'!$AA$30="Moderado"),CONCATENATE("R4C",'Mapa R. Fiscal'!$O$30),"")</f>
        <v/>
      </c>
      <c r="Y29" s="270" t="str">
        <f>IF(AND('Mapa R. Fiscal'!$Y$31="Media",'Mapa R. Fiscal'!$AA$31="Moderado"),CONCATENATE("R4C",'Mapa R. Fiscal'!$O$31),"")</f>
        <v/>
      </c>
      <c r="Z29" s="270" t="str">
        <f>IF(AND('Mapa R. Fiscal'!$Y$32="Media",'Mapa R. Fiscal'!$AA$32="Moderado"),CONCATENATE("R4C",'Mapa R. Fiscal'!$O$32),"")</f>
        <v/>
      </c>
      <c r="AA29" s="271" t="str">
        <f>IF(AND('Mapa R. Fiscal'!$Y$33="Media",'Mapa R. Fiscal'!$AA$33="Moderado"),CONCATENATE("R4C",'Mapa R. Fiscal'!$O$33),"")</f>
        <v/>
      </c>
      <c r="AB29" s="254" t="str">
        <f>IF(AND('Mapa R. Fiscal'!$Y$28="Media",'Mapa R. Fiscal'!$AA$28="Mayor"),CONCATENATE("R4C",'Mapa R. Fiscal'!$O$28),"")</f>
        <v/>
      </c>
      <c r="AC29" s="255" t="str">
        <f>IF(AND('Mapa R. Fiscal'!$Y$29="Media",'Mapa R. Fiscal'!$AA$29="Mayor"),CONCATENATE("R4C",'Mapa R. Fiscal'!$O$29),"")</f>
        <v/>
      </c>
      <c r="AD29" s="255" t="str">
        <f>IF(AND('Mapa R. Fiscal'!$Y$30="Media",'Mapa R. Fiscal'!$AA$30="Mayor"),CONCATENATE("R4C",'Mapa R. Fiscal'!$O$30),"")</f>
        <v/>
      </c>
      <c r="AE29" s="255" t="str">
        <f>IF(AND('Mapa R. Fiscal'!$Y$31="Media",'Mapa R. Fiscal'!$AA$31="Mayor"),CONCATENATE("R4C",'Mapa R. Fiscal'!$O$31),"")</f>
        <v/>
      </c>
      <c r="AF29" s="255" t="str">
        <f>IF(AND('Mapa R. Fiscal'!$Y$32="Media",'Mapa R. Fiscal'!$AA$32="Mayor"),CONCATENATE("R4C",'Mapa R. Fiscal'!$O$32),"")</f>
        <v/>
      </c>
      <c r="AG29" s="256" t="str">
        <f>IF(AND('Mapa R. Fiscal'!$Y$33="Media",'Mapa R. Fiscal'!$AA$33="Mayor"),CONCATENATE("R4C",'Mapa R. Fiscal'!$O$33),"")</f>
        <v/>
      </c>
      <c r="AH29" s="257" t="str">
        <f>IF(AND('Mapa R. Fiscal'!$Y$28="Media",'Mapa R. Fiscal'!$AA$28="Catastrófico"),CONCATENATE("R4C",'Mapa R. Fiscal'!$O$28),"")</f>
        <v/>
      </c>
      <c r="AI29" s="258" t="str">
        <f>IF(AND('Mapa R. Fiscal'!$Y$29="Media",'Mapa R. Fiscal'!$AA$29="Catastrófico"),CONCATENATE("R4C",'Mapa R. Fiscal'!$O$29),"")</f>
        <v/>
      </c>
      <c r="AJ29" s="258" t="str">
        <f>IF(AND('Mapa R. Fiscal'!$Y$30="Media",'Mapa R. Fiscal'!$AA$30="Catastrófico"),CONCATENATE("R4C",'Mapa R. Fiscal'!$O$30),"")</f>
        <v/>
      </c>
      <c r="AK29" s="258" t="str">
        <f>IF(AND('Mapa R. Fiscal'!$Y$31="Media",'Mapa R. Fiscal'!$AA$31="Catastrófico"),CONCATENATE("R4C",'Mapa R. Fiscal'!$O$31),"")</f>
        <v/>
      </c>
      <c r="AL29" s="258" t="str">
        <f>IF(AND('Mapa R. Fiscal'!$Y$32="Media",'Mapa R. Fiscal'!$AA$32="Catastrófico"),CONCATENATE("R4C",'Mapa R. Fiscal'!$O$32),"")</f>
        <v/>
      </c>
      <c r="AM29" s="259" t="str">
        <f>IF(AND('Mapa R. Fiscal'!$Y$33="Media",'Mapa R. Fiscal'!$AA$33="Catastrófico"),CONCATENATE("R4C",'Mapa R. Fiscal'!$O$33),"")</f>
        <v/>
      </c>
      <c r="AN29" s="15"/>
      <c r="AO29" s="833"/>
      <c r="AP29" s="834"/>
      <c r="AQ29" s="834"/>
      <c r="AR29" s="834"/>
      <c r="AS29" s="834"/>
      <c r="AT29" s="8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6"/>
      <c r="C30" s="716"/>
      <c r="D30" s="717"/>
      <c r="E30" s="805"/>
      <c r="F30" s="806"/>
      <c r="G30" s="806"/>
      <c r="H30" s="806"/>
      <c r="I30" s="807"/>
      <c r="J30" s="269" t="str">
        <f>IF(AND('Mapa R. Fiscal'!$Y$34="Media",'Mapa R. Fiscal'!$AA$34="Leve"),CONCATENATE("R5C",'Mapa R. Fiscal'!$O$34),"")</f>
        <v/>
      </c>
      <c r="K30" s="270" t="str">
        <f>IF(AND('Mapa R. Fiscal'!$Y$35="Media",'Mapa R. Fiscal'!$AA$35="Leve"),CONCATENATE("R5C",'Mapa R. Fiscal'!$O$35),"")</f>
        <v/>
      </c>
      <c r="L30" s="270" t="str">
        <f>IF(AND('Mapa R. Fiscal'!$Y$36="Media",'Mapa R. Fiscal'!$AA$36="Leve"),CONCATENATE("R5C",'Mapa R. Fiscal'!$O$36),"")</f>
        <v/>
      </c>
      <c r="M30" s="270" t="str">
        <f>IF(AND('Mapa R. Fiscal'!$Y$37="Media",'Mapa R. Fiscal'!$AA$37="Leve"),CONCATENATE("R5C",'Mapa R. Fiscal'!$O$37),"")</f>
        <v/>
      </c>
      <c r="N30" s="270" t="str">
        <f>IF(AND('Mapa R. Fiscal'!$Y$38="Media",'Mapa R. Fiscal'!$AA$38="Leve"),CONCATENATE("R5C",'Mapa R. Fiscal'!$O$38),"")</f>
        <v/>
      </c>
      <c r="O30" s="271" t="str">
        <f>IF(AND('Mapa R. Fiscal'!$Y$39="Media",'Mapa R. Fiscal'!$AA$39="Leve"),CONCATENATE("R5C",'Mapa R. Fiscal'!$O$39),"")</f>
        <v/>
      </c>
      <c r="P30" s="269" t="str">
        <f>IF(AND('Mapa R. Fiscal'!$Y$34="Media",'Mapa R. Fiscal'!$AA$34="Menor"),CONCATENATE("R5C",'Mapa R. Fiscal'!$O$34),"")</f>
        <v/>
      </c>
      <c r="Q30" s="270" t="str">
        <f>IF(AND('Mapa R. Fiscal'!$Y$35="Media",'Mapa R. Fiscal'!$AA$35="Menor"),CONCATENATE("R5C",'Mapa R. Fiscal'!$O$35),"")</f>
        <v/>
      </c>
      <c r="R30" s="270" t="str">
        <f>IF(AND('Mapa R. Fiscal'!$Y$36="Media",'Mapa R. Fiscal'!$AA$36="Menor"),CONCATENATE("R5C",'Mapa R. Fiscal'!$O$36),"")</f>
        <v/>
      </c>
      <c r="S30" s="270" t="str">
        <f>IF(AND('Mapa R. Fiscal'!$Y$37="Media",'Mapa R. Fiscal'!$AA$37="Menor"),CONCATENATE("R5C",'Mapa R. Fiscal'!$O$37),"")</f>
        <v/>
      </c>
      <c r="T30" s="270" t="str">
        <f>IF(AND('Mapa R. Fiscal'!$Y$38="Media",'Mapa R. Fiscal'!$AA$38="Menor"),CONCATENATE("R5C",'Mapa R. Fiscal'!$O$38),"")</f>
        <v/>
      </c>
      <c r="U30" s="271" t="str">
        <f>IF(AND('Mapa R. Fiscal'!$Y$39="Media",'Mapa R. Fiscal'!$AA$39="Menor"),CONCATENATE("R5C",'Mapa R. Fiscal'!$O$39),"")</f>
        <v/>
      </c>
      <c r="V30" s="269" t="str">
        <f>IF(AND('Mapa R. Fiscal'!$Y$34="Media",'Mapa R. Fiscal'!$AA$34="Moderado"),CONCATENATE("R5C",'Mapa R. Fiscal'!$O$34),"")</f>
        <v/>
      </c>
      <c r="W30" s="270" t="str">
        <f>IF(AND('Mapa R. Fiscal'!$Y$35="Media",'Mapa R. Fiscal'!$AA$35="Moderado"),CONCATENATE("R5C",'Mapa R. Fiscal'!$O$35),"")</f>
        <v/>
      </c>
      <c r="X30" s="270" t="str">
        <f>IF(AND('Mapa R. Fiscal'!$Y$36="Media",'Mapa R. Fiscal'!$AA$36="Moderado"),CONCATENATE("R5C",'Mapa R. Fiscal'!$O$36),"")</f>
        <v/>
      </c>
      <c r="Y30" s="270" t="str">
        <f>IF(AND('Mapa R. Fiscal'!$Y$37="Media",'Mapa R. Fiscal'!$AA$37="Moderado"),CONCATENATE("R5C",'Mapa R. Fiscal'!$O$37),"")</f>
        <v/>
      </c>
      <c r="Z30" s="270" t="str">
        <f>IF(AND('Mapa R. Fiscal'!$Y$38="Media",'Mapa R. Fiscal'!$AA$38="Moderado"),CONCATENATE("R5C",'Mapa R. Fiscal'!$O$38),"")</f>
        <v/>
      </c>
      <c r="AA30" s="271" t="str">
        <f>IF(AND('Mapa R. Fiscal'!$Y$39="Media",'Mapa R. Fiscal'!$AA$39="Moderado"),CONCATENATE("R5C",'Mapa R. Fiscal'!$O$39),"")</f>
        <v/>
      </c>
      <c r="AB30" s="254" t="str">
        <f>IF(AND('Mapa R. Fiscal'!$Y$34="Media",'Mapa R. Fiscal'!$AA$34="Mayor"),CONCATENATE("R5C",'Mapa R. Fiscal'!$O$34),"")</f>
        <v/>
      </c>
      <c r="AC30" s="255" t="str">
        <f>IF(AND('Mapa R. Fiscal'!$Y$35="Media",'Mapa R. Fiscal'!$AA$35="Mayor"),CONCATENATE("R5C",'Mapa R. Fiscal'!$O$35),"")</f>
        <v/>
      </c>
      <c r="AD30" s="255" t="str">
        <f>IF(AND('Mapa R. Fiscal'!$Y$36="Media",'Mapa R. Fiscal'!$AA$36="Mayor"),CONCATENATE("R5C",'Mapa R. Fiscal'!$O$36),"")</f>
        <v/>
      </c>
      <c r="AE30" s="255" t="str">
        <f>IF(AND('Mapa R. Fiscal'!$Y$37="Media",'Mapa R. Fiscal'!$AA$37="Mayor"),CONCATENATE("R5C",'Mapa R. Fiscal'!$O$37),"")</f>
        <v/>
      </c>
      <c r="AF30" s="255" t="str">
        <f>IF(AND('Mapa R. Fiscal'!$Y$38="Media",'Mapa R. Fiscal'!$AA$38="Mayor"),CONCATENATE("R5C",'Mapa R. Fiscal'!$O$38),"")</f>
        <v/>
      </c>
      <c r="AG30" s="256" t="str">
        <f>IF(AND('Mapa R. Fiscal'!$Y$39="Media",'Mapa R. Fiscal'!$AA$39="Mayor"),CONCATENATE("R5C",'Mapa R. Fiscal'!$O$39),"")</f>
        <v/>
      </c>
      <c r="AH30" s="257" t="str">
        <f>IF(AND('Mapa R. Fiscal'!$Y$34="Media",'Mapa R. Fiscal'!$AA$34="Catastrófico"),CONCATENATE("R5C",'Mapa R. Fiscal'!$O$34),"")</f>
        <v/>
      </c>
      <c r="AI30" s="258" t="str">
        <f>IF(AND('Mapa R. Fiscal'!$Y$35="Media",'Mapa R. Fiscal'!$AA$35="Catastrófico"),CONCATENATE("R5C",'Mapa R. Fiscal'!$O$35),"")</f>
        <v/>
      </c>
      <c r="AJ30" s="258" t="str">
        <f>IF(AND('Mapa R. Fiscal'!$Y$36="Media",'Mapa R. Fiscal'!$AA$36="Catastrófico"),CONCATENATE("R5C",'Mapa R. Fiscal'!$O$36),"")</f>
        <v/>
      </c>
      <c r="AK30" s="258" t="str">
        <f>IF(AND('Mapa R. Fiscal'!$Y$37="Media",'Mapa R. Fiscal'!$AA$37="Catastrófico"),CONCATENATE("R5C",'Mapa R. Fiscal'!$O$37),"")</f>
        <v/>
      </c>
      <c r="AL30" s="258" t="str">
        <f>IF(AND('Mapa R. Fiscal'!$Y$38="Media",'Mapa R. Fiscal'!$AA$38="Catastrófico"),CONCATENATE("R5C",'Mapa R. Fiscal'!$O$38),"")</f>
        <v/>
      </c>
      <c r="AM30" s="259" t="str">
        <f>IF(AND('Mapa R. Fiscal'!$Y$39="Media",'Mapa R. Fiscal'!$AA$39="Catastrófico"),CONCATENATE("R5C",'Mapa R. Fiscal'!$O$39),"")</f>
        <v/>
      </c>
      <c r="AN30" s="15"/>
      <c r="AO30" s="833"/>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6"/>
      <c r="C31" s="716"/>
      <c r="D31" s="717"/>
      <c r="E31" s="805"/>
      <c r="F31" s="806"/>
      <c r="G31" s="806"/>
      <c r="H31" s="806"/>
      <c r="I31" s="807"/>
      <c r="J31" s="269" t="str">
        <f>IF(AND('Mapa R. Fiscal'!$Y$40="Media",'Mapa R. Fiscal'!$AA$40="Leve"),CONCATENATE("R6C",'Mapa R. Fiscal'!$O$40),"")</f>
        <v/>
      </c>
      <c r="K31" s="270" t="str">
        <f>IF(AND('Mapa R. Fiscal'!$Y$41="Media",'Mapa R. Fiscal'!$AA$41="Leve"),CONCATENATE("R6C",'Mapa R. Fiscal'!$O$41),"")</f>
        <v/>
      </c>
      <c r="L31" s="270" t="str">
        <f>IF(AND('Mapa R. Fiscal'!$Y$42="Media",'Mapa R. Fiscal'!$AA$42="Leve"),CONCATENATE("R6C",'Mapa R. Fiscal'!$O$42),"")</f>
        <v/>
      </c>
      <c r="M31" s="270" t="str">
        <f>IF(AND('Mapa R. Fiscal'!$Y$43="Media",'Mapa R. Fiscal'!$AA$43="Leve"),CONCATENATE("R6C",'Mapa R. Fiscal'!$O$43),"")</f>
        <v/>
      </c>
      <c r="N31" s="270" t="str">
        <f>IF(AND('Mapa R. Fiscal'!$Y$44="Media",'Mapa R. Fiscal'!$AA$44="Leve"),CONCATENATE("R6C",'Mapa R. Fiscal'!$O$44),"")</f>
        <v/>
      </c>
      <c r="O31" s="271" t="str">
        <f>IF(AND('Mapa R. Fiscal'!$Y$45="Media",'Mapa R. Fiscal'!$AA$45="Leve"),CONCATENATE("R6C",'Mapa R. Fiscal'!$O$45),"")</f>
        <v/>
      </c>
      <c r="P31" s="269" t="str">
        <f>IF(AND('Mapa R. Fiscal'!$Y$40="Media",'Mapa R. Fiscal'!$AA$40="Menor"),CONCATENATE("R6C",'Mapa R. Fiscal'!$O$40),"")</f>
        <v/>
      </c>
      <c r="Q31" s="270" t="str">
        <f>IF(AND('Mapa R. Fiscal'!$Y$41="Media",'Mapa R. Fiscal'!$AA$41="Menor"),CONCATENATE("R6C",'Mapa R. Fiscal'!$O$41),"")</f>
        <v/>
      </c>
      <c r="R31" s="270" t="str">
        <f>IF(AND('Mapa R. Fiscal'!$Y$42="Media",'Mapa R. Fiscal'!$AA$42="Menor"),CONCATENATE("R6C",'Mapa R. Fiscal'!$O$42),"")</f>
        <v/>
      </c>
      <c r="S31" s="270" t="str">
        <f>IF(AND('Mapa R. Fiscal'!$Y$43="Media",'Mapa R. Fiscal'!$AA$43="Menor"),CONCATENATE("R6C",'Mapa R. Fiscal'!$O$43),"")</f>
        <v/>
      </c>
      <c r="T31" s="270" t="str">
        <f>IF(AND('Mapa R. Fiscal'!$Y$44="Media",'Mapa R. Fiscal'!$AA$44="Menor"),CONCATENATE("R6C",'Mapa R. Fiscal'!$O$44),"")</f>
        <v/>
      </c>
      <c r="U31" s="271" t="str">
        <f>IF(AND('Mapa R. Fiscal'!$Y$45="Media",'Mapa R. Fiscal'!$AA$45="Menor"),CONCATENATE("R6C",'Mapa R. Fiscal'!$O$45),"")</f>
        <v/>
      </c>
      <c r="V31" s="269" t="str">
        <f>IF(AND('Mapa R. Fiscal'!$Y$40="Media",'Mapa R. Fiscal'!$AA$40="Moderado"),CONCATENATE("R6C",'Mapa R. Fiscal'!$O$40),"")</f>
        <v/>
      </c>
      <c r="W31" s="270" t="str">
        <f>IF(AND('Mapa R. Fiscal'!$Y$41="Media",'Mapa R. Fiscal'!$AA$41="Moderado"),CONCATENATE("R6C",'Mapa R. Fiscal'!$O$41),"")</f>
        <v/>
      </c>
      <c r="X31" s="270" t="str">
        <f>IF(AND('Mapa R. Fiscal'!$Y$42="Media",'Mapa R. Fiscal'!$AA$42="Moderado"),CONCATENATE("R6C",'Mapa R. Fiscal'!$O$42),"")</f>
        <v/>
      </c>
      <c r="Y31" s="270" t="str">
        <f>IF(AND('Mapa R. Fiscal'!$Y$43="Media",'Mapa R. Fiscal'!$AA$43="Moderado"),CONCATENATE("R6C",'Mapa R. Fiscal'!$O$43),"")</f>
        <v/>
      </c>
      <c r="Z31" s="270" t="str">
        <f>IF(AND('Mapa R. Fiscal'!$Y$44="Media",'Mapa R. Fiscal'!$AA$44="Moderado"),CONCATENATE("R6C",'Mapa R. Fiscal'!$O$44),"")</f>
        <v/>
      </c>
      <c r="AA31" s="271" t="str">
        <f>IF(AND('Mapa R. Fiscal'!$Y$45="Media",'Mapa R. Fiscal'!$AA$45="Moderado"),CONCATENATE("R6C",'Mapa R. Fiscal'!$O$45),"")</f>
        <v/>
      </c>
      <c r="AB31" s="254" t="str">
        <f>IF(AND('Mapa R. Fiscal'!$Y$40="Media",'Mapa R. Fiscal'!$AA$40="Mayor"),CONCATENATE("R6C",'Mapa R. Fiscal'!$O$40),"")</f>
        <v/>
      </c>
      <c r="AC31" s="255" t="str">
        <f>IF(AND('Mapa R. Fiscal'!$Y$41="Media",'Mapa R. Fiscal'!$AA$41="Mayor"),CONCATENATE("R6C",'Mapa R. Fiscal'!$O$41),"")</f>
        <v/>
      </c>
      <c r="AD31" s="255" t="str">
        <f>IF(AND('Mapa R. Fiscal'!$Y$42="Media",'Mapa R. Fiscal'!$AA$42="Mayor"),CONCATENATE("R6C",'Mapa R. Fiscal'!$O$42),"")</f>
        <v/>
      </c>
      <c r="AE31" s="255" t="str">
        <f>IF(AND('Mapa R. Fiscal'!$Y$43="Media",'Mapa R. Fiscal'!$AA$43="Mayor"),CONCATENATE("R6C",'Mapa R. Fiscal'!$O$43),"")</f>
        <v/>
      </c>
      <c r="AF31" s="255" t="str">
        <f>IF(AND('Mapa R. Fiscal'!$Y$44="Media",'Mapa R. Fiscal'!$AA$44="Mayor"),CONCATENATE("R6C",'Mapa R. Fiscal'!$O$44),"")</f>
        <v/>
      </c>
      <c r="AG31" s="256" t="str">
        <f>IF(AND('Mapa R. Fiscal'!$Y$45="Media",'Mapa R. Fiscal'!$AA$45="Mayor"),CONCATENATE("R6C",'Mapa R. Fiscal'!$O$45),"")</f>
        <v/>
      </c>
      <c r="AH31" s="257" t="str">
        <f>IF(AND('Mapa R. Fiscal'!$Y$40="Media",'Mapa R. Fiscal'!$AA$40="Catastrófico"),CONCATENATE("R6C",'Mapa R. Fiscal'!$O$40),"")</f>
        <v/>
      </c>
      <c r="AI31" s="258" t="str">
        <f>IF(AND('Mapa R. Fiscal'!$Y$41="Media",'Mapa R. Fiscal'!$AA$41="Catastrófico"),CONCATENATE("R6C",'Mapa R. Fiscal'!$O$41),"")</f>
        <v/>
      </c>
      <c r="AJ31" s="258" t="str">
        <f>IF(AND('Mapa R. Fiscal'!$Y$42="Media",'Mapa R. Fiscal'!$AA$42="Catastrófico"),CONCATENATE("R6C",'Mapa R. Fiscal'!$O$42),"")</f>
        <v/>
      </c>
      <c r="AK31" s="258" t="str">
        <f>IF(AND('Mapa R. Fiscal'!$Y$43="Media",'Mapa R. Fiscal'!$AA$43="Catastrófico"),CONCATENATE("R6C",'Mapa R. Fiscal'!$O$43),"")</f>
        <v/>
      </c>
      <c r="AL31" s="258" t="str">
        <f>IF(AND('Mapa R. Fiscal'!$Y$44="Media",'Mapa R. Fiscal'!$AA$44="Catastrófico"),CONCATENATE("R6C",'Mapa R. Fiscal'!$O$44),"")</f>
        <v/>
      </c>
      <c r="AM31" s="259" t="str">
        <f>IF(AND('Mapa R. Fiscal'!$Y$45="Media",'Mapa R. Fiscal'!$AA$45="Catastrófico"),CONCATENATE("R6C",'Mapa R. Fiscal'!$O$45),"")</f>
        <v/>
      </c>
      <c r="AN31" s="15"/>
      <c r="AO31" s="833"/>
      <c r="AP31" s="834"/>
      <c r="AQ31" s="834"/>
      <c r="AR31" s="834"/>
      <c r="AS31" s="834"/>
      <c r="AT31" s="8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6"/>
      <c r="C32" s="716"/>
      <c r="D32" s="717"/>
      <c r="E32" s="805"/>
      <c r="F32" s="806"/>
      <c r="G32" s="806"/>
      <c r="H32" s="806"/>
      <c r="I32" s="807"/>
      <c r="J32" s="269" t="str">
        <f>IF(AND('Mapa R. Fiscal'!$Y$46="Media",'Mapa R. Fiscal'!$AA$46="Leve"),CONCATENATE("R7C",'Mapa R. Fiscal'!$O$46),"")</f>
        <v/>
      </c>
      <c r="K32" s="270" t="str">
        <f>IF(AND('Mapa R. Fiscal'!$Y$47="Media",'Mapa R. Fiscal'!$AA$47="Leve"),CONCATENATE("R7C",'Mapa R. Fiscal'!$O$47),"")</f>
        <v/>
      </c>
      <c r="L32" s="270" t="str">
        <f>IF(AND('Mapa R. Fiscal'!$Y$48="Media",'Mapa R. Fiscal'!$AA$48="Leve"),CONCATENATE("R7C",'Mapa R. Fiscal'!$O$48),"")</f>
        <v/>
      </c>
      <c r="M32" s="270" t="str">
        <f>IF(AND('Mapa R. Fiscal'!$Y$49="Media",'Mapa R. Fiscal'!$AA$49="Leve"),CONCATENATE("R7C",'Mapa R. Fiscal'!$O$49),"")</f>
        <v/>
      </c>
      <c r="N32" s="270" t="str">
        <f>IF(AND('Mapa R. Fiscal'!$Y$50="Media",'Mapa R. Fiscal'!$AA$50="Leve"),CONCATENATE("R7C",'Mapa R. Fiscal'!$O$50),"")</f>
        <v/>
      </c>
      <c r="O32" s="271" t="str">
        <f>IF(AND('Mapa R. Fiscal'!$Y$51="Media",'Mapa R. Fiscal'!$AA$51="Leve"),CONCATENATE("R7C",'Mapa R. Fiscal'!$O$51),"")</f>
        <v/>
      </c>
      <c r="P32" s="269" t="str">
        <f>IF(AND('Mapa R. Fiscal'!$Y$46="Media",'Mapa R. Fiscal'!$AA$46="Menor"),CONCATENATE("R7C",'Mapa R. Fiscal'!$O$46),"")</f>
        <v/>
      </c>
      <c r="Q32" s="270" t="str">
        <f>IF(AND('Mapa R. Fiscal'!$Y$47="Media",'Mapa R. Fiscal'!$AA$47="Menor"),CONCATENATE("R7C",'Mapa R. Fiscal'!$O$47),"")</f>
        <v/>
      </c>
      <c r="R32" s="270" t="str">
        <f>IF(AND('Mapa R. Fiscal'!$Y$48="Media",'Mapa R. Fiscal'!$AA$48="Menor"),CONCATENATE("R7C",'Mapa R. Fiscal'!$O$48),"")</f>
        <v/>
      </c>
      <c r="S32" s="270" t="str">
        <f>IF(AND('Mapa R. Fiscal'!$Y$49="Media",'Mapa R. Fiscal'!$AA$49="Menor"),CONCATENATE("R7C",'Mapa R. Fiscal'!$O$49),"")</f>
        <v/>
      </c>
      <c r="T32" s="270" t="str">
        <f>IF(AND('Mapa R. Fiscal'!$Y$50="Media",'Mapa R. Fiscal'!$AA$50="Menor"),CONCATENATE("R7C",'Mapa R. Fiscal'!$O$50),"")</f>
        <v/>
      </c>
      <c r="U32" s="271" t="str">
        <f>IF(AND('Mapa R. Fiscal'!$Y$51="Media",'Mapa R. Fiscal'!$AA$51="Menor"),CONCATENATE("R7C",'Mapa R. Fiscal'!$O$51),"")</f>
        <v/>
      </c>
      <c r="V32" s="269" t="str">
        <f>IF(AND('Mapa R. Fiscal'!$Y$46="Media",'Mapa R. Fiscal'!$AA$46="Moderado"),CONCATENATE("R7C",'Mapa R. Fiscal'!$O$46),"")</f>
        <v/>
      </c>
      <c r="W32" s="270" t="str">
        <f>IF(AND('Mapa R. Fiscal'!$Y$47="Media",'Mapa R. Fiscal'!$AA$47="Moderado"),CONCATENATE("R7C",'Mapa R. Fiscal'!$O$47),"")</f>
        <v/>
      </c>
      <c r="X32" s="270" t="str">
        <f>IF(AND('Mapa R. Fiscal'!$Y$48="Media",'Mapa R. Fiscal'!$AA$48="Moderado"),CONCATENATE("R7C",'Mapa R. Fiscal'!$O$48),"")</f>
        <v/>
      </c>
      <c r="Y32" s="270" t="str">
        <f>IF(AND('Mapa R. Fiscal'!$Y$49="Media",'Mapa R. Fiscal'!$AA$49="Moderado"),CONCATENATE("R7C",'Mapa R. Fiscal'!$O$49),"")</f>
        <v/>
      </c>
      <c r="Z32" s="270" t="str">
        <f>IF(AND('Mapa R. Fiscal'!$Y$50="Media",'Mapa R. Fiscal'!$AA$50="Moderado"),CONCATENATE("R7C",'Mapa R. Fiscal'!$O$50),"")</f>
        <v/>
      </c>
      <c r="AA32" s="271" t="str">
        <f>IF(AND('Mapa R. Fiscal'!$Y$51="Media",'Mapa R. Fiscal'!$AA$51="Moderado"),CONCATENATE("R7C",'Mapa R. Fiscal'!$O$51),"")</f>
        <v/>
      </c>
      <c r="AB32" s="254" t="str">
        <f>IF(AND('Mapa R. Fiscal'!$Y$46="Media",'Mapa R. Fiscal'!$AA$46="Mayor"),CONCATENATE("R7C",'Mapa R. Fiscal'!$O$46),"")</f>
        <v/>
      </c>
      <c r="AC32" s="255" t="str">
        <f>IF(AND('Mapa R. Fiscal'!$Y$47="Media",'Mapa R. Fiscal'!$AA$47="Mayor"),CONCATENATE("R7C",'Mapa R. Fiscal'!$O$47),"")</f>
        <v/>
      </c>
      <c r="AD32" s="255" t="str">
        <f>IF(AND('Mapa R. Fiscal'!$Y$48="Media",'Mapa R. Fiscal'!$AA$48="Mayor"),CONCATENATE("R7C",'Mapa R. Fiscal'!$O$48),"")</f>
        <v/>
      </c>
      <c r="AE32" s="255" t="str">
        <f>IF(AND('Mapa R. Fiscal'!$Y$49="Media",'Mapa R. Fiscal'!$AA$49="Mayor"),CONCATENATE("R7C",'Mapa R. Fiscal'!$O$49),"")</f>
        <v/>
      </c>
      <c r="AF32" s="255" t="str">
        <f>IF(AND('Mapa R. Fiscal'!$Y$50="Media",'Mapa R. Fiscal'!$AA$50="Mayor"),CONCATENATE("R7C",'Mapa R. Fiscal'!$O$50),"")</f>
        <v/>
      </c>
      <c r="AG32" s="256" t="str">
        <f>IF(AND('Mapa R. Fiscal'!$Y$51="Media",'Mapa R. Fiscal'!$AA$51="Mayor"),CONCATENATE("R7C",'Mapa R. Fiscal'!$O$51),"")</f>
        <v/>
      </c>
      <c r="AH32" s="257" t="str">
        <f>IF(AND('Mapa R. Fiscal'!$Y$46="Media",'Mapa R. Fiscal'!$AA$46="Catastrófico"),CONCATENATE("R7C",'Mapa R. Fiscal'!$O$46),"")</f>
        <v/>
      </c>
      <c r="AI32" s="258" t="str">
        <f>IF(AND('Mapa R. Fiscal'!$Y$47="Media",'Mapa R. Fiscal'!$AA$47="Catastrófico"),CONCATENATE("R7C",'Mapa R. Fiscal'!$O$47),"")</f>
        <v/>
      </c>
      <c r="AJ32" s="258" t="str">
        <f>IF(AND('Mapa R. Fiscal'!$Y$48="Media",'Mapa R. Fiscal'!$AA$48="Catastrófico"),CONCATENATE("R7C",'Mapa R. Fiscal'!$O$48),"")</f>
        <v/>
      </c>
      <c r="AK32" s="258" t="str">
        <f>IF(AND('Mapa R. Fiscal'!$Y$49="Media",'Mapa R. Fiscal'!$AA$49="Catastrófico"),CONCATENATE("R7C",'Mapa R. Fiscal'!$O$49),"")</f>
        <v/>
      </c>
      <c r="AL32" s="258" t="str">
        <f>IF(AND('Mapa R. Fiscal'!$Y$50="Media",'Mapa R. Fiscal'!$AA$50="Catastrófico"),CONCATENATE("R7C",'Mapa R. Fiscal'!$O$50),"")</f>
        <v/>
      </c>
      <c r="AM32" s="259" t="str">
        <f>IF(AND('Mapa R. Fiscal'!$Y$51="Media",'Mapa R. Fiscal'!$AA$51="Catastrófico"),CONCATENATE("R7C",'Mapa R. Fiscal'!$O$51),"")</f>
        <v/>
      </c>
      <c r="AN32" s="15"/>
      <c r="AO32" s="833"/>
      <c r="AP32" s="834"/>
      <c r="AQ32" s="834"/>
      <c r="AR32" s="834"/>
      <c r="AS32" s="834"/>
      <c r="AT32" s="8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6"/>
      <c r="C33" s="716"/>
      <c r="D33" s="717"/>
      <c r="E33" s="805"/>
      <c r="F33" s="806"/>
      <c r="G33" s="806"/>
      <c r="H33" s="806"/>
      <c r="I33" s="807"/>
      <c r="J33" s="269" t="str">
        <f>IF(AND('Mapa R. Fiscal'!$Y$52="Media",'Mapa R. Fiscal'!$AA$52="Leve"),CONCATENATE("R8C",'Mapa R. Fiscal'!$O$52),"")</f>
        <v/>
      </c>
      <c r="K33" s="270" t="str">
        <f>IF(AND('Mapa R. Fiscal'!$Y$53="Media",'Mapa R. Fiscal'!$AA$53="Leve"),CONCATENATE("R8C",'Mapa R. Fiscal'!$O$53),"")</f>
        <v/>
      </c>
      <c r="L33" s="270" t="str">
        <f>IF(AND('Mapa R. Fiscal'!$Y$54="Media",'Mapa R. Fiscal'!$AA$54="Leve"),CONCATENATE("R8C",'Mapa R. Fiscal'!$O$54),"")</f>
        <v/>
      </c>
      <c r="M33" s="270" t="str">
        <f>IF(AND('Mapa R. Fiscal'!$Y$55="Media",'Mapa R. Fiscal'!$AA$55="Leve"),CONCATENATE("R8C",'Mapa R. Fiscal'!$O$55),"")</f>
        <v/>
      </c>
      <c r="N33" s="270" t="str">
        <f>IF(AND('Mapa R. Fiscal'!$Y$56="Media",'Mapa R. Fiscal'!$AA$56="Leve"),CONCATENATE("R8C",'Mapa R. Fiscal'!$O$56),"")</f>
        <v/>
      </c>
      <c r="O33" s="271" t="str">
        <f>IF(AND('Mapa R. Fiscal'!$Y$57="Media",'Mapa R. Fiscal'!$AA$57="Leve"),CONCATENATE("R8C",'Mapa R. Fiscal'!$O$57),"")</f>
        <v/>
      </c>
      <c r="P33" s="269" t="str">
        <f>IF(AND('Mapa R. Fiscal'!$Y$52="Media",'Mapa R. Fiscal'!$AA$52="Menor"),CONCATENATE("R8C",'Mapa R. Fiscal'!$O$52),"")</f>
        <v/>
      </c>
      <c r="Q33" s="270" t="str">
        <f>IF(AND('Mapa R. Fiscal'!$Y$53="Media",'Mapa R. Fiscal'!$AA$53="Menor"),CONCATENATE("R8C",'Mapa R. Fiscal'!$O$53),"")</f>
        <v/>
      </c>
      <c r="R33" s="270" t="str">
        <f>IF(AND('Mapa R. Fiscal'!$Y$54="Media",'Mapa R. Fiscal'!$AA$54="Menor"),CONCATENATE("R8C",'Mapa R. Fiscal'!$O$54),"")</f>
        <v/>
      </c>
      <c r="S33" s="270" t="str">
        <f>IF(AND('Mapa R. Fiscal'!$Y$55="Media",'Mapa R. Fiscal'!$AA$55="Menor"),CONCATENATE("R8C",'Mapa R. Fiscal'!$O$55),"")</f>
        <v/>
      </c>
      <c r="T33" s="270" t="str">
        <f>IF(AND('Mapa R. Fiscal'!$Y$56="Media",'Mapa R. Fiscal'!$AA$56="Menor"),CONCATENATE("R8C",'Mapa R. Fiscal'!$O$56),"")</f>
        <v/>
      </c>
      <c r="U33" s="271" t="str">
        <f>IF(AND('Mapa R. Fiscal'!$Y$57="Media",'Mapa R. Fiscal'!$AA$57="Menor"),CONCATENATE("R8C",'Mapa R. Fiscal'!$O$57),"")</f>
        <v/>
      </c>
      <c r="V33" s="269" t="str">
        <f>IF(AND('Mapa R. Fiscal'!$Y$52="Media",'Mapa R. Fiscal'!$AA$52="Moderado"),CONCATENATE("R8C",'Mapa R. Fiscal'!$O$52),"")</f>
        <v/>
      </c>
      <c r="W33" s="270" t="str">
        <f>IF(AND('Mapa R. Fiscal'!$Y$53="Media",'Mapa R. Fiscal'!$AA$53="Moderado"),CONCATENATE("R8C",'Mapa R. Fiscal'!$O$53),"")</f>
        <v/>
      </c>
      <c r="X33" s="270" t="str">
        <f>IF(AND('Mapa R. Fiscal'!$Y$54="Media",'Mapa R. Fiscal'!$AA$54="Moderado"),CONCATENATE("R8C",'Mapa R. Fiscal'!$O$54),"")</f>
        <v/>
      </c>
      <c r="Y33" s="270" t="str">
        <f>IF(AND('Mapa R. Fiscal'!$Y$55="Media",'Mapa R. Fiscal'!$AA$55="Moderado"),CONCATENATE("R8C",'Mapa R. Fiscal'!$O$55),"")</f>
        <v/>
      </c>
      <c r="Z33" s="270" t="str">
        <f>IF(AND('Mapa R. Fiscal'!$Y$56="Media",'Mapa R. Fiscal'!$AA$56="Moderado"),CONCATENATE("R8C",'Mapa R. Fiscal'!$O$56),"")</f>
        <v/>
      </c>
      <c r="AA33" s="271" t="str">
        <f>IF(AND('Mapa R. Fiscal'!$Y$57="Media",'Mapa R. Fiscal'!$AA$57="Moderado"),CONCATENATE("R8C",'Mapa R. Fiscal'!$O$57),"")</f>
        <v/>
      </c>
      <c r="AB33" s="254" t="str">
        <f>IF(AND('Mapa R. Fiscal'!$Y$52="Media",'Mapa R. Fiscal'!$AA$52="Mayor"),CONCATENATE("R8C",'Mapa R. Fiscal'!$O$52),"")</f>
        <v/>
      </c>
      <c r="AC33" s="255" t="str">
        <f>IF(AND('Mapa R. Fiscal'!$Y$53="Media",'Mapa R. Fiscal'!$AA$53="Mayor"),CONCATENATE("R8C",'Mapa R. Fiscal'!$O$53),"")</f>
        <v/>
      </c>
      <c r="AD33" s="255" t="str">
        <f>IF(AND('Mapa R. Fiscal'!$Y$54="Media",'Mapa R. Fiscal'!$AA$54="Mayor"),CONCATENATE("R8C",'Mapa R. Fiscal'!$O$54),"")</f>
        <v/>
      </c>
      <c r="AE33" s="255" t="str">
        <f>IF(AND('Mapa R. Fiscal'!$Y$55="Media",'Mapa R. Fiscal'!$AA$55="Mayor"),CONCATENATE("R8C",'Mapa R. Fiscal'!$O$55),"")</f>
        <v/>
      </c>
      <c r="AF33" s="255" t="str">
        <f>IF(AND('Mapa R. Fiscal'!$Y$56="Media",'Mapa R. Fiscal'!$AA$56="Mayor"),CONCATENATE("R8C",'Mapa R. Fiscal'!$O$56),"")</f>
        <v/>
      </c>
      <c r="AG33" s="256" t="str">
        <f>IF(AND('Mapa R. Fiscal'!$Y$57="Media",'Mapa R. Fiscal'!$AA$57="Mayor"),CONCATENATE("R8C",'Mapa R. Fiscal'!$O$57),"")</f>
        <v/>
      </c>
      <c r="AH33" s="257" t="str">
        <f>IF(AND('Mapa R. Fiscal'!$Y$52="Media",'Mapa R. Fiscal'!$AA$52="Catastrófico"),CONCATENATE("R8C",'Mapa R. Fiscal'!$O$52),"")</f>
        <v/>
      </c>
      <c r="AI33" s="258" t="str">
        <f>IF(AND('Mapa R. Fiscal'!$Y$53="Media",'Mapa R. Fiscal'!$AA$53="Catastrófico"),CONCATENATE("R8C",'Mapa R. Fiscal'!$O$53),"")</f>
        <v/>
      </c>
      <c r="AJ33" s="258" t="str">
        <f>IF(AND('Mapa R. Fiscal'!$Y$54="Media",'Mapa R. Fiscal'!$AA$54="Catastrófico"),CONCATENATE("R8C",'Mapa R. Fiscal'!$O$54),"")</f>
        <v/>
      </c>
      <c r="AK33" s="258" t="str">
        <f>IF(AND('Mapa R. Fiscal'!$Y$55="Media",'Mapa R. Fiscal'!$AA$55="Catastrófico"),CONCATENATE("R8C",'Mapa R. Fiscal'!$O$55),"")</f>
        <v/>
      </c>
      <c r="AL33" s="258" t="str">
        <f>IF(AND('Mapa R. Fiscal'!$Y$56="Media",'Mapa R. Fiscal'!$AA$56="Catastrófico"),CONCATENATE("R8C",'Mapa R. Fiscal'!$O$56),"")</f>
        <v/>
      </c>
      <c r="AM33" s="259" t="str">
        <f>IF(AND('Mapa R. Fiscal'!$Y$57="Media",'Mapa R. Fiscal'!$AA$57="Catastrófico"),CONCATENATE("R8C",'Mapa R. Fiscal'!$O$57),"")</f>
        <v/>
      </c>
      <c r="AN33" s="15"/>
      <c r="AO33" s="833"/>
      <c r="AP33" s="834"/>
      <c r="AQ33" s="834"/>
      <c r="AR33" s="834"/>
      <c r="AS33" s="834"/>
      <c r="AT33" s="8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6"/>
      <c r="C34" s="716"/>
      <c r="D34" s="717"/>
      <c r="E34" s="805"/>
      <c r="F34" s="806"/>
      <c r="G34" s="806"/>
      <c r="H34" s="806"/>
      <c r="I34" s="807"/>
      <c r="J34" s="269" t="str">
        <f>IF(AND('Mapa R. Fiscal'!$Y$58="Media",'Mapa R. Fiscal'!$AA$58="Leve"),CONCATENATE("R9C",'Mapa R. Fiscal'!$O$58),"")</f>
        <v/>
      </c>
      <c r="K34" s="270" t="str">
        <f>IF(AND('Mapa R. Fiscal'!$Y$59="Media",'Mapa R. Fiscal'!$AA$59="Leve"),CONCATENATE("R9C",'Mapa R. Fiscal'!$O$59),"")</f>
        <v/>
      </c>
      <c r="L34" s="270" t="str">
        <f>IF(AND('Mapa R. Fiscal'!$Y$60="Media",'Mapa R. Fiscal'!$AA$60="Leve"),CONCATENATE("R9C",'Mapa R. Fiscal'!$O$60),"")</f>
        <v/>
      </c>
      <c r="M34" s="270" t="str">
        <f>IF(AND('Mapa R. Fiscal'!$Y$61="Media",'Mapa R. Fiscal'!$AA$61="Leve"),CONCATENATE("R9C",'Mapa R. Fiscal'!$O$61),"")</f>
        <v/>
      </c>
      <c r="N34" s="270" t="str">
        <f>IF(AND('Mapa R. Fiscal'!$Y$62="Media",'Mapa R. Fiscal'!$AA$62="Leve"),CONCATENATE("R9C",'Mapa R. Fiscal'!$O$62),"")</f>
        <v/>
      </c>
      <c r="O34" s="271" t="str">
        <f>IF(AND('Mapa R. Fiscal'!$Y$63="Media",'Mapa R. Fiscal'!$AA$63="Leve"),CONCATENATE("R9C",'Mapa R. Fiscal'!$O$63),"")</f>
        <v/>
      </c>
      <c r="P34" s="269" t="str">
        <f>IF(AND('Mapa R. Fiscal'!$Y$58="Media",'Mapa R. Fiscal'!$AA$58="Menor"),CONCATENATE("R9C",'Mapa R. Fiscal'!$O$58),"")</f>
        <v/>
      </c>
      <c r="Q34" s="270" t="str">
        <f>IF(AND('Mapa R. Fiscal'!$Y$59="Media",'Mapa R. Fiscal'!$AA$59="Menor"),CONCATENATE("R9C",'Mapa R. Fiscal'!$O$59),"")</f>
        <v/>
      </c>
      <c r="R34" s="270" t="str">
        <f>IF(AND('Mapa R. Fiscal'!$Y$60="Media",'Mapa R. Fiscal'!$AA$60="Menor"),CONCATENATE("R9C",'Mapa R. Fiscal'!$O$60),"")</f>
        <v/>
      </c>
      <c r="S34" s="270" t="str">
        <f>IF(AND('Mapa R. Fiscal'!$Y$61="Media",'Mapa R. Fiscal'!$AA$61="Menor"),CONCATENATE("R9C",'Mapa R. Fiscal'!$O$61),"")</f>
        <v/>
      </c>
      <c r="T34" s="270" t="str">
        <f>IF(AND('Mapa R. Fiscal'!$Y$62="Media",'Mapa R. Fiscal'!$AA$62="Menor"),CONCATENATE("R9C",'Mapa R. Fiscal'!$O$62),"")</f>
        <v/>
      </c>
      <c r="U34" s="271" t="str">
        <f>IF(AND('Mapa R. Fiscal'!$Y$63="Media",'Mapa R. Fiscal'!$AA$63="Menor"),CONCATENATE("R9C",'Mapa R. Fiscal'!$O$63),"")</f>
        <v/>
      </c>
      <c r="V34" s="269" t="str">
        <f>IF(AND('Mapa R. Fiscal'!$Y$58="Media",'Mapa R. Fiscal'!$AA$58="Moderado"),CONCATENATE("R9C",'Mapa R. Fiscal'!$O$58),"")</f>
        <v/>
      </c>
      <c r="W34" s="270" t="str">
        <f>IF(AND('Mapa R. Fiscal'!$Y$59="Media",'Mapa R. Fiscal'!$AA$59="Moderado"),CONCATENATE("R9C",'Mapa R. Fiscal'!$O$59),"")</f>
        <v/>
      </c>
      <c r="X34" s="270" t="str">
        <f>IF(AND('Mapa R. Fiscal'!$Y$60="Media",'Mapa R. Fiscal'!$AA$60="Moderado"),CONCATENATE("R9C",'Mapa R. Fiscal'!$O$60),"")</f>
        <v/>
      </c>
      <c r="Y34" s="270" t="str">
        <f>IF(AND('Mapa R. Fiscal'!$Y$61="Media",'Mapa R. Fiscal'!$AA$61="Moderado"),CONCATENATE("R9C",'Mapa R. Fiscal'!$O$61),"")</f>
        <v/>
      </c>
      <c r="Z34" s="270" t="str">
        <f>IF(AND('Mapa R. Fiscal'!$Y$62="Media",'Mapa R. Fiscal'!$AA$62="Moderado"),CONCATENATE("R9C",'Mapa R. Fiscal'!$O$62),"")</f>
        <v/>
      </c>
      <c r="AA34" s="271" t="str">
        <f>IF(AND('Mapa R. Fiscal'!$Y$63="Media",'Mapa R. Fiscal'!$AA$63="Moderado"),CONCATENATE("R9C",'Mapa R. Fiscal'!$O$63),"")</f>
        <v/>
      </c>
      <c r="AB34" s="254" t="str">
        <f>IF(AND('Mapa R. Fiscal'!$Y$58="Media",'Mapa R. Fiscal'!$AA$58="Mayor"),CONCATENATE("R9C",'Mapa R. Fiscal'!$O$58),"")</f>
        <v/>
      </c>
      <c r="AC34" s="255" t="str">
        <f>IF(AND('Mapa R. Fiscal'!$Y$59="Media",'Mapa R. Fiscal'!$AA$59="Mayor"),CONCATENATE("R9C",'Mapa R. Fiscal'!$O$59),"")</f>
        <v/>
      </c>
      <c r="AD34" s="255" t="str">
        <f>IF(AND('Mapa R. Fiscal'!$Y$60="Media",'Mapa R. Fiscal'!$AA$60="Mayor"),CONCATENATE("R9C",'Mapa R. Fiscal'!$O$60),"")</f>
        <v/>
      </c>
      <c r="AE34" s="255" t="str">
        <f>IF(AND('Mapa R. Fiscal'!$Y$61="Media",'Mapa R. Fiscal'!$AA$61="Mayor"),CONCATENATE("R9C",'Mapa R. Fiscal'!$O$61),"")</f>
        <v/>
      </c>
      <c r="AF34" s="255" t="str">
        <f>IF(AND('Mapa R. Fiscal'!$Y$62="Media",'Mapa R. Fiscal'!$AA$62="Mayor"),CONCATENATE("R9C",'Mapa R. Fiscal'!$O$62),"")</f>
        <v/>
      </c>
      <c r="AG34" s="256" t="str">
        <f>IF(AND('Mapa R. Fiscal'!$Y$63="Media",'Mapa R. Fiscal'!$AA$63="Mayor"),CONCATENATE("R9C",'Mapa R. Fiscal'!$O$63),"")</f>
        <v/>
      </c>
      <c r="AH34" s="257" t="str">
        <f>IF(AND('Mapa R. Fiscal'!$Y$58="Media",'Mapa R. Fiscal'!$AA$58="Catastrófico"),CONCATENATE("R9C",'Mapa R. Fiscal'!$O$58),"")</f>
        <v/>
      </c>
      <c r="AI34" s="258" t="str">
        <f>IF(AND('Mapa R. Fiscal'!$Y$59="Media",'Mapa R. Fiscal'!$AA$59="Catastrófico"),CONCATENATE("R9C",'Mapa R. Fiscal'!$O$59),"")</f>
        <v/>
      </c>
      <c r="AJ34" s="258" t="str">
        <f>IF(AND('Mapa R. Fiscal'!$Y$60="Media",'Mapa R. Fiscal'!$AA$60="Catastrófico"),CONCATENATE("R9C",'Mapa R. Fiscal'!$O$60),"")</f>
        <v/>
      </c>
      <c r="AK34" s="258" t="str">
        <f>IF(AND('Mapa R. Fiscal'!$Y$61="Media",'Mapa R. Fiscal'!$AA$61="Catastrófico"),CONCATENATE("R9C",'Mapa R. Fiscal'!$O$61),"")</f>
        <v/>
      </c>
      <c r="AL34" s="258" t="str">
        <f>IF(AND('Mapa R. Fiscal'!$Y$62="Media",'Mapa R. Fiscal'!$AA$62="Catastrófico"),CONCATENATE("R9C",'Mapa R. Fiscal'!$O$62),"")</f>
        <v/>
      </c>
      <c r="AM34" s="259" t="str">
        <f>IF(AND('Mapa R. Fiscal'!$Y$63="Media",'Mapa R. Fiscal'!$AA$63="Catastrófico"),CONCATENATE("R9C",'Mapa R. Fiscal'!$O$63),"")</f>
        <v/>
      </c>
      <c r="AN34" s="15"/>
      <c r="AO34" s="833"/>
      <c r="AP34" s="834"/>
      <c r="AQ34" s="834"/>
      <c r="AR34" s="834"/>
      <c r="AS34" s="834"/>
      <c r="AT34" s="8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6"/>
      <c r="C35" s="716"/>
      <c r="D35" s="717"/>
      <c r="E35" s="808"/>
      <c r="F35" s="809"/>
      <c r="G35" s="809"/>
      <c r="H35" s="809"/>
      <c r="I35" s="810"/>
      <c r="J35" s="269" t="str">
        <f>IF(AND('Mapa R. Fiscal'!$Y$64="Media",'Mapa R. Fiscal'!$AA$64="Leve"),CONCATENATE("R10C",'Mapa R. Fiscal'!$O$64),"")</f>
        <v/>
      </c>
      <c r="K35" s="270" t="str">
        <f>IF(AND('Mapa R. Fiscal'!$Y$65="Media",'Mapa R. Fiscal'!$AA$65="Leve"),CONCATENATE("R10C",'Mapa R. Fiscal'!$O$65),"")</f>
        <v/>
      </c>
      <c r="L35" s="270" t="str">
        <f>IF(AND('Mapa R. Fiscal'!$Y$66="Media",'Mapa R. Fiscal'!$AA$66="Leve"),CONCATENATE("R10C",'Mapa R. Fiscal'!$O$66),"")</f>
        <v/>
      </c>
      <c r="M35" s="270" t="str">
        <f>IF(AND('Mapa R. Fiscal'!$Y$67="Media",'Mapa R. Fiscal'!$AA$67="Leve"),CONCATENATE("R10C",'Mapa R. Fiscal'!$O$67),"")</f>
        <v/>
      </c>
      <c r="N35" s="270" t="str">
        <f>IF(AND('Mapa R. Fiscal'!$Y$68="Media",'Mapa R. Fiscal'!$AA$68="Leve"),CONCATENATE("R10C",'Mapa R. Fiscal'!$O$68),"")</f>
        <v/>
      </c>
      <c r="O35" s="271" t="str">
        <f>IF(AND('Mapa R. Fiscal'!$Y$69="Media",'Mapa R. Fiscal'!$AA$69="Leve"),CONCATENATE("R10C",'Mapa R. Fiscal'!$O$69),"")</f>
        <v/>
      </c>
      <c r="P35" s="269" t="str">
        <f>IF(AND('Mapa R. Fiscal'!$Y$64="Media",'Mapa R. Fiscal'!$AA$64="Menor"),CONCATENATE("R10C",'Mapa R. Fiscal'!$O$64),"")</f>
        <v/>
      </c>
      <c r="Q35" s="270" t="str">
        <f>IF(AND('Mapa R. Fiscal'!$Y$65="Media",'Mapa R. Fiscal'!$AA$65="Menor"),CONCATENATE("R10C",'Mapa R. Fiscal'!$O$65),"")</f>
        <v/>
      </c>
      <c r="R35" s="270" t="str">
        <f>IF(AND('Mapa R. Fiscal'!$Y$66="Media",'Mapa R. Fiscal'!$AA$66="Menor"),CONCATENATE("R10C",'Mapa R. Fiscal'!$O$66),"")</f>
        <v/>
      </c>
      <c r="S35" s="270" t="str">
        <f>IF(AND('Mapa R. Fiscal'!$Y$67="Media",'Mapa R. Fiscal'!$AA$67="Menor"),CONCATENATE("R10C",'Mapa R. Fiscal'!$O$67),"")</f>
        <v/>
      </c>
      <c r="T35" s="270" t="str">
        <f>IF(AND('Mapa R. Fiscal'!$Y$68="Media",'Mapa R. Fiscal'!$AA$68="Menor"),CONCATENATE("R10C",'Mapa R. Fiscal'!$O$68),"")</f>
        <v/>
      </c>
      <c r="U35" s="271" t="str">
        <f>IF(AND('Mapa R. Fiscal'!$Y$69="Media",'Mapa R. Fiscal'!$AA$69="Menor"),CONCATENATE("R10C",'Mapa R. Fiscal'!$O$69),"")</f>
        <v/>
      </c>
      <c r="V35" s="269" t="str">
        <f>IF(AND('Mapa R. Fiscal'!$Y$64="Media",'Mapa R. Fiscal'!$AA$64="Moderado"),CONCATENATE("R10C",'Mapa R. Fiscal'!$O$64),"")</f>
        <v/>
      </c>
      <c r="W35" s="270" t="str">
        <f>IF(AND('Mapa R. Fiscal'!$Y$65="Media",'Mapa R. Fiscal'!$AA$65="Moderado"),CONCATENATE("R10C",'Mapa R. Fiscal'!$O$65),"")</f>
        <v/>
      </c>
      <c r="X35" s="270" t="str">
        <f>IF(AND('Mapa R. Fiscal'!$Y$66="Media",'Mapa R. Fiscal'!$AA$66="Moderado"),CONCATENATE("R10C",'Mapa R. Fiscal'!$O$66),"")</f>
        <v/>
      </c>
      <c r="Y35" s="270" t="str">
        <f>IF(AND('Mapa R. Fiscal'!$Y$67="Media",'Mapa R. Fiscal'!$AA$67="Moderado"),CONCATENATE("R10C",'Mapa R. Fiscal'!$O$67),"")</f>
        <v/>
      </c>
      <c r="Z35" s="270" t="str">
        <f>IF(AND('Mapa R. Fiscal'!$Y$68="Media",'Mapa R. Fiscal'!$AA$68="Moderado"),CONCATENATE("R10C",'Mapa R. Fiscal'!$O$68),"")</f>
        <v/>
      </c>
      <c r="AA35" s="271" t="str">
        <f>IF(AND('Mapa R. Fiscal'!$Y$69="Media",'Mapa R. Fiscal'!$AA$69="Moderado"),CONCATENATE("R10C",'Mapa R. Fiscal'!$O$69),"")</f>
        <v/>
      </c>
      <c r="AB35" s="260" t="str">
        <f>IF(AND('Mapa R. Fiscal'!$Y$64="Media",'Mapa R. Fiscal'!$AA$64="Mayor"),CONCATENATE("R10C",'Mapa R. Fiscal'!$O$64),"")</f>
        <v/>
      </c>
      <c r="AC35" s="261" t="str">
        <f>IF(AND('Mapa R. Fiscal'!$Y$65="Media",'Mapa R. Fiscal'!$AA$65="Mayor"),CONCATENATE("R10C",'Mapa R. Fiscal'!$O$65),"")</f>
        <v/>
      </c>
      <c r="AD35" s="261" t="str">
        <f>IF(AND('Mapa R. Fiscal'!$Y$66="Media",'Mapa R. Fiscal'!$AA$66="Mayor"),CONCATENATE("R10C",'Mapa R. Fiscal'!$O$66),"")</f>
        <v/>
      </c>
      <c r="AE35" s="261" t="str">
        <f>IF(AND('Mapa R. Fiscal'!$Y$67="Media",'Mapa R. Fiscal'!$AA$67="Mayor"),CONCATENATE("R10C",'Mapa R. Fiscal'!$O$67),"")</f>
        <v/>
      </c>
      <c r="AF35" s="261" t="str">
        <f>IF(AND('Mapa R. Fiscal'!$Y$68="Media",'Mapa R. Fiscal'!$AA$68="Mayor"),CONCATENATE("R10C",'Mapa R. Fiscal'!$O$68),"")</f>
        <v/>
      </c>
      <c r="AG35" s="262" t="str">
        <f>IF(AND('Mapa R. Fiscal'!$Y$69="Media",'Mapa R. Fiscal'!$AA$69="Mayor"),CONCATENATE("R10C",'Mapa R. Fiscal'!$O$69),"")</f>
        <v/>
      </c>
      <c r="AH35" s="263" t="str">
        <f>IF(AND('Mapa R. Fiscal'!$Y$64="Media",'Mapa R. Fiscal'!$AA$64="Catastrófico"),CONCATENATE("R10C",'Mapa R. Fiscal'!$O$64),"")</f>
        <v/>
      </c>
      <c r="AI35" s="264" t="str">
        <f>IF(AND('Mapa R. Fiscal'!$Y$65="Media",'Mapa R. Fiscal'!$AA$65="Catastrófico"),CONCATENATE("R10C",'Mapa R. Fiscal'!$O$65),"")</f>
        <v/>
      </c>
      <c r="AJ35" s="264" t="str">
        <f>IF(AND('Mapa R. Fiscal'!$Y$66="Media",'Mapa R. Fiscal'!$AA$66="Catastrófico"),CONCATENATE("R10C",'Mapa R. Fiscal'!$O$66),"")</f>
        <v/>
      </c>
      <c r="AK35" s="264" t="str">
        <f>IF(AND('Mapa R. Fiscal'!$Y$67="Media",'Mapa R. Fiscal'!$AA$67="Catastrófico"),CONCATENATE("R10C",'Mapa R. Fiscal'!$O$67),"")</f>
        <v/>
      </c>
      <c r="AL35" s="264" t="str">
        <f>IF(AND('Mapa R. Fiscal'!$Y$68="Media",'Mapa R. Fiscal'!$AA$68="Catastrófico"),CONCATENATE("R10C",'Mapa R. Fiscal'!$O$68),"")</f>
        <v/>
      </c>
      <c r="AM35" s="265" t="str">
        <f>IF(AND('Mapa R. Fiscal'!$Y$69="Media",'Mapa R. Fiscal'!$AA$69="Catastrófico"),CONCATENATE("R10C",'Mapa R. Fiscal'!$O$69),"")</f>
        <v/>
      </c>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6"/>
      <c r="C36" s="716"/>
      <c r="D36" s="717"/>
      <c r="E36" s="802" t="s">
        <v>195</v>
      </c>
      <c r="F36" s="803"/>
      <c r="G36" s="803"/>
      <c r="H36" s="803"/>
      <c r="I36" s="803"/>
      <c r="J36" s="275" t="str">
        <f>IF(AND('Mapa R. Fiscal'!$Y$10="Baja",'Mapa R. Fiscal'!$AA$10="Leve"),CONCATENATE("R1C",'Mapa R. Fiscal'!$O$10),"")</f>
        <v/>
      </c>
      <c r="K36" s="276" t="str">
        <f>IF(AND('Mapa R. Fiscal'!$Y$11="Baja",'Mapa R. Fiscal'!$AA$11="Leve"),CONCATENATE("R1C",'Mapa R. Fiscal'!$O$11),"")</f>
        <v/>
      </c>
      <c r="L36" s="276" t="str">
        <f>IF(AND('Mapa R. Fiscal'!$Y$12="Baja",'Mapa R. Fiscal'!$AA$12="Leve"),CONCATENATE("R1C",'Mapa R. Fiscal'!$O$12),"")</f>
        <v/>
      </c>
      <c r="M36" s="276" t="str">
        <f>IF(AND('Mapa R. Fiscal'!$Y$13="Baja",'Mapa R. Fiscal'!$AA$13="Leve"),CONCATENATE("R1C",'Mapa R. Fiscal'!$O$13),"")</f>
        <v/>
      </c>
      <c r="N36" s="276" t="str">
        <f>IF(AND('Mapa R. Fiscal'!$Y$14="Baja",'Mapa R. Fiscal'!$AA$14="Leve"),CONCATENATE("R1C",'Mapa R. Fiscal'!$O$14),"")</f>
        <v/>
      </c>
      <c r="O36" s="277" t="str">
        <f>IF(AND('Mapa R. Fiscal'!$Y$15="Baja",'Mapa R. Fiscal'!$AA$15="Leve"),CONCATENATE("R1C",'Mapa R. Fiscal'!$O$15),"")</f>
        <v/>
      </c>
      <c r="P36" s="266" t="str">
        <f>IF(AND('Mapa R. Fiscal'!$Y$10="Baja",'Mapa R. Fiscal'!$AA$10="Menor"),CONCATENATE("R1C",'Mapa R. Fiscal'!$O$10),"")</f>
        <v/>
      </c>
      <c r="Q36" s="267" t="str">
        <f>IF(AND('Mapa R. Fiscal'!$Y$11="Baja",'Mapa R. Fiscal'!$AA$11="Menor"),CONCATENATE("R1C",'Mapa R. Fiscal'!$O$11),"")</f>
        <v/>
      </c>
      <c r="R36" s="267" t="str">
        <f>IF(AND('Mapa R. Fiscal'!$Y$12="Baja",'Mapa R. Fiscal'!$AA$12="Menor"),CONCATENATE("R1C",'Mapa R. Fiscal'!$O$12),"")</f>
        <v/>
      </c>
      <c r="S36" s="267" t="str">
        <f>IF(AND('Mapa R. Fiscal'!$Y$13="Baja",'Mapa R. Fiscal'!$AA$13="Menor"),CONCATENATE("R1C",'Mapa R. Fiscal'!$O$13),"")</f>
        <v/>
      </c>
      <c r="T36" s="267" t="str">
        <f>IF(AND('Mapa R. Fiscal'!$Y$14="Baja",'Mapa R. Fiscal'!$AA$14="Menor"),CONCATENATE("R1C",'Mapa R. Fiscal'!$O$14),"")</f>
        <v/>
      </c>
      <c r="U36" s="268" t="str">
        <f>IF(AND('Mapa R. Fiscal'!$Y$15="Baja",'Mapa R. Fiscal'!$AA$15="Menor"),CONCATENATE("R1C",'Mapa R. Fiscal'!$O$15),"")</f>
        <v/>
      </c>
      <c r="V36" s="266" t="str">
        <f>IF(AND('Mapa R. Fiscal'!$Y$10="Baja",'Mapa R. Fiscal'!$AA$10="Moderado"),CONCATENATE("R1C",'Mapa R. Fiscal'!$O$10),"")</f>
        <v/>
      </c>
      <c r="W36" s="267" t="str">
        <f>IF(AND('Mapa R. Fiscal'!$Y$11="Baja",'Mapa R. Fiscal'!$AA$11="Moderado"),CONCATENATE("R1C",'Mapa R. Fiscal'!$O$11),"")</f>
        <v/>
      </c>
      <c r="X36" s="267" t="str">
        <f>IF(AND('Mapa R. Fiscal'!$Y$12="Baja",'Mapa R. Fiscal'!$AA$12="Moderado"),CONCATENATE("R1C",'Mapa R. Fiscal'!$O$12),"")</f>
        <v/>
      </c>
      <c r="Y36" s="267" t="str">
        <f>IF(AND('Mapa R. Fiscal'!$Y$13="Baja",'Mapa R. Fiscal'!$AA$13="Moderado"),CONCATENATE("R1C",'Mapa R. Fiscal'!$O$13),"")</f>
        <v/>
      </c>
      <c r="Z36" s="267" t="str">
        <f>IF(AND('Mapa R. Fiscal'!$Y$14="Baja",'Mapa R. Fiscal'!$AA$14="Moderado"),CONCATENATE("R1C",'Mapa R. Fiscal'!$O$14),"")</f>
        <v/>
      </c>
      <c r="AA36" s="268" t="str">
        <f>IF(AND('Mapa R. Fiscal'!$Y$15="Baja",'Mapa R. Fiscal'!$AA$15="Moderado"),CONCATENATE("R1C",'Mapa R. Fiscal'!$O$15),"")</f>
        <v/>
      </c>
      <c r="AB36" s="248" t="str">
        <f>IF(AND('Mapa R. Fiscal'!$Y$10="Baja",'Mapa R. Fiscal'!$AA$10="Mayor"),CONCATENATE("R1C",'Mapa R. Fiscal'!$O$10),"")</f>
        <v/>
      </c>
      <c r="AC36" s="249" t="str">
        <f>IF(AND('Mapa R. Fiscal'!$Y$11="Baja",'Mapa R. Fiscal'!$AA$11="Mayor"),CONCATENATE("R1C",'Mapa R. Fiscal'!$O$11),"")</f>
        <v/>
      </c>
      <c r="AD36" s="249" t="str">
        <f>IF(AND('Mapa R. Fiscal'!$Y$12="Baja",'Mapa R. Fiscal'!$AA$12="Mayor"),CONCATENATE("R1C",'Mapa R. Fiscal'!$O$12),"")</f>
        <v/>
      </c>
      <c r="AE36" s="249" t="str">
        <f>IF(AND('Mapa R. Fiscal'!$Y$13="Baja",'Mapa R. Fiscal'!$AA$13="Mayor"),CONCATENATE("R1C",'Mapa R. Fiscal'!$O$13),"")</f>
        <v/>
      </c>
      <c r="AF36" s="249" t="str">
        <f>IF(AND('Mapa R. Fiscal'!$Y$14="Baja",'Mapa R. Fiscal'!$AA$14="Mayor"),CONCATENATE("R1C",'Mapa R. Fiscal'!$O$14),"")</f>
        <v/>
      </c>
      <c r="AG36" s="250" t="str">
        <f>IF(AND('Mapa R. Fiscal'!$Y$15="Baja",'Mapa R. Fiscal'!$AA$15="Mayor"),CONCATENATE("R1C",'Mapa R. Fiscal'!$O$15),"")</f>
        <v/>
      </c>
      <c r="AH36" s="251" t="str">
        <f>IF(AND('Mapa R. Fiscal'!$Y$10="Baja",'Mapa R. Fiscal'!$AA$10="Catastrófico"),CONCATENATE("R1C",'Mapa R. Fiscal'!$O$10),"")</f>
        <v/>
      </c>
      <c r="AI36" s="252" t="str">
        <f>IF(AND('Mapa R. Fiscal'!$Y$11="Baja",'Mapa R. Fiscal'!$AA$11="Catastrófico"),CONCATENATE("R1C",'Mapa R. Fiscal'!$O$11),"")</f>
        <v/>
      </c>
      <c r="AJ36" s="252" t="str">
        <f>IF(AND('Mapa R. Fiscal'!$Y$12="Baja",'Mapa R. Fiscal'!$AA$12="Catastrófico"),CONCATENATE("R1C",'Mapa R. Fiscal'!$O$12),"")</f>
        <v/>
      </c>
      <c r="AK36" s="252" t="str">
        <f>IF(AND('Mapa R. Fiscal'!$Y$13="Baja",'Mapa R. Fiscal'!$AA$13="Catastrófico"),CONCATENATE("R1C",'Mapa R. Fiscal'!$O$13),"")</f>
        <v/>
      </c>
      <c r="AL36" s="252" t="str">
        <f>IF(AND('Mapa R. Fiscal'!$Y$14="Baja",'Mapa R. Fiscal'!$AA$14="Catastrófico"),CONCATENATE("R1C",'Mapa R. Fiscal'!$O$14),"")</f>
        <v/>
      </c>
      <c r="AM36" s="253" t="str">
        <f>IF(AND('Mapa R. Fiscal'!$Y$15="Baja",'Mapa R. Fiscal'!$AA$15="Catastrófico"),CONCATENATE("R1C",'Mapa R. Fiscal'!$O$15),"")</f>
        <v/>
      </c>
      <c r="AN36" s="15"/>
      <c r="AO36" s="839" t="s">
        <v>196</v>
      </c>
      <c r="AP36" s="840"/>
      <c r="AQ36" s="840"/>
      <c r="AR36" s="840"/>
      <c r="AS36" s="840"/>
      <c r="AT36" s="8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6"/>
      <c r="C37" s="716"/>
      <c r="D37" s="717"/>
      <c r="E37" s="820"/>
      <c r="F37" s="806"/>
      <c r="G37" s="806"/>
      <c r="H37" s="806"/>
      <c r="I37" s="806"/>
      <c r="J37" s="278" t="str">
        <f>IF(AND('Mapa R. Fiscal'!$Y$16="Baja",'Mapa R. Fiscal'!$AA$16="Leve"),CONCATENATE("R2C",'Mapa R. Fiscal'!$O$16),"")</f>
        <v/>
      </c>
      <c r="K37" s="279" t="str">
        <f>IF(AND('Mapa R. Fiscal'!$Y$17="Baja",'Mapa R. Fiscal'!$AA$17="Leve"),CONCATENATE("R2C",'Mapa R. Fiscal'!$O$17),"")</f>
        <v/>
      </c>
      <c r="L37" s="279" t="str">
        <f>IF(AND('Mapa R. Fiscal'!$Y$18="Baja",'Mapa R. Fiscal'!$AA$18="Leve"),CONCATENATE("R2C",'Mapa R. Fiscal'!$O$18),"")</f>
        <v/>
      </c>
      <c r="M37" s="279" t="str">
        <f>IF(AND('Mapa R. Fiscal'!$Y$19="Baja",'Mapa R. Fiscal'!$AA$19="Leve"),CONCATENATE("R2C",'Mapa R. Fiscal'!$O$19),"")</f>
        <v/>
      </c>
      <c r="N37" s="279" t="str">
        <f>IF(AND('Mapa R. Fiscal'!$Y$20="Baja",'Mapa R. Fiscal'!$AA$20="Leve"),CONCATENATE("R2C",'Mapa R. Fiscal'!$O$20),"")</f>
        <v/>
      </c>
      <c r="O37" s="280" t="str">
        <f>IF(AND('Mapa R. Fiscal'!$Y$21="Baja",'Mapa R. Fiscal'!$AA$21="Leve"),CONCATENATE("R2C",'Mapa R. Fiscal'!$O$21),"")</f>
        <v/>
      </c>
      <c r="P37" s="269" t="str">
        <f>IF(AND('Mapa R. Fiscal'!$Y$16="Baja",'Mapa R. Fiscal'!$AA$16="Menor"),CONCATENATE("R2C",'Mapa R. Fiscal'!$O$16),"")</f>
        <v/>
      </c>
      <c r="Q37" s="270" t="str">
        <f>IF(AND('Mapa R. Fiscal'!$Y$17="Baja",'Mapa R. Fiscal'!$AA$17="Menor"),CONCATENATE("R2C",'Mapa R. Fiscal'!$O$17),"")</f>
        <v/>
      </c>
      <c r="R37" s="270" t="str">
        <f>IF(AND('Mapa R. Fiscal'!$Y$18="Baja",'Mapa R. Fiscal'!$AA$18="Menor"),CONCATENATE("R2C",'Mapa R. Fiscal'!$O$18),"")</f>
        <v/>
      </c>
      <c r="S37" s="270" t="str">
        <f>IF(AND('Mapa R. Fiscal'!$Y$19="Baja",'Mapa R. Fiscal'!$AA$19="Menor"),CONCATENATE("R2C",'Mapa R. Fiscal'!$O$19),"")</f>
        <v/>
      </c>
      <c r="T37" s="270" t="str">
        <f>IF(AND('Mapa R. Fiscal'!$Y$20="Baja",'Mapa R. Fiscal'!$AA$20="Menor"),CONCATENATE("R2C",'Mapa R. Fiscal'!$O$20),"")</f>
        <v/>
      </c>
      <c r="U37" s="271" t="str">
        <f>IF(AND('Mapa R. Fiscal'!$Y$21="Baja",'Mapa R. Fiscal'!$AA$21="Menor"),CONCATENATE("R2C",'Mapa R. Fiscal'!$O$21),"")</f>
        <v/>
      </c>
      <c r="V37" s="269" t="str">
        <f>IF(AND('Mapa R. Fiscal'!$Y$16="Baja",'Mapa R. Fiscal'!$AA$16="Moderado"),CONCATENATE("R2C",'Mapa R. Fiscal'!$O$16),"")</f>
        <v/>
      </c>
      <c r="W37" s="270" t="str">
        <f>IF(AND('Mapa R. Fiscal'!$Y$17="Baja",'Mapa R. Fiscal'!$AA$17="Moderado"),CONCATENATE("R2C",'Mapa R. Fiscal'!$O$17),"")</f>
        <v/>
      </c>
      <c r="X37" s="270" t="str">
        <f>IF(AND('Mapa R. Fiscal'!$Y$18="Baja",'Mapa R. Fiscal'!$AA$18="Moderado"),CONCATENATE("R2C",'Mapa R. Fiscal'!$O$18),"")</f>
        <v/>
      </c>
      <c r="Y37" s="270" t="str">
        <f>IF(AND('Mapa R. Fiscal'!$Y$19="Baja",'Mapa R. Fiscal'!$AA$19="Moderado"),CONCATENATE("R2C",'Mapa R. Fiscal'!$O$19),"")</f>
        <v/>
      </c>
      <c r="Z37" s="270" t="str">
        <f>IF(AND('Mapa R. Fiscal'!$Y$20="Baja",'Mapa R. Fiscal'!$AA$20="Moderado"),CONCATENATE("R2C",'Mapa R. Fiscal'!$O$20),"")</f>
        <v/>
      </c>
      <c r="AA37" s="271" t="str">
        <f>IF(AND('Mapa R. Fiscal'!$Y$21="Baja",'Mapa R. Fiscal'!$AA$21="Moderado"),CONCATENATE("R2C",'Mapa R. Fiscal'!$O$21),"")</f>
        <v/>
      </c>
      <c r="AB37" s="254" t="str">
        <f>IF(AND('Mapa R. Fiscal'!$Y$16="Baja",'Mapa R. Fiscal'!$AA$16="Mayor"),CONCATENATE("R2C",'Mapa R. Fiscal'!$O$16),"")</f>
        <v/>
      </c>
      <c r="AC37" s="255" t="str">
        <f>IF(AND('Mapa R. Fiscal'!$Y$17="Baja",'Mapa R. Fiscal'!$AA$17="Mayor"),CONCATENATE("R2C",'Mapa R. Fiscal'!$O$17),"")</f>
        <v/>
      </c>
      <c r="AD37" s="255" t="str">
        <f>IF(AND('Mapa R. Fiscal'!$Y$18="Baja",'Mapa R. Fiscal'!$AA$18="Mayor"),CONCATENATE("R2C",'Mapa R. Fiscal'!$O$18),"")</f>
        <v/>
      </c>
      <c r="AE37" s="255" t="str">
        <f>IF(AND('Mapa R. Fiscal'!$Y$19="Baja",'Mapa R. Fiscal'!$AA$19="Mayor"),CONCATENATE("R2C",'Mapa R. Fiscal'!$O$19),"")</f>
        <v/>
      </c>
      <c r="AF37" s="255" t="str">
        <f>IF(AND('Mapa R. Fiscal'!$Y$20="Baja",'Mapa R. Fiscal'!$AA$20="Mayor"),CONCATENATE("R2C",'Mapa R. Fiscal'!$O$20),"")</f>
        <v/>
      </c>
      <c r="AG37" s="256" t="str">
        <f>IF(AND('Mapa R. Fiscal'!$Y$21="Baja",'Mapa R. Fiscal'!$AA$21="Mayor"),CONCATENATE("R2C",'Mapa R. Fiscal'!$O$21),"")</f>
        <v/>
      </c>
      <c r="AH37" s="257" t="str">
        <f>IF(AND('Mapa R. Fiscal'!$Y$16="Baja",'Mapa R. Fiscal'!$AA$16="Catastrófico"),CONCATENATE("R2C",'Mapa R. Fiscal'!$O$16),"")</f>
        <v/>
      </c>
      <c r="AI37" s="258" t="str">
        <f>IF(AND('Mapa R. Fiscal'!$Y$17="Baja",'Mapa R. Fiscal'!$AA$17="Catastrófico"),CONCATENATE("R2C",'Mapa R. Fiscal'!$O$17),"")</f>
        <v/>
      </c>
      <c r="AJ37" s="258" t="str">
        <f>IF(AND('Mapa R. Fiscal'!$Y$18="Baja",'Mapa R. Fiscal'!$AA$18="Catastrófico"),CONCATENATE("R2C",'Mapa R. Fiscal'!$O$18),"")</f>
        <v/>
      </c>
      <c r="AK37" s="258" t="str">
        <f>IF(AND('Mapa R. Fiscal'!$Y$19="Baja",'Mapa R. Fiscal'!$AA$19="Catastrófico"),CONCATENATE("R2C",'Mapa R. Fiscal'!$O$19),"")</f>
        <v/>
      </c>
      <c r="AL37" s="258" t="str">
        <f>IF(AND('Mapa R. Fiscal'!$Y$20="Baja",'Mapa R. Fiscal'!$AA$20="Catastrófico"),CONCATENATE("R2C",'Mapa R. Fiscal'!$O$20),"")</f>
        <v/>
      </c>
      <c r="AM37" s="259" t="str">
        <f>IF(AND('Mapa R. Fiscal'!$Y$21="Baja",'Mapa R. Fiscal'!$AA$21="Catastrófico"),CONCATENATE("R2C",'Mapa R. Fiscal'!$O$21),"")</f>
        <v/>
      </c>
      <c r="AN37" s="15"/>
      <c r="AO37" s="842"/>
      <c r="AP37" s="843"/>
      <c r="AQ37" s="843"/>
      <c r="AR37" s="843"/>
      <c r="AS37" s="843"/>
      <c r="AT37" s="8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6"/>
      <c r="C38" s="716"/>
      <c r="D38" s="717"/>
      <c r="E38" s="805"/>
      <c r="F38" s="806"/>
      <c r="G38" s="806"/>
      <c r="H38" s="806"/>
      <c r="I38" s="806"/>
      <c r="J38" s="278" t="str">
        <f>IF(AND('Mapa R. Fiscal'!$Y$22="Baja",'Mapa R. Fiscal'!$AA$22="Leve"),CONCATENATE("R3C",'Mapa R. Fiscal'!$O$22),"")</f>
        <v/>
      </c>
      <c r="K38" s="279" t="str">
        <f>IF(AND('Mapa R. Fiscal'!$Y$23="Baja",'Mapa R. Fiscal'!$AA$23="Leve"),CONCATENATE("R3C",'Mapa R. Fiscal'!$O$23),"")</f>
        <v/>
      </c>
      <c r="L38" s="279" t="str">
        <f>IF(AND('Mapa R. Fiscal'!$Y$24="Baja",'Mapa R. Fiscal'!$AA$24="Leve"),CONCATENATE("R3C",'Mapa R. Fiscal'!$O$24),"")</f>
        <v/>
      </c>
      <c r="M38" s="279" t="str">
        <f>IF(AND('Mapa R. Fiscal'!$Y$25="Baja",'Mapa R. Fiscal'!$AA$25="Leve"),CONCATENATE("R3C",'Mapa R. Fiscal'!$O$25),"")</f>
        <v/>
      </c>
      <c r="N38" s="279" t="str">
        <f>IF(AND('Mapa R. Fiscal'!$Y$26="Baja",'Mapa R. Fiscal'!$AA$26="Leve"),CONCATENATE("R3C",'Mapa R. Fiscal'!$O$26),"")</f>
        <v/>
      </c>
      <c r="O38" s="280" t="str">
        <f>IF(AND('Mapa R. Fiscal'!$Y$27="Baja",'Mapa R. Fiscal'!$AA$27="Leve"),CONCATENATE("R3C",'Mapa R. Fiscal'!$O$27),"")</f>
        <v/>
      </c>
      <c r="P38" s="269" t="str">
        <f>IF(AND('Mapa R. Fiscal'!$Y$22="Baja",'Mapa R. Fiscal'!$AA$22="Menor"),CONCATENATE("R3C",'Mapa R. Fiscal'!$O$22),"")</f>
        <v/>
      </c>
      <c r="Q38" s="270" t="str">
        <f>IF(AND('Mapa R. Fiscal'!$Y$23="Baja",'Mapa R. Fiscal'!$AA$23="Menor"),CONCATENATE("R3C",'Mapa R. Fiscal'!$O$23),"")</f>
        <v/>
      </c>
      <c r="R38" s="270" t="str">
        <f>IF(AND('Mapa R. Fiscal'!$Y$24="Baja",'Mapa R. Fiscal'!$AA$24="Menor"),CONCATENATE("R3C",'Mapa R. Fiscal'!$O$24),"")</f>
        <v/>
      </c>
      <c r="S38" s="270" t="str">
        <f>IF(AND('Mapa R. Fiscal'!$Y$25="Baja",'Mapa R. Fiscal'!$AA$25="Menor"),CONCATENATE("R3C",'Mapa R. Fiscal'!$O$25),"")</f>
        <v/>
      </c>
      <c r="T38" s="270" t="str">
        <f>IF(AND('Mapa R. Fiscal'!$Y$26="Baja",'Mapa R. Fiscal'!$AA$26="Menor"),CONCATENATE("R3C",'Mapa R. Fiscal'!$O$26),"")</f>
        <v/>
      </c>
      <c r="U38" s="271" t="str">
        <f>IF(AND('Mapa R. Fiscal'!$Y$27="Baja",'Mapa R. Fiscal'!$AA$27="Menor"),CONCATENATE("R3C",'Mapa R. Fiscal'!$O$27),"")</f>
        <v/>
      </c>
      <c r="V38" s="269" t="str">
        <f>IF(AND('Mapa R. Fiscal'!$Y$22="Baja",'Mapa R. Fiscal'!$AA$22="Moderado"),CONCATENATE("R3C",'Mapa R. Fiscal'!$O$22),"")</f>
        <v/>
      </c>
      <c r="W38" s="270" t="str">
        <f>IF(AND('Mapa R. Fiscal'!$Y$23="Baja",'Mapa R. Fiscal'!$AA$23="Moderado"),CONCATENATE("R3C",'Mapa R. Fiscal'!$O$23),"")</f>
        <v/>
      </c>
      <c r="X38" s="270" t="str">
        <f>IF(AND('Mapa R. Fiscal'!$Y$24="Baja",'Mapa R. Fiscal'!$AA$24="Moderado"),CONCATENATE("R3C",'Mapa R. Fiscal'!$O$24),"")</f>
        <v/>
      </c>
      <c r="Y38" s="270" t="str">
        <f>IF(AND('Mapa R. Fiscal'!$Y$25="Baja",'Mapa R. Fiscal'!$AA$25="Moderado"),CONCATENATE("R3C",'Mapa R. Fiscal'!$O$25),"")</f>
        <v/>
      </c>
      <c r="Z38" s="270" t="str">
        <f>IF(AND('Mapa R. Fiscal'!$Y$26="Baja",'Mapa R. Fiscal'!$AA$26="Moderado"),CONCATENATE("R3C",'Mapa R. Fiscal'!$O$26),"")</f>
        <v/>
      </c>
      <c r="AA38" s="271" t="str">
        <f>IF(AND('Mapa R. Fiscal'!$Y$27="Baja",'Mapa R. Fiscal'!$AA$27="Moderado"),CONCATENATE("R3C",'Mapa R. Fiscal'!$O$27),"")</f>
        <v/>
      </c>
      <c r="AB38" s="254" t="str">
        <f>IF(AND('Mapa R. Fiscal'!$Y$22="Baja",'Mapa R. Fiscal'!$AA$22="Mayor"),CONCATENATE("R3C",'Mapa R. Fiscal'!$O$22),"")</f>
        <v/>
      </c>
      <c r="AC38" s="255" t="str">
        <f>IF(AND('Mapa R. Fiscal'!$Y$23="Baja",'Mapa R. Fiscal'!$AA$23="Mayor"),CONCATENATE("R3C",'Mapa R. Fiscal'!$O$23),"")</f>
        <v/>
      </c>
      <c r="AD38" s="255" t="str">
        <f>IF(AND('Mapa R. Fiscal'!$Y$24="Baja",'Mapa R. Fiscal'!$AA$24="Mayor"),CONCATENATE("R3C",'Mapa R. Fiscal'!$O$24),"")</f>
        <v/>
      </c>
      <c r="AE38" s="255" t="str">
        <f>IF(AND('Mapa R. Fiscal'!$Y$25="Baja",'Mapa R. Fiscal'!$AA$25="Mayor"),CONCATENATE("R3C",'Mapa R. Fiscal'!$O$25),"")</f>
        <v/>
      </c>
      <c r="AF38" s="255" t="str">
        <f>IF(AND('Mapa R. Fiscal'!$Y$26="Baja",'Mapa R. Fiscal'!$AA$26="Mayor"),CONCATENATE("R3C",'Mapa R. Fiscal'!$O$26),"")</f>
        <v/>
      </c>
      <c r="AG38" s="256" t="str">
        <f>IF(AND('Mapa R. Fiscal'!$Y$27="Baja",'Mapa R. Fiscal'!$AA$27="Mayor"),CONCATENATE("R3C",'Mapa R. Fiscal'!$O$27),"")</f>
        <v/>
      </c>
      <c r="AH38" s="257" t="str">
        <f>IF(AND('Mapa R. Fiscal'!$Y$22="Baja",'Mapa R. Fiscal'!$AA$22="Catastrófico"),CONCATENATE("R3C",'Mapa R. Fiscal'!$O$22),"")</f>
        <v/>
      </c>
      <c r="AI38" s="258" t="str">
        <f>IF(AND('Mapa R. Fiscal'!$Y$23="Baja",'Mapa R. Fiscal'!$AA$23="Catastrófico"),CONCATENATE("R3C",'Mapa R. Fiscal'!$O$23),"")</f>
        <v/>
      </c>
      <c r="AJ38" s="258" t="str">
        <f>IF(AND('Mapa R. Fiscal'!$Y$24="Baja",'Mapa R. Fiscal'!$AA$24="Catastrófico"),CONCATENATE("R3C",'Mapa R. Fiscal'!$O$24),"")</f>
        <v/>
      </c>
      <c r="AK38" s="258" t="str">
        <f>IF(AND('Mapa R. Fiscal'!$Y$25="Baja",'Mapa R. Fiscal'!$AA$25="Catastrófico"),CONCATENATE("R3C",'Mapa R. Fiscal'!$O$25),"")</f>
        <v/>
      </c>
      <c r="AL38" s="258" t="str">
        <f>IF(AND('Mapa R. Fiscal'!$Y$26="Baja",'Mapa R. Fiscal'!$AA$26="Catastrófico"),CONCATENATE("R3C",'Mapa R. Fiscal'!$O$26),"")</f>
        <v/>
      </c>
      <c r="AM38" s="259" t="str">
        <f>IF(AND('Mapa R. Fiscal'!$Y$27="Baja",'Mapa R. Fiscal'!$AA$27="Catastrófico"),CONCATENATE("R3C",'Mapa R. Fiscal'!$O$27),"")</f>
        <v/>
      </c>
      <c r="AN38" s="15"/>
      <c r="AO38" s="842"/>
      <c r="AP38" s="843"/>
      <c r="AQ38" s="843"/>
      <c r="AR38" s="843"/>
      <c r="AS38" s="843"/>
      <c r="AT38" s="8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6"/>
      <c r="C39" s="716"/>
      <c r="D39" s="717"/>
      <c r="E39" s="805"/>
      <c r="F39" s="806"/>
      <c r="G39" s="806"/>
      <c r="H39" s="806"/>
      <c r="I39" s="806"/>
      <c r="J39" s="278" t="str">
        <f>IF(AND('Mapa R. Fiscal'!$Y$28="Baja",'Mapa R. Fiscal'!$AA$28="Leve"),CONCATENATE("R4C",'Mapa R. Fiscal'!$O$28),"")</f>
        <v/>
      </c>
      <c r="K39" s="279" t="str">
        <f>IF(AND('Mapa R. Fiscal'!$Y$29="Baja",'Mapa R. Fiscal'!$AA$29="Leve"),CONCATENATE("R4C",'Mapa R. Fiscal'!$O$29),"")</f>
        <v/>
      </c>
      <c r="L39" s="279" t="str">
        <f>IF(AND('Mapa R. Fiscal'!$Y$30="Baja",'Mapa R. Fiscal'!$AA$30="Leve"),CONCATENATE("R4C",'Mapa R. Fiscal'!$O$30),"")</f>
        <v/>
      </c>
      <c r="M39" s="279" t="str">
        <f>IF(AND('Mapa R. Fiscal'!$Y$31="Baja",'Mapa R. Fiscal'!$AA$31="Leve"),CONCATENATE("R4C",'Mapa R. Fiscal'!$O$31),"")</f>
        <v/>
      </c>
      <c r="N39" s="279" t="str">
        <f>IF(AND('Mapa R. Fiscal'!$Y$32="Baja",'Mapa R. Fiscal'!$AA$32="Leve"),CONCATENATE("R4C",'Mapa R. Fiscal'!$O$32),"")</f>
        <v/>
      </c>
      <c r="O39" s="280" t="str">
        <f>IF(AND('Mapa R. Fiscal'!$Y$33="Baja",'Mapa R. Fiscal'!$AA$33="Leve"),CONCATENATE("R4C",'Mapa R. Fiscal'!$O$33),"")</f>
        <v/>
      </c>
      <c r="P39" s="269" t="str">
        <f>IF(AND('Mapa R. Fiscal'!$Y$28="Baja",'Mapa R. Fiscal'!$AA$28="Menor"),CONCATENATE("R4C",'Mapa R. Fiscal'!$O$28),"")</f>
        <v/>
      </c>
      <c r="Q39" s="270" t="str">
        <f>IF(AND('Mapa R. Fiscal'!$Y$29="Baja",'Mapa R. Fiscal'!$AA$29="Menor"),CONCATENATE("R4C",'Mapa R. Fiscal'!$O$29),"")</f>
        <v/>
      </c>
      <c r="R39" s="270" t="str">
        <f>IF(AND('Mapa R. Fiscal'!$Y$30="Baja",'Mapa R. Fiscal'!$AA$30="Menor"),CONCATENATE("R4C",'Mapa R. Fiscal'!$O$30),"")</f>
        <v/>
      </c>
      <c r="S39" s="270" t="str">
        <f>IF(AND('Mapa R. Fiscal'!$Y$31="Baja",'Mapa R. Fiscal'!$AA$31="Menor"),CONCATENATE("R4C",'Mapa R. Fiscal'!$O$31),"")</f>
        <v/>
      </c>
      <c r="T39" s="270" t="str">
        <f>IF(AND('Mapa R. Fiscal'!$Y$32="Baja",'Mapa R. Fiscal'!$AA$32="Menor"),CONCATENATE("R4C",'Mapa R. Fiscal'!$O$32),"")</f>
        <v/>
      </c>
      <c r="U39" s="271" t="str">
        <f>IF(AND('Mapa R. Fiscal'!$Y$33="Baja",'Mapa R. Fiscal'!$AA$33="Menor"),CONCATENATE("R4C",'Mapa R. Fiscal'!$O$33),"")</f>
        <v/>
      </c>
      <c r="V39" s="269" t="str">
        <f>IF(AND('Mapa R. Fiscal'!$Y$28="Baja",'Mapa R. Fiscal'!$AA$28="Moderado"),CONCATENATE("R4C",'Mapa R. Fiscal'!$O$28),"")</f>
        <v/>
      </c>
      <c r="W39" s="270" t="str">
        <f>IF(AND('Mapa R. Fiscal'!$Y$29="Baja",'Mapa R. Fiscal'!$AA$29="Moderado"),CONCATENATE("R4C",'Mapa R. Fiscal'!$O$29),"")</f>
        <v/>
      </c>
      <c r="X39" s="270" t="str">
        <f>IF(AND('Mapa R. Fiscal'!$Y$30="Baja",'Mapa R. Fiscal'!$AA$30="Moderado"),CONCATENATE("R4C",'Mapa R. Fiscal'!$O$30),"")</f>
        <v/>
      </c>
      <c r="Y39" s="270" t="str">
        <f>IF(AND('Mapa R. Fiscal'!$Y$31="Baja",'Mapa R. Fiscal'!$AA$31="Moderado"),CONCATENATE("R4C",'Mapa R. Fiscal'!$O$31),"")</f>
        <v/>
      </c>
      <c r="Z39" s="270" t="str">
        <f>IF(AND('Mapa R. Fiscal'!$Y$32="Baja",'Mapa R. Fiscal'!$AA$32="Moderado"),CONCATENATE("R4C",'Mapa R. Fiscal'!$O$32),"")</f>
        <v/>
      </c>
      <c r="AA39" s="271" t="str">
        <f>IF(AND('Mapa R. Fiscal'!$Y$33="Baja",'Mapa R. Fiscal'!$AA$33="Moderado"),CONCATENATE("R4C",'Mapa R. Fiscal'!$O$33),"")</f>
        <v/>
      </c>
      <c r="AB39" s="254" t="str">
        <f>IF(AND('Mapa R. Fiscal'!$Y$28="Baja",'Mapa R. Fiscal'!$AA$28="Mayor"),CONCATENATE("R4C",'Mapa R. Fiscal'!$O$28),"")</f>
        <v/>
      </c>
      <c r="AC39" s="255" t="str">
        <f>IF(AND('Mapa R. Fiscal'!$Y$29="Baja",'Mapa R. Fiscal'!$AA$29="Mayor"),CONCATENATE("R4C",'Mapa R. Fiscal'!$O$29),"")</f>
        <v/>
      </c>
      <c r="AD39" s="255" t="str">
        <f>IF(AND('Mapa R. Fiscal'!$Y$30="Baja",'Mapa R. Fiscal'!$AA$30="Mayor"),CONCATENATE("R4C",'Mapa R. Fiscal'!$O$30),"")</f>
        <v/>
      </c>
      <c r="AE39" s="255" t="str">
        <f>IF(AND('Mapa R. Fiscal'!$Y$31="Baja",'Mapa R. Fiscal'!$AA$31="Mayor"),CONCATENATE("R4C",'Mapa R. Fiscal'!$O$31),"")</f>
        <v/>
      </c>
      <c r="AF39" s="255" t="str">
        <f>IF(AND('Mapa R. Fiscal'!$Y$32="Baja",'Mapa R. Fiscal'!$AA$32="Mayor"),CONCATENATE("R4C",'Mapa R. Fiscal'!$O$32),"")</f>
        <v/>
      </c>
      <c r="AG39" s="256" t="str">
        <f>IF(AND('Mapa R. Fiscal'!$Y$33="Baja",'Mapa R. Fiscal'!$AA$33="Mayor"),CONCATENATE("R4C",'Mapa R. Fiscal'!$O$33),"")</f>
        <v/>
      </c>
      <c r="AH39" s="257" t="str">
        <f>IF(AND('Mapa R. Fiscal'!$Y$28="Baja",'Mapa R. Fiscal'!$AA$28="Catastrófico"),CONCATENATE("R4C",'Mapa R. Fiscal'!$O$28),"")</f>
        <v/>
      </c>
      <c r="AI39" s="258" t="str">
        <f>IF(AND('Mapa R. Fiscal'!$Y$29="Baja",'Mapa R. Fiscal'!$AA$29="Catastrófico"),CONCATENATE("R4C",'Mapa R. Fiscal'!$O$29),"")</f>
        <v/>
      </c>
      <c r="AJ39" s="258" t="str">
        <f>IF(AND('Mapa R. Fiscal'!$Y$30="Baja",'Mapa R. Fiscal'!$AA$30="Catastrófico"),CONCATENATE("R4C",'Mapa R. Fiscal'!$O$30),"")</f>
        <v/>
      </c>
      <c r="AK39" s="258" t="str">
        <f>IF(AND('Mapa R. Fiscal'!$Y$31="Baja",'Mapa R. Fiscal'!$AA$31="Catastrófico"),CONCATENATE("R4C",'Mapa R. Fiscal'!$O$31),"")</f>
        <v/>
      </c>
      <c r="AL39" s="258" t="str">
        <f>IF(AND('Mapa R. Fiscal'!$Y$32="Baja",'Mapa R. Fiscal'!$AA$32="Catastrófico"),CONCATENATE("R4C",'Mapa R. Fiscal'!$O$32),"")</f>
        <v/>
      </c>
      <c r="AM39" s="259" t="str">
        <f>IF(AND('Mapa R. Fiscal'!$Y$33="Baja",'Mapa R. Fiscal'!$AA$33="Catastrófico"),CONCATENATE("R4C",'Mapa R. Fiscal'!$O$33),"")</f>
        <v/>
      </c>
      <c r="AN39" s="15"/>
      <c r="AO39" s="842"/>
      <c r="AP39" s="843"/>
      <c r="AQ39" s="843"/>
      <c r="AR39" s="843"/>
      <c r="AS39" s="843"/>
      <c r="AT39" s="8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6"/>
      <c r="C40" s="716"/>
      <c r="D40" s="717"/>
      <c r="E40" s="805"/>
      <c r="F40" s="806"/>
      <c r="G40" s="806"/>
      <c r="H40" s="806"/>
      <c r="I40" s="806"/>
      <c r="J40" s="278" t="str">
        <f>IF(AND('Mapa R. Fiscal'!$Y$34="Baja",'Mapa R. Fiscal'!$AA$34="Leve"),CONCATENATE("R5C",'Mapa R. Fiscal'!$O$34),"")</f>
        <v/>
      </c>
      <c r="K40" s="279" t="str">
        <f>IF(AND('Mapa R. Fiscal'!$Y$35="Baja",'Mapa R. Fiscal'!$AA$35="Leve"),CONCATENATE("R5C",'Mapa R. Fiscal'!$O$35),"")</f>
        <v/>
      </c>
      <c r="L40" s="279" t="str">
        <f>IF(AND('Mapa R. Fiscal'!$Y$36="Baja",'Mapa R. Fiscal'!$AA$36="Leve"),CONCATENATE("R5C",'Mapa R. Fiscal'!$O$36),"")</f>
        <v/>
      </c>
      <c r="M40" s="279" t="str">
        <f>IF(AND('Mapa R. Fiscal'!$Y$37="Baja",'Mapa R. Fiscal'!$AA$37="Leve"),CONCATENATE("R5C",'Mapa R. Fiscal'!$O$37),"")</f>
        <v/>
      </c>
      <c r="N40" s="279" t="str">
        <f>IF(AND('Mapa R. Fiscal'!$Y$38="Baja",'Mapa R. Fiscal'!$AA$38="Leve"),CONCATENATE("R5C",'Mapa R. Fiscal'!$O$38),"")</f>
        <v/>
      </c>
      <c r="O40" s="280" t="str">
        <f>IF(AND('Mapa R. Fiscal'!$Y$39="Baja",'Mapa R. Fiscal'!$AA$39="Leve"),CONCATENATE("R5C",'Mapa R. Fiscal'!$O$39),"")</f>
        <v/>
      </c>
      <c r="P40" s="269" t="str">
        <f>IF(AND('Mapa R. Fiscal'!$Y$34="Baja",'Mapa R. Fiscal'!$AA$34="Menor"),CONCATENATE("R5C",'Mapa R. Fiscal'!$O$34),"")</f>
        <v/>
      </c>
      <c r="Q40" s="270" t="str">
        <f>IF(AND('Mapa R. Fiscal'!$Y$35="Baja",'Mapa R. Fiscal'!$AA$35="Menor"),CONCATENATE("R5C",'Mapa R. Fiscal'!$O$35),"")</f>
        <v/>
      </c>
      <c r="R40" s="270" t="str">
        <f>IF(AND('Mapa R. Fiscal'!$Y$36="Baja",'Mapa R. Fiscal'!$AA$36="Menor"),CONCATENATE("R5C",'Mapa R. Fiscal'!$O$36),"")</f>
        <v/>
      </c>
      <c r="S40" s="270" t="str">
        <f>IF(AND('Mapa R. Fiscal'!$Y$37="Baja",'Mapa R. Fiscal'!$AA$37="Menor"),CONCATENATE("R5C",'Mapa R. Fiscal'!$O$37),"")</f>
        <v/>
      </c>
      <c r="T40" s="270" t="str">
        <f>IF(AND('Mapa R. Fiscal'!$Y$38="Baja",'Mapa R. Fiscal'!$AA$38="Menor"),CONCATENATE("R5C",'Mapa R. Fiscal'!$O$38),"")</f>
        <v/>
      </c>
      <c r="U40" s="271" t="str">
        <f>IF(AND('Mapa R. Fiscal'!$Y$39="Baja",'Mapa R. Fiscal'!$AA$39="Menor"),CONCATENATE("R5C",'Mapa R. Fiscal'!$O$39),"")</f>
        <v/>
      </c>
      <c r="V40" s="269" t="str">
        <f>IF(AND('Mapa R. Fiscal'!$Y$34="Baja",'Mapa R. Fiscal'!$AA$34="Moderado"),CONCATENATE("R5C",'Mapa R. Fiscal'!$O$34),"")</f>
        <v/>
      </c>
      <c r="W40" s="270" t="str">
        <f>IF(AND('Mapa R. Fiscal'!$Y$35="Baja",'Mapa R. Fiscal'!$AA$35="Moderado"),CONCATENATE("R5C",'Mapa R. Fiscal'!$O$35),"")</f>
        <v/>
      </c>
      <c r="X40" s="270" t="str">
        <f>IF(AND('Mapa R. Fiscal'!$Y$36="Baja",'Mapa R. Fiscal'!$AA$36="Moderado"),CONCATENATE("R5C",'Mapa R. Fiscal'!$O$36),"")</f>
        <v/>
      </c>
      <c r="Y40" s="270" t="str">
        <f>IF(AND('Mapa R. Fiscal'!$Y$37="Baja",'Mapa R. Fiscal'!$AA$37="Moderado"),CONCATENATE("R5C",'Mapa R. Fiscal'!$O$37),"")</f>
        <v/>
      </c>
      <c r="Z40" s="270" t="str">
        <f>IF(AND('Mapa R. Fiscal'!$Y$38="Baja",'Mapa R. Fiscal'!$AA$38="Moderado"),CONCATENATE("R5C",'Mapa R. Fiscal'!$O$38),"")</f>
        <v/>
      </c>
      <c r="AA40" s="271" t="str">
        <f>IF(AND('Mapa R. Fiscal'!$Y$39="Baja",'Mapa R. Fiscal'!$AA$39="Moderado"),CONCATENATE("R5C",'Mapa R. Fiscal'!$O$39),"")</f>
        <v/>
      </c>
      <c r="AB40" s="254" t="str">
        <f>IF(AND('Mapa R. Fiscal'!$Y$34="Baja",'Mapa R. Fiscal'!$AA$34="Mayor"),CONCATENATE("R5C",'Mapa R. Fiscal'!$O$34),"")</f>
        <v/>
      </c>
      <c r="AC40" s="255" t="str">
        <f>IF(AND('Mapa R. Fiscal'!$Y$35="Baja",'Mapa R. Fiscal'!$AA$35="Mayor"),CONCATENATE("R5C",'Mapa R. Fiscal'!$O$35),"")</f>
        <v/>
      </c>
      <c r="AD40" s="255" t="str">
        <f>IF(AND('Mapa R. Fiscal'!$Y$36="Baja",'Mapa R. Fiscal'!$AA$36="Mayor"),CONCATENATE("R5C",'Mapa R. Fiscal'!$O$36),"")</f>
        <v/>
      </c>
      <c r="AE40" s="255" t="str">
        <f>IF(AND('Mapa R. Fiscal'!$Y$37="Baja",'Mapa R. Fiscal'!$AA$37="Mayor"),CONCATENATE("R5C",'Mapa R. Fiscal'!$O$37),"")</f>
        <v/>
      </c>
      <c r="AF40" s="255" t="str">
        <f>IF(AND('Mapa R. Fiscal'!$Y$38="Baja",'Mapa R. Fiscal'!$AA$38="Mayor"),CONCATENATE("R5C",'Mapa R. Fiscal'!$O$38),"")</f>
        <v/>
      </c>
      <c r="AG40" s="256" t="str">
        <f>IF(AND('Mapa R. Fiscal'!$Y$39="Baja",'Mapa R. Fiscal'!$AA$39="Mayor"),CONCATENATE("R5C",'Mapa R. Fiscal'!$O$39),"")</f>
        <v/>
      </c>
      <c r="AH40" s="257" t="str">
        <f>IF(AND('Mapa R. Fiscal'!$Y$34="Baja",'Mapa R. Fiscal'!$AA$34="Catastrófico"),CONCATENATE("R5C",'Mapa R. Fiscal'!$O$34),"")</f>
        <v/>
      </c>
      <c r="AI40" s="258" t="str">
        <f>IF(AND('Mapa R. Fiscal'!$Y$35="Baja",'Mapa R. Fiscal'!$AA$35="Catastrófico"),CONCATENATE("R5C",'Mapa R. Fiscal'!$O$35),"")</f>
        <v/>
      </c>
      <c r="AJ40" s="258" t="str">
        <f>IF(AND('Mapa R. Fiscal'!$Y$36="Baja",'Mapa R. Fiscal'!$AA$36="Catastrófico"),CONCATENATE("R5C",'Mapa R. Fiscal'!$O$36),"")</f>
        <v/>
      </c>
      <c r="AK40" s="258" t="str">
        <f>IF(AND('Mapa R. Fiscal'!$Y$37="Baja",'Mapa R. Fiscal'!$AA$37="Catastrófico"),CONCATENATE("R5C",'Mapa R. Fiscal'!$O$37),"")</f>
        <v/>
      </c>
      <c r="AL40" s="258" t="str">
        <f>IF(AND('Mapa R. Fiscal'!$Y$38="Baja",'Mapa R. Fiscal'!$AA$38="Catastrófico"),CONCATENATE("R5C",'Mapa R. Fiscal'!$O$38),"")</f>
        <v/>
      </c>
      <c r="AM40" s="259" t="str">
        <f>IF(AND('Mapa R. Fiscal'!$Y$39="Baja",'Mapa R. Fiscal'!$AA$39="Catastrófico"),CONCATENATE("R5C",'Mapa R. Fiscal'!$O$39),"")</f>
        <v/>
      </c>
      <c r="AN40" s="15"/>
      <c r="AO40" s="842"/>
      <c r="AP40" s="843"/>
      <c r="AQ40" s="843"/>
      <c r="AR40" s="843"/>
      <c r="AS40" s="843"/>
      <c r="AT40" s="8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6"/>
      <c r="C41" s="716"/>
      <c r="D41" s="717"/>
      <c r="E41" s="805"/>
      <c r="F41" s="806"/>
      <c r="G41" s="806"/>
      <c r="H41" s="806"/>
      <c r="I41" s="806"/>
      <c r="J41" s="278" t="str">
        <f>IF(AND('Mapa R. Fiscal'!$Y$40="Baja",'Mapa R. Fiscal'!$AA$40="Leve"),CONCATENATE("R6C",'Mapa R. Fiscal'!$O$40),"")</f>
        <v/>
      </c>
      <c r="K41" s="279" t="str">
        <f>IF(AND('Mapa R. Fiscal'!$Y$41="Baja",'Mapa R. Fiscal'!$AA$41="Leve"),CONCATENATE("R6C",'Mapa R. Fiscal'!$O$41),"")</f>
        <v/>
      </c>
      <c r="L41" s="279" t="str">
        <f>IF(AND('Mapa R. Fiscal'!$Y$42="Baja",'Mapa R. Fiscal'!$AA$42="Leve"),CONCATENATE("R6C",'Mapa R. Fiscal'!$O$42),"")</f>
        <v/>
      </c>
      <c r="M41" s="279" t="str">
        <f>IF(AND('Mapa R. Fiscal'!$Y$43="Baja",'Mapa R. Fiscal'!$AA$43="Leve"),CONCATENATE("R6C",'Mapa R. Fiscal'!$O$43),"")</f>
        <v/>
      </c>
      <c r="N41" s="279" t="str">
        <f>IF(AND('Mapa R. Fiscal'!$Y$44="Baja",'Mapa R. Fiscal'!$AA$44="Leve"),CONCATENATE("R6C",'Mapa R. Fiscal'!$O$44),"")</f>
        <v/>
      </c>
      <c r="O41" s="280" t="str">
        <f>IF(AND('Mapa R. Fiscal'!$Y$45="Baja",'Mapa R. Fiscal'!$AA$45="Leve"),CONCATENATE("R6C",'Mapa R. Fiscal'!$O$45),"")</f>
        <v/>
      </c>
      <c r="P41" s="269" t="str">
        <f>IF(AND('Mapa R. Fiscal'!$Y$40="Baja",'Mapa R. Fiscal'!$AA$40="Menor"),CONCATENATE("R6C",'Mapa R. Fiscal'!$O$40),"")</f>
        <v/>
      </c>
      <c r="Q41" s="270" t="str">
        <f>IF(AND('Mapa R. Fiscal'!$Y$41="Baja",'Mapa R. Fiscal'!$AA$41="Menor"),CONCATENATE("R6C",'Mapa R. Fiscal'!$O$41),"")</f>
        <v/>
      </c>
      <c r="R41" s="270" t="str">
        <f>IF(AND('Mapa R. Fiscal'!$Y$42="Baja",'Mapa R. Fiscal'!$AA$42="Menor"),CONCATENATE("R6C",'Mapa R. Fiscal'!$O$42),"")</f>
        <v/>
      </c>
      <c r="S41" s="270" t="str">
        <f>IF(AND('Mapa R. Fiscal'!$Y$43="Baja",'Mapa R. Fiscal'!$AA$43="Menor"),CONCATENATE("R6C",'Mapa R. Fiscal'!$O$43),"")</f>
        <v/>
      </c>
      <c r="T41" s="270" t="str">
        <f>IF(AND('Mapa R. Fiscal'!$Y$44="Baja",'Mapa R. Fiscal'!$AA$44="Menor"),CONCATENATE("R6C",'Mapa R. Fiscal'!$O$44),"")</f>
        <v/>
      </c>
      <c r="U41" s="271" t="str">
        <f>IF(AND('Mapa R. Fiscal'!$Y$45="Baja",'Mapa R. Fiscal'!$AA$45="Menor"),CONCATENATE("R6C",'Mapa R. Fiscal'!$O$45),"")</f>
        <v/>
      </c>
      <c r="V41" s="269" t="str">
        <f>IF(AND('Mapa R. Fiscal'!$Y$40="Baja",'Mapa R. Fiscal'!$AA$40="Moderado"),CONCATENATE("R6C",'Mapa R. Fiscal'!$O$40),"")</f>
        <v/>
      </c>
      <c r="W41" s="270" t="str">
        <f>IF(AND('Mapa R. Fiscal'!$Y$41="Baja",'Mapa R. Fiscal'!$AA$41="Moderado"),CONCATENATE("R6C",'Mapa R. Fiscal'!$O$41),"")</f>
        <v/>
      </c>
      <c r="X41" s="270" t="str">
        <f>IF(AND('Mapa R. Fiscal'!$Y$42="Baja",'Mapa R. Fiscal'!$AA$42="Moderado"),CONCATENATE("R6C",'Mapa R. Fiscal'!$O$42),"")</f>
        <v/>
      </c>
      <c r="Y41" s="270" t="str">
        <f>IF(AND('Mapa R. Fiscal'!$Y$43="Baja",'Mapa R. Fiscal'!$AA$43="Moderado"),CONCATENATE("R6C",'Mapa R. Fiscal'!$O$43),"")</f>
        <v/>
      </c>
      <c r="Z41" s="270" t="str">
        <f>IF(AND('Mapa R. Fiscal'!$Y$44="Baja",'Mapa R. Fiscal'!$AA$44="Moderado"),CONCATENATE("R6C",'Mapa R. Fiscal'!$O$44),"")</f>
        <v/>
      </c>
      <c r="AA41" s="271" t="str">
        <f>IF(AND('Mapa R. Fiscal'!$Y$45="Baja",'Mapa R. Fiscal'!$AA$45="Moderado"),CONCATENATE("R6C",'Mapa R. Fiscal'!$O$45),"")</f>
        <v/>
      </c>
      <c r="AB41" s="254" t="str">
        <f>IF(AND('Mapa R. Fiscal'!$Y$40="Baja",'Mapa R. Fiscal'!$AA$40="Mayor"),CONCATENATE("R6C",'Mapa R. Fiscal'!$O$40),"")</f>
        <v/>
      </c>
      <c r="AC41" s="255" t="str">
        <f>IF(AND('Mapa R. Fiscal'!$Y$41="Baja",'Mapa R. Fiscal'!$AA$41="Mayor"),CONCATENATE("R6C",'Mapa R. Fiscal'!$O$41),"")</f>
        <v/>
      </c>
      <c r="AD41" s="255" t="str">
        <f>IF(AND('Mapa R. Fiscal'!$Y$42="Baja",'Mapa R. Fiscal'!$AA$42="Mayor"),CONCATENATE("R6C",'Mapa R. Fiscal'!$O$42),"")</f>
        <v/>
      </c>
      <c r="AE41" s="255" t="str">
        <f>IF(AND('Mapa R. Fiscal'!$Y$43="Baja",'Mapa R. Fiscal'!$AA$43="Mayor"),CONCATENATE("R6C",'Mapa R. Fiscal'!$O$43),"")</f>
        <v/>
      </c>
      <c r="AF41" s="255" t="str">
        <f>IF(AND('Mapa R. Fiscal'!$Y$44="Baja",'Mapa R. Fiscal'!$AA$44="Mayor"),CONCATENATE("R6C",'Mapa R. Fiscal'!$O$44),"")</f>
        <v/>
      </c>
      <c r="AG41" s="256" t="str">
        <f>IF(AND('Mapa R. Fiscal'!$Y$45="Baja",'Mapa R. Fiscal'!$AA$45="Mayor"),CONCATENATE("R6C",'Mapa R. Fiscal'!$O$45),"")</f>
        <v/>
      </c>
      <c r="AH41" s="257" t="str">
        <f>IF(AND('Mapa R. Fiscal'!$Y$40="Baja",'Mapa R. Fiscal'!$AA$40="Catastrófico"),CONCATENATE("R6C",'Mapa R. Fiscal'!$O$40),"")</f>
        <v/>
      </c>
      <c r="AI41" s="258" t="str">
        <f>IF(AND('Mapa R. Fiscal'!$Y$41="Baja",'Mapa R. Fiscal'!$AA$41="Catastrófico"),CONCATENATE("R6C",'Mapa R. Fiscal'!$O$41),"")</f>
        <v/>
      </c>
      <c r="AJ41" s="258" t="str">
        <f>IF(AND('Mapa R. Fiscal'!$Y$42="Baja",'Mapa R. Fiscal'!$AA$42="Catastrófico"),CONCATENATE("R6C",'Mapa R. Fiscal'!$O$42),"")</f>
        <v/>
      </c>
      <c r="AK41" s="258" t="str">
        <f>IF(AND('Mapa R. Fiscal'!$Y$43="Baja",'Mapa R. Fiscal'!$AA$43="Catastrófico"),CONCATENATE("R6C",'Mapa R. Fiscal'!$O$43),"")</f>
        <v/>
      </c>
      <c r="AL41" s="258" t="str">
        <f>IF(AND('Mapa R. Fiscal'!$Y$44="Baja",'Mapa R. Fiscal'!$AA$44="Catastrófico"),CONCATENATE("R6C",'Mapa R. Fiscal'!$O$44),"")</f>
        <v/>
      </c>
      <c r="AM41" s="259" t="str">
        <f>IF(AND('Mapa R. Fiscal'!$Y$45="Baja",'Mapa R. Fiscal'!$AA$45="Catastrófico"),CONCATENATE("R6C",'Mapa R. Fiscal'!$O$45),"")</f>
        <v/>
      </c>
      <c r="AN41" s="15"/>
      <c r="AO41" s="842"/>
      <c r="AP41" s="843"/>
      <c r="AQ41" s="843"/>
      <c r="AR41" s="843"/>
      <c r="AS41" s="843"/>
      <c r="AT41" s="8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6"/>
      <c r="C42" s="716"/>
      <c r="D42" s="717"/>
      <c r="E42" s="805"/>
      <c r="F42" s="806"/>
      <c r="G42" s="806"/>
      <c r="H42" s="806"/>
      <c r="I42" s="806"/>
      <c r="J42" s="278" t="str">
        <f>IF(AND('Mapa R. Fiscal'!$Y$46="Baja",'Mapa R. Fiscal'!$AA$46="Leve"),CONCATENATE("R7C",'Mapa R. Fiscal'!$O$46),"")</f>
        <v/>
      </c>
      <c r="K42" s="279" t="str">
        <f>IF(AND('Mapa R. Fiscal'!$Y$47="Baja",'Mapa R. Fiscal'!$AA$47="Leve"),CONCATENATE("R7C",'Mapa R. Fiscal'!$O$47),"")</f>
        <v/>
      </c>
      <c r="L42" s="279" t="str">
        <f>IF(AND('Mapa R. Fiscal'!$Y$48="Baja",'Mapa R. Fiscal'!$AA$48="Leve"),CONCATENATE("R7C",'Mapa R. Fiscal'!$O$48),"")</f>
        <v/>
      </c>
      <c r="M42" s="279" t="str">
        <f>IF(AND('Mapa R. Fiscal'!$Y$49="Baja",'Mapa R. Fiscal'!$AA$49="Leve"),CONCATENATE("R7C",'Mapa R. Fiscal'!$O$49),"")</f>
        <v/>
      </c>
      <c r="N42" s="279" t="str">
        <f>IF(AND('Mapa R. Fiscal'!$Y$50="Baja",'Mapa R. Fiscal'!$AA$50="Leve"),CONCATENATE("R7C",'Mapa R. Fiscal'!$O$50),"")</f>
        <v/>
      </c>
      <c r="O42" s="280" t="str">
        <f>IF(AND('Mapa R. Fiscal'!$Y$51="Baja",'Mapa R. Fiscal'!$AA$51="Leve"),CONCATENATE("R7C",'Mapa R. Fiscal'!$O$51),"")</f>
        <v/>
      </c>
      <c r="P42" s="269" t="str">
        <f>IF(AND('Mapa R. Fiscal'!$Y$46="Baja",'Mapa R. Fiscal'!$AA$46="Menor"),CONCATENATE("R7C",'Mapa R. Fiscal'!$O$46),"")</f>
        <v/>
      </c>
      <c r="Q42" s="270" t="str">
        <f>IF(AND('Mapa R. Fiscal'!$Y$47="Baja",'Mapa R. Fiscal'!$AA$47="Menor"),CONCATENATE("R7C",'Mapa R. Fiscal'!$O$47),"")</f>
        <v/>
      </c>
      <c r="R42" s="270" t="str">
        <f>IF(AND('Mapa R. Fiscal'!$Y$48="Baja",'Mapa R. Fiscal'!$AA$48="Menor"),CONCATENATE("R7C",'Mapa R. Fiscal'!$O$48),"")</f>
        <v/>
      </c>
      <c r="S42" s="270" t="str">
        <f>IF(AND('Mapa R. Fiscal'!$Y$49="Baja",'Mapa R. Fiscal'!$AA$49="Menor"),CONCATENATE("R7C",'Mapa R. Fiscal'!$O$49),"")</f>
        <v/>
      </c>
      <c r="T42" s="270" t="str">
        <f>IF(AND('Mapa R. Fiscal'!$Y$50="Baja",'Mapa R. Fiscal'!$AA$50="Menor"),CONCATENATE("R7C",'Mapa R. Fiscal'!$O$50),"")</f>
        <v/>
      </c>
      <c r="U42" s="271" t="str">
        <f>IF(AND('Mapa R. Fiscal'!$Y$51="Baja",'Mapa R. Fiscal'!$AA$51="Menor"),CONCATENATE("R7C",'Mapa R. Fiscal'!$O$51),"")</f>
        <v/>
      </c>
      <c r="V42" s="269" t="str">
        <f>IF(AND('Mapa R. Fiscal'!$Y$46="Baja",'Mapa R. Fiscal'!$AA$46="Moderado"),CONCATENATE("R7C",'Mapa R. Fiscal'!$O$46),"")</f>
        <v/>
      </c>
      <c r="W42" s="270" t="str">
        <f>IF(AND('Mapa R. Fiscal'!$Y$47="Baja",'Mapa R. Fiscal'!$AA$47="Moderado"),CONCATENATE("R7C",'Mapa R. Fiscal'!$O$47),"")</f>
        <v/>
      </c>
      <c r="X42" s="270" t="str">
        <f>IF(AND('Mapa R. Fiscal'!$Y$48="Baja",'Mapa R. Fiscal'!$AA$48="Moderado"),CONCATENATE("R7C",'Mapa R. Fiscal'!$O$48),"")</f>
        <v/>
      </c>
      <c r="Y42" s="270" t="str">
        <f>IF(AND('Mapa R. Fiscal'!$Y$49="Baja",'Mapa R. Fiscal'!$AA$49="Moderado"),CONCATENATE("R7C",'Mapa R. Fiscal'!$O$49),"")</f>
        <v/>
      </c>
      <c r="Z42" s="270" t="str">
        <f>IF(AND('Mapa R. Fiscal'!$Y$50="Baja",'Mapa R. Fiscal'!$AA$50="Moderado"),CONCATENATE("R7C",'Mapa R. Fiscal'!$O$50),"")</f>
        <v/>
      </c>
      <c r="AA42" s="271" t="str">
        <f>IF(AND('Mapa R. Fiscal'!$Y$51="Baja",'Mapa R. Fiscal'!$AA$51="Moderado"),CONCATENATE("R7C",'Mapa R. Fiscal'!$O$51),"")</f>
        <v/>
      </c>
      <c r="AB42" s="254" t="str">
        <f>IF(AND('Mapa R. Fiscal'!$Y$46="Baja",'Mapa R. Fiscal'!$AA$46="Mayor"),CONCATENATE("R7C",'Mapa R. Fiscal'!$O$46),"")</f>
        <v/>
      </c>
      <c r="AC42" s="255" t="str">
        <f>IF(AND('Mapa R. Fiscal'!$Y$47="Baja",'Mapa R. Fiscal'!$AA$47="Mayor"),CONCATENATE("R7C",'Mapa R. Fiscal'!$O$47),"")</f>
        <v/>
      </c>
      <c r="AD42" s="255" t="str">
        <f>IF(AND('Mapa R. Fiscal'!$Y$48="Baja",'Mapa R. Fiscal'!$AA$48="Mayor"),CONCATENATE("R7C",'Mapa R. Fiscal'!$O$48),"")</f>
        <v/>
      </c>
      <c r="AE42" s="255" t="str">
        <f>IF(AND('Mapa R. Fiscal'!$Y$49="Baja",'Mapa R. Fiscal'!$AA$49="Mayor"),CONCATENATE("R7C",'Mapa R. Fiscal'!$O$49),"")</f>
        <v/>
      </c>
      <c r="AF42" s="255" t="str">
        <f>IF(AND('Mapa R. Fiscal'!$Y$50="Baja",'Mapa R. Fiscal'!$AA$50="Mayor"),CONCATENATE("R7C",'Mapa R. Fiscal'!$O$50),"")</f>
        <v/>
      </c>
      <c r="AG42" s="256" t="str">
        <f>IF(AND('Mapa R. Fiscal'!$Y$51="Baja",'Mapa R. Fiscal'!$AA$51="Mayor"),CONCATENATE("R7C",'Mapa R. Fiscal'!$O$51),"")</f>
        <v/>
      </c>
      <c r="AH42" s="257" t="str">
        <f>IF(AND('Mapa R. Fiscal'!$Y$46="Baja",'Mapa R. Fiscal'!$AA$46="Catastrófico"),CONCATENATE("R7C",'Mapa R. Fiscal'!$O$46),"")</f>
        <v/>
      </c>
      <c r="AI42" s="258" t="str">
        <f>IF(AND('Mapa R. Fiscal'!$Y$47="Baja",'Mapa R. Fiscal'!$AA$47="Catastrófico"),CONCATENATE("R7C",'Mapa R. Fiscal'!$O$47),"")</f>
        <v/>
      </c>
      <c r="AJ42" s="258" t="str">
        <f>IF(AND('Mapa R. Fiscal'!$Y$48="Baja",'Mapa R. Fiscal'!$AA$48="Catastrófico"),CONCATENATE("R7C",'Mapa R. Fiscal'!$O$48),"")</f>
        <v/>
      </c>
      <c r="AK42" s="258" t="str">
        <f>IF(AND('Mapa R. Fiscal'!$Y$49="Baja",'Mapa R. Fiscal'!$AA$49="Catastrófico"),CONCATENATE("R7C",'Mapa R. Fiscal'!$O$49),"")</f>
        <v/>
      </c>
      <c r="AL42" s="258" t="str">
        <f>IF(AND('Mapa R. Fiscal'!$Y$50="Baja",'Mapa R. Fiscal'!$AA$50="Catastrófico"),CONCATENATE("R7C",'Mapa R. Fiscal'!$O$50),"")</f>
        <v/>
      </c>
      <c r="AM42" s="259" t="str">
        <f>IF(AND('Mapa R. Fiscal'!$Y$51="Baja",'Mapa R. Fiscal'!$AA$51="Catastrófico"),CONCATENATE("R7C",'Mapa R. Fiscal'!$O$51),"")</f>
        <v/>
      </c>
      <c r="AN42" s="15"/>
      <c r="AO42" s="842"/>
      <c r="AP42" s="843"/>
      <c r="AQ42" s="843"/>
      <c r="AR42" s="843"/>
      <c r="AS42" s="843"/>
      <c r="AT42" s="8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6"/>
      <c r="C43" s="716"/>
      <c r="D43" s="717"/>
      <c r="E43" s="805"/>
      <c r="F43" s="806"/>
      <c r="G43" s="806"/>
      <c r="H43" s="806"/>
      <c r="I43" s="806"/>
      <c r="J43" s="278" t="str">
        <f>IF(AND('Mapa R. Fiscal'!$Y$52="Baja",'Mapa R. Fiscal'!$AA$52="Leve"),CONCATENATE("R8C",'Mapa R. Fiscal'!$O$52),"")</f>
        <v/>
      </c>
      <c r="K43" s="279" t="str">
        <f>IF(AND('Mapa R. Fiscal'!$Y$53="Baja",'Mapa R. Fiscal'!$AA$53="Leve"),CONCATENATE("R8C",'Mapa R. Fiscal'!$O$53),"")</f>
        <v/>
      </c>
      <c r="L43" s="279" t="str">
        <f>IF(AND('Mapa R. Fiscal'!$Y$54="Baja",'Mapa R. Fiscal'!$AA$54="Leve"),CONCATENATE("R8C",'Mapa R. Fiscal'!$O$54),"")</f>
        <v/>
      </c>
      <c r="M43" s="279" t="str">
        <f>IF(AND('Mapa R. Fiscal'!$Y$55="Baja",'Mapa R. Fiscal'!$AA$55="Leve"),CONCATENATE("R8C",'Mapa R. Fiscal'!$O$55),"")</f>
        <v/>
      </c>
      <c r="N43" s="279" t="str">
        <f>IF(AND('Mapa R. Fiscal'!$Y$56="Baja",'Mapa R. Fiscal'!$AA$56="Leve"),CONCATENATE("R8C",'Mapa R. Fiscal'!$O$56),"")</f>
        <v/>
      </c>
      <c r="O43" s="280" t="str">
        <f>IF(AND('Mapa R. Fiscal'!$Y$57="Baja",'Mapa R. Fiscal'!$AA$57="Leve"),CONCATENATE("R8C",'Mapa R. Fiscal'!$O$57),"")</f>
        <v/>
      </c>
      <c r="P43" s="269" t="str">
        <f>IF(AND('Mapa R. Fiscal'!$Y$52="Baja",'Mapa R. Fiscal'!$AA$52="Menor"),CONCATENATE("R8C",'Mapa R. Fiscal'!$O$52),"")</f>
        <v/>
      </c>
      <c r="Q43" s="270" t="str">
        <f>IF(AND('Mapa R. Fiscal'!$Y$53="Baja",'Mapa R. Fiscal'!$AA$53="Menor"),CONCATENATE("R8C",'Mapa R. Fiscal'!$O$53),"")</f>
        <v/>
      </c>
      <c r="R43" s="270" t="str">
        <f>IF(AND('Mapa R. Fiscal'!$Y$54="Baja",'Mapa R. Fiscal'!$AA$54="Menor"),CONCATENATE("R8C",'Mapa R. Fiscal'!$O$54),"")</f>
        <v/>
      </c>
      <c r="S43" s="270" t="str">
        <f>IF(AND('Mapa R. Fiscal'!$Y$55="Baja",'Mapa R. Fiscal'!$AA$55="Menor"),CONCATENATE("R8C",'Mapa R. Fiscal'!$O$55),"")</f>
        <v/>
      </c>
      <c r="T43" s="270" t="str">
        <f>IF(AND('Mapa R. Fiscal'!$Y$56="Baja",'Mapa R. Fiscal'!$AA$56="Menor"),CONCATENATE("R8C",'Mapa R. Fiscal'!$O$56),"")</f>
        <v/>
      </c>
      <c r="U43" s="271" t="str">
        <f>IF(AND('Mapa R. Fiscal'!$Y$57="Baja",'Mapa R. Fiscal'!$AA$57="Menor"),CONCATENATE("R8C",'Mapa R. Fiscal'!$O$57),"")</f>
        <v/>
      </c>
      <c r="V43" s="269" t="str">
        <f>IF(AND('Mapa R. Fiscal'!$Y$52="Baja",'Mapa R. Fiscal'!$AA$52="Moderado"),CONCATENATE("R8C",'Mapa R. Fiscal'!$O$52),"")</f>
        <v/>
      </c>
      <c r="W43" s="270" t="str">
        <f>IF(AND('Mapa R. Fiscal'!$Y$53="Baja",'Mapa R. Fiscal'!$AA$53="Moderado"),CONCATENATE("R8C",'Mapa R. Fiscal'!$O$53),"")</f>
        <v/>
      </c>
      <c r="X43" s="270" t="str">
        <f>IF(AND('Mapa R. Fiscal'!$Y$54="Baja",'Mapa R. Fiscal'!$AA$54="Moderado"),CONCATENATE("R8C",'Mapa R. Fiscal'!$O$54),"")</f>
        <v/>
      </c>
      <c r="Y43" s="270" t="str">
        <f>IF(AND('Mapa R. Fiscal'!$Y$55="Baja",'Mapa R. Fiscal'!$AA$55="Moderado"),CONCATENATE("R8C",'Mapa R. Fiscal'!$O$55),"")</f>
        <v/>
      </c>
      <c r="Z43" s="270" t="str">
        <f>IF(AND('Mapa R. Fiscal'!$Y$56="Baja",'Mapa R. Fiscal'!$AA$56="Moderado"),CONCATENATE("R8C",'Mapa R. Fiscal'!$O$56),"")</f>
        <v/>
      </c>
      <c r="AA43" s="271" t="str">
        <f>IF(AND('Mapa R. Fiscal'!$Y$57="Baja",'Mapa R. Fiscal'!$AA$57="Moderado"),CONCATENATE("R8C",'Mapa R. Fiscal'!$O$57),"")</f>
        <v/>
      </c>
      <c r="AB43" s="254" t="str">
        <f>IF(AND('Mapa R. Fiscal'!$Y$52="Baja",'Mapa R. Fiscal'!$AA$52="Mayor"),CONCATENATE("R8C",'Mapa R. Fiscal'!$O$52),"")</f>
        <v/>
      </c>
      <c r="AC43" s="255" t="str">
        <f>IF(AND('Mapa R. Fiscal'!$Y$53="Baja",'Mapa R. Fiscal'!$AA$53="Mayor"),CONCATENATE("R8C",'Mapa R. Fiscal'!$O$53),"")</f>
        <v/>
      </c>
      <c r="AD43" s="255" t="str">
        <f>IF(AND('Mapa R. Fiscal'!$Y$54="Baja",'Mapa R. Fiscal'!$AA$54="Mayor"),CONCATENATE("R8C",'Mapa R. Fiscal'!$O$54),"")</f>
        <v/>
      </c>
      <c r="AE43" s="255" t="str">
        <f>IF(AND('Mapa R. Fiscal'!$Y$55="Baja",'Mapa R. Fiscal'!$AA$55="Mayor"),CONCATENATE("R8C",'Mapa R. Fiscal'!$O$55),"")</f>
        <v/>
      </c>
      <c r="AF43" s="255" t="str">
        <f>IF(AND('Mapa R. Fiscal'!$Y$56="Baja",'Mapa R. Fiscal'!$AA$56="Mayor"),CONCATENATE("R8C",'Mapa R. Fiscal'!$O$56),"")</f>
        <v/>
      </c>
      <c r="AG43" s="256" t="str">
        <f>IF(AND('Mapa R. Fiscal'!$Y$57="Baja",'Mapa R. Fiscal'!$AA$57="Mayor"),CONCATENATE("R8C",'Mapa R. Fiscal'!$O$57),"")</f>
        <v/>
      </c>
      <c r="AH43" s="257" t="str">
        <f>IF(AND('Mapa R. Fiscal'!$Y$52="Baja",'Mapa R. Fiscal'!$AA$52="Catastrófico"),CONCATENATE("R8C",'Mapa R. Fiscal'!$O$52),"")</f>
        <v/>
      </c>
      <c r="AI43" s="258" t="str">
        <f>IF(AND('Mapa R. Fiscal'!$Y$53="Baja",'Mapa R. Fiscal'!$AA$53="Catastrófico"),CONCATENATE("R8C",'Mapa R. Fiscal'!$O$53),"")</f>
        <v/>
      </c>
      <c r="AJ43" s="258" t="str">
        <f>IF(AND('Mapa R. Fiscal'!$Y$54="Baja",'Mapa R. Fiscal'!$AA$54="Catastrófico"),CONCATENATE("R8C",'Mapa R. Fiscal'!$O$54),"")</f>
        <v/>
      </c>
      <c r="AK43" s="258" t="str">
        <f>IF(AND('Mapa R. Fiscal'!$Y$55="Baja",'Mapa R. Fiscal'!$AA$55="Catastrófico"),CONCATENATE("R8C",'Mapa R. Fiscal'!$O$55),"")</f>
        <v/>
      </c>
      <c r="AL43" s="258" t="str">
        <f>IF(AND('Mapa R. Fiscal'!$Y$56="Baja",'Mapa R. Fiscal'!$AA$56="Catastrófico"),CONCATENATE("R8C",'Mapa R. Fiscal'!$O$56),"")</f>
        <v/>
      </c>
      <c r="AM43" s="259" t="str">
        <f>IF(AND('Mapa R. Fiscal'!$Y$57="Baja",'Mapa R. Fiscal'!$AA$57="Catastrófico"),CONCATENATE("R8C",'Mapa R. Fiscal'!$O$57),"")</f>
        <v/>
      </c>
      <c r="AN43" s="15"/>
      <c r="AO43" s="842"/>
      <c r="AP43" s="843"/>
      <c r="AQ43" s="843"/>
      <c r="AR43" s="843"/>
      <c r="AS43" s="843"/>
      <c r="AT43" s="8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6"/>
      <c r="C44" s="716"/>
      <c r="D44" s="717"/>
      <c r="E44" s="805"/>
      <c r="F44" s="806"/>
      <c r="G44" s="806"/>
      <c r="H44" s="806"/>
      <c r="I44" s="806"/>
      <c r="J44" s="278" t="str">
        <f>IF(AND('Mapa R. Fiscal'!$Y$58="Baja",'Mapa R. Fiscal'!$AA$58="Leve"),CONCATENATE("R9C",'Mapa R. Fiscal'!$O$58),"")</f>
        <v/>
      </c>
      <c r="K44" s="279" t="str">
        <f>IF(AND('Mapa R. Fiscal'!$Y$59="Baja",'Mapa R. Fiscal'!$AA$59="Leve"),CONCATENATE("R9C",'Mapa R. Fiscal'!$O$59),"")</f>
        <v/>
      </c>
      <c r="L44" s="279" t="str">
        <f>IF(AND('Mapa R. Fiscal'!$Y$60="Baja",'Mapa R. Fiscal'!$AA$60="Leve"),CONCATENATE("R9C",'Mapa R. Fiscal'!$O$60),"")</f>
        <v/>
      </c>
      <c r="M44" s="279" t="str">
        <f>IF(AND('Mapa R. Fiscal'!$Y$61="Baja",'Mapa R. Fiscal'!$AA$61="Leve"),CONCATENATE("R9C",'Mapa R. Fiscal'!$O$61),"")</f>
        <v/>
      </c>
      <c r="N44" s="279" t="str">
        <f>IF(AND('Mapa R. Fiscal'!$Y$62="Baja",'Mapa R. Fiscal'!$AA$62="Leve"),CONCATENATE("R9C",'Mapa R. Fiscal'!$O$62),"")</f>
        <v/>
      </c>
      <c r="O44" s="280" t="str">
        <f>IF(AND('Mapa R. Fiscal'!$Y$63="Baja",'Mapa R. Fiscal'!$AA$63="Leve"),CONCATENATE("R9C",'Mapa R. Fiscal'!$O$63),"")</f>
        <v/>
      </c>
      <c r="P44" s="269" t="str">
        <f>IF(AND('Mapa R. Fiscal'!$Y$58="Baja",'Mapa R. Fiscal'!$AA$58="Menor"),CONCATENATE("R9C",'Mapa R. Fiscal'!$O$58),"")</f>
        <v/>
      </c>
      <c r="Q44" s="270" t="str">
        <f>IF(AND('Mapa R. Fiscal'!$Y$59="Baja",'Mapa R. Fiscal'!$AA$59="Menor"),CONCATENATE("R9C",'Mapa R. Fiscal'!$O$59),"")</f>
        <v/>
      </c>
      <c r="R44" s="270" t="str">
        <f>IF(AND('Mapa R. Fiscal'!$Y$60="Baja",'Mapa R. Fiscal'!$AA$60="Menor"),CONCATENATE("R9C",'Mapa R. Fiscal'!$O$60),"")</f>
        <v/>
      </c>
      <c r="S44" s="270" t="str">
        <f>IF(AND('Mapa R. Fiscal'!$Y$61="Baja",'Mapa R. Fiscal'!$AA$61="Menor"),CONCATENATE("R9C",'Mapa R. Fiscal'!$O$61),"")</f>
        <v/>
      </c>
      <c r="T44" s="270" t="str">
        <f>IF(AND('Mapa R. Fiscal'!$Y$62="Baja",'Mapa R. Fiscal'!$AA$62="Menor"),CONCATENATE("R9C",'Mapa R. Fiscal'!$O$62),"")</f>
        <v/>
      </c>
      <c r="U44" s="271" t="str">
        <f>IF(AND('Mapa R. Fiscal'!$Y$63="Baja",'Mapa R. Fiscal'!$AA$63="Menor"),CONCATENATE("R9C",'Mapa R. Fiscal'!$O$63),"")</f>
        <v/>
      </c>
      <c r="V44" s="269" t="str">
        <f>IF(AND('Mapa R. Fiscal'!$Y$58="Baja",'Mapa R. Fiscal'!$AA$58="Moderado"),CONCATENATE("R9C",'Mapa R. Fiscal'!$O$58),"")</f>
        <v/>
      </c>
      <c r="W44" s="270" t="str">
        <f>IF(AND('Mapa R. Fiscal'!$Y$59="Baja",'Mapa R. Fiscal'!$AA$59="Moderado"),CONCATENATE("R9C",'Mapa R. Fiscal'!$O$59),"")</f>
        <v/>
      </c>
      <c r="X44" s="270" t="str">
        <f>IF(AND('Mapa R. Fiscal'!$Y$60="Baja",'Mapa R. Fiscal'!$AA$60="Moderado"),CONCATENATE("R9C",'Mapa R. Fiscal'!$O$60),"")</f>
        <v/>
      </c>
      <c r="Y44" s="270" t="str">
        <f>IF(AND('Mapa R. Fiscal'!$Y$61="Baja",'Mapa R. Fiscal'!$AA$61="Moderado"),CONCATENATE("R9C",'Mapa R. Fiscal'!$O$61),"")</f>
        <v/>
      </c>
      <c r="Z44" s="270" t="str">
        <f>IF(AND('Mapa R. Fiscal'!$Y$62="Baja",'Mapa R. Fiscal'!$AA$62="Moderado"),CONCATENATE("R9C",'Mapa R. Fiscal'!$O$62),"")</f>
        <v/>
      </c>
      <c r="AA44" s="271" t="str">
        <f>IF(AND('Mapa R. Fiscal'!$Y$63="Baja",'Mapa R. Fiscal'!$AA$63="Moderado"),CONCATENATE("R9C",'Mapa R. Fiscal'!$O$63),"")</f>
        <v/>
      </c>
      <c r="AB44" s="254" t="str">
        <f>IF(AND('Mapa R. Fiscal'!$Y$58="Baja",'Mapa R. Fiscal'!$AA$58="Mayor"),CONCATENATE("R9C",'Mapa R. Fiscal'!$O$58),"")</f>
        <v/>
      </c>
      <c r="AC44" s="255" t="str">
        <f>IF(AND('Mapa R. Fiscal'!$Y$59="Baja",'Mapa R. Fiscal'!$AA$59="Mayor"),CONCATENATE("R9C",'Mapa R. Fiscal'!$O$59),"")</f>
        <v/>
      </c>
      <c r="AD44" s="255" t="str">
        <f>IF(AND('Mapa R. Fiscal'!$Y$60="Baja",'Mapa R. Fiscal'!$AA$60="Mayor"),CONCATENATE("R9C",'Mapa R. Fiscal'!$O$60),"")</f>
        <v/>
      </c>
      <c r="AE44" s="255" t="str">
        <f>IF(AND('Mapa R. Fiscal'!$Y$61="Baja",'Mapa R. Fiscal'!$AA$61="Mayor"),CONCATENATE("R9C",'Mapa R. Fiscal'!$O$61),"")</f>
        <v/>
      </c>
      <c r="AF44" s="255" t="str">
        <f>IF(AND('Mapa R. Fiscal'!$Y$62="Baja",'Mapa R. Fiscal'!$AA$62="Mayor"),CONCATENATE("R9C",'Mapa R. Fiscal'!$O$62),"")</f>
        <v/>
      </c>
      <c r="AG44" s="256" t="str">
        <f>IF(AND('Mapa R. Fiscal'!$Y$63="Baja",'Mapa R. Fiscal'!$AA$63="Mayor"),CONCATENATE("R9C",'Mapa R. Fiscal'!$O$63),"")</f>
        <v/>
      </c>
      <c r="AH44" s="257" t="str">
        <f>IF(AND('Mapa R. Fiscal'!$Y$58="Baja",'Mapa R. Fiscal'!$AA$58="Catastrófico"),CONCATENATE("R9C",'Mapa R. Fiscal'!$O$58),"")</f>
        <v/>
      </c>
      <c r="AI44" s="258" t="str">
        <f>IF(AND('Mapa R. Fiscal'!$Y$59="Baja",'Mapa R. Fiscal'!$AA$59="Catastrófico"),CONCATENATE("R9C",'Mapa R. Fiscal'!$O$59),"")</f>
        <v/>
      </c>
      <c r="AJ44" s="258" t="str">
        <f>IF(AND('Mapa R. Fiscal'!$Y$60="Baja",'Mapa R. Fiscal'!$AA$60="Catastrófico"),CONCATENATE("R9C",'Mapa R. Fiscal'!$O$60),"")</f>
        <v/>
      </c>
      <c r="AK44" s="258" t="str">
        <f>IF(AND('Mapa R. Fiscal'!$Y$61="Baja",'Mapa R. Fiscal'!$AA$61="Catastrófico"),CONCATENATE("R9C",'Mapa R. Fiscal'!$O$61),"")</f>
        <v/>
      </c>
      <c r="AL44" s="258" t="str">
        <f>IF(AND('Mapa R. Fiscal'!$Y$62="Baja",'Mapa R. Fiscal'!$AA$62="Catastrófico"),CONCATENATE("R9C",'Mapa R. Fiscal'!$O$62),"")</f>
        <v/>
      </c>
      <c r="AM44" s="259" t="str">
        <f>IF(AND('Mapa R. Fiscal'!$Y$63="Baja",'Mapa R. Fiscal'!$AA$63="Catastrófico"),CONCATENATE("R9C",'Mapa R. Fiscal'!$O$63),"")</f>
        <v/>
      </c>
      <c r="AN44" s="15"/>
      <c r="AO44" s="842"/>
      <c r="AP44" s="843"/>
      <c r="AQ44" s="843"/>
      <c r="AR44" s="843"/>
      <c r="AS44" s="843"/>
      <c r="AT44" s="8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6"/>
      <c r="C45" s="716"/>
      <c r="D45" s="717"/>
      <c r="E45" s="808"/>
      <c r="F45" s="809"/>
      <c r="G45" s="809"/>
      <c r="H45" s="809"/>
      <c r="I45" s="809"/>
      <c r="J45" s="281" t="str">
        <f>IF(AND('Mapa R. Fiscal'!$Y$64="Baja",'Mapa R. Fiscal'!$AA$64="Leve"),CONCATENATE("R10C",'Mapa R. Fiscal'!$O$64),"")</f>
        <v/>
      </c>
      <c r="K45" s="282" t="str">
        <f>IF(AND('Mapa R. Fiscal'!$Y$65="Baja",'Mapa R. Fiscal'!$AA$65="Leve"),CONCATENATE("R10C",'Mapa R. Fiscal'!$O$65),"")</f>
        <v/>
      </c>
      <c r="L45" s="282" t="str">
        <f>IF(AND('Mapa R. Fiscal'!$Y$66="Baja",'Mapa R. Fiscal'!$AA$66="Leve"),CONCATENATE("R10C",'Mapa R. Fiscal'!$O$66),"")</f>
        <v/>
      </c>
      <c r="M45" s="282" t="str">
        <f>IF(AND('Mapa R. Fiscal'!$Y$67="Baja",'Mapa R. Fiscal'!$AA$67="Leve"),CONCATENATE("R10C",'Mapa R. Fiscal'!$O$67),"")</f>
        <v/>
      </c>
      <c r="N45" s="282" t="str">
        <f>IF(AND('Mapa R. Fiscal'!$Y$68="Baja",'Mapa R. Fiscal'!$AA$68="Leve"),CONCATENATE("R10C",'Mapa R. Fiscal'!$O$68),"")</f>
        <v/>
      </c>
      <c r="O45" s="283" t="str">
        <f>IF(AND('Mapa R. Fiscal'!$Y$69="Baja",'Mapa R. Fiscal'!$AA$69="Leve"),CONCATENATE("R10C",'Mapa R. Fiscal'!$O$69),"")</f>
        <v/>
      </c>
      <c r="P45" s="269" t="str">
        <f>IF(AND('Mapa R. Fiscal'!$Y$64="Baja",'Mapa R. Fiscal'!$AA$64="Menor"),CONCATENATE("R10C",'Mapa R. Fiscal'!$O$64),"")</f>
        <v/>
      </c>
      <c r="Q45" s="270" t="str">
        <f>IF(AND('Mapa R. Fiscal'!$Y$65="Baja",'Mapa R. Fiscal'!$AA$65="Menor"),CONCATENATE("R10C",'Mapa R. Fiscal'!$O$65),"")</f>
        <v/>
      </c>
      <c r="R45" s="270" t="str">
        <f>IF(AND('Mapa R. Fiscal'!$Y$66="Baja",'Mapa R. Fiscal'!$AA$66="Menor"),CONCATENATE("R10C",'Mapa R. Fiscal'!$O$66),"")</f>
        <v/>
      </c>
      <c r="S45" s="270" t="str">
        <f>IF(AND('Mapa R. Fiscal'!$Y$67="Baja",'Mapa R. Fiscal'!$AA$67="Menor"),CONCATENATE("R10C",'Mapa R. Fiscal'!$O$67),"")</f>
        <v/>
      </c>
      <c r="T45" s="270" t="str">
        <f>IF(AND('Mapa R. Fiscal'!$Y$68="Baja",'Mapa R. Fiscal'!$AA$68="Menor"),CONCATENATE("R10C",'Mapa R. Fiscal'!$O$68),"")</f>
        <v/>
      </c>
      <c r="U45" s="271" t="str">
        <f>IF(AND('Mapa R. Fiscal'!$Y$69="Baja",'Mapa R. Fiscal'!$AA$69="Menor"),CONCATENATE("R10C",'Mapa R. Fiscal'!$O$69),"")</f>
        <v/>
      </c>
      <c r="V45" s="272" t="str">
        <f>IF(AND('Mapa R. Fiscal'!$Y$64="Baja",'Mapa R. Fiscal'!$AA$64="Moderado"),CONCATENATE("R10C",'Mapa R. Fiscal'!$O$64),"")</f>
        <v/>
      </c>
      <c r="W45" s="273" t="str">
        <f>IF(AND('Mapa R. Fiscal'!$Y$65="Baja",'Mapa R. Fiscal'!$AA$65="Moderado"),CONCATENATE("R10C",'Mapa R. Fiscal'!$O$65),"")</f>
        <v/>
      </c>
      <c r="X45" s="273" t="str">
        <f>IF(AND('Mapa R. Fiscal'!$Y$66="Baja",'Mapa R. Fiscal'!$AA$66="Moderado"),CONCATENATE("R10C",'Mapa R. Fiscal'!$O$66),"")</f>
        <v/>
      </c>
      <c r="Y45" s="273" t="str">
        <f>IF(AND('Mapa R. Fiscal'!$Y$67="Baja",'Mapa R. Fiscal'!$AA$67="Moderado"),CONCATENATE("R10C",'Mapa R. Fiscal'!$O$67),"")</f>
        <v/>
      </c>
      <c r="Z45" s="273" t="str">
        <f>IF(AND('Mapa R. Fiscal'!$Y$68="Baja",'Mapa R. Fiscal'!$AA$68="Moderado"),CONCATENATE("R10C",'Mapa R. Fiscal'!$O$68),"")</f>
        <v/>
      </c>
      <c r="AA45" s="274" t="str">
        <f>IF(AND('Mapa R. Fiscal'!$Y$69="Baja",'Mapa R. Fiscal'!$AA$69="Moderado"),CONCATENATE("R10C",'Mapa R. Fiscal'!$O$69),"")</f>
        <v/>
      </c>
      <c r="AB45" s="260" t="str">
        <f>IF(AND('Mapa R. Fiscal'!$Y$64="Baja",'Mapa R. Fiscal'!$AA$64="Mayor"),CONCATENATE("R10C",'Mapa R. Fiscal'!$O$64),"")</f>
        <v/>
      </c>
      <c r="AC45" s="261" t="str">
        <f>IF(AND('Mapa R. Fiscal'!$Y$65="Baja",'Mapa R. Fiscal'!$AA$65="Mayor"),CONCATENATE("R10C",'Mapa R. Fiscal'!$O$65),"")</f>
        <v/>
      </c>
      <c r="AD45" s="261" t="str">
        <f>IF(AND('Mapa R. Fiscal'!$Y$66="Baja",'Mapa R. Fiscal'!$AA$66="Mayor"),CONCATENATE("R10C",'Mapa R. Fiscal'!$O$66),"")</f>
        <v/>
      </c>
      <c r="AE45" s="261" t="str">
        <f>IF(AND('Mapa R. Fiscal'!$Y$67="Baja",'Mapa R. Fiscal'!$AA$67="Mayor"),CONCATENATE("R10C",'Mapa R. Fiscal'!$O$67),"")</f>
        <v/>
      </c>
      <c r="AF45" s="261" t="str">
        <f>IF(AND('Mapa R. Fiscal'!$Y$68="Baja",'Mapa R. Fiscal'!$AA$68="Mayor"),CONCATENATE("R10C",'Mapa R. Fiscal'!$O$68),"")</f>
        <v/>
      </c>
      <c r="AG45" s="262" t="str">
        <f>IF(AND('Mapa R. Fiscal'!$Y$69="Baja",'Mapa R. Fiscal'!$AA$69="Mayor"),CONCATENATE("R10C",'Mapa R. Fiscal'!$O$69),"")</f>
        <v/>
      </c>
      <c r="AH45" s="263" t="str">
        <f>IF(AND('Mapa R. Fiscal'!$Y$64="Baja",'Mapa R. Fiscal'!$AA$64="Catastrófico"),CONCATENATE("R10C",'Mapa R. Fiscal'!$O$64),"")</f>
        <v/>
      </c>
      <c r="AI45" s="264" t="str">
        <f>IF(AND('Mapa R. Fiscal'!$Y$65="Baja",'Mapa R. Fiscal'!$AA$65="Catastrófico"),CONCATENATE("R10C",'Mapa R. Fiscal'!$O$65),"")</f>
        <v/>
      </c>
      <c r="AJ45" s="264" t="str">
        <f>IF(AND('Mapa R. Fiscal'!$Y$66="Baja",'Mapa R. Fiscal'!$AA$66="Catastrófico"),CONCATENATE("R10C",'Mapa R. Fiscal'!$O$66),"")</f>
        <v/>
      </c>
      <c r="AK45" s="264" t="str">
        <f>IF(AND('Mapa R. Fiscal'!$Y$67="Baja",'Mapa R. Fiscal'!$AA$67="Catastrófico"),CONCATENATE("R10C",'Mapa R. Fiscal'!$O$67),"")</f>
        <v/>
      </c>
      <c r="AL45" s="264" t="str">
        <f>IF(AND('Mapa R. Fiscal'!$Y$68="Baja",'Mapa R. Fiscal'!$AA$68="Catastrófico"),CONCATENATE("R10C",'Mapa R. Fiscal'!$O$68),"")</f>
        <v/>
      </c>
      <c r="AM45" s="265" t="str">
        <f>IF(AND('Mapa R. Fiscal'!$Y$69="Baja",'Mapa R. Fiscal'!$AA$69="Catastrófico"),CONCATENATE("R10C",'Mapa R. Fiscal'!$O$69),"")</f>
        <v/>
      </c>
      <c r="AN45" s="15"/>
      <c r="AO45" s="845"/>
      <c r="AP45" s="846"/>
      <c r="AQ45" s="846"/>
      <c r="AR45" s="846"/>
      <c r="AS45" s="846"/>
      <c r="AT45" s="847"/>
    </row>
    <row r="46" spans="1:80" ht="46.5" customHeight="1" x14ac:dyDescent="0.35">
      <c r="A46" s="15"/>
      <c r="B46" s="716"/>
      <c r="C46" s="716"/>
      <c r="D46" s="717"/>
      <c r="E46" s="802" t="s">
        <v>197</v>
      </c>
      <c r="F46" s="803"/>
      <c r="G46" s="803"/>
      <c r="H46" s="803"/>
      <c r="I46" s="804"/>
      <c r="J46" s="275" t="str">
        <f>IF(AND('Mapa R. Fiscal'!$Y$10="Muy Baja",'Mapa R. Fiscal'!$AA$10="Leve"),CONCATENATE("R1C",'Mapa R. Fiscal'!$O$10),"")</f>
        <v/>
      </c>
      <c r="K46" s="276" t="str">
        <f>IF(AND('Mapa R. Fiscal'!$Y$11="Muy Baja",'Mapa R. Fiscal'!$AA$11="Leve"),CONCATENATE("R1C",'Mapa R. Fiscal'!$O$11),"")</f>
        <v/>
      </c>
      <c r="L46" s="276" t="str">
        <f>IF(AND('Mapa R. Fiscal'!$Y$12="Muy Baja",'Mapa R. Fiscal'!$AA$12="Leve"),CONCATENATE("R1C",'Mapa R. Fiscal'!$O$12),"")</f>
        <v/>
      </c>
      <c r="M46" s="276" t="str">
        <f>IF(AND('Mapa R. Fiscal'!$Y$13="Muy Baja",'Mapa R. Fiscal'!$AA$13="Leve"),CONCATENATE("R1C",'Mapa R. Fiscal'!$O$13),"")</f>
        <v/>
      </c>
      <c r="N46" s="276" t="str">
        <f>IF(AND('Mapa R. Fiscal'!$Y$14="Muy Baja",'Mapa R. Fiscal'!$AA$14="Leve"),CONCATENATE("R1C",'Mapa R. Fiscal'!$O$14),"")</f>
        <v/>
      </c>
      <c r="O46" s="277" t="str">
        <f>IF(AND('Mapa R. Fiscal'!$Y$15="Muy Baja",'Mapa R. Fiscal'!$AA$15="Leve"),CONCATENATE("R1C",'Mapa R. Fiscal'!$O$15),"")</f>
        <v/>
      </c>
      <c r="P46" s="275" t="str">
        <f>IF(AND('Mapa R. Fiscal'!$Y$10="Muy Baja",'Mapa R. Fiscal'!$AA$10="Menor"),CONCATENATE("R1C",'Mapa R. Fiscal'!$O$10),"")</f>
        <v/>
      </c>
      <c r="Q46" s="276" t="str">
        <f>IF(AND('Mapa R. Fiscal'!$Y$11="Muy Baja",'Mapa R. Fiscal'!$AA$11="Menor"),CONCATENATE("R1C",'Mapa R. Fiscal'!$O$11),"")</f>
        <v/>
      </c>
      <c r="R46" s="276" t="str">
        <f>IF(AND('Mapa R. Fiscal'!$Y$12="Muy Baja",'Mapa R. Fiscal'!$AA$12="Menor"),CONCATENATE("R1C",'Mapa R. Fiscal'!$O$12),"")</f>
        <v/>
      </c>
      <c r="S46" s="276" t="str">
        <f>IF(AND('Mapa R. Fiscal'!$Y$13="Muy Baja",'Mapa R. Fiscal'!$AA$13="Menor"),CONCATENATE("R1C",'Mapa R. Fiscal'!$O$13),"")</f>
        <v/>
      </c>
      <c r="T46" s="276" t="str">
        <f>IF(AND('Mapa R. Fiscal'!$Y$14="Muy Baja",'Mapa R. Fiscal'!$AA$14="Menor"),CONCATENATE("R1C",'Mapa R. Fiscal'!$O$14),"")</f>
        <v/>
      </c>
      <c r="U46" s="277" t="str">
        <f>IF(AND('Mapa R. Fiscal'!$Y$15="Muy Baja",'Mapa R. Fiscal'!$AA$15="Menor"),CONCATENATE("R1C",'Mapa R. Fiscal'!$O$15),"")</f>
        <v/>
      </c>
      <c r="V46" s="266" t="str">
        <f>IF(AND('Mapa R. Fiscal'!$Y$10="Muy Baja",'Mapa R. Fiscal'!$AA$10="Moderado"),CONCATENATE("R1C",'Mapa R. Fiscal'!$O$10),"")</f>
        <v/>
      </c>
      <c r="W46" s="284" t="str">
        <f>IF(AND('Mapa R. Fiscal'!$Y$11="Muy Baja",'Mapa R. Fiscal'!$AA$11="Moderado"),CONCATENATE("R1C",'Mapa R. Fiscal'!$O$11),"")</f>
        <v/>
      </c>
      <c r="X46" s="267" t="str">
        <f>IF(AND('Mapa R. Fiscal'!$Y$12="Muy Baja",'Mapa R. Fiscal'!$AA$12="Moderado"),CONCATENATE("R1C",'Mapa R. Fiscal'!$O$12),"")</f>
        <v/>
      </c>
      <c r="Y46" s="267" t="str">
        <f>IF(AND('Mapa R. Fiscal'!$Y$13="Muy Baja",'Mapa R. Fiscal'!$AA$13="Moderado"),CONCATENATE("R1C",'Mapa R. Fiscal'!$O$13),"")</f>
        <v/>
      </c>
      <c r="Z46" s="267" t="str">
        <f>IF(AND('Mapa R. Fiscal'!$Y$14="Muy Baja",'Mapa R. Fiscal'!$AA$14="Moderado"),CONCATENATE("R1C",'Mapa R. Fiscal'!$O$14),"")</f>
        <v/>
      </c>
      <c r="AA46" s="268" t="str">
        <f>IF(AND('Mapa R. Fiscal'!$Y$15="Muy Baja",'Mapa R. Fiscal'!$AA$15="Moderado"),CONCATENATE("R1C",'Mapa R. Fiscal'!$O$15),"")</f>
        <v/>
      </c>
      <c r="AB46" s="248" t="str">
        <f>IF(AND('Mapa R. Fiscal'!$Y$10="Muy Baja",'Mapa R. Fiscal'!$AA$10="Mayor"),CONCATENATE("R1C",'Mapa R. Fiscal'!$O$10),"")</f>
        <v/>
      </c>
      <c r="AC46" s="249" t="str">
        <f>IF(AND('Mapa R. Fiscal'!$Y$11="Muy Baja",'Mapa R. Fiscal'!$AA$11="Mayor"),CONCATENATE("R1C",'Mapa R. Fiscal'!$O$11),"")</f>
        <v/>
      </c>
      <c r="AD46" s="249" t="str">
        <f>IF(AND('Mapa R. Fiscal'!$Y$12="Muy Baja",'Mapa R. Fiscal'!$AA$12="Mayor"),CONCATENATE("R1C",'Mapa R. Fiscal'!$O$12),"")</f>
        <v/>
      </c>
      <c r="AE46" s="249" t="str">
        <f>IF(AND('Mapa R. Fiscal'!$Y$13="Muy Baja",'Mapa R. Fiscal'!$AA$13="Mayor"),CONCATENATE("R1C",'Mapa R. Fiscal'!$O$13),"")</f>
        <v/>
      </c>
      <c r="AF46" s="249" t="str">
        <f>IF(AND('Mapa R. Fiscal'!$Y$14="Muy Baja",'Mapa R. Fiscal'!$AA$14="Mayor"),CONCATENATE("R1C",'Mapa R. Fiscal'!$O$14),"")</f>
        <v/>
      </c>
      <c r="AG46" s="250" t="str">
        <f>IF(AND('Mapa R. Fiscal'!$Y$15="Muy Baja",'Mapa R. Fiscal'!$AA$15="Mayor"),CONCATENATE("R1C",'Mapa R. Fiscal'!$O$15),"")</f>
        <v/>
      </c>
      <c r="AH46" s="251" t="str">
        <f>IF(AND('Mapa R. Fiscal'!$Y$10="Muy Baja",'Mapa R. Fiscal'!$AA$10="Catastrófico"),CONCATENATE("R1C",'Mapa R. Fiscal'!$O$10),"")</f>
        <v/>
      </c>
      <c r="AI46" s="252" t="str">
        <f>IF(AND('Mapa R. Fiscal'!$Y$11="Muy Baja",'Mapa R. Fiscal'!$AA$11="Catastrófico"),CONCATENATE("R1C",'Mapa R. Fiscal'!$O$11),"")</f>
        <v/>
      </c>
      <c r="AJ46" s="252" t="str">
        <f>IF(AND('Mapa R. Fiscal'!$Y$12="Muy Baja",'Mapa R. Fiscal'!$AA$12="Catastrófico"),CONCATENATE("R1C",'Mapa R. Fiscal'!$O$12),"")</f>
        <v/>
      </c>
      <c r="AK46" s="252" t="str">
        <f>IF(AND('Mapa R. Fiscal'!$Y$13="Muy Baja",'Mapa R. Fiscal'!$AA$13="Catastrófico"),CONCATENATE("R1C",'Mapa R. Fiscal'!$O$13),"")</f>
        <v/>
      </c>
      <c r="AL46" s="252" t="str">
        <f>IF(AND('Mapa R. Fiscal'!$Y$14="Muy Baja",'Mapa R. Fiscal'!$AA$14="Catastrófico"),CONCATENATE("R1C",'Mapa R. Fiscal'!$O$14),"")</f>
        <v/>
      </c>
      <c r="AM46" s="253"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6"/>
      <c r="C47" s="716"/>
      <c r="D47" s="717"/>
      <c r="E47" s="820"/>
      <c r="F47" s="806"/>
      <c r="G47" s="806"/>
      <c r="H47" s="806"/>
      <c r="I47" s="807"/>
      <c r="J47" s="278" t="str">
        <f>IF(AND('Mapa R. Fiscal'!$Y$16="Muy Baja",'Mapa R. Fiscal'!$AA$16="Leve"),CONCATENATE("R2C",'Mapa R. Fiscal'!$O$16),"")</f>
        <v/>
      </c>
      <c r="K47" s="279" t="str">
        <f>IF(AND('Mapa R. Fiscal'!$Y$17="Muy Baja",'Mapa R. Fiscal'!$AA$17="Leve"),CONCATENATE("R2C",'Mapa R. Fiscal'!$O$17),"")</f>
        <v/>
      </c>
      <c r="L47" s="279" t="str">
        <f>IF(AND('Mapa R. Fiscal'!$Y$18="Muy Baja",'Mapa R. Fiscal'!$AA$18="Leve"),CONCATENATE("R2C",'Mapa R. Fiscal'!$O$18),"")</f>
        <v/>
      </c>
      <c r="M47" s="279" t="str">
        <f>IF(AND('Mapa R. Fiscal'!$Y$19="Muy Baja",'Mapa R. Fiscal'!$AA$19="Leve"),CONCATENATE("R2C",'Mapa R. Fiscal'!$O$19),"")</f>
        <v/>
      </c>
      <c r="N47" s="279" t="str">
        <f>IF(AND('Mapa R. Fiscal'!$Y$20="Muy Baja",'Mapa R. Fiscal'!$AA$20="Leve"),CONCATENATE("R2C",'Mapa R. Fiscal'!$O$20),"")</f>
        <v/>
      </c>
      <c r="O47" s="280" t="str">
        <f>IF(AND('Mapa R. Fiscal'!$Y$21="Muy Baja",'Mapa R. Fiscal'!$AA$21="Leve"),CONCATENATE("R2C",'Mapa R. Fiscal'!$O$21),"")</f>
        <v/>
      </c>
      <c r="P47" s="278" t="str">
        <f>IF(AND('Mapa R. Fiscal'!$Y$16="Muy Baja",'Mapa R. Fiscal'!$AA$16="Menor"),CONCATENATE("R2C",'Mapa R. Fiscal'!$O$16),"")</f>
        <v/>
      </c>
      <c r="Q47" s="279" t="str">
        <f>IF(AND('Mapa R. Fiscal'!$Y$17="Muy Baja",'Mapa R. Fiscal'!$AA$17="Menor"),CONCATENATE("R2C",'Mapa R. Fiscal'!$O$17),"")</f>
        <v/>
      </c>
      <c r="R47" s="279" t="str">
        <f>IF(AND('Mapa R. Fiscal'!$Y$18="Muy Baja",'Mapa R. Fiscal'!$AA$18="Menor"),CONCATENATE("R2C",'Mapa R. Fiscal'!$O$18),"")</f>
        <v/>
      </c>
      <c r="S47" s="279" t="str">
        <f>IF(AND('Mapa R. Fiscal'!$Y$19="Muy Baja",'Mapa R. Fiscal'!$AA$19="Menor"),CONCATENATE("R2C",'Mapa R. Fiscal'!$O$19),"")</f>
        <v/>
      </c>
      <c r="T47" s="279" t="str">
        <f>IF(AND('Mapa R. Fiscal'!$Y$20="Muy Baja",'Mapa R. Fiscal'!$AA$20="Menor"),CONCATENATE("R2C",'Mapa R. Fiscal'!$O$20),"")</f>
        <v/>
      </c>
      <c r="U47" s="280" t="str">
        <f>IF(AND('Mapa R. Fiscal'!$Y$21="Muy Baja",'Mapa R. Fiscal'!$AA$21="Menor"),CONCATENATE("R2C",'Mapa R. Fiscal'!$O$21),"")</f>
        <v/>
      </c>
      <c r="V47" s="269" t="str">
        <f>IF(AND('Mapa R. Fiscal'!$Y$16="Muy Baja",'Mapa R. Fiscal'!$AA$16="Moderado"),CONCATENATE("R2C",'Mapa R. Fiscal'!$O$16),"")</f>
        <v/>
      </c>
      <c r="W47" s="270" t="str">
        <f>IF(AND('Mapa R. Fiscal'!$Y$17="Muy Baja",'Mapa R. Fiscal'!$AA$17="Moderado"),CONCATENATE("R2C",'Mapa R. Fiscal'!$O$17),"")</f>
        <v/>
      </c>
      <c r="X47" s="270" t="str">
        <f>IF(AND('Mapa R. Fiscal'!$Y$18="Muy Baja",'Mapa R. Fiscal'!$AA$18="Moderado"),CONCATENATE("R2C",'Mapa R. Fiscal'!$O$18),"")</f>
        <v/>
      </c>
      <c r="Y47" s="270" t="str">
        <f>IF(AND('Mapa R. Fiscal'!$Y$19="Muy Baja",'Mapa R. Fiscal'!$AA$19="Moderado"),CONCATENATE("R2C",'Mapa R. Fiscal'!$O$19),"")</f>
        <v/>
      </c>
      <c r="Z47" s="270" t="str">
        <f>IF(AND('Mapa R. Fiscal'!$Y$20="Muy Baja",'Mapa R. Fiscal'!$AA$20="Moderado"),CONCATENATE("R2C",'Mapa R. Fiscal'!$O$20),"")</f>
        <v/>
      </c>
      <c r="AA47" s="271" t="str">
        <f>IF(AND('Mapa R. Fiscal'!$Y$21="Muy Baja",'Mapa R. Fiscal'!$AA$21="Moderado"),CONCATENATE("R2C",'Mapa R. Fiscal'!$O$21),"")</f>
        <v/>
      </c>
      <c r="AB47" s="254" t="str">
        <f>IF(AND('Mapa R. Fiscal'!$Y$16="Muy Baja",'Mapa R. Fiscal'!$AA$16="Mayor"),CONCATENATE("R2C",'Mapa R. Fiscal'!$O$16),"")</f>
        <v/>
      </c>
      <c r="AC47" s="255" t="str">
        <f>IF(AND('Mapa R. Fiscal'!$Y$17="Muy Baja",'Mapa R. Fiscal'!$AA$17="Mayor"),CONCATENATE("R2C",'Mapa R. Fiscal'!$O$17),"")</f>
        <v/>
      </c>
      <c r="AD47" s="255" t="str">
        <f>IF(AND('Mapa R. Fiscal'!$Y$18="Muy Baja",'Mapa R. Fiscal'!$AA$18="Mayor"),CONCATENATE("R2C",'Mapa R. Fiscal'!$O$18),"")</f>
        <v/>
      </c>
      <c r="AE47" s="255" t="str">
        <f>IF(AND('Mapa R. Fiscal'!$Y$19="Muy Baja",'Mapa R. Fiscal'!$AA$19="Mayor"),CONCATENATE("R2C",'Mapa R. Fiscal'!$O$19),"")</f>
        <v/>
      </c>
      <c r="AF47" s="255" t="str">
        <f>IF(AND('Mapa R. Fiscal'!$Y$20="Muy Baja",'Mapa R. Fiscal'!$AA$20="Mayor"),CONCATENATE("R2C",'Mapa R. Fiscal'!$O$20),"")</f>
        <v/>
      </c>
      <c r="AG47" s="256" t="str">
        <f>IF(AND('Mapa R. Fiscal'!$Y$21="Muy Baja",'Mapa R. Fiscal'!$AA$21="Mayor"),CONCATENATE("R2C",'Mapa R. Fiscal'!$O$21),"")</f>
        <v/>
      </c>
      <c r="AH47" s="257" t="str">
        <f>IF(AND('Mapa R. Fiscal'!$Y$16="Muy Baja",'Mapa R. Fiscal'!$AA$16="Catastrófico"),CONCATENATE("R2C",'Mapa R. Fiscal'!$O$16),"")</f>
        <v/>
      </c>
      <c r="AI47" s="258" t="str">
        <f>IF(AND('Mapa R. Fiscal'!$Y$17="Muy Baja",'Mapa R. Fiscal'!$AA$17="Catastrófico"),CONCATENATE("R2C",'Mapa R. Fiscal'!$O$17),"")</f>
        <v/>
      </c>
      <c r="AJ47" s="258" t="str">
        <f>IF(AND('Mapa R. Fiscal'!$Y$18="Muy Baja",'Mapa R. Fiscal'!$AA$18="Catastrófico"),CONCATENATE("R2C",'Mapa R. Fiscal'!$O$18),"")</f>
        <v/>
      </c>
      <c r="AK47" s="258" t="str">
        <f>IF(AND('Mapa R. Fiscal'!$Y$19="Muy Baja",'Mapa R. Fiscal'!$AA$19="Catastrófico"),CONCATENATE("R2C",'Mapa R. Fiscal'!$O$19),"")</f>
        <v/>
      </c>
      <c r="AL47" s="258" t="str">
        <f>IF(AND('Mapa R. Fiscal'!$Y$20="Muy Baja",'Mapa R. Fiscal'!$AA$20="Catastrófico"),CONCATENATE("R2C",'Mapa R. Fiscal'!$O$20),"")</f>
        <v/>
      </c>
      <c r="AM47" s="259"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6"/>
      <c r="C48" s="716"/>
      <c r="D48" s="717"/>
      <c r="E48" s="820"/>
      <c r="F48" s="806"/>
      <c r="G48" s="806"/>
      <c r="H48" s="806"/>
      <c r="I48" s="807"/>
      <c r="J48" s="278" t="str">
        <f>IF(AND('Mapa R. Fiscal'!$Y$22="Muy Baja",'Mapa R. Fiscal'!$AA$22="Leve"),CONCATENATE("R3C",'Mapa R. Fiscal'!$O$22),"")</f>
        <v/>
      </c>
      <c r="K48" s="279" t="str">
        <f>IF(AND('Mapa R. Fiscal'!$Y$23="Muy Baja",'Mapa R. Fiscal'!$AA$23="Leve"),CONCATENATE("R3C",'Mapa R. Fiscal'!$O$23),"")</f>
        <v/>
      </c>
      <c r="L48" s="279" t="str">
        <f>IF(AND('Mapa R. Fiscal'!$Y$24="Muy Baja",'Mapa R. Fiscal'!$AA$24="Leve"),CONCATENATE("R3C",'Mapa R. Fiscal'!$O$24),"")</f>
        <v/>
      </c>
      <c r="M48" s="279" t="str">
        <f>IF(AND('Mapa R. Fiscal'!$Y$25="Muy Baja",'Mapa R. Fiscal'!$AA$25="Leve"),CONCATENATE("R3C",'Mapa R. Fiscal'!$O$25),"")</f>
        <v/>
      </c>
      <c r="N48" s="279" t="str">
        <f>IF(AND('Mapa R. Fiscal'!$Y$26="Muy Baja",'Mapa R. Fiscal'!$AA$26="Leve"),CONCATENATE("R3C",'Mapa R. Fiscal'!$O$26),"")</f>
        <v/>
      </c>
      <c r="O48" s="280" t="str">
        <f>IF(AND('Mapa R. Fiscal'!$Y$27="Muy Baja",'Mapa R. Fiscal'!$AA$27="Leve"),CONCATENATE("R3C",'Mapa R. Fiscal'!$O$27),"")</f>
        <v/>
      </c>
      <c r="P48" s="278" t="str">
        <f>IF(AND('Mapa R. Fiscal'!$Y$22="Muy Baja",'Mapa R. Fiscal'!$AA$22="Menor"),CONCATENATE("R3C",'Mapa R. Fiscal'!$O$22),"")</f>
        <v/>
      </c>
      <c r="Q48" s="279" t="str">
        <f>IF(AND('Mapa R. Fiscal'!$Y$23="Muy Baja",'Mapa R. Fiscal'!$AA$23="Menor"),CONCATENATE("R3C",'Mapa R. Fiscal'!$O$23),"")</f>
        <v/>
      </c>
      <c r="R48" s="279" t="str">
        <f>IF(AND('Mapa R. Fiscal'!$Y$24="Muy Baja",'Mapa R. Fiscal'!$AA$24="Menor"),CONCATENATE("R3C",'Mapa R. Fiscal'!$O$24),"")</f>
        <v/>
      </c>
      <c r="S48" s="279" t="str">
        <f>IF(AND('Mapa R. Fiscal'!$Y$25="Muy Baja",'Mapa R. Fiscal'!$AA$25="Menor"),CONCATENATE("R3C",'Mapa R. Fiscal'!$O$25),"")</f>
        <v/>
      </c>
      <c r="T48" s="279" t="str">
        <f>IF(AND('Mapa R. Fiscal'!$Y$26="Muy Baja",'Mapa R. Fiscal'!$AA$26="Menor"),CONCATENATE("R3C",'Mapa R. Fiscal'!$O$26),"")</f>
        <v/>
      </c>
      <c r="U48" s="280" t="str">
        <f>IF(AND('Mapa R. Fiscal'!$Y$27="Muy Baja",'Mapa R. Fiscal'!$AA$27="Menor"),CONCATENATE("R3C",'Mapa R. Fiscal'!$O$27),"")</f>
        <v/>
      </c>
      <c r="V48" s="269" t="str">
        <f>IF(AND('Mapa R. Fiscal'!$Y$22="Muy Baja",'Mapa R. Fiscal'!$AA$22="Moderado"),CONCATENATE("R3C",'Mapa R. Fiscal'!$O$22),"")</f>
        <v/>
      </c>
      <c r="W48" s="270" t="str">
        <f>IF(AND('Mapa R. Fiscal'!$Y$23="Muy Baja",'Mapa R. Fiscal'!$AA$23="Moderado"),CONCATENATE("R3C",'Mapa R. Fiscal'!$O$23),"")</f>
        <v/>
      </c>
      <c r="X48" s="270" t="str">
        <f>IF(AND('Mapa R. Fiscal'!$Y$24="Muy Baja",'Mapa R. Fiscal'!$AA$24="Moderado"),CONCATENATE("R3C",'Mapa R. Fiscal'!$O$24),"")</f>
        <v/>
      </c>
      <c r="Y48" s="270" t="str">
        <f>IF(AND('Mapa R. Fiscal'!$Y$25="Muy Baja",'Mapa R. Fiscal'!$AA$25="Moderado"),CONCATENATE("R3C",'Mapa R. Fiscal'!$O$25),"")</f>
        <v/>
      </c>
      <c r="Z48" s="270" t="str">
        <f>IF(AND('Mapa R. Fiscal'!$Y$26="Muy Baja",'Mapa R. Fiscal'!$AA$26="Moderado"),CONCATENATE("R3C",'Mapa R. Fiscal'!$O$26),"")</f>
        <v/>
      </c>
      <c r="AA48" s="271" t="str">
        <f>IF(AND('Mapa R. Fiscal'!$Y$27="Muy Baja",'Mapa R. Fiscal'!$AA$27="Moderado"),CONCATENATE("R3C",'Mapa R. Fiscal'!$O$27),"")</f>
        <v/>
      </c>
      <c r="AB48" s="254" t="str">
        <f>IF(AND('Mapa R. Fiscal'!$Y$22="Muy Baja",'Mapa R. Fiscal'!$AA$22="Mayor"),CONCATENATE("R3C",'Mapa R. Fiscal'!$O$22),"")</f>
        <v/>
      </c>
      <c r="AC48" s="255" t="str">
        <f>IF(AND('Mapa R. Fiscal'!$Y$23="Muy Baja",'Mapa R. Fiscal'!$AA$23="Mayor"),CONCATENATE("R3C",'Mapa R. Fiscal'!$O$23),"")</f>
        <v/>
      </c>
      <c r="AD48" s="255" t="str">
        <f>IF(AND('Mapa R. Fiscal'!$Y$24="Muy Baja",'Mapa R. Fiscal'!$AA$24="Mayor"),CONCATENATE("R3C",'Mapa R. Fiscal'!$O$24),"")</f>
        <v/>
      </c>
      <c r="AE48" s="255" t="str">
        <f>IF(AND('Mapa R. Fiscal'!$Y$25="Muy Baja",'Mapa R. Fiscal'!$AA$25="Mayor"),CONCATENATE("R3C",'Mapa R. Fiscal'!$O$25),"")</f>
        <v/>
      </c>
      <c r="AF48" s="255" t="str">
        <f>IF(AND('Mapa R. Fiscal'!$Y$26="Muy Baja",'Mapa R. Fiscal'!$AA$26="Mayor"),CONCATENATE("R3C",'Mapa R. Fiscal'!$O$26),"")</f>
        <v/>
      </c>
      <c r="AG48" s="256" t="str">
        <f>IF(AND('Mapa R. Fiscal'!$Y$27="Muy Baja",'Mapa R. Fiscal'!$AA$27="Mayor"),CONCATENATE("R3C",'Mapa R. Fiscal'!$O$27),"")</f>
        <v/>
      </c>
      <c r="AH48" s="257" t="str">
        <f>IF(AND('Mapa R. Fiscal'!$Y$22="Muy Baja",'Mapa R. Fiscal'!$AA$22="Catastrófico"),CONCATENATE("R3C",'Mapa R. Fiscal'!$O$22),"")</f>
        <v/>
      </c>
      <c r="AI48" s="258" t="str">
        <f>IF(AND('Mapa R. Fiscal'!$Y$23="Muy Baja",'Mapa R. Fiscal'!$AA$23="Catastrófico"),CONCATENATE("R3C",'Mapa R. Fiscal'!$O$23),"")</f>
        <v/>
      </c>
      <c r="AJ48" s="258" t="str">
        <f>IF(AND('Mapa R. Fiscal'!$Y$24="Muy Baja",'Mapa R. Fiscal'!$AA$24="Catastrófico"),CONCATENATE("R3C",'Mapa R. Fiscal'!$O$24),"")</f>
        <v/>
      </c>
      <c r="AK48" s="258" t="str">
        <f>IF(AND('Mapa R. Fiscal'!$Y$25="Muy Baja",'Mapa R. Fiscal'!$AA$25="Catastrófico"),CONCATENATE("R3C",'Mapa R. Fiscal'!$O$25),"")</f>
        <v/>
      </c>
      <c r="AL48" s="258" t="str">
        <f>IF(AND('Mapa R. Fiscal'!$Y$26="Muy Baja",'Mapa R. Fiscal'!$AA$26="Catastrófico"),CONCATENATE("R3C",'Mapa R. Fiscal'!$O$26),"")</f>
        <v/>
      </c>
      <c r="AM48" s="259"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6"/>
      <c r="C49" s="716"/>
      <c r="D49" s="717"/>
      <c r="E49" s="805"/>
      <c r="F49" s="806"/>
      <c r="G49" s="806"/>
      <c r="H49" s="806"/>
      <c r="I49" s="807"/>
      <c r="J49" s="278" t="str">
        <f>IF(AND('Mapa R. Fiscal'!$Y$28="Muy Baja",'Mapa R. Fiscal'!$AA$28="Leve"),CONCATENATE("R4C",'Mapa R. Fiscal'!$O$28),"")</f>
        <v/>
      </c>
      <c r="K49" s="279" t="str">
        <f>IF(AND('Mapa R. Fiscal'!$Y$29="Muy Baja",'Mapa R. Fiscal'!$AA$29="Leve"),CONCATENATE("R4C",'Mapa R. Fiscal'!$O$29),"")</f>
        <v/>
      </c>
      <c r="L49" s="279" t="str">
        <f>IF(AND('Mapa R. Fiscal'!$Y$30="Muy Baja",'Mapa R. Fiscal'!$AA$30="Leve"),CONCATENATE("R4C",'Mapa R. Fiscal'!$O$30),"")</f>
        <v/>
      </c>
      <c r="M49" s="279" t="str">
        <f>IF(AND('Mapa R. Fiscal'!$Y$31="Muy Baja",'Mapa R. Fiscal'!$AA$31="Leve"),CONCATENATE("R4C",'Mapa R. Fiscal'!$O$31),"")</f>
        <v/>
      </c>
      <c r="N49" s="279" t="str">
        <f>IF(AND('Mapa R. Fiscal'!$Y$32="Muy Baja",'Mapa R. Fiscal'!$AA$32="Leve"),CONCATENATE("R4C",'Mapa R. Fiscal'!$O$32),"")</f>
        <v/>
      </c>
      <c r="O49" s="280" t="str">
        <f>IF(AND('Mapa R. Fiscal'!$Y$33="Muy Baja",'Mapa R. Fiscal'!$AA$33="Leve"),CONCATENATE("R4C",'Mapa R. Fiscal'!$O$33),"")</f>
        <v/>
      </c>
      <c r="P49" s="278" t="str">
        <f>IF(AND('Mapa R. Fiscal'!$Y$28="Muy Baja",'Mapa R. Fiscal'!$AA$28="Menor"),CONCATENATE("R4C",'Mapa R. Fiscal'!$O$28),"")</f>
        <v/>
      </c>
      <c r="Q49" s="279" t="str">
        <f>IF(AND('Mapa R. Fiscal'!$Y$29="Muy Baja",'Mapa R. Fiscal'!$AA$29="Menor"),CONCATENATE("R4C",'Mapa R. Fiscal'!$O$29),"")</f>
        <v/>
      </c>
      <c r="R49" s="279" t="str">
        <f>IF(AND('Mapa R. Fiscal'!$Y$30="Muy Baja",'Mapa R. Fiscal'!$AA$30="Menor"),CONCATENATE("R4C",'Mapa R. Fiscal'!$O$30),"")</f>
        <v/>
      </c>
      <c r="S49" s="279" t="str">
        <f>IF(AND('Mapa R. Fiscal'!$Y$31="Muy Baja",'Mapa R. Fiscal'!$AA$31="Menor"),CONCATENATE("R4C",'Mapa R. Fiscal'!$O$31),"")</f>
        <v/>
      </c>
      <c r="T49" s="279" t="str">
        <f>IF(AND('Mapa R. Fiscal'!$Y$32="Muy Baja",'Mapa R. Fiscal'!$AA$32="Menor"),CONCATENATE("R4C",'Mapa R. Fiscal'!$O$32),"")</f>
        <v/>
      </c>
      <c r="U49" s="280" t="str">
        <f>IF(AND('Mapa R. Fiscal'!$Y$33="Muy Baja",'Mapa R. Fiscal'!$AA$33="Menor"),CONCATENATE("R4C",'Mapa R. Fiscal'!$O$33),"")</f>
        <v/>
      </c>
      <c r="V49" s="269" t="str">
        <f>IF(AND('Mapa R. Fiscal'!$Y$28="Muy Baja",'Mapa R. Fiscal'!$AA$28="Moderado"),CONCATENATE("R4C",'Mapa R. Fiscal'!$O$28),"")</f>
        <v/>
      </c>
      <c r="W49" s="270" t="str">
        <f>IF(AND('Mapa R. Fiscal'!$Y$29="Muy Baja",'Mapa R. Fiscal'!$AA$29="Moderado"),CONCATENATE("R4C",'Mapa R. Fiscal'!$O$29),"")</f>
        <v/>
      </c>
      <c r="X49" s="270" t="str">
        <f>IF(AND('Mapa R. Fiscal'!$Y$30="Muy Baja",'Mapa R. Fiscal'!$AA$30="Moderado"),CONCATENATE("R4C",'Mapa R. Fiscal'!$O$30),"")</f>
        <v/>
      </c>
      <c r="Y49" s="270" t="str">
        <f>IF(AND('Mapa R. Fiscal'!$Y$31="Muy Baja",'Mapa R. Fiscal'!$AA$31="Moderado"),CONCATENATE("R4C",'Mapa R. Fiscal'!$O$31),"")</f>
        <v/>
      </c>
      <c r="Z49" s="270" t="str">
        <f>IF(AND('Mapa R. Fiscal'!$Y$32="Muy Baja",'Mapa R. Fiscal'!$AA$32="Moderado"),CONCATENATE("R4C",'Mapa R. Fiscal'!$O$32),"")</f>
        <v/>
      </c>
      <c r="AA49" s="271" t="str">
        <f>IF(AND('Mapa R. Fiscal'!$Y$33="Muy Baja",'Mapa R. Fiscal'!$AA$33="Moderado"),CONCATENATE("R4C",'Mapa R. Fiscal'!$O$33),"")</f>
        <v/>
      </c>
      <c r="AB49" s="254" t="str">
        <f>IF(AND('Mapa R. Fiscal'!$Y$28="Muy Baja",'Mapa R. Fiscal'!$AA$28="Mayor"),CONCATENATE("R4C",'Mapa R. Fiscal'!$O$28),"")</f>
        <v/>
      </c>
      <c r="AC49" s="255" t="str">
        <f>IF(AND('Mapa R. Fiscal'!$Y$29="Muy Baja",'Mapa R. Fiscal'!$AA$29="Mayor"),CONCATENATE("R4C",'Mapa R. Fiscal'!$O$29),"")</f>
        <v/>
      </c>
      <c r="AD49" s="255" t="str">
        <f>IF(AND('Mapa R. Fiscal'!$Y$30="Muy Baja",'Mapa R. Fiscal'!$AA$30="Mayor"),CONCATENATE("R4C",'Mapa R. Fiscal'!$O$30),"")</f>
        <v/>
      </c>
      <c r="AE49" s="255" t="str">
        <f>IF(AND('Mapa R. Fiscal'!$Y$31="Muy Baja",'Mapa R. Fiscal'!$AA$31="Mayor"),CONCATENATE("R4C",'Mapa R. Fiscal'!$O$31),"")</f>
        <v/>
      </c>
      <c r="AF49" s="255" t="str">
        <f>IF(AND('Mapa R. Fiscal'!$Y$32="Muy Baja",'Mapa R. Fiscal'!$AA$32="Mayor"),CONCATENATE("R4C",'Mapa R. Fiscal'!$O$32),"")</f>
        <v/>
      </c>
      <c r="AG49" s="256" t="str">
        <f>IF(AND('Mapa R. Fiscal'!$Y$33="Muy Baja",'Mapa R. Fiscal'!$AA$33="Mayor"),CONCATENATE("R4C",'Mapa R. Fiscal'!$O$33),"")</f>
        <v/>
      </c>
      <c r="AH49" s="257" t="str">
        <f>IF(AND('Mapa R. Fiscal'!$Y$28="Muy Baja",'Mapa R. Fiscal'!$AA$28="Catastrófico"),CONCATENATE("R4C",'Mapa R. Fiscal'!$O$28),"")</f>
        <v/>
      </c>
      <c r="AI49" s="258" t="str">
        <f>IF(AND('Mapa R. Fiscal'!$Y$29="Muy Baja",'Mapa R. Fiscal'!$AA$29="Catastrófico"),CONCATENATE("R4C",'Mapa R. Fiscal'!$O$29),"")</f>
        <v/>
      </c>
      <c r="AJ49" s="258" t="str">
        <f>IF(AND('Mapa R. Fiscal'!$Y$30="Muy Baja",'Mapa R. Fiscal'!$AA$30="Catastrófico"),CONCATENATE("R4C",'Mapa R. Fiscal'!$O$30),"")</f>
        <v/>
      </c>
      <c r="AK49" s="258" t="str">
        <f>IF(AND('Mapa R. Fiscal'!$Y$31="Muy Baja",'Mapa R. Fiscal'!$AA$31="Catastrófico"),CONCATENATE("R4C",'Mapa R. Fiscal'!$O$31),"")</f>
        <v/>
      </c>
      <c r="AL49" s="258" t="str">
        <f>IF(AND('Mapa R. Fiscal'!$Y$32="Muy Baja",'Mapa R. Fiscal'!$AA$32="Catastrófico"),CONCATENATE("R4C",'Mapa R. Fiscal'!$O$32),"")</f>
        <v/>
      </c>
      <c r="AM49" s="259"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6"/>
      <c r="C50" s="716"/>
      <c r="D50" s="717"/>
      <c r="E50" s="805"/>
      <c r="F50" s="806"/>
      <c r="G50" s="806"/>
      <c r="H50" s="806"/>
      <c r="I50" s="807"/>
      <c r="J50" s="278" t="str">
        <f>IF(AND('Mapa R. Fiscal'!$Y$34="Muy Baja",'Mapa R. Fiscal'!$AA$34="Leve"),CONCATENATE("R5C",'Mapa R. Fiscal'!$O$34),"")</f>
        <v/>
      </c>
      <c r="K50" s="279" t="str">
        <f>IF(AND('Mapa R. Fiscal'!$Y$35="Muy Baja",'Mapa R. Fiscal'!$AA$35="Leve"),CONCATENATE("R5C",'Mapa R. Fiscal'!$O$35),"")</f>
        <v/>
      </c>
      <c r="L50" s="279" t="str">
        <f>IF(AND('Mapa R. Fiscal'!$Y$36="Muy Baja",'Mapa R. Fiscal'!$AA$36="Leve"),CONCATENATE("R5C",'Mapa R. Fiscal'!$O$36),"")</f>
        <v/>
      </c>
      <c r="M50" s="279" t="str">
        <f>IF(AND('Mapa R. Fiscal'!$Y$37="Muy Baja",'Mapa R. Fiscal'!$AA$37="Leve"),CONCATENATE("R5C",'Mapa R. Fiscal'!$O$37),"")</f>
        <v/>
      </c>
      <c r="N50" s="279" t="str">
        <f>IF(AND('Mapa R. Fiscal'!$Y$38="Muy Baja",'Mapa R. Fiscal'!$AA$38="Leve"),CONCATENATE("R5C",'Mapa R. Fiscal'!$O$38),"")</f>
        <v/>
      </c>
      <c r="O50" s="280" t="str">
        <f>IF(AND('Mapa R. Fiscal'!$Y$39="Muy Baja",'Mapa R. Fiscal'!$AA$39="Leve"),CONCATENATE("R5C",'Mapa R. Fiscal'!$O$39),"")</f>
        <v/>
      </c>
      <c r="P50" s="278" t="str">
        <f>IF(AND('Mapa R. Fiscal'!$Y$34="Muy Baja",'Mapa R. Fiscal'!$AA$34="Menor"),CONCATENATE("R5C",'Mapa R. Fiscal'!$O$34),"")</f>
        <v/>
      </c>
      <c r="Q50" s="279" t="str">
        <f>IF(AND('Mapa R. Fiscal'!$Y$35="Muy Baja",'Mapa R. Fiscal'!$AA$35="Menor"),CONCATENATE("R5C",'Mapa R. Fiscal'!$O$35),"")</f>
        <v/>
      </c>
      <c r="R50" s="279" t="str">
        <f>IF(AND('Mapa R. Fiscal'!$Y$36="Muy Baja",'Mapa R. Fiscal'!$AA$36="Menor"),CONCATENATE("R5C",'Mapa R. Fiscal'!$O$36),"")</f>
        <v/>
      </c>
      <c r="S50" s="279" t="str">
        <f>IF(AND('Mapa R. Fiscal'!$Y$37="Muy Baja",'Mapa R. Fiscal'!$AA$37="Menor"),CONCATENATE("R5C",'Mapa R. Fiscal'!$O$37),"")</f>
        <v/>
      </c>
      <c r="T50" s="279" t="str">
        <f>IF(AND('Mapa R. Fiscal'!$Y$38="Muy Baja",'Mapa R. Fiscal'!$AA$38="Menor"),CONCATENATE("R5C",'Mapa R. Fiscal'!$O$38),"")</f>
        <v/>
      </c>
      <c r="U50" s="280" t="str">
        <f>IF(AND('Mapa R. Fiscal'!$Y$39="Muy Baja",'Mapa R. Fiscal'!$AA$39="Menor"),CONCATENATE("R5C",'Mapa R. Fiscal'!$O$39),"")</f>
        <v/>
      </c>
      <c r="V50" s="269" t="str">
        <f>IF(AND('Mapa R. Fiscal'!$Y$34="Muy Baja",'Mapa R. Fiscal'!$AA$34="Moderado"),CONCATENATE("R5C",'Mapa R. Fiscal'!$O$34),"")</f>
        <v/>
      </c>
      <c r="W50" s="270" t="str">
        <f>IF(AND('Mapa R. Fiscal'!$Y$35="Muy Baja",'Mapa R. Fiscal'!$AA$35="Moderado"),CONCATENATE("R5C",'Mapa R. Fiscal'!$O$35),"")</f>
        <v/>
      </c>
      <c r="X50" s="270" t="str">
        <f>IF(AND('Mapa R. Fiscal'!$Y$36="Muy Baja",'Mapa R. Fiscal'!$AA$36="Moderado"),CONCATENATE("R5C",'Mapa R. Fiscal'!$O$36),"")</f>
        <v/>
      </c>
      <c r="Y50" s="270" t="str">
        <f>IF(AND('Mapa R. Fiscal'!$Y$37="Muy Baja",'Mapa R. Fiscal'!$AA$37="Moderado"),CONCATENATE("R5C",'Mapa R. Fiscal'!$O$37),"")</f>
        <v/>
      </c>
      <c r="Z50" s="270" t="str">
        <f>IF(AND('Mapa R. Fiscal'!$Y$38="Muy Baja",'Mapa R. Fiscal'!$AA$38="Moderado"),CONCATENATE("R5C",'Mapa R. Fiscal'!$O$38),"")</f>
        <v/>
      </c>
      <c r="AA50" s="271" t="str">
        <f>IF(AND('Mapa R. Fiscal'!$Y$39="Muy Baja",'Mapa R. Fiscal'!$AA$39="Moderado"),CONCATENATE("R5C",'Mapa R. Fiscal'!$O$39),"")</f>
        <v/>
      </c>
      <c r="AB50" s="254" t="str">
        <f>IF(AND('Mapa R. Fiscal'!$Y$34="Muy Baja",'Mapa R. Fiscal'!$AA$34="Mayor"),CONCATENATE("R5C",'Mapa R. Fiscal'!$O$34),"")</f>
        <v/>
      </c>
      <c r="AC50" s="255" t="str">
        <f>IF(AND('Mapa R. Fiscal'!$Y$35="Muy Baja",'Mapa R. Fiscal'!$AA$35="Mayor"),CONCATENATE("R5C",'Mapa R. Fiscal'!$O$35),"")</f>
        <v/>
      </c>
      <c r="AD50" s="255" t="str">
        <f>IF(AND('Mapa R. Fiscal'!$Y$36="Muy Baja",'Mapa R. Fiscal'!$AA$36="Mayor"),CONCATENATE("R5C",'Mapa R. Fiscal'!$O$36),"")</f>
        <v/>
      </c>
      <c r="AE50" s="255" t="str">
        <f>IF(AND('Mapa R. Fiscal'!$Y$37="Muy Baja",'Mapa R. Fiscal'!$AA$37="Mayor"),CONCATENATE("R5C",'Mapa R. Fiscal'!$O$37),"")</f>
        <v/>
      </c>
      <c r="AF50" s="255" t="str">
        <f>IF(AND('Mapa R. Fiscal'!$Y$38="Muy Baja",'Mapa R. Fiscal'!$AA$38="Mayor"),CONCATENATE("R5C",'Mapa R. Fiscal'!$O$38),"")</f>
        <v/>
      </c>
      <c r="AG50" s="256" t="str">
        <f>IF(AND('Mapa R. Fiscal'!$Y$39="Muy Baja",'Mapa R. Fiscal'!$AA$39="Mayor"),CONCATENATE("R5C",'Mapa R. Fiscal'!$O$39),"")</f>
        <v/>
      </c>
      <c r="AH50" s="257" t="str">
        <f>IF(AND('Mapa R. Fiscal'!$Y$34="Muy Baja",'Mapa R. Fiscal'!$AA$34="Catastrófico"),CONCATENATE("R5C",'Mapa R. Fiscal'!$O$34),"")</f>
        <v/>
      </c>
      <c r="AI50" s="258" t="str">
        <f>IF(AND('Mapa R. Fiscal'!$Y$35="Muy Baja",'Mapa R. Fiscal'!$AA$35="Catastrófico"),CONCATENATE("R5C",'Mapa R. Fiscal'!$O$35),"")</f>
        <v/>
      </c>
      <c r="AJ50" s="258" t="str">
        <f>IF(AND('Mapa R. Fiscal'!$Y$36="Muy Baja",'Mapa R. Fiscal'!$AA$36="Catastrófico"),CONCATENATE("R5C",'Mapa R. Fiscal'!$O$36),"")</f>
        <v/>
      </c>
      <c r="AK50" s="258" t="str">
        <f>IF(AND('Mapa R. Fiscal'!$Y$37="Muy Baja",'Mapa R. Fiscal'!$AA$37="Catastrófico"),CONCATENATE("R5C",'Mapa R. Fiscal'!$O$37),"")</f>
        <v/>
      </c>
      <c r="AL50" s="258" t="str">
        <f>IF(AND('Mapa R. Fiscal'!$Y$38="Muy Baja",'Mapa R. Fiscal'!$AA$38="Catastrófico"),CONCATENATE("R5C",'Mapa R. Fiscal'!$O$38),"")</f>
        <v/>
      </c>
      <c r="AM50" s="259"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6"/>
      <c r="C51" s="716"/>
      <c r="D51" s="717"/>
      <c r="E51" s="805"/>
      <c r="F51" s="806"/>
      <c r="G51" s="806"/>
      <c r="H51" s="806"/>
      <c r="I51" s="807"/>
      <c r="J51" s="278" t="str">
        <f>IF(AND('Mapa R. Fiscal'!$Y$40="Muy Baja",'Mapa R. Fiscal'!$AA$40="Leve"),CONCATENATE("R6C",'Mapa R. Fiscal'!$O$40),"")</f>
        <v/>
      </c>
      <c r="K51" s="279" t="str">
        <f>IF(AND('Mapa R. Fiscal'!$Y$41="Muy Baja",'Mapa R. Fiscal'!$AA$41="Leve"),CONCATENATE("R6C",'Mapa R. Fiscal'!$O$41),"")</f>
        <v/>
      </c>
      <c r="L51" s="279" t="str">
        <f>IF(AND('Mapa R. Fiscal'!$Y$42="Muy Baja",'Mapa R. Fiscal'!$AA$42="Leve"),CONCATENATE("R6C",'Mapa R. Fiscal'!$O$42),"")</f>
        <v/>
      </c>
      <c r="M51" s="279" t="str">
        <f>IF(AND('Mapa R. Fiscal'!$Y$43="Muy Baja",'Mapa R. Fiscal'!$AA$43="Leve"),CONCATENATE("R6C",'Mapa R. Fiscal'!$O$43),"")</f>
        <v/>
      </c>
      <c r="N51" s="279" t="str">
        <f>IF(AND('Mapa R. Fiscal'!$Y$44="Muy Baja",'Mapa R. Fiscal'!$AA$44="Leve"),CONCATENATE("R6C",'Mapa R. Fiscal'!$O$44),"")</f>
        <v/>
      </c>
      <c r="O51" s="280" t="str">
        <f>IF(AND('Mapa R. Fiscal'!$Y$45="Muy Baja",'Mapa R. Fiscal'!$AA$45="Leve"),CONCATENATE("R6C",'Mapa R. Fiscal'!$O$45),"")</f>
        <v/>
      </c>
      <c r="P51" s="278" t="str">
        <f>IF(AND('Mapa R. Fiscal'!$Y$40="Muy Baja",'Mapa R. Fiscal'!$AA$40="Menor"),CONCATENATE("R6C",'Mapa R. Fiscal'!$O$40),"")</f>
        <v/>
      </c>
      <c r="Q51" s="279" t="str">
        <f>IF(AND('Mapa R. Fiscal'!$Y$41="Muy Baja",'Mapa R. Fiscal'!$AA$41="Menor"),CONCATENATE("R6C",'Mapa R. Fiscal'!$O$41),"")</f>
        <v/>
      </c>
      <c r="R51" s="279" t="str">
        <f>IF(AND('Mapa R. Fiscal'!$Y$42="Muy Baja",'Mapa R. Fiscal'!$AA$42="Menor"),CONCATENATE("R6C",'Mapa R. Fiscal'!$O$42),"")</f>
        <v/>
      </c>
      <c r="S51" s="279" t="str">
        <f>IF(AND('Mapa R. Fiscal'!$Y$43="Muy Baja",'Mapa R. Fiscal'!$AA$43="Menor"),CONCATENATE("R6C",'Mapa R. Fiscal'!$O$43),"")</f>
        <v/>
      </c>
      <c r="T51" s="279" t="str">
        <f>IF(AND('Mapa R. Fiscal'!$Y$44="Muy Baja",'Mapa R. Fiscal'!$AA$44="Menor"),CONCATENATE("R6C",'Mapa R. Fiscal'!$O$44),"")</f>
        <v/>
      </c>
      <c r="U51" s="280" t="str">
        <f>IF(AND('Mapa R. Fiscal'!$Y$45="Muy Baja",'Mapa R. Fiscal'!$AA$45="Menor"),CONCATENATE("R6C",'Mapa R. Fiscal'!$O$45),"")</f>
        <v/>
      </c>
      <c r="V51" s="269" t="str">
        <f>IF(AND('Mapa R. Fiscal'!$Y$40="Muy Baja",'Mapa R. Fiscal'!$AA$40="Moderado"),CONCATENATE("R6C",'Mapa R. Fiscal'!$O$40),"")</f>
        <v/>
      </c>
      <c r="W51" s="270" t="str">
        <f>IF(AND('Mapa R. Fiscal'!$Y$41="Muy Baja",'Mapa R. Fiscal'!$AA$41="Moderado"),CONCATENATE("R6C",'Mapa R. Fiscal'!$O$41),"")</f>
        <v/>
      </c>
      <c r="X51" s="270" t="str">
        <f>IF(AND('Mapa R. Fiscal'!$Y$42="Muy Baja",'Mapa R. Fiscal'!$AA$42="Moderado"),CONCATENATE("R6C",'Mapa R. Fiscal'!$O$42),"")</f>
        <v/>
      </c>
      <c r="Y51" s="270" t="str">
        <f>IF(AND('Mapa R. Fiscal'!$Y$43="Muy Baja",'Mapa R. Fiscal'!$AA$43="Moderado"),CONCATENATE("R6C",'Mapa R. Fiscal'!$O$43),"")</f>
        <v/>
      </c>
      <c r="Z51" s="270" t="str">
        <f>IF(AND('Mapa R. Fiscal'!$Y$44="Muy Baja",'Mapa R. Fiscal'!$AA$44="Moderado"),CONCATENATE("R6C",'Mapa R. Fiscal'!$O$44),"")</f>
        <v/>
      </c>
      <c r="AA51" s="271" t="str">
        <f>IF(AND('Mapa R. Fiscal'!$Y$45="Muy Baja",'Mapa R. Fiscal'!$AA$45="Moderado"),CONCATENATE("R6C",'Mapa R. Fiscal'!$O$45),"")</f>
        <v/>
      </c>
      <c r="AB51" s="254" t="str">
        <f>IF(AND('Mapa R. Fiscal'!$Y$40="Muy Baja",'Mapa R. Fiscal'!$AA$40="Mayor"),CONCATENATE("R6C",'Mapa R. Fiscal'!$O$40),"")</f>
        <v/>
      </c>
      <c r="AC51" s="255" t="str">
        <f>IF(AND('Mapa R. Fiscal'!$Y$41="Muy Baja",'Mapa R. Fiscal'!$AA$41="Mayor"),CONCATENATE("R6C",'Mapa R. Fiscal'!$O$41),"")</f>
        <v/>
      </c>
      <c r="AD51" s="255" t="str">
        <f>IF(AND('Mapa R. Fiscal'!$Y$42="Muy Baja",'Mapa R. Fiscal'!$AA$42="Mayor"),CONCATENATE("R6C",'Mapa R. Fiscal'!$O$42),"")</f>
        <v/>
      </c>
      <c r="AE51" s="255" t="str">
        <f>IF(AND('Mapa R. Fiscal'!$Y$43="Muy Baja",'Mapa R. Fiscal'!$AA$43="Mayor"),CONCATENATE("R6C",'Mapa R. Fiscal'!$O$43),"")</f>
        <v/>
      </c>
      <c r="AF51" s="255" t="str">
        <f>IF(AND('Mapa R. Fiscal'!$Y$44="Muy Baja",'Mapa R. Fiscal'!$AA$44="Mayor"),CONCATENATE("R6C",'Mapa R. Fiscal'!$O$44),"")</f>
        <v/>
      </c>
      <c r="AG51" s="256" t="str">
        <f>IF(AND('Mapa R. Fiscal'!$Y$45="Muy Baja",'Mapa R. Fiscal'!$AA$45="Mayor"),CONCATENATE("R6C",'Mapa R. Fiscal'!$O$45),"")</f>
        <v/>
      </c>
      <c r="AH51" s="257" t="str">
        <f>IF(AND('Mapa R. Fiscal'!$Y$40="Muy Baja",'Mapa R. Fiscal'!$AA$40="Catastrófico"),CONCATENATE("R6C",'Mapa R. Fiscal'!$O$40),"")</f>
        <v/>
      </c>
      <c r="AI51" s="258" t="str">
        <f>IF(AND('Mapa R. Fiscal'!$Y$41="Muy Baja",'Mapa R. Fiscal'!$AA$41="Catastrófico"),CONCATENATE("R6C",'Mapa R. Fiscal'!$O$41),"")</f>
        <v/>
      </c>
      <c r="AJ51" s="258" t="str">
        <f>IF(AND('Mapa R. Fiscal'!$Y$42="Muy Baja",'Mapa R. Fiscal'!$AA$42="Catastrófico"),CONCATENATE("R6C",'Mapa R. Fiscal'!$O$42),"")</f>
        <v/>
      </c>
      <c r="AK51" s="258" t="str">
        <f>IF(AND('Mapa R. Fiscal'!$Y$43="Muy Baja",'Mapa R. Fiscal'!$AA$43="Catastrófico"),CONCATENATE("R6C",'Mapa R. Fiscal'!$O$43),"")</f>
        <v/>
      </c>
      <c r="AL51" s="258" t="str">
        <f>IF(AND('Mapa R. Fiscal'!$Y$44="Muy Baja",'Mapa R. Fiscal'!$AA$44="Catastrófico"),CONCATENATE("R6C",'Mapa R. Fiscal'!$O$44),"")</f>
        <v/>
      </c>
      <c r="AM51" s="259"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6"/>
      <c r="C52" s="716"/>
      <c r="D52" s="717"/>
      <c r="E52" s="805"/>
      <c r="F52" s="806"/>
      <c r="G52" s="806"/>
      <c r="H52" s="806"/>
      <c r="I52" s="807"/>
      <c r="J52" s="278" t="str">
        <f>IF(AND('Mapa R. Fiscal'!$Y$46="Muy Baja",'Mapa R. Fiscal'!$AA$46="Leve"),CONCATENATE("R7C",'Mapa R. Fiscal'!$O$46),"")</f>
        <v/>
      </c>
      <c r="K52" s="279" t="str">
        <f>IF(AND('Mapa R. Fiscal'!$Y$47="Muy Baja",'Mapa R. Fiscal'!$AA$47="Leve"),CONCATENATE("R7C",'Mapa R. Fiscal'!$O$47),"")</f>
        <v/>
      </c>
      <c r="L52" s="279" t="str">
        <f>IF(AND('Mapa R. Fiscal'!$Y$48="Muy Baja",'Mapa R. Fiscal'!$AA$48="Leve"),CONCATENATE("R7C",'Mapa R. Fiscal'!$O$48),"")</f>
        <v/>
      </c>
      <c r="M52" s="279" t="str">
        <f>IF(AND('Mapa R. Fiscal'!$Y$49="Muy Baja",'Mapa R. Fiscal'!$AA$49="Leve"),CONCATENATE("R7C",'Mapa R. Fiscal'!$O$49),"")</f>
        <v/>
      </c>
      <c r="N52" s="279" t="str">
        <f>IF(AND('Mapa R. Fiscal'!$Y$50="Muy Baja",'Mapa R. Fiscal'!$AA$50="Leve"),CONCATENATE("R7C",'Mapa R. Fiscal'!$O$50),"")</f>
        <v/>
      </c>
      <c r="O52" s="280" t="str">
        <f>IF(AND('Mapa R. Fiscal'!$Y$51="Muy Baja",'Mapa R. Fiscal'!$AA$51="Leve"),CONCATENATE("R7C",'Mapa R. Fiscal'!$O$51),"")</f>
        <v/>
      </c>
      <c r="P52" s="278" t="str">
        <f>IF(AND('Mapa R. Fiscal'!$Y$46="Muy Baja",'Mapa R. Fiscal'!$AA$46="Menor"),CONCATENATE("R7C",'Mapa R. Fiscal'!$O$46),"")</f>
        <v/>
      </c>
      <c r="Q52" s="279" t="str">
        <f>IF(AND('Mapa R. Fiscal'!$Y$47="Muy Baja",'Mapa R. Fiscal'!$AA$47="Menor"),CONCATENATE("R7C",'Mapa R. Fiscal'!$O$47),"")</f>
        <v/>
      </c>
      <c r="R52" s="279" t="str">
        <f>IF(AND('Mapa R. Fiscal'!$Y$48="Muy Baja",'Mapa R. Fiscal'!$AA$48="Menor"),CONCATENATE("R7C",'Mapa R. Fiscal'!$O$48),"")</f>
        <v/>
      </c>
      <c r="S52" s="279" t="str">
        <f>IF(AND('Mapa R. Fiscal'!$Y$49="Muy Baja",'Mapa R. Fiscal'!$AA$49="Menor"),CONCATENATE("R7C",'Mapa R. Fiscal'!$O$49),"")</f>
        <v/>
      </c>
      <c r="T52" s="279" t="str">
        <f>IF(AND('Mapa R. Fiscal'!$Y$50="Muy Baja",'Mapa R. Fiscal'!$AA$50="Menor"),CONCATENATE("R7C",'Mapa R. Fiscal'!$O$50),"")</f>
        <v/>
      </c>
      <c r="U52" s="280" t="str">
        <f>IF(AND('Mapa R. Fiscal'!$Y$51="Muy Baja",'Mapa R. Fiscal'!$AA$51="Menor"),CONCATENATE("R7C",'Mapa R. Fiscal'!$O$51),"")</f>
        <v/>
      </c>
      <c r="V52" s="269" t="str">
        <f>IF(AND('Mapa R. Fiscal'!$Y$46="Muy Baja",'Mapa R. Fiscal'!$AA$46="Moderado"),CONCATENATE("R7C",'Mapa R. Fiscal'!$O$46),"")</f>
        <v/>
      </c>
      <c r="W52" s="270" t="str">
        <f>IF(AND('Mapa R. Fiscal'!$Y$47="Muy Baja",'Mapa R. Fiscal'!$AA$47="Moderado"),CONCATENATE("R7C",'Mapa R. Fiscal'!$O$47),"")</f>
        <v/>
      </c>
      <c r="X52" s="270" t="str">
        <f>IF(AND('Mapa R. Fiscal'!$Y$48="Muy Baja",'Mapa R. Fiscal'!$AA$48="Moderado"),CONCATENATE("R7C",'Mapa R. Fiscal'!$O$48),"")</f>
        <v/>
      </c>
      <c r="Y52" s="270" t="str">
        <f>IF(AND('Mapa R. Fiscal'!$Y$49="Muy Baja",'Mapa R. Fiscal'!$AA$49="Moderado"),CONCATENATE("R7C",'Mapa R. Fiscal'!$O$49),"")</f>
        <v/>
      </c>
      <c r="Z52" s="270" t="str">
        <f>IF(AND('Mapa R. Fiscal'!$Y$50="Muy Baja",'Mapa R. Fiscal'!$AA$50="Moderado"),CONCATENATE("R7C",'Mapa R. Fiscal'!$O$50),"")</f>
        <v/>
      </c>
      <c r="AA52" s="271" t="str">
        <f>IF(AND('Mapa R. Fiscal'!$Y$51="Muy Baja",'Mapa R. Fiscal'!$AA$51="Moderado"),CONCATENATE("R7C",'Mapa R. Fiscal'!$O$51),"")</f>
        <v/>
      </c>
      <c r="AB52" s="254" t="str">
        <f>IF(AND('Mapa R. Fiscal'!$Y$46="Muy Baja",'Mapa R. Fiscal'!$AA$46="Mayor"),CONCATENATE("R7C",'Mapa R. Fiscal'!$O$46),"")</f>
        <v/>
      </c>
      <c r="AC52" s="255" t="str">
        <f>IF(AND('Mapa R. Fiscal'!$Y$47="Muy Baja",'Mapa R. Fiscal'!$AA$47="Mayor"),CONCATENATE("R7C",'Mapa R. Fiscal'!$O$47),"")</f>
        <v/>
      </c>
      <c r="AD52" s="255" t="str">
        <f>IF(AND('Mapa R. Fiscal'!$Y$48="Muy Baja",'Mapa R. Fiscal'!$AA$48="Mayor"),CONCATENATE("R7C",'Mapa R. Fiscal'!$O$48),"")</f>
        <v/>
      </c>
      <c r="AE52" s="255" t="str">
        <f>IF(AND('Mapa R. Fiscal'!$Y$49="Muy Baja",'Mapa R. Fiscal'!$AA$49="Mayor"),CONCATENATE("R7C",'Mapa R. Fiscal'!$O$49),"")</f>
        <v/>
      </c>
      <c r="AF52" s="255" t="str">
        <f>IF(AND('Mapa R. Fiscal'!$Y$50="Muy Baja",'Mapa R. Fiscal'!$AA$50="Mayor"),CONCATENATE("R7C",'Mapa R. Fiscal'!$O$50),"")</f>
        <v/>
      </c>
      <c r="AG52" s="256" t="str">
        <f>IF(AND('Mapa R. Fiscal'!$Y$51="Muy Baja",'Mapa R. Fiscal'!$AA$51="Mayor"),CONCATENATE("R7C",'Mapa R. Fiscal'!$O$51),"")</f>
        <v/>
      </c>
      <c r="AH52" s="257" t="str">
        <f>IF(AND('Mapa R. Fiscal'!$Y$46="Muy Baja",'Mapa R. Fiscal'!$AA$46="Catastrófico"),CONCATENATE("R7C",'Mapa R. Fiscal'!$O$46),"")</f>
        <v/>
      </c>
      <c r="AI52" s="258" t="str">
        <f>IF(AND('Mapa R. Fiscal'!$Y$47="Muy Baja",'Mapa R. Fiscal'!$AA$47="Catastrófico"),CONCATENATE("R7C",'Mapa R. Fiscal'!$O$47),"")</f>
        <v/>
      </c>
      <c r="AJ52" s="258" t="str">
        <f>IF(AND('Mapa R. Fiscal'!$Y$48="Muy Baja",'Mapa R. Fiscal'!$AA$48="Catastrófico"),CONCATENATE("R7C",'Mapa R. Fiscal'!$O$48),"")</f>
        <v/>
      </c>
      <c r="AK52" s="258" t="str">
        <f>IF(AND('Mapa R. Fiscal'!$Y$49="Muy Baja",'Mapa R. Fiscal'!$AA$49="Catastrófico"),CONCATENATE("R7C",'Mapa R. Fiscal'!$O$49),"")</f>
        <v/>
      </c>
      <c r="AL52" s="258" t="str">
        <f>IF(AND('Mapa R. Fiscal'!$Y$50="Muy Baja",'Mapa R. Fiscal'!$AA$50="Catastrófico"),CONCATENATE("R7C",'Mapa R. Fiscal'!$O$50),"")</f>
        <v/>
      </c>
      <c r="AM52" s="259"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6"/>
      <c r="C53" s="716"/>
      <c r="D53" s="717"/>
      <c r="E53" s="805"/>
      <c r="F53" s="806"/>
      <c r="G53" s="806"/>
      <c r="H53" s="806"/>
      <c r="I53" s="807"/>
      <c r="J53" s="278" t="str">
        <f>IF(AND('Mapa R. Fiscal'!$Y$52="Muy Baja",'Mapa R. Fiscal'!$AA$52="Leve"),CONCATENATE("R8C",'Mapa R. Fiscal'!$O$52),"")</f>
        <v/>
      </c>
      <c r="K53" s="279" t="str">
        <f>IF(AND('Mapa R. Fiscal'!$Y$53="Muy Baja",'Mapa R. Fiscal'!$AA$53="Leve"),CONCATENATE("R8C",'Mapa R. Fiscal'!$O$53),"")</f>
        <v/>
      </c>
      <c r="L53" s="279" t="str">
        <f>IF(AND('Mapa R. Fiscal'!$Y$54="Muy Baja",'Mapa R. Fiscal'!$AA$54="Leve"),CONCATENATE("R8C",'Mapa R. Fiscal'!$O$54),"")</f>
        <v/>
      </c>
      <c r="M53" s="279" t="str">
        <f>IF(AND('Mapa R. Fiscal'!$Y$55="Muy Baja",'Mapa R. Fiscal'!$AA$55="Leve"),CONCATENATE("R8C",'Mapa R. Fiscal'!$O$55),"")</f>
        <v/>
      </c>
      <c r="N53" s="279" t="str">
        <f>IF(AND('Mapa R. Fiscal'!$Y$56="Muy Baja",'Mapa R. Fiscal'!$AA$56="Leve"),CONCATENATE("R8C",'Mapa R. Fiscal'!$O$56),"")</f>
        <v/>
      </c>
      <c r="O53" s="280" t="str">
        <f>IF(AND('Mapa R. Fiscal'!$Y$57="Muy Baja",'Mapa R. Fiscal'!$AA$57="Leve"),CONCATENATE("R8C",'Mapa R. Fiscal'!$O$57),"")</f>
        <v/>
      </c>
      <c r="P53" s="278" t="str">
        <f>IF(AND('Mapa R. Fiscal'!$Y$52="Muy Baja",'Mapa R. Fiscal'!$AA$52="Menor"),CONCATENATE("R8C",'Mapa R. Fiscal'!$O$52),"")</f>
        <v/>
      </c>
      <c r="Q53" s="279" t="str">
        <f>IF(AND('Mapa R. Fiscal'!$Y$53="Muy Baja",'Mapa R. Fiscal'!$AA$53="Menor"),CONCATENATE("R8C",'Mapa R. Fiscal'!$O$53),"")</f>
        <v/>
      </c>
      <c r="R53" s="279" t="str">
        <f>IF(AND('Mapa R. Fiscal'!$Y$54="Muy Baja",'Mapa R. Fiscal'!$AA$54="Menor"),CONCATENATE("R8C",'Mapa R. Fiscal'!$O$54),"")</f>
        <v/>
      </c>
      <c r="S53" s="279" t="str">
        <f>IF(AND('Mapa R. Fiscal'!$Y$55="Muy Baja",'Mapa R. Fiscal'!$AA$55="Menor"),CONCATENATE("R8C",'Mapa R. Fiscal'!$O$55),"")</f>
        <v/>
      </c>
      <c r="T53" s="279" t="str">
        <f>IF(AND('Mapa R. Fiscal'!$Y$56="Muy Baja",'Mapa R. Fiscal'!$AA$56="Menor"),CONCATENATE("R8C",'Mapa R. Fiscal'!$O$56),"")</f>
        <v/>
      </c>
      <c r="U53" s="280" t="str">
        <f>IF(AND('Mapa R. Fiscal'!$Y$57="Muy Baja",'Mapa R. Fiscal'!$AA$57="Menor"),CONCATENATE("R8C",'Mapa R. Fiscal'!$O$57),"")</f>
        <v/>
      </c>
      <c r="V53" s="269" t="str">
        <f>IF(AND('Mapa R. Fiscal'!$Y$52="Muy Baja",'Mapa R. Fiscal'!$AA$52="Moderado"),CONCATENATE("R8C",'Mapa R. Fiscal'!$O$52),"")</f>
        <v/>
      </c>
      <c r="W53" s="270" t="str">
        <f>IF(AND('Mapa R. Fiscal'!$Y$53="Muy Baja",'Mapa R. Fiscal'!$AA$53="Moderado"),CONCATENATE("R8C",'Mapa R. Fiscal'!$O$53),"")</f>
        <v/>
      </c>
      <c r="X53" s="270" t="str">
        <f>IF(AND('Mapa R. Fiscal'!$Y$54="Muy Baja",'Mapa R. Fiscal'!$AA$54="Moderado"),CONCATENATE("R8C",'Mapa R. Fiscal'!$O$54),"")</f>
        <v/>
      </c>
      <c r="Y53" s="270" t="str">
        <f>IF(AND('Mapa R. Fiscal'!$Y$55="Muy Baja",'Mapa R. Fiscal'!$AA$55="Moderado"),CONCATENATE("R8C",'Mapa R. Fiscal'!$O$55),"")</f>
        <v/>
      </c>
      <c r="Z53" s="270" t="str">
        <f>IF(AND('Mapa R. Fiscal'!$Y$56="Muy Baja",'Mapa R. Fiscal'!$AA$56="Moderado"),CONCATENATE("R8C",'Mapa R. Fiscal'!$O$56),"")</f>
        <v/>
      </c>
      <c r="AA53" s="271" t="str">
        <f>IF(AND('Mapa R. Fiscal'!$Y$57="Muy Baja",'Mapa R. Fiscal'!$AA$57="Moderado"),CONCATENATE("R8C",'Mapa R. Fiscal'!$O$57),"")</f>
        <v/>
      </c>
      <c r="AB53" s="254" t="str">
        <f>IF(AND('Mapa R. Fiscal'!$Y$52="Muy Baja",'Mapa R. Fiscal'!$AA$52="Mayor"),CONCATENATE("R8C",'Mapa R. Fiscal'!$O$52),"")</f>
        <v/>
      </c>
      <c r="AC53" s="255" t="str">
        <f>IF(AND('Mapa R. Fiscal'!$Y$53="Muy Baja",'Mapa R. Fiscal'!$AA$53="Mayor"),CONCATENATE("R8C",'Mapa R. Fiscal'!$O$53),"")</f>
        <v/>
      </c>
      <c r="AD53" s="255" t="str">
        <f>IF(AND('Mapa R. Fiscal'!$Y$54="Muy Baja",'Mapa R. Fiscal'!$AA$54="Mayor"),CONCATENATE("R8C",'Mapa R. Fiscal'!$O$54),"")</f>
        <v/>
      </c>
      <c r="AE53" s="255" t="str">
        <f>IF(AND('Mapa R. Fiscal'!$Y$55="Muy Baja",'Mapa R. Fiscal'!$AA$55="Mayor"),CONCATENATE("R8C",'Mapa R. Fiscal'!$O$55),"")</f>
        <v/>
      </c>
      <c r="AF53" s="255" t="str">
        <f>IF(AND('Mapa R. Fiscal'!$Y$56="Muy Baja",'Mapa R. Fiscal'!$AA$56="Mayor"),CONCATENATE("R8C",'Mapa R. Fiscal'!$O$56),"")</f>
        <v/>
      </c>
      <c r="AG53" s="256" t="str">
        <f>IF(AND('Mapa R. Fiscal'!$Y$57="Muy Baja",'Mapa R. Fiscal'!$AA$57="Mayor"),CONCATENATE("R8C",'Mapa R. Fiscal'!$O$57),"")</f>
        <v/>
      </c>
      <c r="AH53" s="257" t="str">
        <f>IF(AND('Mapa R. Fiscal'!$Y$52="Muy Baja",'Mapa R. Fiscal'!$AA$52="Catastrófico"),CONCATENATE("R8C",'Mapa R. Fiscal'!$O$52),"")</f>
        <v/>
      </c>
      <c r="AI53" s="258" t="str">
        <f>IF(AND('Mapa R. Fiscal'!$Y$53="Muy Baja",'Mapa R. Fiscal'!$AA$53="Catastrófico"),CONCATENATE("R8C",'Mapa R. Fiscal'!$O$53),"")</f>
        <v/>
      </c>
      <c r="AJ53" s="258" t="str">
        <f>IF(AND('Mapa R. Fiscal'!$Y$54="Muy Baja",'Mapa R. Fiscal'!$AA$54="Catastrófico"),CONCATENATE("R8C",'Mapa R. Fiscal'!$O$54),"")</f>
        <v/>
      </c>
      <c r="AK53" s="258" t="str">
        <f>IF(AND('Mapa R. Fiscal'!$Y$55="Muy Baja",'Mapa R. Fiscal'!$AA$55="Catastrófico"),CONCATENATE("R8C",'Mapa R. Fiscal'!$O$55),"")</f>
        <v/>
      </c>
      <c r="AL53" s="258" t="str">
        <f>IF(AND('Mapa R. Fiscal'!$Y$56="Muy Baja",'Mapa R. Fiscal'!$AA$56="Catastrófico"),CONCATENATE("R8C",'Mapa R. Fiscal'!$O$56),"")</f>
        <v/>
      </c>
      <c r="AM53" s="259"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6"/>
      <c r="C54" s="716"/>
      <c r="D54" s="717"/>
      <c r="E54" s="805"/>
      <c r="F54" s="806"/>
      <c r="G54" s="806"/>
      <c r="H54" s="806"/>
      <c r="I54" s="807"/>
      <c r="J54" s="278" t="str">
        <f>IF(AND('Mapa R. Fiscal'!$Y$58="Muy Baja",'Mapa R. Fiscal'!$AA$58="Leve"),CONCATENATE("R9C",'Mapa R. Fiscal'!$O$58),"")</f>
        <v/>
      </c>
      <c r="K54" s="279" t="str">
        <f>IF(AND('Mapa R. Fiscal'!$Y$59="Muy Baja",'Mapa R. Fiscal'!$AA$59="Leve"),CONCATENATE("R9C",'Mapa R. Fiscal'!$O$59),"")</f>
        <v/>
      </c>
      <c r="L54" s="279" t="str">
        <f>IF(AND('Mapa R. Fiscal'!$Y$60="Muy Baja",'Mapa R. Fiscal'!$AA$60="Leve"),CONCATENATE("R9C",'Mapa R. Fiscal'!$O$60),"")</f>
        <v/>
      </c>
      <c r="M54" s="279" t="str">
        <f>IF(AND('Mapa R. Fiscal'!$Y$61="Muy Baja",'Mapa R. Fiscal'!$AA$61="Leve"),CONCATENATE("R9C",'Mapa R. Fiscal'!$O$61),"")</f>
        <v/>
      </c>
      <c r="N54" s="279" t="str">
        <f>IF(AND('Mapa R. Fiscal'!$Y$62="Muy Baja",'Mapa R. Fiscal'!$AA$62="Leve"),CONCATENATE("R9C",'Mapa R. Fiscal'!$O$62),"")</f>
        <v/>
      </c>
      <c r="O54" s="280" t="str">
        <f>IF(AND('Mapa R. Fiscal'!$Y$63="Muy Baja",'Mapa R. Fiscal'!$AA$63="Leve"),CONCATENATE("R9C",'Mapa R. Fiscal'!$O$63),"")</f>
        <v/>
      </c>
      <c r="P54" s="278" t="str">
        <f>IF(AND('Mapa R. Fiscal'!$Y$58="Muy Baja",'Mapa R. Fiscal'!$AA$58="Menor"),CONCATENATE("R9C",'Mapa R. Fiscal'!$O$58),"")</f>
        <v/>
      </c>
      <c r="Q54" s="279" t="str">
        <f>IF(AND('Mapa R. Fiscal'!$Y$59="Muy Baja",'Mapa R. Fiscal'!$AA$59="Menor"),CONCATENATE("R9C",'Mapa R. Fiscal'!$O$59),"")</f>
        <v/>
      </c>
      <c r="R54" s="279" t="str">
        <f>IF(AND('Mapa R. Fiscal'!$Y$60="Muy Baja",'Mapa R. Fiscal'!$AA$60="Menor"),CONCATENATE("R9C",'Mapa R. Fiscal'!$O$60),"")</f>
        <v/>
      </c>
      <c r="S54" s="279" t="str">
        <f>IF(AND('Mapa R. Fiscal'!$Y$61="Muy Baja",'Mapa R. Fiscal'!$AA$61="Menor"),CONCATENATE("R9C",'Mapa R. Fiscal'!$O$61),"")</f>
        <v/>
      </c>
      <c r="T54" s="279" t="str">
        <f>IF(AND('Mapa R. Fiscal'!$Y$62="Muy Baja",'Mapa R. Fiscal'!$AA$62="Menor"),CONCATENATE("R9C",'Mapa R. Fiscal'!$O$62),"")</f>
        <v/>
      </c>
      <c r="U54" s="280" t="str">
        <f>IF(AND('Mapa R. Fiscal'!$Y$63="Muy Baja",'Mapa R. Fiscal'!$AA$63="Menor"),CONCATENATE("R9C",'Mapa R. Fiscal'!$O$63),"")</f>
        <v/>
      </c>
      <c r="V54" s="269" t="str">
        <f>IF(AND('Mapa R. Fiscal'!$Y$58="Muy Baja",'Mapa R. Fiscal'!$AA$58="Moderado"),CONCATENATE("R9C",'Mapa R. Fiscal'!$O$58),"")</f>
        <v/>
      </c>
      <c r="W54" s="270" t="str">
        <f>IF(AND('Mapa R. Fiscal'!$Y$59="Muy Baja",'Mapa R. Fiscal'!$AA$59="Moderado"),CONCATENATE("R9C",'Mapa R. Fiscal'!$O$59),"")</f>
        <v/>
      </c>
      <c r="X54" s="270" t="str">
        <f>IF(AND('Mapa R. Fiscal'!$Y$60="Muy Baja",'Mapa R. Fiscal'!$AA$60="Moderado"),CONCATENATE("R9C",'Mapa R. Fiscal'!$O$60),"")</f>
        <v/>
      </c>
      <c r="Y54" s="270" t="str">
        <f>IF(AND('Mapa R. Fiscal'!$Y$61="Muy Baja",'Mapa R. Fiscal'!$AA$61="Moderado"),CONCATENATE("R9C",'Mapa R. Fiscal'!$O$61),"")</f>
        <v/>
      </c>
      <c r="Z54" s="270" t="str">
        <f>IF(AND('Mapa R. Fiscal'!$Y$62="Muy Baja",'Mapa R. Fiscal'!$AA$62="Moderado"),CONCATENATE("R9C",'Mapa R. Fiscal'!$O$62),"")</f>
        <v/>
      </c>
      <c r="AA54" s="271" t="str">
        <f>IF(AND('Mapa R. Fiscal'!$Y$63="Muy Baja",'Mapa R. Fiscal'!$AA$63="Moderado"),CONCATENATE("R9C",'Mapa R. Fiscal'!$O$63),"")</f>
        <v/>
      </c>
      <c r="AB54" s="254" t="str">
        <f>IF(AND('Mapa R. Fiscal'!$Y$58="Muy Baja",'Mapa R. Fiscal'!$AA$58="Mayor"),CONCATENATE("R9C",'Mapa R. Fiscal'!$O$58),"")</f>
        <v/>
      </c>
      <c r="AC54" s="255" t="str">
        <f>IF(AND('Mapa R. Fiscal'!$Y$59="Muy Baja",'Mapa R. Fiscal'!$AA$59="Mayor"),CONCATENATE("R9C",'Mapa R. Fiscal'!$O$59),"")</f>
        <v/>
      </c>
      <c r="AD54" s="255" t="str">
        <f>IF(AND('Mapa R. Fiscal'!$Y$60="Muy Baja",'Mapa R. Fiscal'!$AA$60="Mayor"),CONCATENATE("R9C",'Mapa R. Fiscal'!$O$60),"")</f>
        <v/>
      </c>
      <c r="AE54" s="255" t="str">
        <f>IF(AND('Mapa R. Fiscal'!$Y$61="Muy Baja",'Mapa R. Fiscal'!$AA$61="Mayor"),CONCATENATE("R9C",'Mapa R. Fiscal'!$O$61),"")</f>
        <v/>
      </c>
      <c r="AF54" s="255" t="str">
        <f>IF(AND('Mapa R. Fiscal'!$Y$62="Muy Baja",'Mapa R. Fiscal'!$AA$62="Mayor"),CONCATENATE("R9C",'Mapa R. Fiscal'!$O$62),"")</f>
        <v/>
      </c>
      <c r="AG54" s="256" t="str">
        <f>IF(AND('Mapa R. Fiscal'!$Y$63="Muy Baja",'Mapa R. Fiscal'!$AA$63="Mayor"),CONCATENATE("R9C",'Mapa R. Fiscal'!$O$63),"")</f>
        <v/>
      </c>
      <c r="AH54" s="257" t="str">
        <f>IF(AND('Mapa R. Fiscal'!$Y$58="Muy Baja",'Mapa R. Fiscal'!$AA$58="Catastrófico"),CONCATENATE("R9C",'Mapa R. Fiscal'!$O$58),"")</f>
        <v/>
      </c>
      <c r="AI54" s="258" t="str">
        <f>IF(AND('Mapa R. Fiscal'!$Y$59="Muy Baja",'Mapa R. Fiscal'!$AA$59="Catastrófico"),CONCATENATE("R9C",'Mapa R. Fiscal'!$O$59),"")</f>
        <v/>
      </c>
      <c r="AJ54" s="258" t="str">
        <f>IF(AND('Mapa R. Fiscal'!$Y$60="Muy Baja",'Mapa R. Fiscal'!$AA$60="Catastrófico"),CONCATENATE("R9C",'Mapa R. Fiscal'!$O$60),"")</f>
        <v/>
      </c>
      <c r="AK54" s="258" t="str">
        <f>IF(AND('Mapa R. Fiscal'!$Y$61="Muy Baja",'Mapa R. Fiscal'!$AA$61="Catastrófico"),CONCATENATE("R9C",'Mapa R. Fiscal'!$O$61),"")</f>
        <v/>
      </c>
      <c r="AL54" s="258" t="str">
        <f>IF(AND('Mapa R. Fiscal'!$Y$62="Muy Baja",'Mapa R. Fiscal'!$AA$62="Catastrófico"),CONCATENATE("R9C",'Mapa R. Fiscal'!$O$62),"")</f>
        <v/>
      </c>
      <c r="AM54" s="259"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6"/>
      <c r="C55" s="716"/>
      <c r="D55" s="717"/>
      <c r="E55" s="808"/>
      <c r="F55" s="809"/>
      <c r="G55" s="809"/>
      <c r="H55" s="809"/>
      <c r="I55" s="810"/>
      <c r="J55" s="281" t="str">
        <f>IF(AND('Mapa R. Fiscal'!$Y$64="Muy Baja",'Mapa R. Fiscal'!$AA$64="Leve"),CONCATENATE("R10C",'Mapa R. Fiscal'!$O$64),"")</f>
        <v/>
      </c>
      <c r="K55" s="282" t="str">
        <f>IF(AND('Mapa R. Fiscal'!$Y$65="Muy Baja",'Mapa R. Fiscal'!$AA$65="Leve"),CONCATENATE("R10C",'Mapa R. Fiscal'!$O$65),"")</f>
        <v/>
      </c>
      <c r="L55" s="282" t="str">
        <f>IF(AND('Mapa R. Fiscal'!$Y$66="Muy Baja",'Mapa R. Fiscal'!$AA$66="Leve"),CONCATENATE("R10C",'Mapa R. Fiscal'!$O$66),"")</f>
        <v/>
      </c>
      <c r="M55" s="282" t="str">
        <f>IF(AND('Mapa R. Fiscal'!$Y$67="Muy Baja",'Mapa R. Fiscal'!$AA$67="Leve"),CONCATENATE("R10C",'Mapa R. Fiscal'!$O$67),"")</f>
        <v/>
      </c>
      <c r="N55" s="282" t="str">
        <f>IF(AND('Mapa R. Fiscal'!$Y$68="Muy Baja",'Mapa R. Fiscal'!$AA$68="Leve"),CONCATENATE("R10C",'Mapa R. Fiscal'!$O$68),"")</f>
        <v/>
      </c>
      <c r="O55" s="283" t="str">
        <f>IF(AND('Mapa R. Fiscal'!$Y$69="Muy Baja",'Mapa R. Fiscal'!$AA$69="Leve"),CONCATENATE("R10C",'Mapa R. Fiscal'!$O$69),"")</f>
        <v/>
      </c>
      <c r="P55" s="281" t="str">
        <f>IF(AND('Mapa R. Fiscal'!$Y$64="Muy Baja",'Mapa R. Fiscal'!$AA$64="Menor"),CONCATENATE("R10C",'Mapa R. Fiscal'!$O$64),"")</f>
        <v/>
      </c>
      <c r="Q55" s="282" t="str">
        <f>IF(AND('Mapa R. Fiscal'!$Y$65="Muy Baja",'Mapa R. Fiscal'!$AA$65="Menor"),CONCATENATE("R10C",'Mapa R. Fiscal'!$O$65),"")</f>
        <v/>
      </c>
      <c r="R55" s="282" t="str">
        <f>IF(AND('Mapa R. Fiscal'!$Y$66="Muy Baja",'Mapa R. Fiscal'!$AA$66="Menor"),CONCATENATE("R10C",'Mapa R. Fiscal'!$O$66),"")</f>
        <v/>
      </c>
      <c r="S55" s="282" t="str">
        <f>IF(AND('Mapa R. Fiscal'!$Y$67="Muy Baja",'Mapa R. Fiscal'!$AA$67="Menor"),CONCATENATE("R10C",'Mapa R. Fiscal'!$O$67),"")</f>
        <v/>
      </c>
      <c r="T55" s="282" t="str">
        <f>IF(AND('Mapa R. Fiscal'!$Y$68="Muy Baja",'Mapa R. Fiscal'!$AA$68="Menor"),CONCATENATE("R10C",'Mapa R. Fiscal'!$O$68),"")</f>
        <v/>
      </c>
      <c r="U55" s="283" t="str">
        <f>IF(AND('Mapa R. Fiscal'!$Y$69="Muy Baja",'Mapa R. Fiscal'!$AA$69="Menor"),CONCATENATE("R10C",'Mapa R. Fiscal'!$O$69),"")</f>
        <v/>
      </c>
      <c r="V55" s="272" t="str">
        <f>IF(AND('Mapa R. Fiscal'!$Y$64="Muy Baja",'Mapa R. Fiscal'!$AA$64="Moderado"),CONCATENATE("R10C",'Mapa R. Fiscal'!$O$64),"")</f>
        <v/>
      </c>
      <c r="W55" s="273" t="str">
        <f>IF(AND('Mapa R. Fiscal'!$Y$65="Muy Baja",'Mapa R. Fiscal'!$AA$65="Moderado"),CONCATENATE("R10C",'Mapa R. Fiscal'!$O$65),"")</f>
        <v/>
      </c>
      <c r="X55" s="273" t="str">
        <f>IF(AND('Mapa R. Fiscal'!$Y$66="Muy Baja",'Mapa R. Fiscal'!$AA$66="Moderado"),CONCATENATE("R10C",'Mapa R. Fiscal'!$O$66),"")</f>
        <v/>
      </c>
      <c r="Y55" s="273" t="str">
        <f>IF(AND('Mapa R. Fiscal'!$Y$67="Muy Baja",'Mapa R. Fiscal'!$AA$67="Moderado"),CONCATENATE("R10C",'Mapa R. Fiscal'!$O$67),"")</f>
        <v/>
      </c>
      <c r="Z55" s="273" t="str">
        <f>IF(AND('Mapa R. Fiscal'!$Y$68="Muy Baja",'Mapa R. Fiscal'!$AA$68="Moderado"),CONCATENATE("R10C",'Mapa R. Fiscal'!$O$68),"")</f>
        <v/>
      </c>
      <c r="AA55" s="274" t="str">
        <f>IF(AND('Mapa R. Fiscal'!$Y$69="Muy Baja",'Mapa R. Fiscal'!$AA$69="Moderado"),CONCATENATE("R10C",'Mapa R. Fiscal'!$O$69),"")</f>
        <v/>
      </c>
      <c r="AB55" s="260" t="str">
        <f>IF(AND('Mapa R. Fiscal'!$Y$64="Muy Baja",'Mapa R. Fiscal'!$AA$64="Mayor"),CONCATENATE("R10C",'Mapa R. Fiscal'!$O$64),"")</f>
        <v/>
      </c>
      <c r="AC55" s="261" t="str">
        <f>IF(AND('Mapa R. Fiscal'!$Y$65="Muy Baja",'Mapa R. Fiscal'!$AA$65="Mayor"),CONCATENATE("R10C",'Mapa R. Fiscal'!$O$65),"")</f>
        <v/>
      </c>
      <c r="AD55" s="261" t="str">
        <f>IF(AND('Mapa R. Fiscal'!$Y$66="Muy Baja",'Mapa R. Fiscal'!$AA$66="Mayor"),CONCATENATE("R10C",'Mapa R. Fiscal'!$O$66),"")</f>
        <v/>
      </c>
      <c r="AE55" s="261" t="str">
        <f>IF(AND('Mapa R. Fiscal'!$Y$67="Muy Baja",'Mapa R. Fiscal'!$AA$67="Mayor"),CONCATENATE("R10C",'Mapa R. Fiscal'!$O$67),"")</f>
        <v/>
      </c>
      <c r="AF55" s="261" t="str">
        <f>IF(AND('Mapa R. Fiscal'!$Y$68="Muy Baja",'Mapa R. Fiscal'!$AA$68="Mayor"),CONCATENATE("R10C",'Mapa R. Fiscal'!$O$68),"")</f>
        <v/>
      </c>
      <c r="AG55" s="262" t="str">
        <f>IF(AND('Mapa R. Fiscal'!$Y$69="Muy Baja",'Mapa R. Fiscal'!$AA$69="Mayor"),CONCATENATE("R10C",'Mapa R. Fiscal'!$O$69),"")</f>
        <v/>
      </c>
      <c r="AH55" s="263" t="str">
        <f>IF(AND('Mapa R. Fiscal'!$Y$64="Muy Baja",'Mapa R. Fiscal'!$AA$64="Catastrófico"),CONCATENATE("R10C",'Mapa R. Fiscal'!$O$64),"")</f>
        <v/>
      </c>
      <c r="AI55" s="264" t="str">
        <f>IF(AND('Mapa R. Fiscal'!$Y$65="Muy Baja",'Mapa R. Fiscal'!$AA$65="Catastrófico"),CONCATENATE("R10C",'Mapa R. Fiscal'!$O$65),"")</f>
        <v/>
      </c>
      <c r="AJ55" s="264" t="str">
        <f>IF(AND('Mapa R. Fiscal'!$Y$66="Muy Baja",'Mapa R. Fiscal'!$AA$66="Catastrófico"),CONCATENATE("R10C",'Mapa R. Fiscal'!$O$66),"")</f>
        <v/>
      </c>
      <c r="AK55" s="264" t="str">
        <f>IF(AND('Mapa R. Fiscal'!$Y$67="Muy Baja",'Mapa R. Fiscal'!$AA$67="Catastrófico"),CONCATENATE("R10C",'Mapa R. Fiscal'!$O$67),"")</f>
        <v/>
      </c>
      <c r="AL55" s="264" t="str">
        <f>IF(AND('Mapa R. Fiscal'!$Y$68="Muy Baja",'Mapa R. Fiscal'!$AA$68="Catastrófico"),CONCATENATE("R10C",'Mapa R. Fiscal'!$O$68),"")</f>
        <v/>
      </c>
      <c r="AM55" s="265"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02" t="s">
        <v>198</v>
      </c>
      <c r="K56" s="803"/>
      <c r="L56" s="803"/>
      <c r="M56" s="803"/>
      <c r="N56" s="803"/>
      <c r="O56" s="804"/>
      <c r="P56" s="802" t="s">
        <v>199</v>
      </c>
      <c r="Q56" s="803"/>
      <c r="R56" s="803"/>
      <c r="S56" s="803"/>
      <c r="T56" s="803"/>
      <c r="U56" s="804"/>
      <c r="V56" s="802" t="s">
        <v>200</v>
      </c>
      <c r="W56" s="803"/>
      <c r="X56" s="803"/>
      <c r="Y56" s="803"/>
      <c r="Z56" s="803"/>
      <c r="AA56" s="804"/>
      <c r="AB56" s="802" t="s">
        <v>201</v>
      </c>
      <c r="AC56" s="848"/>
      <c r="AD56" s="803"/>
      <c r="AE56" s="803"/>
      <c r="AF56" s="803"/>
      <c r="AG56" s="804"/>
      <c r="AH56" s="802" t="s">
        <v>202</v>
      </c>
      <c r="AI56" s="803"/>
      <c r="AJ56" s="803"/>
      <c r="AK56" s="803"/>
      <c r="AL56" s="803"/>
      <c r="AM56" s="8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05"/>
      <c r="K57" s="806"/>
      <c r="L57" s="806"/>
      <c r="M57" s="806"/>
      <c r="N57" s="806"/>
      <c r="O57" s="807"/>
      <c r="P57" s="805"/>
      <c r="Q57" s="806"/>
      <c r="R57" s="806"/>
      <c r="S57" s="806"/>
      <c r="T57" s="806"/>
      <c r="U57" s="807"/>
      <c r="V57" s="805"/>
      <c r="W57" s="806"/>
      <c r="X57" s="806"/>
      <c r="Y57" s="806"/>
      <c r="Z57" s="806"/>
      <c r="AA57" s="807"/>
      <c r="AB57" s="805"/>
      <c r="AC57" s="806"/>
      <c r="AD57" s="806"/>
      <c r="AE57" s="806"/>
      <c r="AF57" s="806"/>
      <c r="AG57" s="807"/>
      <c r="AH57" s="805"/>
      <c r="AI57" s="806"/>
      <c r="AJ57" s="806"/>
      <c r="AK57" s="806"/>
      <c r="AL57" s="806"/>
      <c r="AM57" s="8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05"/>
      <c r="K58" s="806"/>
      <c r="L58" s="806"/>
      <c r="M58" s="806"/>
      <c r="N58" s="806"/>
      <c r="O58" s="807"/>
      <c r="P58" s="805"/>
      <c r="Q58" s="806"/>
      <c r="R58" s="806"/>
      <c r="S58" s="806"/>
      <c r="T58" s="806"/>
      <c r="U58" s="807"/>
      <c r="V58" s="805"/>
      <c r="W58" s="806"/>
      <c r="X58" s="806"/>
      <c r="Y58" s="806"/>
      <c r="Z58" s="806"/>
      <c r="AA58" s="807"/>
      <c r="AB58" s="805"/>
      <c r="AC58" s="806"/>
      <c r="AD58" s="806"/>
      <c r="AE58" s="806"/>
      <c r="AF58" s="806"/>
      <c r="AG58" s="807"/>
      <c r="AH58" s="805"/>
      <c r="AI58" s="806"/>
      <c r="AJ58" s="806"/>
      <c r="AK58" s="806"/>
      <c r="AL58" s="806"/>
      <c r="AM58" s="8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05"/>
      <c r="K59" s="806"/>
      <c r="L59" s="806"/>
      <c r="M59" s="806"/>
      <c r="N59" s="806"/>
      <c r="O59" s="807"/>
      <c r="P59" s="805"/>
      <c r="Q59" s="806"/>
      <c r="R59" s="806"/>
      <c r="S59" s="806"/>
      <c r="T59" s="806"/>
      <c r="U59" s="807"/>
      <c r="V59" s="805"/>
      <c r="W59" s="806"/>
      <c r="X59" s="806"/>
      <c r="Y59" s="806"/>
      <c r="Z59" s="806"/>
      <c r="AA59" s="807"/>
      <c r="AB59" s="805"/>
      <c r="AC59" s="806"/>
      <c r="AD59" s="806"/>
      <c r="AE59" s="806"/>
      <c r="AF59" s="806"/>
      <c r="AG59" s="807"/>
      <c r="AH59" s="805"/>
      <c r="AI59" s="806"/>
      <c r="AJ59" s="806"/>
      <c r="AK59" s="806"/>
      <c r="AL59" s="806"/>
      <c r="AM59" s="8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05"/>
      <c r="K60" s="806"/>
      <c r="L60" s="806"/>
      <c r="M60" s="806"/>
      <c r="N60" s="806"/>
      <c r="O60" s="807"/>
      <c r="P60" s="805"/>
      <c r="Q60" s="806"/>
      <c r="R60" s="806"/>
      <c r="S60" s="806"/>
      <c r="T60" s="806"/>
      <c r="U60" s="807"/>
      <c r="V60" s="805"/>
      <c r="W60" s="806"/>
      <c r="X60" s="806"/>
      <c r="Y60" s="806"/>
      <c r="Z60" s="806"/>
      <c r="AA60" s="807"/>
      <c r="AB60" s="805"/>
      <c r="AC60" s="806"/>
      <c r="AD60" s="806"/>
      <c r="AE60" s="806"/>
      <c r="AF60" s="806"/>
      <c r="AG60" s="807"/>
      <c r="AH60" s="805"/>
      <c r="AI60" s="806"/>
      <c r="AJ60" s="806"/>
      <c r="AK60" s="806"/>
      <c r="AL60" s="806"/>
      <c r="AM60" s="8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08"/>
      <c r="K61" s="809"/>
      <c r="L61" s="809"/>
      <c r="M61" s="809"/>
      <c r="N61" s="809"/>
      <c r="O61" s="810"/>
      <c r="P61" s="808"/>
      <c r="Q61" s="809"/>
      <c r="R61" s="809"/>
      <c r="S61" s="809"/>
      <c r="T61" s="809"/>
      <c r="U61" s="810"/>
      <c r="V61" s="808"/>
      <c r="W61" s="809"/>
      <c r="X61" s="809"/>
      <c r="Y61" s="809"/>
      <c r="Z61" s="809"/>
      <c r="AA61" s="810"/>
      <c r="AB61" s="808"/>
      <c r="AC61" s="809"/>
      <c r="AD61" s="809"/>
      <c r="AE61" s="809"/>
      <c r="AF61" s="809"/>
      <c r="AG61" s="810"/>
      <c r="AH61" s="808"/>
      <c r="AI61" s="809"/>
      <c r="AJ61" s="809"/>
      <c r="AK61" s="809"/>
      <c r="AL61" s="809"/>
      <c r="AM61" s="8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x14ac:dyDescent="0.25">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1" zoomScaleNormal="40" workbookViewId="0">
      <pane xSplit="4" ySplit="6" topLeftCell="E7" activePane="bottomRight" state="frozen"/>
      <selection pane="topRight" activeCell="AM8" sqref="AM8"/>
      <selection pane="bottomLeft" activeCell="AM8" sqref="AM8"/>
      <selection pane="bottomRight" activeCell="Q3" sqref="Q3"/>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8"/>
      <c r="C1" s="157"/>
      <c r="D1" s="868" t="s">
        <v>204</v>
      </c>
      <c r="E1" s="852" t="s">
        <v>205</v>
      </c>
      <c r="F1" s="870"/>
      <c r="G1" s="870"/>
      <c r="H1" s="870"/>
      <c r="I1" s="870"/>
      <c r="J1" s="870"/>
      <c r="K1" s="870"/>
      <c r="L1" s="870"/>
      <c r="M1" s="870"/>
      <c r="N1" s="870"/>
      <c r="O1" s="870"/>
      <c r="P1" s="162" t="s">
        <v>206</v>
      </c>
      <c r="Q1" s="161">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49" t="s">
        <v>208</v>
      </c>
      <c r="CL1" s="850"/>
    </row>
    <row r="2" spans="1:90" ht="24" customHeight="1" thickBot="1" x14ac:dyDescent="0.3">
      <c r="A2" s="112"/>
      <c r="B2" s="147"/>
      <c r="C2" s="158"/>
      <c r="D2" s="869"/>
      <c r="E2" s="852"/>
      <c r="F2" s="870"/>
      <c r="G2" s="870"/>
      <c r="H2" s="870"/>
      <c r="I2" s="870"/>
      <c r="J2" s="870"/>
      <c r="K2" s="870"/>
      <c r="L2" s="870"/>
      <c r="M2" s="870"/>
      <c r="N2" s="870"/>
      <c r="O2" s="870"/>
      <c r="P2" s="162" t="s">
        <v>209</v>
      </c>
      <c r="Q2" s="162" t="s">
        <v>783</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49" t="s">
        <v>211</v>
      </c>
      <c r="CL2" s="850"/>
    </row>
    <row r="3" spans="1:90" s="107" customFormat="1" ht="36.75" customHeight="1" thickBot="1" x14ac:dyDescent="0.3">
      <c r="A3" s="112"/>
      <c r="B3" s="147"/>
      <c r="C3" s="159"/>
      <c r="D3" s="165" t="s">
        <v>212</v>
      </c>
      <c r="E3" s="851" t="s">
        <v>784</v>
      </c>
      <c r="F3" s="851"/>
      <c r="G3" s="851"/>
      <c r="H3" s="851"/>
      <c r="I3" s="851"/>
      <c r="J3" s="851"/>
      <c r="K3" s="851"/>
      <c r="L3" s="851"/>
      <c r="M3" s="851"/>
      <c r="N3" s="851"/>
      <c r="O3" s="852"/>
      <c r="P3" s="162" t="s">
        <v>214</v>
      </c>
      <c r="Q3" s="163">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3" t="s">
        <v>215</v>
      </c>
      <c r="CL3" s="854"/>
    </row>
    <row r="4" spans="1:90" ht="27" customHeight="1" x14ac:dyDescent="0.25">
      <c r="A4" s="112"/>
      <c r="B4" s="446"/>
      <c r="C4" s="445"/>
      <c r="D4" s="444"/>
      <c r="E4" s="443" t="s">
        <v>216</v>
      </c>
      <c r="F4" s="443"/>
      <c r="G4" s="443"/>
      <c r="H4" s="443"/>
      <c r="I4" s="443"/>
      <c r="J4" s="443"/>
      <c r="K4" s="443"/>
      <c r="L4" s="443"/>
      <c r="M4" s="443"/>
      <c r="N4" s="443"/>
      <c r="O4" s="443"/>
      <c r="P4" s="442"/>
      <c r="Q4" s="441"/>
    </row>
    <row r="5" spans="1:90" ht="41.25" customHeight="1" thickBot="1" x14ac:dyDescent="0.3">
      <c r="B5" s="63" t="s">
        <v>217</v>
      </c>
      <c r="C5" s="200" t="e">
        <f>IF('[1]Mapa R'!C4="","",'[1]Mapa R'!C4)</f>
        <v>#REF!</v>
      </c>
      <c r="D5" s="65"/>
      <c r="F5" s="43"/>
      <c r="G5" s="43"/>
      <c r="H5" s="43"/>
      <c r="I5" s="43"/>
      <c r="J5" s="43"/>
      <c r="K5" s="43"/>
      <c r="L5" s="43"/>
      <c r="Q5" s="108"/>
    </row>
    <row r="6" spans="1:90" s="110" customFormat="1" ht="115.5" customHeight="1" thickBot="1" x14ac:dyDescent="0.3">
      <c r="A6" s="114" t="s">
        <v>218</v>
      </c>
      <c r="B6" s="440" t="s">
        <v>219</v>
      </c>
      <c r="C6" s="426" t="s">
        <v>220</v>
      </c>
      <c r="D6" s="439" t="s">
        <v>154</v>
      </c>
      <c r="E6" s="438" t="s">
        <v>221</v>
      </c>
      <c r="F6" s="437" t="s">
        <v>188</v>
      </c>
      <c r="G6" s="437" t="s">
        <v>81</v>
      </c>
      <c r="H6" s="437" t="s">
        <v>222</v>
      </c>
      <c r="I6" s="437" t="s">
        <v>188</v>
      </c>
      <c r="J6" s="437" t="s">
        <v>81</v>
      </c>
      <c r="K6" s="437" t="s">
        <v>223</v>
      </c>
      <c r="L6" s="437" t="s">
        <v>224</v>
      </c>
      <c r="M6" s="426" t="s">
        <v>225</v>
      </c>
      <c r="N6" s="426" t="s">
        <v>226</v>
      </c>
      <c r="O6" s="426" t="s">
        <v>149</v>
      </c>
      <c r="P6" s="426" t="s">
        <v>227</v>
      </c>
      <c r="Q6" s="426" t="s">
        <v>228</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x14ac:dyDescent="0.25">
      <c r="A7" s="115" t="s">
        <v>229</v>
      </c>
      <c r="B7" s="856"/>
      <c r="C7" s="862" t="str">
        <f>IF('Mapa R. Fiscal'!E10="","",'Mapa R. Fiscal'!E10)</f>
        <v/>
      </c>
      <c r="D7" s="928"/>
      <c r="E7" s="862" t="str">
        <f>IF('Mapa R. Fiscal'!D10="","",'Mapa R. Fiscal'!D10)</f>
        <v/>
      </c>
      <c r="F7" s="864" t="str">
        <f>IF('Mapa R. Fiscal'!H10="","",'Mapa R. Fiscal'!H10)</f>
        <v/>
      </c>
      <c r="G7" s="864" t="str">
        <f>IF('Mapa R. Fiscal'!L10="","",'Mapa R. Fiscal'!L10)</f>
        <v/>
      </c>
      <c r="H7" s="86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0" t="str">
        <f>IF('Mapa R. Fiscal'!Y10="","",'Mapa R. Fiscal'!Y10)</f>
        <v/>
      </c>
      <c r="J7" s="400" t="str">
        <f>IF('Mapa R. Fiscal'!AA10="","",'Mapa R. Fiscal'!AA10)</f>
        <v/>
      </c>
      <c r="K7" s="40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0" t="str">
        <f>IF('Mapa R. Fiscal'!AD10="","",'Mapa R. Fiscal'!AD10)</f>
        <v/>
      </c>
      <c r="M7" s="339" t="str">
        <f>IF('Mapa R. Fiscal'!P10="","",'Mapa R. Fiscal'!P10)</f>
        <v/>
      </c>
      <c r="N7" s="185"/>
      <c r="O7" s="70"/>
      <c r="P7" s="70"/>
      <c r="Q7" s="186"/>
    </row>
    <row r="8" spans="1:90" x14ac:dyDescent="0.25">
      <c r="A8" s="115" t="s">
        <v>235</v>
      </c>
      <c r="B8" s="857"/>
      <c r="C8" s="863"/>
      <c r="D8" s="861"/>
      <c r="E8" s="863"/>
      <c r="F8" s="865"/>
      <c r="G8" s="865"/>
      <c r="H8" s="867"/>
      <c r="I8" s="400" t="str">
        <f>IF('Mapa R. Fiscal'!Y11="","",'Mapa R. Fiscal'!Y11)</f>
        <v/>
      </c>
      <c r="J8" s="400" t="str">
        <f>IF('Mapa R. Fiscal'!AA11="","",'Mapa R. Fiscal'!AA11)</f>
        <v/>
      </c>
      <c r="K8" s="400"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0" t="str">
        <f>IF('Mapa R. Fiscal'!AD11="","",'Mapa R. Fiscal'!AD11)</f>
        <v/>
      </c>
      <c r="M8" s="339" t="str">
        <f>IF('Mapa R. Fiscal'!P11="","",'Mapa R. Fiscal'!P11)</f>
        <v/>
      </c>
      <c r="N8" s="70"/>
      <c r="O8" s="70"/>
      <c r="P8" s="70"/>
      <c r="Q8" s="186"/>
    </row>
    <row r="9" spans="1:90" x14ac:dyDescent="0.25">
      <c r="A9" s="115" t="s">
        <v>238</v>
      </c>
      <c r="B9" s="857"/>
      <c r="C9" s="863"/>
      <c r="D9" s="861"/>
      <c r="E9" s="863"/>
      <c r="F9" s="865"/>
      <c r="G9" s="865"/>
      <c r="H9" s="867"/>
      <c r="I9" s="400" t="str">
        <f>IF('Mapa R. Fiscal'!Y12="","",'Mapa R. Fiscal'!Y12)</f>
        <v/>
      </c>
      <c r="J9" s="400" t="str">
        <f>IF('Mapa R. Fiscal'!AA12="","",'Mapa R. Fiscal'!AA12)</f>
        <v/>
      </c>
      <c r="K9" s="400" t="str">
        <f t="shared" si="1"/>
        <v/>
      </c>
      <c r="L9" s="448" t="str">
        <f>IF('Mapa R. Fiscal'!AD12="","",'Mapa R. Fiscal'!AD12)</f>
        <v/>
      </c>
      <c r="M9" s="449" t="str">
        <f>IF('Mapa R. Fiscal'!P12="","",'Mapa R. Fiscal'!P12)</f>
        <v/>
      </c>
      <c r="N9" s="450"/>
      <c r="O9" s="70"/>
      <c r="P9" s="70"/>
      <c r="Q9" s="451"/>
    </row>
    <row r="10" spans="1:90" x14ac:dyDescent="0.25">
      <c r="A10" s="115" t="s">
        <v>242</v>
      </c>
      <c r="B10" s="857"/>
      <c r="C10" s="863"/>
      <c r="D10" s="861"/>
      <c r="E10" s="863"/>
      <c r="F10" s="865"/>
      <c r="G10" s="865"/>
      <c r="H10" s="867"/>
      <c r="I10" s="448"/>
      <c r="J10" s="448"/>
      <c r="K10" s="400"/>
      <c r="L10" s="448"/>
      <c r="M10" s="449"/>
      <c r="N10" s="70"/>
      <c r="O10" s="70"/>
      <c r="P10" s="70"/>
      <c r="Q10" s="186"/>
    </row>
    <row r="11" spans="1:90" x14ac:dyDescent="0.25">
      <c r="A11" s="115" t="s">
        <v>243</v>
      </c>
      <c r="B11" s="857"/>
      <c r="C11" s="863"/>
      <c r="D11" s="861"/>
      <c r="E11" s="863"/>
      <c r="F11" s="865"/>
      <c r="G11" s="865"/>
      <c r="H11" s="867"/>
      <c r="I11" s="448"/>
      <c r="J11" s="448"/>
      <c r="K11" s="400"/>
      <c r="L11" s="448"/>
      <c r="M11" s="449"/>
      <c r="N11" s="70"/>
      <c r="O11" s="70"/>
      <c r="P11" s="70"/>
      <c r="Q11" s="186"/>
    </row>
    <row r="12" spans="1:90" x14ac:dyDescent="0.25">
      <c r="A12" s="115" t="s">
        <v>244</v>
      </c>
      <c r="B12" s="857"/>
      <c r="C12" s="863"/>
      <c r="D12" s="861"/>
      <c r="E12" s="863"/>
      <c r="F12" s="865"/>
      <c r="G12" s="865"/>
      <c r="H12" s="867"/>
      <c r="I12" s="448" t="str">
        <f>IF('Mapa R. Fiscal'!Y18="","",'Mapa R. Fiscal'!Y18)</f>
        <v/>
      </c>
      <c r="J12" s="448" t="str">
        <f>IF('Mapa R. Fiscal'!AA18="","",'Mapa R. Fiscal'!AA18)</f>
        <v/>
      </c>
      <c r="K12" s="400" t="str">
        <f t="shared" si="0"/>
        <v/>
      </c>
      <c r="L12" s="448" t="str">
        <f>IF('Mapa R. Fiscal'!AD18="","",'Mapa R. Fiscal'!AD18)</f>
        <v/>
      </c>
      <c r="M12" s="449" t="str">
        <f>IF('Mapa R. Fiscal'!P18="","",'Mapa R. Fiscal'!P18)</f>
        <v/>
      </c>
      <c r="N12" s="70"/>
      <c r="O12" s="70"/>
      <c r="P12" s="70"/>
      <c r="Q12" s="186"/>
    </row>
    <row r="13" spans="1:90" x14ac:dyDescent="0.25">
      <c r="A13" s="115" t="s">
        <v>245</v>
      </c>
      <c r="B13" s="856"/>
      <c r="C13" s="862" t="str">
        <f>IF('Mapa R. Fiscal'!E16="","",'Mapa R. Fiscal'!E16)</f>
        <v/>
      </c>
      <c r="D13" s="861"/>
      <c r="E13" s="862" t="str">
        <f>IF('Mapa R. Fiscal'!D16="","",'Mapa R. Fiscal'!D16)</f>
        <v/>
      </c>
      <c r="F13" s="864" t="str">
        <f>IF('Mapa R. Fiscal'!H16="","",'Mapa R. Fiscal'!H16)</f>
        <v/>
      </c>
      <c r="G13" s="864" t="str">
        <f>IF('Mapa R. Fiscal'!L16="","",'Mapa R. Fiscal'!L16)</f>
        <v/>
      </c>
      <c r="H13" s="866"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0" t="str">
        <f>IF('Mapa R. Fiscal'!Y16="","",'Mapa R. Fiscal'!Y16)</f>
        <v/>
      </c>
      <c r="J13" s="400" t="str">
        <f>IF('Mapa R. Fiscal'!AA16="","",'Mapa R. Fiscal'!AA16)</f>
        <v/>
      </c>
      <c r="K13" s="436" t="str">
        <f t="shared" si="0"/>
        <v/>
      </c>
      <c r="L13" s="400" t="str">
        <f>IF('Mapa R. Fiscal'!AD16="","",'Mapa R. Fiscal'!AD16)</f>
        <v/>
      </c>
      <c r="M13" s="339" t="str">
        <f>IF('Mapa R. Fiscal'!P16="","",'Mapa R. Fiscal'!P16)</f>
        <v/>
      </c>
      <c r="N13" s="70"/>
      <c r="O13" s="70"/>
      <c r="P13" s="70"/>
      <c r="Q13" s="186"/>
    </row>
    <row r="14" spans="1:90" x14ac:dyDescent="0.25">
      <c r="A14" s="115" t="s">
        <v>246</v>
      </c>
      <c r="B14" s="857"/>
      <c r="C14" s="863"/>
      <c r="D14" s="861"/>
      <c r="E14" s="863"/>
      <c r="F14" s="865"/>
      <c r="G14" s="865"/>
      <c r="H14" s="867"/>
      <c r="I14" s="400" t="str">
        <f>IF('Mapa R. Fiscal'!Y17="","",'Mapa R. Fiscal'!Y17)</f>
        <v/>
      </c>
      <c r="J14" s="400" t="str">
        <f>IF('Mapa R. Fiscal'!AA17="","",'Mapa R. Fiscal'!AA17)</f>
        <v/>
      </c>
      <c r="K14" s="436" t="str">
        <f t="shared" si="0"/>
        <v/>
      </c>
      <c r="L14" s="400" t="str">
        <f>IF('Mapa R. Fiscal'!AD17="","",'Mapa R. Fiscal'!AD17)</f>
        <v/>
      </c>
      <c r="M14" s="339" t="str">
        <f>IF('Mapa R. Fiscal'!P17="","",'Mapa R. Fiscal'!P17)</f>
        <v/>
      </c>
      <c r="N14" s="70"/>
      <c r="O14" s="70"/>
      <c r="P14" s="70"/>
      <c r="Q14" s="186"/>
    </row>
    <row r="15" spans="1:90" x14ac:dyDescent="0.25">
      <c r="A15" s="115" t="s">
        <v>247</v>
      </c>
      <c r="B15" s="857"/>
      <c r="C15" s="863"/>
      <c r="D15" s="861"/>
      <c r="E15" s="863"/>
      <c r="F15" s="865"/>
      <c r="G15" s="865"/>
      <c r="H15" s="867"/>
      <c r="I15" s="400" t="str">
        <f>IF('Mapa R. Fiscal'!Y18="","",'Mapa R. Fiscal'!Y18)</f>
        <v/>
      </c>
      <c r="J15" s="400" t="str">
        <f>IF('Mapa R. Fiscal'!AA18="","",'Mapa R. Fiscal'!AA18)</f>
        <v/>
      </c>
      <c r="K15" s="436" t="str">
        <f t="shared" si="0"/>
        <v/>
      </c>
      <c r="L15" s="400" t="str">
        <f>IF('Mapa R. Fiscal'!AD18="","",'Mapa R. Fiscal'!AD18)</f>
        <v/>
      </c>
      <c r="M15" s="339" t="str">
        <f>IF('Mapa R. Fiscal'!P18="","",'Mapa R. Fiscal'!P18)</f>
        <v/>
      </c>
      <c r="N15" s="70"/>
      <c r="O15" s="70"/>
      <c r="P15" s="70"/>
      <c r="Q15" s="186"/>
    </row>
    <row r="16" spans="1:90" x14ac:dyDescent="0.25">
      <c r="A16" s="115" t="s">
        <v>248</v>
      </c>
      <c r="B16" s="857"/>
      <c r="C16" s="863"/>
      <c r="D16" s="861"/>
      <c r="E16" s="863"/>
      <c r="F16" s="865"/>
      <c r="G16" s="865"/>
      <c r="H16" s="867"/>
      <c r="I16" s="400" t="str">
        <f>IF('Mapa R. Fiscal'!Y19="","",'Mapa R. Fiscal'!Y19)</f>
        <v/>
      </c>
      <c r="J16" s="400" t="str">
        <f>IF('Mapa R. Fiscal'!AA19="","",'Mapa R. Fiscal'!AA19)</f>
        <v/>
      </c>
      <c r="K16" s="436" t="str">
        <f t="shared" si="0"/>
        <v/>
      </c>
      <c r="L16" s="400" t="str">
        <f>IF('Mapa R. Fiscal'!AD19="","",'Mapa R. Fiscal'!AD19)</f>
        <v/>
      </c>
      <c r="M16" s="339" t="str">
        <f>IF('Mapa R. Fiscal'!P19="","",'Mapa R. Fiscal'!P19)</f>
        <v/>
      </c>
      <c r="N16" s="70"/>
      <c r="O16" s="70"/>
      <c r="P16" s="70"/>
      <c r="Q16" s="186"/>
    </row>
    <row r="17" spans="1:17" x14ac:dyDescent="0.25">
      <c r="A17" s="115" t="s">
        <v>249</v>
      </c>
      <c r="B17" s="857"/>
      <c r="C17" s="863"/>
      <c r="D17" s="861"/>
      <c r="E17" s="863"/>
      <c r="F17" s="865"/>
      <c r="G17" s="865"/>
      <c r="H17" s="867"/>
      <c r="I17" s="400" t="str">
        <f>IF('Mapa R. Fiscal'!Y20="","",'Mapa R. Fiscal'!Y20)</f>
        <v/>
      </c>
      <c r="J17" s="400" t="str">
        <f>IF('Mapa R. Fiscal'!AA20="","",'Mapa R. Fiscal'!AA20)</f>
        <v/>
      </c>
      <c r="K17" s="436" t="str">
        <f t="shared" si="0"/>
        <v/>
      </c>
      <c r="L17" s="400" t="str">
        <f>IF('Mapa R. Fiscal'!AD20="","",'Mapa R. Fiscal'!AD20)</f>
        <v/>
      </c>
      <c r="M17" s="339" t="str">
        <f>IF('Mapa R. Fiscal'!P20="","",'Mapa R. Fiscal'!P20)</f>
        <v/>
      </c>
      <c r="N17" s="70"/>
      <c r="O17" s="70"/>
      <c r="P17" s="70"/>
      <c r="Q17" s="186"/>
    </row>
    <row r="18" spans="1:17" x14ac:dyDescent="0.25">
      <c r="A18" s="115" t="s">
        <v>250</v>
      </c>
      <c r="B18" s="857"/>
      <c r="C18" s="863"/>
      <c r="D18" s="861"/>
      <c r="E18" s="863"/>
      <c r="F18" s="865"/>
      <c r="G18" s="865"/>
      <c r="H18" s="867"/>
      <c r="I18" s="400" t="str">
        <f>IF('Mapa R. Fiscal'!Y21="","",'Mapa R. Fiscal'!Y21)</f>
        <v/>
      </c>
      <c r="J18" s="400" t="str">
        <f>IF('Mapa R. Fiscal'!AA21="","",'Mapa R. Fiscal'!AA21)</f>
        <v/>
      </c>
      <c r="K18" s="436" t="str">
        <f t="shared" si="0"/>
        <v/>
      </c>
      <c r="L18" s="400" t="str">
        <f>IF('Mapa R. Fiscal'!AD21="","",'Mapa R. Fiscal'!AD21)</f>
        <v/>
      </c>
      <c r="M18" s="339" t="str">
        <f>IF('Mapa R. Fiscal'!P21="","",'Mapa R. Fiscal'!P21)</f>
        <v/>
      </c>
      <c r="N18" s="70"/>
      <c r="O18" s="70"/>
      <c r="P18" s="70"/>
      <c r="Q18" s="186"/>
    </row>
    <row r="19" spans="1:17" ht="15" customHeight="1" x14ac:dyDescent="0.25">
      <c r="A19" s="115" t="s">
        <v>251</v>
      </c>
      <c r="B19" s="856"/>
      <c r="C19" s="862" t="str">
        <f>IF('Mapa R. Fiscal'!E22="","",'Mapa R. Fiscal'!E22)</f>
        <v/>
      </c>
      <c r="D19" s="861"/>
      <c r="E19" s="862" t="str">
        <f>IF('Mapa R. Fiscal'!D22="","",'Mapa R. Fiscal'!D22)</f>
        <v/>
      </c>
      <c r="F19" s="864" t="str">
        <f>IF('Mapa R. Fiscal'!H22="","",'Mapa R. Fiscal'!H22)</f>
        <v/>
      </c>
      <c r="G19" s="864" t="str">
        <f>IF('Mapa R. Fiscal'!L22="","",'Mapa R. Fiscal'!L22)</f>
        <v/>
      </c>
      <c r="H19" s="866"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0" t="str">
        <f>IF('Mapa R. Fiscal'!Y22="","",'Mapa R. Fiscal'!Y22)</f>
        <v/>
      </c>
      <c r="J19" s="400" t="str">
        <f>IF('Mapa R. Fiscal'!AA22="","",'Mapa R. Fiscal'!AA22)</f>
        <v/>
      </c>
      <c r="K19" s="436" t="str">
        <f t="shared" si="0"/>
        <v/>
      </c>
      <c r="L19" s="400" t="str">
        <f>IF('Mapa R. Fiscal'!AD22="","",'Mapa R. Fiscal'!AD22)</f>
        <v/>
      </c>
      <c r="M19" s="339" t="str">
        <f>IF('Mapa R. Fiscal'!P22="","",'Mapa R. Fiscal'!P22)</f>
        <v/>
      </c>
      <c r="N19" s="70"/>
      <c r="O19" s="70"/>
      <c r="P19" s="70"/>
      <c r="Q19" s="186"/>
    </row>
    <row r="20" spans="1:17" x14ac:dyDescent="0.25">
      <c r="A20" s="115" t="s">
        <v>252</v>
      </c>
      <c r="B20" s="857"/>
      <c r="C20" s="863"/>
      <c r="D20" s="861"/>
      <c r="E20" s="863"/>
      <c r="F20" s="865"/>
      <c r="G20" s="865"/>
      <c r="H20" s="867"/>
      <c r="I20" s="400" t="str">
        <f>IF('Mapa R. Fiscal'!Y23="","",'Mapa R. Fiscal'!Y23)</f>
        <v/>
      </c>
      <c r="J20" s="400" t="str">
        <f>IF('Mapa R. Fiscal'!AA23="","",'Mapa R. Fiscal'!AA23)</f>
        <v/>
      </c>
      <c r="K20" s="436" t="str">
        <f t="shared" si="0"/>
        <v/>
      </c>
      <c r="L20" s="400" t="str">
        <f>IF('Mapa R. Fiscal'!AD23="","",'Mapa R. Fiscal'!AD23)</f>
        <v/>
      </c>
      <c r="M20" s="339" t="str">
        <f>IF('Mapa R. Fiscal'!P23="","",'Mapa R. Fiscal'!P23)</f>
        <v/>
      </c>
      <c r="N20" s="70"/>
      <c r="O20" s="70"/>
      <c r="P20" s="70"/>
      <c r="Q20" s="186"/>
    </row>
    <row r="21" spans="1:17" x14ac:dyDescent="0.25">
      <c r="A21" s="115" t="s">
        <v>253</v>
      </c>
      <c r="B21" s="857"/>
      <c r="C21" s="863"/>
      <c r="D21" s="861"/>
      <c r="E21" s="863"/>
      <c r="F21" s="865"/>
      <c r="G21" s="865"/>
      <c r="H21" s="867"/>
      <c r="I21" s="400" t="str">
        <f>IF('Mapa R. Fiscal'!Y24="","",'Mapa R. Fiscal'!Y24)</f>
        <v/>
      </c>
      <c r="J21" s="400" t="str">
        <f>IF('Mapa R. Fiscal'!AA24="","",'Mapa R. Fiscal'!AA24)</f>
        <v/>
      </c>
      <c r="K21" s="436" t="str">
        <f t="shared" si="0"/>
        <v/>
      </c>
      <c r="L21" s="400" t="str">
        <f>IF('Mapa R. Fiscal'!AD24="","",'Mapa R. Fiscal'!AD24)</f>
        <v/>
      </c>
      <c r="M21" s="339" t="str">
        <f>IF('Mapa R. Fiscal'!P24="","",'Mapa R. Fiscal'!P24)</f>
        <v/>
      </c>
      <c r="N21" s="70"/>
      <c r="O21" s="70"/>
      <c r="P21" s="70"/>
      <c r="Q21" s="186"/>
    </row>
    <row r="22" spans="1:17" x14ac:dyDescent="0.25">
      <c r="A22" s="115" t="s">
        <v>254</v>
      </c>
      <c r="B22" s="857"/>
      <c r="C22" s="863"/>
      <c r="D22" s="861"/>
      <c r="E22" s="863"/>
      <c r="F22" s="865"/>
      <c r="G22" s="865"/>
      <c r="H22" s="867"/>
      <c r="I22" s="400" t="str">
        <f>IF('Mapa R. Fiscal'!Y25="","",'Mapa R. Fiscal'!Y25)</f>
        <v/>
      </c>
      <c r="J22" s="400" t="str">
        <f>IF('Mapa R. Fiscal'!AA25="","",'Mapa R. Fiscal'!AA25)</f>
        <v/>
      </c>
      <c r="K22" s="436" t="str">
        <f t="shared" si="0"/>
        <v/>
      </c>
      <c r="L22" s="400" t="str">
        <f>IF('Mapa R. Fiscal'!AD25="","",'Mapa R. Fiscal'!AD25)</f>
        <v/>
      </c>
      <c r="M22" s="339" t="str">
        <f>IF('Mapa R. Fiscal'!P25="","",'Mapa R. Fiscal'!P25)</f>
        <v/>
      </c>
      <c r="N22" s="70"/>
      <c r="O22" s="70"/>
      <c r="P22" s="70"/>
      <c r="Q22" s="186"/>
    </row>
    <row r="23" spans="1:17" x14ac:dyDescent="0.25">
      <c r="A23" s="115" t="s">
        <v>255</v>
      </c>
      <c r="B23" s="857"/>
      <c r="C23" s="863"/>
      <c r="D23" s="861"/>
      <c r="E23" s="863"/>
      <c r="F23" s="865"/>
      <c r="G23" s="865"/>
      <c r="H23" s="867"/>
      <c r="I23" s="400" t="str">
        <f>IF('Mapa R. Fiscal'!Y26="","",'Mapa R. Fiscal'!Y26)</f>
        <v/>
      </c>
      <c r="J23" s="400" t="str">
        <f>IF('Mapa R. Fiscal'!AA26="","",'Mapa R. Fiscal'!AA26)</f>
        <v/>
      </c>
      <c r="K23" s="436" t="str">
        <f t="shared" si="0"/>
        <v/>
      </c>
      <c r="L23" s="400" t="str">
        <f>IF('Mapa R. Fiscal'!AD26="","",'Mapa R. Fiscal'!AD26)</f>
        <v/>
      </c>
      <c r="M23" s="339" t="str">
        <f>IF('Mapa R. Fiscal'!P26="","",'Mapa R. Fiscal'!P26)</f>
        <v/>
      </c>
      <c r="N23" s="70"/>
      <c r="O23" s="70"/>
      <c r="P23" s="70"/>
      <c r="Q23" s="186"/>
    </row>
    <row r="24" spans="1:17" x14ac:dyDescent="0.25">
      <c r="A24" s="115" t="s">
        <v>256</v>
      </c>
      <c r="B24" s="857"/>
      <c r="C24" s="863"/>
      <c r="D24" s="861"/>
      <c r="E24" s="863"/>
      <c r="F24" s="865"/>
      <c r="G24" s="865"/>
      <c r="H24" s="867"/>
      <c r="I24" s="400" t="str">
        <f>IF('Mapa R. Fiscal'!Y27="","",'Mapa R. Fiscal'!Y27)</f>
        <v/>
      </c>
      <c r="J24" s="400" t="str">
        <f>IF('Mapa R. Fiscal'!AA27="","",'Mapa R. Fiscal'!AA27)</f>
        <v/>
      </c>
      <c r="K24" s="436" t="str">
        <f t="shared" si="0"/>
        <v/>
      </c>
      <c r="L24" s="400" t="str">
        <f>IF('Mapa R. Fiscal'!AD27="","",'Mapa R. Fiscal'!AD27)</f>
        <v/>
      </c>
      <c r="M24" s="339" t="str">
        <f>IF('Mapa R. Fiscal'!P27="","",'Mapa R. Fiscal'!P27)</f>
        <v/>
      </c>
      <c r="N24" s="70"/>
      <c r="O24" s="70"/>
      <c r="P24" s="70"/>
      <c r="Q24" s="186"/>
    </row>
    <row r="25" spans="1:17" x14ac:dyDescent="0.25">
      <c r="A25" s="115" t="s">
        <v>257</v>
      </c>
      <c r="B25" s="856"/>
      <c r="C25" s="862" t="str">
        <f>IF('Mapa R. Fiscal'!E28="","",'Mapa R. Fiscal'!E28)</f>
        <v/>
      </c>
      <c r="D25" s="861"/>
      <c r="E25" s="862" t="str">
        <f>IF('Mapa R. Fiscal'!D28="","",'Mapa R. Fiscal'!D28)</f>
        <v/>
      </c>
      <c r="F25" s="864" t="str">
        <f>IF('Mapa R. Fiscal'!H28="","",'Mapa R. Fiscal'!H28)</f>
        <v/>
      </c>
      <c r="G25" s="864" t="str">
        <f>IF('Mapa R. Fiscal'!L28="","",'Mapa R. Fiscal'!L28)</f>
        <v/>
      </c>
      <c r="H25" s="866"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0" t="str">
        <f>IF('Mapa R. Fiscal'!Y28="","",'Mapa R. Fiscal'!Y28)</f>
        <v/>
      </c>
      <c r="J25" s="400" t="str">
        <f>IF('Mapa R. Fiscal'!AA28="","",'Mapa R. Fiscal'!AA28)</f>
        <v/>
      </c>
      <c r="K25" s="436" t="str">
        <f t="shared" si="0"/>
        <v/>
      </c>
      <c r="L25" s="400" t="str">
        <f>IF('Mapa R. Fiscal'!AD28="","",'Mapa R. Fiscal'!AD28)</f>
        <v/>
      </c>
      <c r="M25" s="339" t="str">
        <f>IF('Mapa R. Fiscal'!P28="","",'Mapa R. Fiscal'!P28)</f>
        <v/>
      </c>
      <c r="N25" s="70"/>
      <c r="O25" s="70"/>
      <c r="P25" s="70"/>
      <c r="Q25" s="186"/>
    </row>
    <row r="26" spans="1:17" x14ac:dyDescent="0.25">
      <c r="A26" s="115" t="s">
        <v>258</v>
      </c>
      <c r="B26" s="857"/>
      <c r="C26" s="863"/>
      <c r="D26" s="861"/>
      <c r="E26" s="863"/>
      <c r="F26" s="865"/>
      <c r="G26" s="865"/>
      <c r="H26" s="867"/>
      <c r="I26" s="400" t="str">
        <f>IF('Mapa R. Fiscal'!Y29="","",'Mapa R. Fiscal'!Y29)</f>
        <v/>
      </c>
      <c r="J26" s="400" t="str">
        <f>IF('Mapa R. Fiscal'!AA29="","",'Mapa R. Fiscal'!AA29)</f>
        <v/>
      </c>
      <c r="K26" s="436" t="str">
        <f t="shared" si="0"/>
        <v/>
      </c>
      <c r="L26" s="400" t="str">
        <f>IF('Mapa R. Fiscal'!AD29="","",'Mapa R. Fiscal'!AD29)</f>
        <v/>
      </c>
      <c r="M26" s="339" t="str">
        <f>IF('Mapa R. Fiscal'!P29="","",'Mapa R. Fiscal'!P29)</f>
        <v/>
      </c>
      <c r="N26" s="70"/>
      <c r="O26" s="70"/>
      <c r="P26" s="70"/>
      <c r="Q26" s="186"/>
    </row>
    <row r="27" spans="1:17" x14ac:dyDescent="0.25">
      <c r="A27" s="115" t="s">
        <v>259</v>
      </c>
      <c r="B27" s="857"/>
      <c r="C27" s="863"/>
      <c r="D27" s="861"/>
      <c r="E27" s="863"/>
      <c r="F27" s="865"/>
      <c r="G27" s="865"/>
      <c r="H27" s="867"/>
      <c r="I27" s="400" t="str">
        <f>IF('Mapa R. Fiscal'!Y30="","",'Mapa R. Fiscal'!Y30)</f>
        <v/>
      </c>
      <c r="J27" s="400" t="str">
        <f>IF('Mapa R. Fiscal'!AA30="","",'Mapa R. Fiscal'!AA30)</f>
        <v/>
      </c>
      <c r="K27" s="436" t="str">
        <f t="shared" si="0"/>
        <v/>
      </c>
      <c r="L27" s="400" t="str">
        <f>IF('Mapa R. Fiscal'!AD30="","",'Mapa R. Fiscal'!AD30)</f>
        <v/>
      </c>
      <c r="M27" s="339" t="str">
        <f>IF('Mapa R. Fiscal'!P30="","",'Mapa R. Fiscal'!P30)</f>
        <v/>
      </c>
      <c r="N27" s="70"/>
      <c r="O27" s="70"/>
      <c r="P27" s="70"/>
      <c r="Q27" s="186"/>
    </row>
    <row r="28" spans="1:17" x14ac:dyDescent="0.25">
      <c r="A28" s="115" t="s">
        <v>260</v>
      </c>
      <c r="B28" s="857"/>
      <c r="C28" s="863"/>
      <c r="D28" s="861"/>
      <c r="E28" s="863"/>
      <c r="F28" s="865"/>
      <c r="G28" s="865"/>
      <c r="H28" s="867"/>
      <c r="I28" s="400" t="str">
        <f>IF('Mapa R. Fiscal'!Y31="","",'Mapa R. Fiscal'!Y31)</f>
        <v/>
      </c>
      <c r="J28" s="400" t="str">
        <f>IF('Mapa R. Fiscal'!AA31="","",'Mapa R. Fiscal'!AA31)</f>
        <v/>
      </c>
      <c r="K28" s="436" t="str">
        <f t="shared" si="0"/>
        <v/>
      </c>
      <c r="L28" s="400" t="str">
        <f>IF('Mapa R. Fiscal'!AD31="","",'Mapa R. Fiscal'!AD31)</f>
        <v/>
      </c>
      <c r="M28" s="339" t="str">
        <f>IF('Mapa R. Fiscal'!P31="","",'Mapa R. Fiscal'!P31)</f>
        <v/>
      </c>
      <c r="N28" s="70"/>
      <c r="O28" s="70"/>
      <c r="P28" s="70"/>
      <c r="Q28" s="186"/>
    </row>
    <row r="29" spans="1:17" x14ac:dyDescent="0.25">
      <c r="A29" s="115" t="s">
        <v>261</v>
      </c>
      <c r="B29" s="857"/>
      <c r="C29" s="863"/>
      <c r="D29" s="861"/>
      <c r="E29" s="863"/>
      <c r="F29" s="865"/>
      <c r="G29" s="865"/>
      <c r="H29" s="867"/>
      <c r="I29" s="400" t="str">
        <f>IF('Mapa R. Fiscal'!Y32="","",'Mapa R. Fiscal'!Y32)</f>
        <v/>
      </c>
      <c r="J29" s="400" t="str">
        <f>IF('Mapa R. Fiscal'!AA32="","",'Mapa R. Fiscal'!AA32)</f>
        <v/>
      </c>
      <c r="K29" s="436" t="str">
        <f t="shared" si="0"/>
        <v/>
      </c>
      <c r="L29" s="400" t="str">
        <f>IF('Mapa R. Fiscal'!AD32="","",'Mapa R. Fiscal'!AD32)</f>
        <v/>
      </c>
      <c r="M29" s="339" t="str">
        <f>IF('Mapa R. Fiscal'!P32="","",'Mapa R. Fiscal'!P32)</f>
        <v/>
      </c>
      <c r="N29" s="70"/>
      <c r="O29" s="70"/>
      <c r="P29" s="70"/>
      <c r="Q29" s="186"/>
    </row>
    <row r="30" spans="1:17" x14ac:dyDescent="0.25">
      <c r="A30" s="115" t="s">
        <v>262</v>
      </c>
      <c r="B30" s="857"/>
      <c r="C30" s="863"/>
      <c r="D30" s="861"/>
      <c r="E30" s="863"/>
      <c r="F30" s="865"/>
      <c r="G30" s="865"/>
      <c r="H30" s="867"/>
      <c r="I30" s="400" t="str">
        <f>IF('Mapa R. Fiscal'!Y33="","",'Mapa R. Fiscal'!Y33)</f>
        <v/>
      </c>
      <c r="J30" s="400" t="str">
        <f>IF('Mapa R. Fiscal'!AA33="","",'Mapa R. Fiscal'!AA33)</f>
        <v/>
      </c>
      <c r="K30" s="436" t="str">
        <f t="shared" si="0"/>
        <v/>
      </c>
      <c r="L30" s="400" t="str">
        <f>IF('Mapa R. Fiscal'!AD33="","",'Mapa R. Fiscal'!AD33)</f>
        <v/>
      </c>
      <c r="M30" s="339" t="str">
        <f>IF('Mapa R. Fiscal'!P33="","",'Mapa R. Fiscal'!P33)</f>
        <v/>
      </c>
      <c r="N30" s="70"/>
      <c r="O30" s="70"/>
      <c r="P30" s="70"/>
      <c r="Q30" s="186"/>
    </row>
    <row r="31" spans="1:17" x14ac:dyDescent="0.25">
      <c r="A31" s="115" t="s">
        <v>263</v>
      </c>
      <c r="B31" s="856"/>
      <c r="C31" s="862" t="str">
        <f>IF('Mapa R. Fiscal'!E34="","",'Mapa R. Fiscal'!E34)</f>
        <v/>
      </c>
      <c r="D31" s="861"/>
      <c r="E31" s="862" t="str">
        <f>IF('Mapa R. Fiscal'!D34="","",'Mapa R. Fiscal'!D34)</f>
        <v/>
      </c>
      <c r="F31" s="864" t="str">
        <f>IF('Mapa R. Fiscal'!H34="","",'Mapa R. Fiscal'!H34)</f>
        <v/>
      </c>
      <c r="G31" s="864" t="str">
        <f>IF('Mapa R. Fiscal'!L34="","",'Mapa R. Fiscal'!L34)</f>
        <v/>
      </c>
      <c r="H31" s="866"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0" t="str">
        <f>IF('Mapa R. Fiscal'!Y34="","",'Mapa R. Fiscal'!Y34)</f>
        <v/>
      </c>
      <c r="J31" s="400" t="str">
        <f>IF('Mapa R. Fiscal'!AA34="","",'Mapa R. Fiscal'!AA34)</f>
        <v/>
      </c>
      <c r="K31" s="436" t="str">
        <f t="shared" si="0"/>
        <v/>
      </c>
      <c r="L31" s="400" t="str">
        <f>IF('Mapa R. Fiscal'!AD34="","",'Mapa R. Fiscal'!AD34)</f>
        <v/>
      </c>
      <c r="M31" s="339" t="str">
        <f>IF('Mapa R. Fiscal'!P34="","",'Mapa R. Fiscal'!P34)</f>
        <v/>
      </c>
      <c r="N31" s="70"/>
      <c r="O31" s="70"/>
      <c r="P31" s="70"/>
      <c r="Q31" s="186"/>
    </row>
    <row r="32" spans="1:17" x14ac:dyDescent="0.25">
      <c r="A32" s="115" t="s">
        <v>264</v>
      </c>
      <c r="B32" s="857"/>
      <c r="C32" s="863"/>
      <c r="D32" s="861"/>
      <c r="E32" s="863"/>
      <c r="F32" s="865"/>
      <c r="G32" s="865"/>
      <c r="H32" s="867"/>
      <c r="I32" s="400" t="str">
        <f>IF('Mapa R. Fiscal'!Y35="","",'Mapa R. Fiscal'!Y35)</f>
        <v/>
      </c>
      <c r="J32" s="400" t="str">
        <f>IF('Mapa R. Fiscal'!AA35="","",'Mapa R. Fiscal'!AA35)</f>
        <v/>
      </c>
      <c r="K32" s="436" t="str">
        <f t="shared" si="0"/>
        <v/>
      </c>
      <c r="L32" s="400" t="str">
        <f>IF('Mapa R. Fiscal'!AD35="","",'Mapa R. Fiscal'!AD35)</f>
        <v/>
      </c>
      <c r="M32" s="339" t="str">
        <f>IF('Mapa R. Fiscal'!P35="","",'Mapa R. Fiscal'!P35)</f>
        <v/>
      </c>
      <c r="N32" s="70"/>
      <c r="O32" s="70"/>
      <c r="P32" s="70"/>
      <c r="Q32" s="186"/>
    </row>
    <row r="33" spans="1:17" x14ac:dyDescent="0.25">
      <c r="A33" s="115" t="s">
        <v>265</v>
      </c>
      <c r="B33" s="857"/>
      <c r="C33" s="863"/>
      <c r="D33" s="861"/>
      <c r="E33" s="863"/>
      <c r="F33" s="865"/>
      <c r="G33" s="865"/>
      <c r="H33" s="867"/>
      <c r="I33" s="400" t="str">
        <f>IF('Mapa R. Fiscal'!Y36="","",'Mapa R. Fiscal'!Y36)</f>
        <v/>
      </c>
      <c r="J33" s="400" t="str">
        <f>IF('Mapa R. Fiscal'!AA36="","",'Mapa R. Fiscal'!AA36)</f>
        <v/>
      </c>
      <c r="K33" s="436" t="str">
        <f t="shared" si="0"/>
        <v/>
      </c>
      <c r="L33" s="400" t="str">
        <f>IF('Mapa R. Fiscal'!AD36="","",'Mapa R. Fiscal'!AD36)</f>
        <v/>
      </c>
      <c r="M33" s="339" t="str">
        <f>IF('Mapa R. Fiscal'!P36="","",'Mapa R. Fiscal'!P36)</f>
        <v/>
      </c>
      <c r="N33" s="70"/>
      <c r="O33" s="70"/>
      <c r="P33" s="70"/>
      <c r="Q33" s="186"/>
    </row>
    <row r="34" spans="1:17" x14ac:dyDescent="0.25">
      <c r="A34" s="115" t="s">
        <v>266</v>
      </c>
      <c r="B34" s="857"/>
      <c r="C34" s="863"/>
      <c r="D34" s="861"/>
      <c r="E34" s="863"/>
      <c r="F34" s="865"/>
      <c r="G34" s="865"/>
      <c r="H34" s="867"/>
      <c r="I34" s="400" t="str">
        <f>IF('Mapa R. Fiscal'!Y37="","",'Mapa R. Fiscal'!Y37)</f>
        <v/>
      </c>
      <c r="J34" s="400" t="str">
        <f>IF('Mapa R. Fiscal'!AA37="","",'Mapa R. Fiscal'!AA37)</f>
        <v/>
      </c>
      <c r="K34" s="436" t="str">
        <f t="shared" si="0"/>
        <v/>
      </c>
      <c r="L34" s="400" t="str">
        <f>IF('Mapa R. Fiscal'!AD37="","",'Mapa R. Fiscal'!AD37)</f>
        <v/>
      </c>
      <c r="M34" s="339" t="str">
        <f>IF('Mapa R. Fiscal'!P37="","",'Mapa R. Fiscal'!P37)</f>
        <v/>
      </c>
      <c r="N34" s="70"/>
      <c r="O34" s="70"/>
      <c r="P34" s="70"/>
      <c r="Q34" s="186"/>
    </row>
    <row r="35" spans="1:17" x14ac:dyDescent="0.25">
      <c r="A35" s="115" t="s">
        <v>267</v>
      </c>
      <c r="B35" s="857"/>
      <c r="C35" s="863"/>
      <c r="D35" s="861"/>
      <c r="E35" s="863"/>
      <c r="F35" s="865"/>
      <c r="G35" s="865"/>
      <c r="H35" s="867"/>
      <c r="I35" s="400" t="str">
        <f>IF('Mapa R. Fiscal'!Y38="","",'Mapa R. Fiscal'!Y38)</f>
        <v/>
      </c>
      <c r="J35" s="400" t="str">
        <f>IF('Mapa R. Fiscal'!AA38="","",'Mapa R. Fiscal'!AA38)</f>
        <v/>
      </c>
      <c r="K35" s="436" t="str">
        <f t="shared" si="0"/>
        <v/>
      </c>
      <c r="L35" s="400" t="str">
        <f>IF('Mapa R. Fiscal'!AD38="","",'Mapa R. Fiscal'!AD38)</f>
        <v/>
      </c>
      <c r="M35" s="339" t="str">
        <f>IF('Mapa R. Fiscal'!P38="","",'Mapa R. Fiscal'!P38)</f>
        <v/>
      </c>
      <c r="N35" s="70"/>
      <c r="O35" s="70"/>
      <c r="P35" s="70"/>
      <c r="Q35" s="186"/>
    </row>
    <row r="36" spans="1:17" x14ac:dyDescent="0.25">
      <c r="A36" s="115" t="s">
        <v>268</v>
      </c>
      <c r="B36" s="857"/>
      <c r="C36" s="863"/>
      <c r="D36" s="861"/>
      <c r="E36" s="863"/>
      <c r="F36" s="865"/>
      <c r="G36" s="865"/>
      <c r="H36" s="867"/>
      <c r="I36" s="400" t="str">
        <f>IF('Mapa R. Fiscal'!Y39="","",'Mapa R. Fiscal'!Y39)</f>
        <v/>
      </c>
      <c r="J36" s="400" t="str">
        <f>IF('Mapa R. Fiscal'!AA39="","",'Mapa R. Fiscal'!AA39)</f>
        <v/>
      </c>
      <c r="K36" s="436" t="str">
        <f t="shared" si="0"/>
        <v/>
      </c>
      <c r="L36" s="400" t="str">
        <f>IF('Mapa R. Fiscal'!AD39="","",'Mapa R. Fiscal'!AD39)</f>
        <v/>
      </c>
      <c r="M36" s="339" t="str">
        <f>IF('Mapa R. Fiscal'!P39="","",'Mapa R. Fiscal'!P39)</f>
        <v/>
      </c>
      <c r="N36" s="70"/>
      <c r="O36" s="70"/>
      <c r="P36" s="70"/>
      <c r="Q36" s="186"/>
    </row>
    <row r="37" spans="1:17" x14ac:dyDescent="0.25">
      <c r="A37" s="115" t="s">
        <v>269</v>
      </c>
      <c r="B37" s="856"/>
      <c r="C37" s="862" t="str">
        <f>IF('Mapa R. Fiscal'!E40="","",'Mapa R. Fiscal'!E40)</f>
        <v/>
      </c>
      <c r="D37" s="861"/>
      <c r="E37" s="862" t="str">
        <f>IF('Mapa R. Fiscal'!D40="","",'Mapa R. Fiscal'!D40)</f>
        <v/>
      </c>
      <c r="F37" s="864" t="str">
        <f>IF('Mapa R. Fiscal'!H40="","",'Mapa R. Fiscal'!H40)</f>
        <v/>
      </c>
      <c r="G37" s="864" t="str">
        <f>IF('Mapa R. Fiscal'!L40="","",'Mapa R. Fiscal'!L40)</f>
        <v/>
      </c>
      <c r="H37" s="866"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0" t="str">
        <f>IF('Mapa R. Fiscal'!Y40="","",'Mapa R. Fiscal'!Y40)</f>
        <v/>
      </c>
      <c r="J37" s="400" t="str">
        <f>IF('Mapa R. Fiscal'!AA40="","",'Mapa R. Fiscal'!AA40)</f>
        <v/>
      </c>
      <c r="K37" s="436" t="str">
        <f t="shared" si="0"/>
        <v/>
      </c>
      <c r="L37" s="400" t="str">
        <f>IF('Mapa R. Fiscal'!AD40="","",'Mapa R. Fiscal'!AD40)</f>
        <v/>
      </c>
      <c r="M37" s="339" t="str">
        <f>IF('Mapa R. Fiscal'!P40="","",'Mapa R. Fiscal'!P40)</f>
        <v/>
      </c>
      <c r="N37" s="70"/>
      <c r="O37" s="70"/>
      <c r="P37" s="70"/>
      <c r="Q37" s="186"/>
    </row>
    <row r="38" spans="1:17" x14ac:dyDescent="0.25">
      <c r="A38" s="115" t="s">
        <v>270</v>
      </c>
      <c r="B38" s="857"/>
      <c r="C38" s="863"/>
      <c r="D38" s="861"/>
      <c r="E38" s="863"/>
      <c r="F38" s="865"/>
      <c r="G38" s="865"/>
      <c r="H38" s="867"/>
      <c r="I38" s="400" t="str">
        <f>IF('Mapa R. Fiscal'!Y41="","",'Mapa R. Fiscal'!Y41)</f>
        <v/>
      </c>
      <c r="J38" s="400" t="str">
        <f>IF('Mapa R. Fiscal'!AA41="","",'Mapa R. Fiscal'!AA41)</f>
        <v/>
      </c>
      <c r="K38" s="436" t="str">
        <f t="shared" si="0"/>
        <v/>
      </c>
      <c r="L38" s="400" t="str">
        <f>IF('Mapa R. Fiscal'!AD41="","",'Mapa R. Fiscal'!AD41)</f>
        <v/>
      </c>
      <c r="M38" s="339" t="str">
        <f>IF('Mapa R. Fiscal'!P41="","",'Mapa R. Fiscal'!P41)</f>
        <v/>
      </c>
      <c r="N38" s="70"/>
      <c r="O38" s="70"/>
      <c r="P38" s="70"/>
      <c r="Q38" s="186"/>
    </row>
    <row r="39" spans="1:17" x14ac:dyDescent="0.25">
      <c r="A39" s="115" t="s">
        <v>271</v>
      </c>
      <c r="B39" s="857"/>
      <c r="C39" s="863"/>
      <c r="D39" s="861"/>
      <c r="E39" s="863"/>
      <c r="F39" s="865"/>
      <c r="G39" s="865"/>
      <c r="H39" s="867"/>
      <c r="I39" s="400" t="str">
        <f>IF('Mapa R. Fiscal'!Y42="","",'Mapa R. Fiscal'!Y42)</f>
        <v/>
      </c>
      <c r="J39" s="400" t="str">
        <f>IF('Mapa R. Fiscal'!AA42="","",'Mapa R. Fiscal'!AA42)</f>
        <v/>
      </c>
      <c r="K39" s="436" t="str">
        <f t="shared" si="0"/>
        <v/>
      </c>
      <c r="L39" s="400" t="str">
        <f>IF('Mapa R. Fiscal'!AD42="","",'Mapa R. Fiscal'!AD42)</f>
        <v/>
      </c>
      <c r="M39" s="339" t="str">
        <f>IF('Mapa R. Fiscal'!P42="","",'Mapa R. Fiscal'!P42)</f>
        <v/>
      </c>
      <c r="N39" s="70"/>
      <c r="O39" s="70"/>
      <c r="P39" s="70"/>
      <c r="Q39" s="186"/>
    </row>
    <row r="40" spans="1:17" x14ac:dyDescent="0.25">
      <c r="A40" s="115" t="s">
        <v>272</v>
      </c>
      <c r="B40" s="857"/>
      <c r="C40" s="863"/>
      <c r="D40" s="861"/>
      <c r="E40" s="863"/>
      <c r="F40" s="865"/>
      <c r="G40" s="865"/>
      <c r="H40" s="867"/>
      <c r="I40" s="400" t="str">
        <f>IF('Mapa R. Fiscal'!Y43="","",'Mapa R. Fiscal'!Y43)</f>
        <v/>
      </c>
      <c r="J40" s="400" t="str">
        <f>IF('Mapa R. Fiscal'!AA43="","",'Mapa R. Fiscal'!AA43)</f>
        <v/>
      </c>
      <c r="K40" s="436" t="str">
        <f t="shared" si="0"/>
        <v/>
      </c>
      <c r="L40" s="400" t="str">
        <f>IF('Mapa R. Fiscal'!AD43="","",'Mapa R. Fiscal'!AD43)</f>
        <v/>
      </c>
      <c r="M40" s="339" t="str">
        <f>IF('Mapa R. Fiscal'!P43="","",'Mapa R. Fiscal'!P43)</f>
        <v/>
      </c>
      <c r="N40" s="70"/>
      <c r="O40" s="70"/>
      <c r="P40" s="70"/>
      <c r="Q40" s="186"/>
    </row>
    <row r="41" spans="1:17" x14ac:dyDescent="0.25">
      <c r="A41" s="115" t="s">
        <v>273</v>
      </c>
      <c r="B41" s="857"/>
      <c r="C41" s="863"/>
      <c r="D41" s="861"/>
      <c r="E41" s="863"/>
      <c r="F41" s="865"/>
      <c r="G41" s="865"/>
      <c r="H41" s="867"/>
      <c r="I41" s="400" t="str">
        <f>IF('Mapa R. Fiscal'!Y44="","",'Mapa R. Fiscal'!Y44)</f>
        <v/>
      </c>
      <c r="J41" s="400" t="str">
        <f>IF('Mapa R. Fiscal'!AA44="","",'Mapa R. Fiscal'!AA44)</f>
        <v/>
      </c>
      <c r="K41" s="436" t="str">
        <f t="shared" si="0"/>
        <v/>
      </c>
      <c r="L41" s="400" t="str">
        <f>IF('Mapa R. Fiscal'!AD44="","",'Mapa R. Fiscal'!AD44)</f>
        <v/>
      </c>
      <c r="M41" s="339" t="str">
        <f>IF('Mapa R. Fiscal'!P44="","",'Mapa R. Fiscal'!P44)</f>
        <v/>
      </c>
      <c r="N41" s="70"/>
      <c r="O41" s="70"/>
      <c r="P41" s="70"/>
      <c r="Q41" s="186"/>
    </row>
    <row r="42" spans="1:17" x14ac:dyDescent="0.25">
      <c r="A42" s="115" t="s">
        <v>274</v>
      </c>
      <c r="B42" s="857"/>
      <c r="C42" s="863"/>
      <c r="D42" s="861"/>
      <c r="E42" s="863"/>
      <c r="F42" s="865"/>
      <c r="G42" s="865"/>
      <c r="H42" s="867"/>
      <c r="I42" s="400" t="str">
        <f>IF('Mapa R. Fiscal'!Y45="","",'Mapa R. Fiscal'!Y45)</f>
        <v/>
      </c>
      <c r="J42" s="400" t="str">
        <f>IF('Mapa R. Fiscal'!AA45="","",'Mapa R. Fiscal'!AA45)</f>
        <v/>
      </c>
      <c r="K42" s="436" t="str">
        <f t="shared" si="0"/>
        <v/>
      </c>
      <c r="L42" s="400" t="str">
        <f>IF('Mapa R. Fiscal'!AD45="","",'Mapa R. Fiscal'!AD45)</f>
        <v/>
      </c>
      <c r="M42" s="339" t="str">
        <f>IF('Mapa R. Fiscal'!P45="","",'Mapa R. Fiscal'!P45)</f>
        <v/>
      </c>
      <c r="N42" s="70"/>
      <c r="O42" s="70"/>
      <c r="P42" s="70"/>
      <c r="Q42" s="186"/>
    </row>
    <row r="43" spans="1:17" x14ac:dyDescent="0.25">
      <c r="A43" s="115" t="s">
        <v>275</v>
      </c>
      <c r="B43" s="856"/>
      <c r="C43" s="862" t="str">
        <f>IF('Mapa R. Fiscal'!E46="","",'Mapa R. Fiscal'!E46)</f>
        <v/>
      </c>
      <c r="D43" s="861"/>
      <c r="E43" s="862" t="str">
        <f>IF('Mapa R. Fiscal'!D46="","",'Mapa R. Fiscal'!D46)</f>
        <v/>
      </c>
      <c r="F43" s="864" t="str">
        <f>IF('Mapa R. Fiscal'!H46="","",'Mapa R. Fiscal'!H46)</f>
        <v/>
      </c>
      <c r="G43" s="864" t="str">
        <f>IF('Mapa R. Fiscal'!L46="","",'Mapa R. Fiscal'!L46)</f>
        <v/>
      </c>
      <c r="H43" s="866"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0" t="str">
        <f>IF('Mapa R. Fiscal'!Y46="","",'Mapa R. Fiscal'!Y46)</f>
        <v/>
      </c>
      <c r="J43" s="400" t="str">
        <f>IF('Mapa R. Fiscal'!AA46="","",'Mapa R. Fiscal'!AA46)</f>
        <v/>
      </c>
      <c r="K43" s="436" t="str">
        <f t="shared" si="0"/>
        <v/>
      </c>
      <c r="L43" s="400" t="str">
        <f>IF('Mapa R. Fiscal'!AD46="","",'Mapa R. Fiscal'!AD46)</f>
        <v/>
      </c>
      <c r="M43" s="339" t="str">
        <f>IF('Mapa R. Fiscal'!P46="","",'Mapa R. Fiscal'!P46)</f>
        <v/>
      </c>
      <c r="N43" s="70"/>
      <c r="O43" s="70"/>
      <c r="P43" s="70"/>
      <c r="Q43" s="186"/>
    </row>
    <row r="44" spans="1:17" x14ac:dyDescent="0.25">
      <c r="A44" s="115" t="s">
        <v>276</v>
      </c>
      <c r="B44" s="857"/>
      <c r="C44" s="863"/>
      <c r="D44" s="861"/>
      <c r="E44" s="863"/>
      <c r="F44" s="865"/>
      <c r="G44" s="865"/>
      <c r="H44" s="867"/>
      <c r="I44" s="400" t="str">
        <f>IF('Mapa R. Fiscal'!Y47="","",'Mapa R. Fiscal'!Y47)</f>
        <v/>
      </c>
      <c r="J44" s="400" t="str">
        <f>IF('Mapa R. Fiscal'!AA47="","",'Mapa R. Fiscal'!AA47)</f>
        <v/>
      </c>
      <c r="K44" s="436" t="str">
        <f t="shared" si="0"/>
        <v/>
      </c>
      <c r="L44" s="400" t="str">
        <f>IF('Mapa R. Fiscal'!AD47="","",'Mapa R. Fiscal'!AD47)</f>
        <v/>
      </c>
      <c r="M44" s="339" t="str">
        <f>IF('Mapa R. Fiscal'!P47="","",'Mapa R. Fiscal'!P47)</f>
        <v/>
      </c>
      <c r="N44" s="70"/>
      <c r="O44" s="70"/>
      <c r="P44" s="70"/>
      <c r="Q44" s="186"/>
    </row>
    <row r="45" spans="1:17" x14ac:dyDescent="0.25">
      <c r="A45" s="115" t="s">
        <v>277</v>
      </c>
      <c r="B45" s="857"/>
      <c r="C45" s="863"/>
      <c r="D45" s="861"/>
      <c r="E45" s="863"/>
      <c r="F45" s="865"/>
      <c r="G45" s="865"/>
      <c r="H45" s="867"/>
      <c r="I45" s="400" t="str">
        <f>IF('Mapa R. Fiscal'!Y48="","",'Mapa R. Fiscal'!Y48)</f>
        <v/>
      </c>
      <c r="J45" s="400" t="str">
        <f>IF('Mapa R. Fiscal'!AA48="","",'Mapa R. Fiscal'!AA48)</f>
        <v/>
      </c>
      <c r="K45" s="436" t="str">
        <f t="shared" si="0"/>
        <v/>
      </c>
      <c r="L45" s="400" t="str">
        <f>IF('Mapa R. Fiscal'!AD48="","",'Mapa R. Fiscal'!AD48)</f>
        <v/>
      </c>
      <c r="M45" s="339" t="str">
        <f>IF('Mapa R. Fiscal'!P48="","",'Mapa R. Fiscal'!P48)</f>
        <v/>
      </c>
      <c r="N45" s="70"/>
      <c r="O45" s="70"/>
      <c r="P45" s="70"/>
      <c r="Q45" s="186"/>
    </row>
    <row r="46" spans="1:17" x14ac:dyDescent="0.25">
      <c r="A46" s="115" t="s">
        <v>278</v>
      </c>
      <c r="B46" s="857"/>
      <c r="C46" s="863"/>
      <c r="D46" s="861"/>
      <c r="E46" s="863"/>
      <c r="F46" s="865"/>
      <c r="G46" s="865"/>
      <c r="H46" s="867"/>
      <c r="I46" s="400" t="str">
        <f>IF('Mapa R. Fiscal'!Y49="","",'Mapa R. Fiscal'!Y49)</f>
        <v/>
      </c>
      <c r="J46" s="400" t="str">
        <f>IF('Mapa R. Fiscal'!AA49="","",'Mapa R. Fiscal'!AA49)</f>
        <v/>
      </c>
      <c r="K46" s="436" t="str">
        <f t="shared" si="0"/>
        <v/>
      </c>
      <c r="L46" s="400" t="str">
        <f>IF('Mapa R. Fiscal'!AD49="","",'Mapa R. Fiscal'!AD49)</f>
        <v/>
      </c>
      <c r="M46" s="339" t="str">
        <f>IF('Mapa R. Fiscal'!P49="","",'Mapa R. Fiscal'!P49)</f>
        <v/>
      </c>
      <c r="N46" s="70"/>
      <c r="O46" s="70"/>
      <c r="P46" s="70"/>
      <c r="Q46" s="186"/>
    </row>
    <row r="47" spans="1:17" x14ac:dyDescent="0.25">
      <c r="A47" s="115" t="s">
        <v>279</v>
      </c>
      <c r="B47" s="857"/>
      <c r="C47" s="863"/>
      <c r="D47" s="861"/>
      <c r="E47" s="863"/>
      <c r="F47" s="865"/>
      <c r="G47" s="865"/>
      <c r="H47" s="867"/>
      <c r="I47" s="400" t="str">
        <f>IF('Mapa R. Fiscal'!Y50="","",'Mapa R. Fiscal'!Y50)</f>
        <v/>
      </c>
      <c r="J47" s="400" t="str">
        <f>IF('Mapa R. Fiscal'!AA50="","",'Mapa R. Fiscal'!AA50)</f>
        <v/>
      </c>
      <c r="K47" s="436" t="str">
        <f t="shared" si="0"/>
        <v/>
      </c>
      <c r="L47" s="400" t="str">
        <f>IF('Mapa R. Fiscal'!AD50="","",'Mapa R. Fiscal'!AD50)</f>
        <v/>
      </c>
      <c r="M47" s="339" t="str">
        <f>IF('Mapa R. Fiscal'!P50="","",'Mapa R. Fiscal'!P50)</f>
        <v/>
      </c>
      <c r="N47" s="70"/>
      <c r="O47" s="70"/>
      <c r="P47" s="70"/>
      <c r="Q47" s="186"/>
    </row>
    <row r="48" spans="1:17" x14ac:dyDescent="0.25">
      <c r="A48" s="115" t="s">
        <v>280</v>
      </c>
      <c r="B48" s="857"/>
      <c r="C48" s="863"/>
      <c r="D48" s="861"/>
      <c r="E48" s="863"/>
      <c r="F48" s="865"/>
      <c r="G48" s="865"/>
      <c r="H48" s="867"/>
      <c r="I48" s="400" t="str">
        <f>IF('Mapa R. Fiscal'!Y51="","",'Mapa R. Fiscal'!Y51)</f>
        <v/>
      </c>
      <c r="J48" s="400" t="str">
        <f>IF('Mapa R. Fiscal'!AA51="","",'Mapa R. Fiscal'!AA51)</f>
        <v/>
      </c>
      <c r="K48" s="436" t="str">
        <f t="shared" si="0"/>
        <v/>
      </c>
      <c r="L48" s="400" t="str">
        <f>IF('Mapa R. Fiscal'!AD51="","",'Mapa R. Fiscal'!AD51)</f>
        <v/>
      </c>
      <c r="M48" s="339" t="str">
        <f>IF('Mapa R. Fiscal'!P51="","",'Mapa R. Fiscal'!P51)</f>
        <v/>
      </c>
      <c r="N48" s="70"/>
      <c r="O48" s="70"/>
      <c r="P48" s="70"/>
      <c r="Q48" s="186"/>
    </row>
    <row r="49" spans="1:17" x14ac:dyDescent="0.25">
      <c r="A49" s="115" t="s">
        <v>281</v>
      </c>
      <c r="B49" s="856"/>
      <c r="C49" s="862" t="str">
        <f>IF('Mapa R. Fiscal'!E52="","",'Mapa R. Fiscal'!E52)</f>
        <v/>
      </c>
      <c r="D49" s="861"/>
      <c r="E49" s="862" t="str">
        <f>IF('Mapa R. Fiscal'!D52="","",'Mapa R. Fiscal'!D52)</f>
        <v/>
      </c>
      <c r="F49" s="864" t="str">
        <f>IF('Mapa R. Fiscal'!H52="","",'Mapa R. Fiscal'!H52)</f>
        <v/>
      </c>
      <c r="G49" s="864" t="str">
        <f>IF('Mapa R. Fiscal'!L52="","",'Mapa R. Fiscal'!L52)</f>
        <v/>
      </c>
      <c r="H49" s="866"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0" t="str">
        <f>IF('Mapa R. Fiscal'!Y52="","",'Mapa R. Fiscal'!Y52)</f>
        <v/>
      </c>
      <c r="J49" s="400" t="str">
        <f>IF('Mapa R. Fiscal'!AA52="","",'Mapa R. Fiscal'!AA52)</f>
        <v/>
      </c>
      <c r="K49" s="436" t="str">
        <f t="shared" si="0"/>
        <v/>
      </c>
      <c r="L49" s="400" t="str">
        <f>IF('Mapa R. Fiscal'!AD52="","",'Mapa R. Fiscal'!AD52)</f>
        <v/>
      </c>
      <c r="M49" s="339" t="str">
        <f>IF('Mapa R. Fiscal'!P52="","",'Mapa R. Fiscal'!P52)</f>
        <v/>
      </c>
      <c r="N49" s="70"/>
      <c r="O49" s="70"/>
      <c r="P49" s="70"/>
      <c r="Q49" s="186"/>
    </row>
    <row r="50" spans="1:17" x14ac:dyDescent="0.25">
      <c r="A50" s="115" t="s">
        <v>282</v>
      </c>
      <c r="B50" s="857"/>
      <c r="C50" s="863"/>
      <c r="D50" s="861"/>
      <c r="E50" s="863"/>
      <c r="F50" s="865"/>
      <c r="G50" s="865"/>
      <c r="H50" s="867"/>
      <c r="I50" s="400" t="str">
        <f>IF('Mapa R. Fiscal'!Y53="","",'Mapa R. Fiscal'!Y53)</f>
        <v/>
      </c>
      <c r="J50" s="400" t="str">
        <f>IF('Mapa R. Fiscal'!AA53="","",'Mapa R. Fiscal'!AA53)</f>
        <v/>
      </c>
      <c r="K50" s="436" t="str">
        <f t="shared" si="0"/>
        <v/>
      </c>
      <c r="L50" s="400" t="str">
        <f>IF('Mapa R. Fiscal'!AD53="","",'Mapa R. Fiscal'!AD53)</f>
        <v/>
      </c>
      <c r="M50" s="339" t="str">
        <f>IF('Mapa R. Fiscal'!P53="","",'Mapa R. Fiscal'!P53)</f>
        <v/>
      </c>
      <c r="N50" s="70"/>
      <c r="O50" s="70"/>
      <c r="P50" s="70"/>
      <c r="Q50" s="186"/>
    </row>
    <row r="51" spans="1:17" x14ac:dyDescent="0.25">
      <c r="A51" s="115" t="s">
        <v>283</v>
      </c>
      <c r="B51" s="857"/>
      <c r="C51" s="863"/>
      <c r="D51" s="861"/>
      <c r="E51" s="863"/>
      <c r="F51" s="865"/>
      <c r="G51" s="865"/>
      <c r="H51" s="867"/>
      <c r="I51" s="400" t="str">
        <f>IF('Mapa R. Fiscal'!Y54="","",'Mapa R. Fiscal'!Y54)</f>
        <v/>
      </c>
      <c r="J51" s="400" t="str">
        <f>IF('Mapa R. Fiscal'!AA54="","",'Mapa R. Fiscal'!AA54)</f>
        <v/>
      </c>
      <c r="K51" s="436" t="str">
        <f t="shared" si="0"/>
        <v/>
      </c>
      <c r="L51" s="400" t="str">
        <f>IF('Mapa R. Fiscal'!AD54="","",'Mapa R. Fiscal'!AD54)</f>
        <v/>
      </c>
      <c r="M51" s="339" t="str">
        <f>IF('Mapa R. Fiscal'!P54="","",'Mapa R. Fiscal'!P54)</f>
        <v/>
      </c>
      <c r="N51" s="70"/>
      <c r="O51" s="70"/>
      <c r="P51" s="70"/>
      <c r="Q51" s="186"/>
    </row>
    <row r="52" spans="1:17" x14ac:dyDescent="0.25">
      <c r="A52" s="115" t="s">
        <v>284</v>
      </c>
      <c r="B52" s="857"/>
      <c r="C52" s="863"/>
      <c r="D52" s="861"/>
      <c r="E52" s="863"/>
      <c r="F52" s="865"/>
      <c r="G52" s="865"/>
      <c r="H52" s="867"/>
      <c r="I52" s="400" t="str">
        <f>IF('Mapa R. Fiscal'!Y55="","",'Mapa R. Fiscal'!Y55)</f>
        <v/>
      </c>
      <c r="J52" s="400" t="str">
        <f>IF('Mapa R. Fiscal'!AA55="","",'Mapa R. Fiscal'!AA55)</f>
        <v/>
      </c>
      <c r="K52" s="436" t="str">
        <f t="shared" si="0"/>
        <v/>
      </c>
      <c r="L52" s="400" t="str">
        <f>IF('Mapa R. Fiscal'!AD55="","",'Mapa R. Fiscal'!AD55)</f>
        <v/>
      </c>
      <c r="M52" s="339" t="str">
        <f>IF('Mapa R. Fiscal'!P55="","",'Mapa R. Fiscal'!P55)</f>
        <v/>
      </c>
      <c r="N52" s="70"/>
      <c r="O52" s="70"/>
      <c r="P52" s="70"/>
      <c r="Q52" s="186"/>
    </row>
    <row r="53" spans="1:17" x14ac:dyDescent="0.25">
      <c r="A53" s="115" t="s">
        <v>285</v>
      </c>
      <c r="B53" s="857"/>
      <c r="C53" s="863"/>
      <c r="D53" s="861"/>
      <c r="E53" s="863"/>
      <c r="F53" s="865"/>
      <c r="G53" s="865"/>
      <c r="H53" s="867"/>
      <c r="I53" s="400" t="str">
        <f>IF('Mapa R. Fiscal'!Y56="","",'Mapa R. Fiscal'!Y56)</f>
        <v/>
      </c>
      <c r="J53" s="400" t="str">
        <f>IF('Mapa R. Fiscal'!AA56="","",'Mapa R. Fiscal'!AA56)</f>
        <v/>
      </c>
      <c r="K53" s="436" t="str">
        <f t="shared" si="0"/>
        <v/>
      </c>
      <c r="L53" s="400" t="str">
        <f>IF('Mapa R. Fiscal'!AD56="","",'Mapa R. Fiscal'!AD56)</f>
        <v/>
      </c>
      <c r="M53" s="339" t="str">
        <f>IF('Mapa R. Fiscal'!P56="","",'Mapa R. Fiscal'!P56)</f>
        <v/>
      </c>
      <c r="N53" s="70"/>
      <c r="O53" s="70"/>
      <c r="P53" s="70"/>
      <c r="Q53" s="186"/>
    </row>
    <row r="54" spans="1:17" x14ac:dyDescent="0.25">
      <c r="A54" s="115" t="s">
        <v>286</v>
      </c>
      <c r="B54" s="857"/>
      <c r="C54" s="863"/>
      <c r="D54" s="861"/>
      <c r="E54" s="863"/>
      <c r="F54" s="865"/>
      <c r="G54" s="865"/>
      <c r="H54" s="867"/>
      <c r="I54" s="400" t="str">
        <f>IF('Mapa R. Fiscal'!Y57="","",'Mapa R. Fiscal'!Y57)</f>
        <v/>
      </c>
      <c r="J54" s="400" t="str">
        <f>IF('Mapa R. Fiscal'!AA57="","",'Mapa R. Fiscal'!AA57)</f>
        <v/>
      </c>
      <c r="K54" s="436" t="str">
        <f t="shared" si="0"/>
        <v/>
      </c>
      <c r="L54" s="400" t="str">
        <f>IF('Mapa R. Fiscal'!AD57="","",'Mapa R. Fiscal'!AD57)</f>
        <v/>
      </c>
      <c r="M54" s="339" t="str">
        <f>IF('Mapa R. Fiscal'!P57="","",'Mapa R. Fiscal'!P57)</f>
        <v/>
      </c>
      <c r="N54" s="70"/>
      <c r="O54" s="70"/>
      <c r="P54" s="70"/>
      <c r="Q54" s="186"/>
    </row>
    <row r="55" spans="1:17" x14ac:dyDescent="0.25">
      <c r="A55" s="115" t="s">
        <v>287</v>
      </c>
      <c r="B55" s="856"/>
      <c r="C55" s="862" t="str">
        <f>IF('Mapa R. Fiscal'!E58="","",'Mapa R. Fiscal'!E58)</f>
        <v/>
      </c>
      <c r="D55" s="861"/>
      <c r="E55" s="862" t="str">
        <f>IF('Mapa R. Fiscal'!D58="","",'Mapa R. Fiscal'!D58)</f>
        <v/>
      </c>
      <c r="F55" s="864" t="str">
        <f>IF('Mapa R. Fiscal'!H58="","",'Mapa R. Fiscal'!H58)</f>
        <v/>
      </c>
      <c r="G55" s="864" t="str">
        <f>IF('Mapa R. Fiscal'!L58="","",'Mapa R. Fiscal'!L58)</f>
        <v/>
      </c>
      <c r="H55" s="866"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0" t="str">
        <f>IF('Mapa R. Fiscal'!Y58="","",'Mapa R. Fiscal'!Y58)</f>
        <v/>
      </c>
      <c r="J55" s="400" t="str">
        <f>IF('Mapa R. Fiscal'!AA58="","",'Mapa R. Fiscal'!AA58)</f>
        <v/>
      </c>
      <c r="K55" s="436" t="str">
        <f t="shared" si="0"/>
        <v/>
      </c>
      <c r="L55" s="400" t="str">
        <f>IF('Mapa R. Fiscal'!AD58="","",'Mapa R. Fiscal'!AD58)</f>
        <v/>
      </c>
      <c r="M55" s="339" t="str">
        <f>IF('Mapa R. Fiscal'!P58="","",'Mapa R. Fiscal'!P58)</f>
        <v/>
      </c>
      <c r="N55" s="70"/>
      <c r="O55" s="70"/>
      <c r="P55" s="70"/>
      <c r="Q55" s="186"/>
    </row>
    <row r="56" spans="1:17" x14ac:dyDescent="0.25">
      <c r="A56" s="115" t="s">
        <v>288</v>
      </c>
      <c r="B56" s="857"/>
      <c r="C56" s="863"/>
      <c r="D56" s="861"/>
      <c r="E56" s="863"/>
      <c r="F56" s="865"/>
      <c r="G56" s="865"/>
      <c r="H56" s="867"/>
      <c r="I56" s="400" t="str">
        <f>IF('Mapa R. Fiscal'!Y59="","",'Mapa R. Fiscal'!Y59)</f>
        <v/>
      </c>
      <c r="J56" s="400" t="str">
        <f>IF('Mapa R. Fiscal'!AA59="","",'Mapa R. Fiscal'!AA59)</f>
        <v/>
      </c>
      <c r="K56" s="436" t="str">
        <f t="shared" si="0"/>
        <v/>
      </c>
      <c r="L56" s="400" t="str">
        <f>IF('Mapa R. Fiscal'!AD59="","",'Mapa R. Fiscal'!AD59)</f>
        <v/>
      </c>
      <c r="M56" s="339" t="str">
        <f>IF('Mapa R. Fiscal'!P59="","",'Mapa R. Fiscal'!P59)</f>
        <v/>
      </c>
      <c r="N56" s="70"/>
      <c r="O56" s="70"/>
      <c r="P56" s="70"/>
      <c r="Q56" s="186"/>
    </row>
    <row r="57" spans="1:17" x14ac:dyDescent="0.25">
      <c r="A57" s="115" t="s">
        <v>289</v>
      </c>
      <c r="B57" s="857"/>
      <c r="C57" s="863"/>
      <c r="D57" s="861"/>
      <c r="E57" s="863"/>
      <c r="F57" s="865"/>
      <c r="G57" s="865"/>
      <c r="H57" s="867"/>
      <c r="I57" s="400" t="str">
        <f>IF('Mapa R. Fiscal'!Y60="","",'Mapa R. Fiscal'!Y60)</f>
        <v/>
      </c>
      <c r="J57" s="400" t="str">
        <f>IF('Mapa R. Fiscal'!AA60="","",'Mapa R. Fiscal'!AA60)</f>
        <v/>
      </c>
      <c r="K57" s="436" t="str">
        <f t="shared" si="0"/>
        <v/>
      </c>
      <c r="L57" s="400" t="str">
        <f>IF('Mapa R. Fiscal'!AD60="","",'Mapa R. Fiscal'!AD60)</f>
        <v/>
      </c>
      <c r="M57" s="339" t="str">
        <f>IF('Mapa R. Fiscal'!P60="","",'Mapa R. Fiscal'!P60)</f>
        <v/>
      </c>
      <c r="N57" s="70"/>
      <c r="O57" s="70"/>
      <c r="P57" s="70"/>
      <c r="Q57" s="186"/>
    </row>
    <row r="58" spans="1:17" x14ac:dyDescent="0.25">
      <c r="A58" s="115" t="s">
        <v>290</v>
      </c>
      <c r="B58" s="857"/>
      <c r="C58" s="863"/>
      <c r="D58" s="861"/>
      <c r="E58" s="863"/>
      <c r="F58" s="865"/>
      <c r="G58" s="865"/>
      <c r="H58" s="867"/>
      <c r="I58" s="400" t="str">
        <f>IF('Mapa R. Fiscal'!Y61="","",'Mapa R. Fiscal'!Y61)</f>
        <v/>
      </c>
      <c r="J58" s="400" t="str">
        <f>IF('Mapa R. Fiscal'!AA61="","",'Mapa R. Fiscal'!AA61)</f>
        <v/>
      </c>
      <c r="K58" s="436" t="str">
        <f t="shared" si="0"/>
        <v/>
      </c>
      <c r="L58" s="400" t="str">
        <f>IF('Mapa R. Fiscal'!AD61="","",'Mapa R. Fiscal'!AD61)</f>
        <v/>
      </c>
      <c r="M58" s="339" t="str">
        <f>IF('Mapa R. Fiscal'!P61="","",'Mapa R. Fiscal'!P61)</f>
        <v/>
      </c>
      <c r="N58" s="70"/>
      <c r="O58" s="70"/>
      <c r="P58" s="70"/>
      <c r="Q58" s="186"/>
    </row>
    <row r="59" spans="1:17" x14ac:dyDescent="0.25">
      <c r="A59" s="115" t="s">
        <v>291</v>
      </c>
      <c r="B59" s="857"/>
      <c r="C59" s="863"/>
      <c r="D59" s="861"/>
      <c r="E59" s="863"/>
      <c r="F59" s="865"/>
      <c r="G59" s="865"/>
      <c r="H59" s="867"/>
      <c r="I59" s="400" t="str">
        <f>IF('Mapa R. Fiscal'!Y62="","",'Mapa R. Fiscal'!Y62)</f>
        <v/>
      </c>
      <c r="J59" s="400" t="str">
        <f>IF('Mapa R. Fiscal'!AA62="","",'Mapa R. Fiscal'!AA62)</f>
        <v/>
      </c>
      <c r="K59" s="436" t="str">
        <f t="shared" si="0"/>
        <v/>
      </c>
      <c r="L59" s="400" t="str">
        <f>IF('Mapa R. Fiscal'!AD62="","",'Mapa R. Fiscal'!AD62)</f>
        <v/>
      </c>
      <c r="M59" s="339" t="str">
        <f>IF('Mapa R. Fiscal'!P62="","",'Mapa R. Fiscal'!P62)</f>
        <v/>
      </c>
      <c r="N59" s="70"/>
      <c r="O59" s="70"/>
      <c r="P59" s="70"/>
      <c r="Q59" s="186"/>
    </row>
    <row r="60" spans="1:17" x14ac:dyDescent="0.25">
      <c r="A60" s="115" t="s">
        <v>292</v>
      </c>
      <c r="B60" s="857"/>
      <c r="C60" s="863"/>
      <c r="D60" s="861"/>
      <c r="E60" s="863"/>
      <c r="F60" s="865"/>
      <c r="G60" s="865"/>
      <c r="H60" s="867"/>
      <c r="I60" s="400" t="str">
        <f>IF('Mapa R. Fiscal'!Y63="","",'Mapa R. Fiscal'!Y63)</f>
        <v/>
      </c>
      <c r="J60" s="400" t="str">
        <f>IF('Mapa R. Fiscal'!AA63="","",'Mapa R. Fiscal'!AA63)</f>
        <v/>
      </c>
      <c r="K60" s="436" t="str">
        <f t="shared" si="0"/>
        <v/>
      </c>
      <c r="L60" s="400" t="str">
        <f>IF('Mapa R. Fiscal'!AD63="","",'Mapa R. Fiscal'!AD63)</f>
        <v/>
      </c>
      <c r="M60" s="339" t="str">
        <f>IF('Mapa R. Fiscal'!P63="","",'Mapa R. Fiscal'!P63)</f>
        <v/>
      </c>
      <c r="N60" s="70"/>
      <c r="O60" s="70"/>
      <c r="P60" s="70"/>
      <c r="Q60" s="186"/>
    </row>
    <row r="61" spans="1:17" x14ac:dyDescent="0.25">
      <c r="A61" s="115" t="s">
        <v>293</v>
      </c>
      <c r="B61" s="856"/>
      <c r="C61" s="862" t="str">
        <f>IF('Mapa R. Fiscal'!E64="","",'Mapa R. Fiscal'!E64)</f>
        <v/>
      </c>
      <c r="D61" s="860"/>
      <c r="E61" s="862" t="str">
        <f>IF('Mapa R. Fiscal'!D64="","",'Mapa R. Fiscal'!D64)</f>
        <v/>
      </c>
      <c r="F61" s="864" t="str">
        <f>IF('Mapa R. Fiscal'!H64="","",'Mapa R. Fiscal'!H64)</f>
        <v/>
      </c>
      <c r="G61" s="864" t="str">
        <f>IF('Mapa R. Fiscal'!L64="","",'Mapa R. Fiscal'!L64)</f>
        <v/>
      </c>
      <c r="H61" s="866"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0" t="str">
        <f>IF('Mapa R. Fiscal'!Y64="","",'Mapa R. Fiscal'!Y64)</f>
        <v/>
      </c>
      <c r="J61" s="400" t="str">
        <f>IF('Mapa R. Fiscal'!AA64="","",'Mapa R. Fiscal'!AA64)</f>
        <v/>
      </c>
      <c r="K61" s="436" t="str">
        <f t="shared" si="0"/>
        <v/>
      </c>
      <c r="L61" s="400" t="str">
        <f>IF('Mapa R. Fiscal'!AD64="","",'Mapa R. Fiscal'!AD64)</f>
        <v/>
      </c>
      <c r="M61" s="339" t="str">
        <f>IF('Mapa R. Fiscal'!P64="","",'Mapa R. Fiscal'!P64)</f>
        <v/>
      </c>
      <c r="N61" s="70"/>
      <c r="O61" s="70"/>
      <c r="P61" s="70"/>
      <c r="Q61" s="186"/>
    </row>
    <row r="62" spans="1:17" x14ac:dyDescent="0.25">
      <c r="A62" s="115" t="s">
        <v>294</v>
      </c>
      <c r="B62" s="857"/>
      <c r="C62" s="863"/>
      <c r="D62" s="861"/>
      <c r="E62" s="863"/>
      <c r="F62" s="865"/>
      <c r="G62" s="865"/>
      <c r="H62" s="867"/>
      <c r="I62" s="400" t="str">
        <f>IF('Mapa R. Fiscal'!Y65="","",'Mapa R. Fiscal'!Y65)</f>
        <v/>
      </c>
      <c r="J62" s="400" t="str">
        <f>IF('Mapa R. Fiscal'!AA65="","",'Mapa R. Fiscal'!AA65)</f>
        <v/>
      </c>
      <c r="K62" s="436" t="str">
        <f t="shared" si="0"/>
        <v/>
      </c>
      <c r="L62" s="400" t="str">
        <f>IF('Mapa R. Fiscal'!AD65="","",'Mapa R. Fiscal'!AD65)</f>
        <v/>
      </c>
      <c r="M62" s="339" t="str">
        <f>IF('Mapa R. Fiscal'!P65="","",'Mapa R. Fiscal'!P65)</f>
        <v/>
      </c>
      <c r="N62" s="70"/>
      <c r="O62" s="70"/>
      <c r="P62" s="70"/>
      <c r="Q62" s="186"/>
    </row>
    <row r="63" spans="1:17" x14ac:dyDescent="0.25">
      <c r="A63" s="115" t="s">
        <v>295</v>
      </c>
      <c r="B63" s="857"/>
      <c r="C63" s="863"/>
      <c r="D63" s="861"/>
      <c r="E63" s="863"/>
      <c r="F63" s="865"/>
      <c r="G63" s="865"/>
      <c r="H63" s="867"/>
      <c r="I63" s="400" t="str">
        <f>IF('Mapa R. Fiscal'!Y66="","",'Mapa R. Fiscal'!Y66)</f>
        <v/>
      </c>
      <c r="J63" s="400" t="str">
        <f>IF('Mapa R. Fiscal'!AA66="","",'Mapa R. Fiscal'!AA66)</f>
        <v/>
      </c>
      <c r="K63" s="436" t="str">
        <f t="shared" si="0"/>
        <v/>
      </c>
      <c r="L63" s="400" t="str">
        <f>IF('Mapa R. Fiscal'!AD66="","",'Mapa R. Fiscal'!AD66)</f>
        <v/>
      </c>
      <c r="M63" s="339" t="str">
        <f>IF('Mapa R. Fiscal'!P66="","",'Mapa R. Fiscal'!P66)</f>
        <v/>
      </c>
      <c r="N63" s="70"/>
      <c r="O63" s="70"/>
      <c r="P63" s="70"/>
      <c r="Q63" s="186"/>
    </row>
    <row r="64" spans="1:17" x14ac:dyDescent="0.25">
      <c r="A64" s="115" t="s">
        <v>296</v>
      </c>
      <c r="B64" s="857"/>
      <c r="C64" s="863"/>
      <c r="D64" s="861"/>
      <c r="E64" s="863"/>
      <c r="F64" s="865"/>
      <c r="G64" s="865"/>
      <c r="H64" s="867"/>
      <c r="I64" s="400" t="str">
        <f>IF('Mapa R. Fiscal'!Y67="","",'Mapa R. Fiscal'!Y67)</f>
        <v/>
      </c>
      <c r="J64" s="400" t="str">
        <f>IF('Mapa R. Fiscal'!AA67="","",'Mapa R. Fiscal'!AA67)</f>
        <v/>
      </c>
      <c r="K64" s="436" t="str">
        <f t="shared" si="0"/>
        <v/>
      </c>
      <c r="L64" s="400" t="str">
        <f>IF('Mapa R. Fiscal'!AD67="","",'Mapa R. Fiscal'!AD67)</f>
        <v/>
      </c>
      <c r="M64" s="339" t="str">
        <f>IF('Mapa R. Fiscal'!P67="","",'Mapa R. Fiscal'!P67)</f>
        <v/>
      </c>
      <c r="N64" s="70"/>
      <c r="O64" s="70"/>
      <c r="P64" s="70"/>
      <c r="Q64" s="186"/>
    </row>
    <row r="65" spans="1:17" x14ac:dyDescent="0.25">
      <c r="A65" s="115" t="s">
        <v>297</v>
      </c>
      <c r="B65" s="857"/>
      <c r="C65" s="863"/>
      <c r="D65" s="861"/>
      <c r="E65" s="863"/>
      <c r="F65" s="865"/>
      <c r="G65" s="865"/>
      <c r="H65" s="867"/>
      <c r="I65" s="400" t="str">
        <f>IF('Mapa R. Fiscal'!Y68="","",'Mapa R. Fiscal'!Y68)</f>
        <v/>
      </c>
      <c r="J65" s="400" t="str">
        <f>IF('Mapa R. Fiscal'!AA68="","",'Mapa R. Fiscal'!AA68)</f>
        <v/>
      </c>
      <c r="K65" s="436" t="str">
        <f t="shared" si="0"/>
        <v/>
      </c>
      <c r="L65" s="400" t="str">
        <f>IF('Mapa R. Fiscal'!AD68="","",'Mapa R. Fiscal'!AD68)</f>
        <v/>
      </c>
      <c r="M65" s="339" t="str">
        <f>IF('Mapa R. Fiscal'!P68="","",'Mapa R. Fiscal'!P68)</f>
        <v/>
      </c>
      <c r="N65" s="70"/>
      <c r="O65" s="70"/>
      <c r="P65" s="70"/>
      <c r="Q65" s="186"/>
    </row>
    <row r="66" spans="1:17" x14ac:dyDescent="0.25">
      <c r="A66" s="115" t="s">
        <v>298</v>
      </c>
      <c r="B66" s="857"/>
      <c r="C66" s="863"/>
      <c r="D66" s="861"/>
      <c r="E66" s="863"/>
      <c r="F66" s="865"/>
      <c r="G66" s="865"/>
      <c r="H66" s="867"/>
      <c r="I66" s="400" t="str">
        <f>IF('Mapa R. Fiscal'!Y69="","",'Mapa R. Fiscal'!Y69)</f>
        <v/>
      </c>
      <c r="J66" s="400" t="str">
        <f>IF('Mapa R. Fiscal'!AA69="","",'Mapa R. Fiscal'!AA69)</f>
        <v/>
      </c>
      <c r="K66" s="436" t="str">
        <f t="shared" si="0"/>
        <v/>
      </c>
      <c r="L66" s="400" t="str">
        <f>IF('Mapa R. Fiscal'!AD69="","",'Mapa R. Fiscal'!AD69)</f>
        <v/>
      </c>
      <c r="M66" s="339" t="str">
        <f>IF('Mapa R. Fiscal'!P69="","",'Mapa R. Fiscal'!P69)</f>
        <v/>
      </c>
      <c r="N66" s="70"/>
      <c r="O66" s="70"/>
      <c r="P66" s="70"/>
      <c r="Q66" s="186"/>
    </row>
    <row r="67" spans="1:17" x14ac:dyDescent="0.25">
      <c r="A67" s="115" t="s">
        <v>299</v>
      </c>
      <c r="B67" s="856"/>
      <c r="C67" s="862" t="str">
        <f>IF('Mapa R. Fiscal'!E70="","",'Mapa R. Fiscal'!E70)</f>
        <v/>
      </c>
      <c r="D67" s="860"/>
      <c r="E67" s="862" t="str">
        <f>IF('Mapa R. Fiscal'!D70="","",'Mapa R. Fiscal'!D70)</f>
        <v/>
      </c>
      <c r="F67" s="864" t="str">
        <f>IF('Mapa R. Fiscal'!H70="","",'Mapa R. Fiscal'!H70)</f>
        <v/>
      </c>
      <c r="G67" s="864" t="str">
        <f>IF('Mapa R. Fiscal'!L70="","",'Mapa R. Fiscal'!L70)</f>
        <v/>
      </c>
      <c r="H67" s="866"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0" t="str">
        <f>IF('Mapa R. Fiscal'!Y70="","",'Mapa R. Fiscal'!Y70)</f>
        <v/>
      </c>
      <c r="J67" s="400" t="str">
        <f>IF('Mapa R. Fiscal'!AA70="","",'Mapa R. Fiscal'!AA70)</f>
        <v/>
      </c>
      <c r="K67" s="436" t="str">
        <f t="shared" si="0"/>
        <v/>
      </c>
      <c r="L67" s="400" t="str">
        <f>IF('Mapa R. Fiscal'!AD70="","",'Mapa R. Fiscal'!AD70)</f>
        <v/>
      </c>
      <c r="M67" s="339" t="str">
        <f>IF('Mapa R. Fiscal'!P70="","",'Mapa R. Fiscal'!P70)</f>
        <v/>
      </c>
      <c r="N67" s="70"/>
      <c r="O67" s="70"/>
      <c r="P67" s="70"/>
      <c r="Q67" s="186"/>
    </row>
    <row r="68" spans="1:17" x14ac:dyDescent="0.25">
      <c r="A68" s="115" t="s">
        <v>300</v>
      </c>
      <c r="B68" s="857"/>
      <c r="C68" s="863"/>
      <c r="D68" s="861"/>
      <c r="E68" s="863"/>
      <c r="F68" s="865"/>
      <c r="G68" s="865"/>
      <c r="H68" s="867"/>
      <c r="I68" s="400" t="str">
        <f>IF('Mapa R. Fiscal'!Y71="","",'Mapa R. Fiscal'!Y71)</f>
        <v/>
      </c>
      <c r="J68" s="400" t="str">
        <f>IF('Mapa R. Fiscal'!AA71="","",'Mapa R. Fiscal'!AA71)</f>
        <v/>
      </c>
      <c r="K68" s="436" t="str">
        <f t="shared" si="0"/>
        <v/>
      </c>
      <c r="L68" s="400" t="str">
        <f>IF('Mapa R. Fiscal'!AD71="","",'Mapa R. Fiscal'!AD71)</f>
        <v/>
      </c>
      <c r="M68" s="339" t="str">
        <f>IF('Mapa R. Fiscal'!P71="","",'Mapa R. Fiscal'!P71)</f>
        <v/>
      </c>
      <c r="N68" s="70"/>
      <c r="O68" s="70"/>
      <c r="P68" s="70"/>
      <c r="Q68" s="186"/>
    </row>
    <row r="69" spans="1:17" x14ac:dyDescent="0.25">
      <c r="A69" s="115" t="s">
        <v>301</v>
      </c>
      <c r="B69" s="857"/>
      <c r="C69" s="863"/>
      <c r="D69" s="861"/>
      <c r="E69" s="863"/>
      <c r="F69" s="865"/>
      <c r="G69" s="865"/>
      <c r="H69" s="867"/>
      <c r="I69" s="400" t="str">
        <f>IF('Mapa R. Fiscal'!Y72="","",'Mapa R. Fiscal'!Y72)</f>
        <v/>
      </c>
      <c r="J69" s="400" t="str">
        <f>IF('Mapa R. Fiscal'!AA72="","",'Mapa R. Fiscal'!AA72)</f>
        <v/>
      </c>
      <c r="K69" s="436" t="str">
        <f t="shared" si="0"/>
        <v/>
      </c>
      <c r="L69" s="400" t="str">
        <f>IF('Mapa R. Fiscal'!AD72="","",'Mapa R. Fiscal'!AD72)</f>
        <v/>
      </c>
      <c r="M69" s="339" t="str">
        <f>IF('Mapa R. Fiscal'!P72="","",'Mapa R. Fiscal'!P72)</f>
        <v/>
      </c>
      <c r="N69" s="70"/>
      <c r="O69" s="70"/>
      <c r="P69" s="70"/>
      <c r="Q69" s="186"/>
    </row>
    <row r="70" spans="1:17" x14ac:dyDescent="0.25">
      <c r="A70" s="115" t="s">
        <v>302</v>
      </c>
      <c r="B70" s="857"/>
      <c r="C70" s="863"/>
      <c r="D70" s="861"/>
      <c r="E70" s="863"/>
      <c r="F70" s="865"/>
      <c r="G70" s="865"/>
      <c r="H70" s="867"/>
      <c r="I70" s="400" t="str">
        <f>IF('Mapa R. Fiscal'!Y73="","",'Mapa R. Fiscal'!Y73)</f>
        <v/>
      </c>
      <c r="J70" s="400" t="str">
        <f>IF('Mapa R. Fiscal'!AA73="","",'Mapa R. Fiscal'!AA73)</f>
        <v/>
      </c>
      <c r="K70" s="436" t="str">
        <f t="shared" si="0"/>
        <v/>
      </c>
      <c r="L70" s="400" t="str">
        <f>IF('Mapa R. Fiscal'!AD73="","",'Mapa R. Fiscal'!AD73)</f>
        <v/>
      </c>
      <c r="M70" s="339" t="str">
        <f>IF('Mapa R. Fiscal'!P73="","",'Mapa R. Fiscal'!P73)</f>
        <v/>
      </c>
      <c r="N70" s="70"/>
      <c r="O70" s="70"/>
      <c r="P70" s="70"/>
      <c r="Q70" s="186"/>
    </row>
    <row r="71" spans="1:17" x14ac:dyDescent="0.25">
      <c r="A71" s="115" t="s">
        <v>303</v>
      </c>
      <c r="B71" s="857"/>
      <c r="C71" s="863"/>
      <c r="D71" s="861"/>
      <c r="E71" s="863"/>
      <c r="F71" s="865"/>
      <c r="G71" s="865"/>
      <c r="H71" s="867"/>
      <c r="I71" s="400" t="str">
        <f>IF('Mapa R. Fiscal'!Y74="","",'Mapa R. Fiscal'!Y74)</f>
        <v/>
      </c>
      <c r="J71" s="400" t="str">
        <f>IF('Mapa R. Fiscal'!AA74="","",'Mapa R. Fiscal'!AA74)</f>
        <v/>
      </c>
      <c r="K71" s="436"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0" t="str">
        <f>IF('Mapa R. Fiscal'!AD74="","",'Mapa R. Fiscal'!AD74)</f>
        <v/>
      </c>
      <c r="M71" s="339" t="str">
        <f>IF('Mapa R. Fiscal'!P74="","",'Mapa R. Fiscal'!P74)</f>
        <v/>
      </c>
      <c r="N71" s="70"/>
      <c r="O71" s="70"/>
      <c r="P71" s="70"/>
      <c r="Q71" s="186"/>
    </row>
    <row r="72" spans="1:17" x14ac:dyDescent="0.25">
      <c r="A72" s="115" t="s">
        <v>304</v>
      </c>
      <c r="B72" s="857"/>
      <c r="C72" s="863"/>
      <c r="D72" s="861"/>
      <c r="E72" s="863"/>
      <c r="F72" s="865"/>
      <c r="G72" s="865"/>
      <c r="H72" s="867"/>
      <c r="I72" s="400" t="str">
        <f>IF('Mapa R. Fiscal'!Y75="","",'Mapa R. Fiscal'!Y75)</f>
        <v/>
      </c>
      <c r="J72" s="400" t="str">
        <f>IF('Mapa R. Fiscal'!AA75="","",'Mapa R. Fiscal'!AA75)</f>
        <v/>
      </c>
      <c r="K72" s="436" t="str">
        <f t="shared" si="12"/>
        <v/>
      </c>
      <c r="L72" s="400" t="str">
        <f>IF('Mapa R. Fiscal'!AD75="","",'Mapa R. Fiscal'!AD75)</f>
        <v/>
      </c>
      <c r="M72" s="339" t="str">
        <f>IF('Mapa R. Fiscal'!P75="","",'Mapa R. Fiscal'!P75)</f>
        <v/>
      </c>
      <c r="N72" s="70"/>
      <c r="O72" s="70"/>
      <c r="P72" s="70"/>
      <c r="Q72" s="186"/>
    </row>
    <row r="73" spans="1:17" x14ac:dyDescent="0.25">
      <c r="A73" s="115" t="s">
        <v>305</v>
      </c>
      <c r="B73" s="856"/>
      <c r="C73" s="862" t="str">
        <f>IF('Mapa R. Fiscal'!E76="","",'Mapa R. Fiscal'!E76)</f>
        <v/>
      </c>
      <c r="D73" s="860"/>
      <c r="E73" s="862" t="str">
        <f>IF('Mapa R. Fiscal'!D76="","",'Mapa R. Fiscal'!D76)</f>
        <v/>
      </c>
      <c r="F73" s="864" t="str">
        <f>IF('Mapa R. Fiscal'!H76="","",'Mapa R. Fiscal'!H76)</f>
        <v/>
      </c>
      <c r="G73" s="864" t="str">
        <f>IF('Mapa R. Fiscal'!L76="","",'Mapa R. Fiscal'!L76)</f>
        <v/>
      </c>
      <c r="H73" s="866"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0" t="str">
        <f>IF('Mapa R. Fiscal'!Y76="","",'Mapa R. Fiscal'!Y76)</f>
        <v/>
      </c>
      <c r="J73" s="400" t="str">
        <f>IF('Mapa R. Fiscal'!AA76="","",'Mapa R. Fiscal'!AA76)</f>
        <v/>
      </c>
      <c r="K73" s="436" t="str">
        <f t="shared" si="12"/>
        <v/>
      </c>
      <c r="L73" s="400" t="str">
        <f>IF('Mapa R. Fiscal'!AD76="","",'Mapa R. Fiscal'!AD76)</f>
        <v/>
      </c>
      <c r="M73" s="339" t="str">
        <f>IF('Mapa R. Fiscal'!P76="","",'Mapa R. Fiscal'!P76)</f>
        <v/>
      </c>
      <c r="N73" s="70"/>
      <c r="O73" s="70"/>
      <c r="P73" s="70"/>
      <c r="Q73" s="186"/>
    </row>
    <row r="74" spans="1:17" x14ac:dyDescent="0.25">
      <c r="A74" s="115" t="s">
        <v>306</v>
      </c>
      <c r="B74" s="857"/>
      <c r="C74" s="863"/>
      <c r="D74" s="861"/>
      <c r="E74" s="863"/>
      <c r="F74" s="865"/>
      <c r="G74" s="865"/>
      <c r="H74" s="867"/>
      <c r="I74" s="400" t="str">
        <f>IF('Mapa R. Fiscal'!Y77="","",'Mapa R. Fiscal'!Y77)</f>
        <v/>
      </c>
      <c r="J74" s="400" t="str">
        <f>IF('Mapa R. Fiscal'!AA77="","",'Mapa R. Fiscal'!AA77)</f>
        <v/>
      </c>
      <c r="K74" s="436" t="str">
        <f t="shared" si="12"/>
        <v/>
      </c>
      <c r="L74" s="400" t="str">
        <f>IF('Mapa R. Fiscal'!AD77="","",'Mapa R. Fiscal'!AD77)</f>
        <v/>
      </c>
      <c r="M74" s="339" t="str">
        <f>IF('Mapa R. Fiscal'!P77="","",'Mapa R. Fiscal'!P77)</f>
        <v/>
      </c>
      <c r="N74" s="70"/>
      <c r="O74" s="70"/>
      <c r="P74" s="70"/>
      <c r="Q74" s="186"/>
    </row>
    <row r="75" spans="1:17" x14ac:dyDescent="0.25">
      <c r="A75" s="115" t="s">
        <v>307</v>
      </c>
      <c r="B75" s="857"/>
      <c r="C75" s="863"/>
      <c r="D75" s="861"/>
      <c r="E75" s="863"/>
      <c r="F75" s="865"/>
      <c r="G75" s="865"/>
      <c r="H75" s="867"/>
      <c r="I75" s="400" t="str">
        <f>IF('Mapa R. Fiscal'!Y78="","",'Mapa R. Fiscal'!Y78)</f>
        <v/>
      </c>
      <c r="J75" s="400" t="str">
        <f>IF('Mapa R. Fiscal'!AA78="","",'Mapa R. Fiscal'!AA78)</f>
        <v/>
      </c>
      <c r="K75" s="436" t="str">
        <f t="shared" si="12"/>
        <v/>
      </c>
      <c r="L75" s="400" t="str">
        <f>IF('Mapa R. Fiscal'!AD78="","",'Mapa R. Fiscal'!AD78)</f>
        <v/>
      </c>
      <c r="M75" s="339" t="str">
        <f>IF('Mapa R. Fiscal'!P78="","",'Mapa R. Fiscal'!P78)</f>
        <v/>
      </c>
      <c r="N75" s="70"/>
      <c r="O75" s="70"/>
      <c r="P75" s="70"/>
      <c r="Q75" s="186"/>
    </row>
    <row r="76" spans="1:17" x14ac:dyDescent="0.25">
      <c r="A76" s="115" t="s">
        <v>308</v>
      </c>
      <c r="B76" s="857"/>
      <c r="C76" s="863"/>
      <c r="D76" s="861"/>
      <c r="E76" s="863"/>
      <c r="F76" s="865"/>
      <c r="G76" s="865"/>
      <c r="H76" s="867"/>
      <c r="I76" s="400" t="str">
        <f>IF('Mapa R. Fiscal'!Y79="","",'Mapa R. Fiscal'!Y79)</f>
        <v/>
      </c>
      <c r="J76" s="400" t="str">
        <f>IF('Mapa R. Fiscal'!AA79="","",'Mapa R. Fiscal'!AA79)</f>
        <v/>
      </c>
      <c r="K76" s="436" t="str">
        <f t="shared" si="12"/>
        <v/>
      </c>
      <c r="L76" s="400" t="str">
        <f>IF('Mapa R. Fiscal'!AD79="","",'Mapa R. Fiscal'!AD79)</f>
        <v/>
      </c>
      <c r="M76" s="339" t="str">
        <f>IF('Mapa R. Fiscal'!P79="","",'Mapa R. Fiscal'!P79)</f>
        <v/>
      </c>
      <c r="N76" s="70"/>
      <c r="O76" s="70"/>
      <c r="P76" s="70"/>
      <c r="Q76" s="186"/>
    </row>
    <row r="77" spans="1:17" x14ac:dyDescent="0.25">
      <c r="A77" s="115" t="s">
        <v>309</v>
      </c>
      <c r="B77" s="857"/>
      <c r="C77" s="863"/>
      <c r="D77" s="861"/>
      <c r="E77" s="863"/>
      <c r="F77" s="865"/>
      <c r="G77" s="865"/>
      <c r="H77" s="867"/>
      <c r="I77" s="400" t="str">
        <f>IF('Mapa R. Fiscal'!Y80="","",'Mapa R. Fiscal'!Y80)</f>
        <v/>
      </c>
      <c r="J77" s="400" t="str">
        <f>IF('Mapa R. Fiscal'!AA80="","",'Mapa R. Fiscal'!AA80)</f>
        <v/>
      </c>
      <c r="K77" s="436" t="str">
        <f t="shared" si="12"/>
        <v/>
      </c>
      <c r="L77" s="400" t="str">
        <f>IF('Mapa R. Fiscal'!AD80="","",'Mapa R. Fiscal'!AD80)</f>
        <v/>
      </c>
      <c r="M77" s="339" t="str">
        <f>IF('Mapa R. Fiscal'!P80="","",'Mapa R. Fiscal'!P80)</f>
        <v/>
      </c>
      <c r="N77" s="70"/>
      <c r="O77" s="70"/>
      <c r="P77" s="70"/>
      <c r="Q77" s="186"/>
    </row>
    <row r="78" spans="1:17" x14ac:dyDescent="0.25">
      <c r="A78" s="115" t="s">
        <v>310</v>
      </c>
      <c r="B78" s="857"/>
      <c r="C78" s="863"/>
      <c r="D78" s="861"/>
      <c r="E78" s="863"/>
      <c r="F78" s="865"/>
      <c r="G78" s="865"/>
      <c r="H78" s="867"/>
      <c r="I78" s="400" t="str">
        <f>IF('Mapa R. Fiscal'!Y81="","",'Mapa R. Fiscal'!Y81)</f>
        <v/>
      </c>
      <c r="J78" s="400" t="str">
        <f>IF('Mapa R. Fiscal'!AA81="","",'Mapa R. Fiscal'!AA81)</f>
        <v/>
      </c>
      <c r="K78" s="436" t="str">
        <f t="shared" si="12"/>
        <v/>
      </c>
      <c r="L78" s="400" t="str">
        <f>IF('Mapa R. Fiscal'!AD81="","",'Mapa R. Fiscal'!AD81)</f>
        <v/>
      </c>
      <c r="M78" s="339" t="str">
        <f>IF('Mapa R. Fiscal'!P81="","",'Mapa R. Fiscal'!P81)</f>
        <v/>
      </c>
      <c r="N78" s="70"/>
      <c r="O78" s="70"/>
      <c r="P78" s="70"/>
      <c r="Q78" s="186"/>
    </row>
    <row r="79" spans="1:17" x14ac:dyDescent="0.25">
      <c r="A79" s="115" t="s">
        <v>311</v>
      </c>
      <c r="B79" s="856"/>
      <c r="C79" s="862" t="str">
        <f>IF('Mapa R. Fiscal'!E82="","",'Mapa R. Fiscal'!E82)</f>
        <v/>
      </c>
      <c r="D79" s="860"/>
      <c r="E79" s="862" t="str">
        <f>IF('Mapa R. Fiscal'!D82="","",'Mapa R. Fiscal'!D82)</f>
        <v/>
      </c>
      <c r="F79" s="864" t="str">
        <f>IF('Mapa R. Fiscal'!H82="","",'Mapa R. Fiscal'!H82)</f>
        <v/>
      </c>
      <c r="G79" s="864" t="str">
        <f>IF('Mapa R. Fiscal'!L82="","",'Mapa R. Fiscal'!L82)</f>
        <v/>
      </c>
      <c r="H79" s="866"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0" t="str">
        <f>IF('Mapa R. Fiscal'!Y82="","",'Mapa R. Fiscal'!Y82)</f>
        <v/>
      </c>
      <c r="J79" s="400" t="str">
        <f>IF('Mapa R. Fiscal'!AA82="","",'Mapa R. Fiscal'!AA82)</f>
        <v/>
      </c>
      <c r="K79" s="436" t="str">
        <f t="shared" si="12"/>
        <v/>
      </c>
      <c r="L79" s="400" t="str">
        <f>IF('Mapa R. Fiscal'!AD82="","",'Mapa R. Fiscal'!AD82)</f>
        <v/>
      </c>
      <c r="M79" s="339" t="str">
        <f>IF('Mapa R. Fiscal'!P82="","",'Mapa R. Fiscal'!P82)</f>
        <v/>
      </c>
      <c r="N79" s="70"/>
      <c r="O79" s="70"/>
      <c r="P79" s="70"/>
      <c r="Q79" s="186"/>
    </row>
    <row r="80" spans="1:17" x14ac:dyDescent="0.25">
      <c r="A80" s="115" t="s">
        <v>312</v>
      </c>
      <c r="B80" s="857"/>
      <c r="C80" s="863"/>
      <c r="D80" s="861"/>
      <c r="E80" s="863"/>
      <c r="F80" s="865"/>
      <c r="G80" s="865"/>
      <c r="H80" s="867"/>
      <c r="I80" s="400" t="str">
        <f>IF('Mapa R. Fiscal'!Y83="","",'Mapa R. Fiscal'!Y83)</f>
        <v/>
      </c>
      <c r="J80" s="400" t="str">
        <f>IF('Mapa R. Fiscal'!AA83="","",'Mapa R. Fiscal'!AA83)</f>
        <v/>
      </c>
      <c r="K80" s="436" t="str">
        <f t="shared" si="12"/>
        <v/>
      </c>
      <c r="L80" s="400" t="str">
        <f>IF('Mapa R. Fiscal'!AD83="","",'Mapa R. Fiscal'!AD83)</f>
        <v/>
      </c>
      <c r="M80" s="339" t="str">
        <f>IF('Mapa R. Fiscal'!P83="","",'Mapa R. Fiscal'!P83)</f>
        <v/>
      </c>
      <c r="N80" s="70"/>
      <c r="O80" s="70"/>
      <c r="P80" s="70"/>
      <c r="Q80" s="186"/>
    </row>
    <row r="81" spans="1:17" x14ac:dyDescent="0.25">
      <c r="A81" s="115" t="s">
        <v>313</v>
      </c>
      <c r="B81" s="857"/>
      <c r="C81" s="863"/>
      <c r="D81" s="861"/>
      <c r="E81" s="863"/>
      <c r="F81" s="865"/>
      <c r="G81" s="865"/>
      <c r="H81" s="867"/>
      <c r="I81" s="400" t="str">
        <f>IF('Mapa R. Fiscal'!Y84="","",'Mapa R. Fiscal'!Y84)</f>
        <v/>
      </c>
      <c r="J81" s="400" t="str">
        <f>IF('Mapa R. Fiscal'!AA84="","",'Mapa R. Fiscal'!AA84)</f>
        <v/>
      </c>
      <c r="K81" s="436" t="str">
        <f t="shared" si="12"/>
        <v/>
      </c>
      <c r="L81" s="400" t="str">
        <f>IF('Mapa R. Fiscal'!AD84="","",'Mapa R. Fiscal'!AD84)</f>
        <v/>
      </c>
      <c r="M81" s="339" t="str">
        <f>IF('Mapa R. Fiscal'!P84="","",'Mapa R. Fiscal'!P84)</f>
        <v/>
      </c>
      <c r="N81" s="70"/>
      <c r="O81" s="70"/>
      <c r="P81" s="70"/>
      <c r="Q81" s="186"/>
    </row>
    <row r="82" spans="1:17" x14ac:dyDescent="0.25">
      <c r="A82" s="115" t="s">
        <v>314</v>
      </c>
      <c r="B82" s="857"/>
      <c r="C82" s="863"/>
      <c r="D82" s="861"/>
      <c r="E82" s="863"/>
      <c r="F82" s="865"/>
      <c r="G82" s="865"/>
      <c r="H82" s="867"/>
      <c r="I82" s="400" t="str">
        <f>IF('Mapa R. Fiscal'!Y85="","",'Mapa R. Fiscal'!Y85)</f>
        <v/>
      </c>
      <c r="J82" s="400" t="str">
        <f>IF('Mapa R. Fiscal'!AA85="","",'Mapa R. Fiscal'!AA85)</f>
        <v/>
      </c>
      <c r="K82" s="436" t="str">
        <f t="shared" si="12"/>
        <v/>
      </c>
      <c r="L82" s="400" t="str">
        <f>IF('Mapa R. Fiscal'!AD85="","",'Mapa R. Fiscal'!AD85)</f>
        <v/>
      </c>
      <c r="M82" s="339" t="str">
        <f>IF('Mapa R. Fiscal'!P85="","",'Mapa R. Fiscal'!P85)</f>
        <v/>
      </c>
      <c r="N82" s="70"/>
      <c r="O82" s="70"/>
      <c r="P82" s="70"/>
      <c r="Q82" s="186"/>
    </row>
    <row r="83" spans="1:17" x14ac:dyDescent="0.25">
      <c r="A83" s="115" t="s">
        <v>315</v>
      </c>
      <c r="B83" s="857"/>
      <c r="C83" s="863"/>
      <c r="D83" s="861"/>
      <c r="E83" s="863"/>
      <c r="F83" s="865"/>
      <c r="G83" s="865"/>
      <c r="H83" s="867"/>
      <c r="I83" s="400" t="str">
        <f>IF('Mapa R. Fiscal'!Y86="","",'Mapa R. Fiscal'!Y86)</f>
        <v/>
      </c>
      <c r="J83" s="400" t="str">
        <f>IF('Mapa R. Fiscal'!AA86="","",'Mapa R. Fiscal'!AA86)</f>
        <v/>
      </c>
      <c r="K83" s="436" t="str">
        <f t="shared" si="12"/>
        <v/>
      </c>
      <c r="L83" s="400" t="str">
        <f>IF('Mapa R. Fiscal'!AD86="","",'Mapa R. Fiscal'!AD86)</f>
        <v/>
      </c>
      <c r="M83" s="339" t="str">
        <f>IF('Mapa R. Fiscal'!P86="","",'Mapa R. Fiscal'!P86)</f>
        <v/>
      </c>
      <c r="N83" s="70"/>
      <c r="O83" s="70"/>
      <c r="P83" s="70"/>
      <c r="Q83" s="186"/>
    </row>
    <row r="84" spans="1:17" x14ac:dyDescent="0.25">
      <c r="A84" s="115" t="s">
        <v>316</v>
      </c>
      <c r="B84" s="857"/>
      <c r="C84" s="863"/>
      <c r="D84" s="861"/>
      <c r="E84" s="863"/>
      <c r="F84" s="865"/>
      <c r="G84" s="865"/>
      <c r="H84" s="867"/>
      <c r="I84" s="400" t="str">
        <f>IF('Mapa R. Fiscal'!Y87="","",'Mapa R. Fiscal'!Y87)</f>
        <v/>
      </c>
      <c r="J84" s="400" t="str">
        <f>IF('Mapa R. Fiscal'!AA87="","",'Mapa R. Fiscal'!AA87)</f>
        <v/>
      </c>
      <c r="K84" s="436" t="str">
        <f t="shared" si="12"/>
        <v/>
      </c>
      <c r="L84" s="400" t="str">
        <f>IF('Mapa R. Fiscal'!AD87="","",'Mapa R. Fiscal'!AD87)</f>
        <v/>
      </c>
      <c r="M84" s="339" t="str">
        <f>IF('Mapa R. Fiscal'!P87="","",'Mapa R. Fiscal'!P87)</f>
        <v/>
      </c>
      <c r="N84" s="70"/>
      <c r="O84" s="70"/>
      <c r="P84" s="70"/>
      <c r="Q84" s="186"/>
    </row>
    <row r="85" spans="1:17" x14ac:dyDescent="0.25">
      <c r="A85" s="115" t="s">
        <v>317</v>
      </c>
      <c r="B85" s="856"/>
      <c r="C85" s="862" t="str">
        <f>IF('Mapa R. Fiscal'!E88="","",'Mapa R. Fiscal'!E88)</f>
        <v/>
      </c>
      <c r="D85" s="860"/>
      <c r="E85" s="862" t="str">
        <f>IF('Mapa R. Fiscal'!D88="","",'Mapa R. Fiscal'!D88)</f>
        <v/>
      </c>
      <c r="F85" s="864" t="str">
        <f>IF('Mapa R. Fiscal'!H88="","",'Mapa R. Fiscal'!H88)</f>
        <v/>
      </c>
      <c r="G85" s="864" t="str">
        <f>IF('Mapa R. Fiscal'!L88="","",'Mapa R. Fiscal'!L88)</f>
        <v/>
      </c>
      <c r="H85" s="866"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0" t="str">
        <f>IF('Mapa R. Fiscal'!Y88="","",'Mapa R. Fiscal'!Y88)</f>
        <v/>
      </c>
      <c r="J85" s="400" t="str">
        <f>IF('Mapa R. Fiscal'!AA88="","",'Mapa R. Fiscal'!AA88)</f>
        <v/>
      </c>
      <c r="K85" s="436" t="str">
        <f t="shared" si="12"/>
        <v/>
      </c>
      <c r="L85" s="400" t="str">
        <f>IF('Mapa R. Fiscal'!AD88="","",'Mapa R. Fiscal'!AD88)</f>
        <v/>
      </c>
      <c r="M85" s="339" t="str">
        <f>IF('Mapa R. Fiscal'!P88="","",'Mapa R. Fiscal'!P88)</f>
        <v/>
      </c>
      <c r="N85" s="70"/>
      <c r="O85" s="70"/>
      <c r="P85" s="70"/>
      <c r="Q85" s="186"/>
    </row>
    <row r="86" spans="1:17" x14ac:dyDescent="0.25">
      <c r="A86" s="115" t="s">
        <v>318</v>
      </c>
      <c r="B86" s="857"/>
      <c r="C86" s="863"/>
      <c r="D86" s="861"/>
      <c r="E86" s="863"/>
      <c r="F86" s="865"/>
      <c r="G86" s="865"/>
      <c r="H86" s="867"/>
      <c r="I86" s="400" t="str">
        <f>IF('Mapa R. Fiscal'!Y89="","",'Mapa R. Fiscal'!Y89)</f>
        <v/>
      </c>
      <c r="J86" s="400" t="str">
        <f>IF('Mapa R. Fiscal'!AA89="","",'Mapa R. Fiscal'!AA89)</f>
        <v/>
      </c>
      <c r="K86" s="436" t="str">
        <f t="shared" si="12"/>
        <v/>
      </c>
      <c r="L86" s="400" t="str">
        <f>IF('Mapa R. Fiscal'!AD89="","",'Mapa R. Fiscal'!AD89)</f>
        <v/>
      </c>
      <c r="M86" s="339" t="str">
        <f>IF('Mapa R. Fiscal'!P89="","",'Mapa R. Fiscal'!P89)</f>
        <v/>
      </c>
      <c r="N86" s="70"/>
      <c r="O86" s="70"/>
      <c r="P86" s="70"/>
      <c r="Q86" s="186"/>
    </row>
    <row r="87" spans="1:17" x14ac:dyDescent="0.25">
      <c r="A87" s="115" t="s">
        <v>319</v>
      </c>
      <c r="B87" s="857"/>
      <c r="C87" s="863"/>
      <c r="D87" s="861"/>
      <c r="E87" s="863"/>
      <c r="F87" s="865"/>
      <c r="G87" s="865"/>
      <c r="H87" s="867"/>
      <c r="I87" s="400" t="str">
        <f>IF('Mapa R. Fiscal'!Y90="","",'Mapa R. Fiscal'!Y90)</f>
        <v/>
      </c>
      <c r="J87" s="400" t="str">
        <f>IF('Mapa R. Fiscal'!AA90="","",'Mapa R. Fiscal'!AA90)</f>
        <v/>
      </c>
      <c r="K87" s="436" t="str">
        <f t="shared" si="12"/>
        <v/>
      </c>
      <c r="L87" s="400" t="str">
        <f>IF('Mapa R. Fiscal'!AD90="","",'Mapa R. Fiscal'!AD90)</f>
        <v/>
      </c>
      <c r="M87" s="339" t="str">
        <f>IF('Mapa R. Fiscal'!P90="","",'Mapa R. Fiscal'!P90)</f>
        <v/>
      </c>
      <c r="N87" s="70"/>
      <c r="O87" s="70"/>
      <c r="P87" s="70"/>
      <c r="Q87" s="186"/>
    </row>
    <row r="88" spans="1:17" x14ac:dyDescent="0.25">
      <c r="A88" s="115" t="s">
        <v>320</v>
      </c>
      <c r="B88" s="857"/>
      <c r="C88" s="863"/>
      <c r="D88" s="861"/>
      <c r="E88" s="863"/>
      <c r="F88" s="865"/>
      <c r="G88" s="865"/>
      <c r="H88" s="867"/>
      <c r="I88" s="400" t="str">
        <f>IF('Mapa R. Fiscal'!Y91="","",'Mapa R. Fiscal'!Y91)</f>
        <v/>
      </c>
      <c r="J88" s="400" t="str">
        <f>IF('Mapa R. Fiscal'!AA91="","",'Mapa R. Fiscal'!AA91)</f>
        <v/>
      </c>
      <c r="K88" s="436" t="str">
        <f t="shared" si="12"/>
        <v/>
      </c>
      <c r="L88" s="400" t="str">
        <f>IF('Mapa R. Fiscal'!AD91="","",'Mapa R. Fiscal'!AD91)</f>
        <v/>
      </c>
      <c r="M88" s="339" t="str">
        <f>IF('Mapa R. Fiscal'!P91="","",'Mapa R. Fiscal'!P91)</f>
        <v/>
      </c>
      <c r="N88" s="70"/>
      <c r="O88" s="70"/>
      <c r="P88" s="70"/>
      <c r="Q88" s="186"/>
    </row>
    <row r="89" spans="1:17" x14ac:dyDescent="0.25">
      <c r="A89" s="115" t="s">
        <v>321</v>
      </c>
      <c r="B89" s="857"/>
      <c r="C89" s="863"/>
      <c r="D89" s="861"/>
      <c r="E89" s="863"/>
      <c r="F89" s="865"/>
      <c r="G89" s="865"/>
      <c r="H89" s="867"/>
      <c r="I89" s="400" t="str">
        <f>IF('Mapa R. Fiscal'!Y92="","",'Mapa R. Fiscal'!Y92)</f>
        <v/>
      </c>
      <c r="J89" s="400" t="str">
        <f>IF('Mapa R. Fiscal'!AA92="","",'Mapa R. Fiscal'!AA92)</f>
        <v/>
      </c>
      <c r="K89" s="436" t="str">
        <f t="shared" si="12"/>
        <v/>
      </c>
      <c r="L89" s="400" t="str">
        <f>IF('Mapa R. Fiscal'!AD92="","",'Mapa R. Fiscal'!AD92)</f>
        <v/>
      </c>
      <c r="M89" s="339" t="str">
        <f>IF('Mapa R. Fiscal'!P92="","",'Mapa R. Fiscal'!P92)</f>
        <v/>
      </c>
      <c r="N89" s="70"/>
      <c r="O89" s="70"/>
      <c r="P89" s="70"/>
      <c r="Q89" s="186"/>
    </row>
    <row r="90" spans="1:17" x14ac:dyDescent="0.25">
      <c r="A90" s="115" t="s">
        <v>322</v>
      </c>
      <c r="B90" s="857"/>
      <c r="C90" s="863"/>
      <c r="D90" s="861"/>
      <c r="E90" s="863"/>
      <c r="F90" s="865"/>
      <c r="G90" s="865"/>
      <c r="H90" s="867"/>
      <c r="I90" s="400" t="str">
        <f>IF('Mapa R. Fiscal'!Y93="","",'Mapa R. Fiscal'!Y93)</f>
        <v/>
      </c>
      <c r="J90" s="400" t="str">
        <f>IF('Mapa R. Fiscal'!AA93="","",'Mapa R. Fiscal'!AA93)</f>
        <v/>
      </c>
      <c r="K90" s="436" t="str">
        <f t="shared" si="12"/>
        <v/>
      </c>
      <c r="L90" s="400" t="str">
        <f>IF('Mapa R. Fiscal'!AD93="","",'Mapa R. Fiscal'!AD93)</f>
        <v/>
      </c>
      <c r="M90" s="339" t="str">
        <f>IF('Mapa R. Fiscal'!P93="","",'Mapa R. Fiscal'!P93)</f>
        <v/>
      </c>
      <c r="N90" s="70"/>
      <c r="O90" s="70"/>
      <c r="P90" s="70"/>
      <c r="Q90" s="186"/>
    </row>
    <row r="91" spans="1:17" x14ac:dyDescent="0.25">
      <c r="A91" s="115" t="s">
        <v>323</v>
      </c>
      <c r="B91" s="856"/>
      <c r="C91" s="862" t="str">
        <f>IF('Mapa R. Fiscal'!E94="","",'Mapa R. Fiscal'!E94)</f>
        <v/>
      </c>
      <c r="D91" s="860"/>
      <c r="E91" s="862" t="str">
        <f>IF('Mapa R. Fiscal'!D94="","",'Mapa R. Fiscal'!D94)</f>
        <v/>
      </c>
      <c r="F91" s="864" t="str">
        <f>IF('Mapa R. Fiscal'!H94="","",'Mapa R. Fiscal'!H94)</f>
        <v/>
      </c>
      <c r="G91" s="864" t="str">
        <f>IF('Mapa R. Fiscal'!L94="","",'Mapa R. Fiscal'!L94)</f>
        <v/>
      </c>
      <c r="H91" s="866"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0" t="str">
        <f>IF('Mapa R. Fiscal'!Y94="","",'Mapa R. Fiscal'!Y94)</f>
        <v/>
      </c>
      <c r="J91" s="400" t="str">
        <f>IF('Mapa R. Fiscal'!AA94="","",'Mapa R. Fiscal'!AA94)</f>
        <v/>
      </c>
      <c r="K91" s="436" t="str">
        <f t="shared" si="12"/>
        <v/>
      </c>
      <c r="L91" s="400" t="str">
        <f>IF('Mapa R. Fiscal'!AD94="","",'Mapa R. Fiscal'!AD94)</f>
        <v/>
      </c>
      <c r="M91" s="339" t="str">
        <f>IF('Mapa R. Fiscal'!P94="","",'Mapa R. Fiscal'!P94)</f>
        <v/>
      </c>
      <c r="N91" s="70"/>
      <c r="O91" s="70"/>
      <c r="P91" s="70"/>
      <c r="Q91" s="186"/>
    </row>
    <row r="92" spans="1:17" x14ac:dyDescent="0.25">
      <c r="A92" s="115" t="s">
        <v>324</v>
      </c>
      <c r="B92" s="857"/>
      <c r="C92" s="863"/>
      <c r="D92" s="861"/>
      <c r="E92" s="863"/>
      <c r="F92" s="865"/>
      <c r="G92" s="865"/>
      <c r="H92" s="867"/>
      <c r="I92" s="400" t="str">
        <f>IF('Mapa R. Fiscal'!Y95="","",'Mapa R. Fiscal'!Y95)</f>
        <v/>
      </c>
      <c r="J92" s="400" t="str">
        <f>IF('Mapa R. Fiscal'!AA95="","",'Mapa R. Fiscal'!AA95)</f>
        <v/>
      </c>
      <c r="K92" s="436" t="str">
        <f t="shared" si="12"/>
        <v/>
      </c>
      <c r="L92" s="400" t="str">
        <f>IF('Mapa R. Fiscal'!AD95="","",'Mapa R. Fiscal'!AD95)</f>
        <v/>
      </c>
      <c r="M92" s="339" t="str">
        <f>IF('Mapa R. Fiscal'!P95="","",'Mapa R. Fiscal'!P95)</f>
        <v/>
      </c>
      <c r="N92" s="70"/>
      <c r="O92" s="70"/>
      <c r="P92" s="70"/>
      <c r="Q92" s="186"/>
    </row>
    <row r="93" spans="1:17" x14ac:dyDescent="0.25">
      <c r="A93" s="115" t="s">
        <v>325</v>
      </c>
      <c r="B93" s="857"/>
      <c r="C93" s="863"/>
      <c r="D93" s="861"/>
      <c r="E93" s="863"/>
      <c r="F93" s="865"/>
      <c r="G93" s="865"/>
      <c r="H93" s="867"/>
      <c r="I93" s="400" t="str">
        <f>IF('Mapa R. Fiscal'!Y96="","",'Mapa R. Fiscal'!Y96)</f>
        <v/>
      </c>
      <c r="J93" s="400" t="str">
        <f>IF('Mapa R. Fiscal'!AA96="","",'Mapa R. Fiscal'!AA96)</f>
        <v/>
      </c>
      <c r="K93" s="436" t="str">
        <f t="shared" si="12"/>
        <v/>
      </c>
      <c r="L93" s="400" t="str">
        <f>IF('Mapa R. Fiscal'!AD96="","",'Mapa R. Fiscal'!AD96)</f>
        <v/>
      </c>
      <c r="M93" s="339" t="str">
        <f>IF('Mapa R. Fiscal'!P96="","",'Mapa R. Fiscal'!P96)</f>
        <v/>
      </c>
      <c r="N93" s="70"/>
      <c r="O93" s="70"/>
      <c r="P93" s="70"/>
      <c r="Q93" s="186"/>
    </row>
    <row r="94" spans="1:17" x14ac:dyDescent="0.25">
      <c r="A94" s="115" t="s">
        <v>326</v>
      </c>
      <c r="B94" s="857"/>
      <c r="C94" s="863"/>
      <c r="D94" s="861"/>
      <c r="E94" s="863"/>
      <c r="F94" s="865"/>
      <c r="G94" s="865"/>
      <c r="H94" s="867"/>
      <c r="I94" s="400" t="str">
        <f>IF('Mapa R. Fiscal'!Y97="","",'Mapa R. Fiscal'!Y97)</f>
        <v/>
      </c>
      <c r="J94" s="400" t="str">
        <f>IF('Mapa R. Fiscal'!AA97="","",'Mapa R. Fiscal'!AA97)</f>
        <v/>
      </c>
      <c r="K94" s="436" t="str">
        <f t="shared" si="12"/>
        <v/>
      </c>
      <c r="L94" s="400" t="str">
        <f>IF('Mapa R. Fiscal'!AD97="","",'Mapa R. Fiscal'!AD97)</f>
        <v/>
      </c>
      <c r="M94" s="339" t="str">
        <f>IF('Mapa R. Fiscal'!P97="","",'Mapa R. Fiscal'!P97)</f>
        <v/>
      </c>
      <c r="N94" s="70"/>
      <c r="O94" s="70"/>
      <c r="P94" s="70"/>
      <c r="Q94" s="186"/>
    </row>
    <row r="95" spans="1:17" x14ac:dyDescent="0.25">
      <c r="A95" s="115" t="s">
        <v>327</v>
      </c>
      <c r="B95" s="857"/>
      <c r="C95" s="863"/>
      <c r="D95" s="861"/>
      <c r="E95" s="863"/>
      <c r="F95" s="865"/>
      <c r="G95" s="865"/>
      <c r="H95" s="867"/>
      <c r="I95" s="400" t="str">
        <f>IF('Mapa R. Fiscal'!Y98="","",'Mapa R. Fiscal'!Y98)</f>
        <v/>
      </c>
      <c r="J95" s="400" t="str">
        <f>IF('Mapa R. Fiscal'!AA98="","",'Mapa R. Fiscal'!AA98)</f>
        <v/>
      </c>
      <c r="K95" s="436" t="str">
        <f t="shared" si="12"/>
        <v/>
      </c>
      <c r="L95" s="400" t="str">
        <f>IF('Mapa R. Fiscal'!AD98="","",'Mapa R. Fiscal'!AD98)</f>
        <v/>
      </c>
      <c r="M95" s="339" t="str">
        <f>IF('Mapa R. Fiscal'!P98="","",'Mapa R. Fiscal'!P98)</f>
        <v/>
      </c>
      <c r="N95" s="70"/>
      <c r="O95" s="70"/>
      <c r="P95" s="70"/>
      <c r="Q95" s="186"/>
    </row>
    <row r="96" spans="1:17" x14ac:dyDescent="0.25">
      <c r="A96" s="115" t="s">
        <v>328</v>
      </c>
      <c r="B96" s="857"/>
      <c r="C96" s="863"/>
      <c r="D96" s="861"/>
      <c r="E96" s="863"/>
      <c r="F96" s="865"/>
      <c r="G96" s="865"/>
      <c r="H96" s="867"/>
      <c r="I96" s="400" t="str">
        <f>IF('Mapa R. Fiscal'!Y99="","",'Mapa R. Fiscal'!Y99)</f>
        <v/>
      </c>
      <c r="J96" s="400" t="str">
        <f>IF('Mapa R. Fiscal'!AA99="","",'Mapa R. Fiscal'!AA99)</f>
        <v/>
      </c>
      <c r="K96" s="436" t="str">
        <f t="shared" si="12"/>
        <v/>
      </c>
      <c r="L96" s="400" t="str">
        <f>IF('Mapa R. Fiscal'!AD99="","",'Mapa R. Fiscal'!AD99)</f>
        <v/>
      </c>
      <c r="M96" s="339" t="str">
        <f>IF('Mapa R. Fiscal'!P99="","",'Mapa R. Fiscal'!P99)</f>
        <v/>
      </c>
      <c r="N96" s="70"/>
      <c r="O96" s="70"/>
      <c r="P96" s="70"/>
      <c r="Q96" s="186"/>
    </row>
    <row r="97" spans="1:17" x14ac:dyDescent="0.25">
      <c r="A97" s="115" t="s">
        <v>329</v>
      </c>
      <c r="B97" s="856"/>
      <c r="C97" s="862" t="str">
        <f>IF('Mapa R. Fiscal'!E100="","",'Mapa R. Fiscal'!E100)</f>
        <v/>
      </c>
      <c r="D97" s="860"/>
      <c r="E97" s="862" t="str">
        <f>IF('Mapa R. Fiscal'!D100="","",'Mapa R. Fiscal'!D100)</f>
        <v/>
      </c>
      <c r="F97" s="864" t="str">
        <f>IF('Mapa R. Fiscal'!H100="","",'Mapa R. Fiscal'!H100)</f>
        <v/>
      </c>
      <c r="G97" s="864" t="str">
        <f>IF('Mapa R. Fiscal'!L100="","",'Mapa R. Fiscal'!L100)</f>
        <v/>
      </c>
      <c r="H97" s="866"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0" t="str">
        <f>IF('Mapa R. Fiscal'!Y100="","",'Mapa R. Fiscal'!Y100)</f>
        <v/>
      </c>
      <c r="J97" s="400" t="str">
        <f>IF('Mapa R. Fiscal'!AA100="","",'Mapa R. Fiscal'!AA100)</f>
        <v/>
      </c>
      <c r="K97" s="436" t="str">
        <f t="shared" si="12"/>
        <v/>
      </c>
      <c r="L97" s="400" t="str">
        <f>IF('Mapa R. Fiscal'!AD100="","",'Mapa R. Fiscal'!AD100)</f>
        <v/>
      </c>
      <c r="M97" s="339" t="str">
        <f>IF('Mapa R. Fiscal'!P100="","",'Mapa R. Fiscal'!P100)</f>
        <v/>
      </c>
      <c r="N97" s="70"/>
      <c r="O97" s="70"/>
      <c r="P97" s="70"/>
      <c r="Q97" s="186"/>
    </row>
    <row r="98" spans="1:17" x14ac:dyDescent="0.25">
      <c r="A98" s="115" t="s">
        <v>330</v>
      </c>
      <c r="B98" s="857"/>
      <c r="C98" s="863"/>
      <c r="D98" s="861"/>
      <c r="E98" s="863"/>
      <c r="F98" s="865"/>
      <c r="G98" s="865"/>
      <c r="H98" s="867"/>
      <c r="I98" s="400" t="str">
        <f>IF('Mapa R. Fiscal'!Y101="","",'Mapa R. Fiscal'!Y101)</f>
        <v/>
      </c>
      <c r="J98" s="400" t="str">
        <f>IF('Mapa R. Fiscal'!AA101="","",'Mapa R. Fiscal'!AA101)</f>
        <v/>
      </c>
      <c r="K98" s="436" t="str">
        <f t="shared" si="12"/>
        <v/>
      </c>
      <c r="L98" s="400" t="str">
        <f>IF('Mapa R. Fiscal'!AD101="","",'Mapa R. Fiscal'!AD101)</f>
        <v/>
      </c>
      <c r="M98" s="339" t="str">
        <f>IF('Mapa R. Fiscal'!P101="","",'Mapa R. Fiscal'!P101)</f>
        <v/>
      </c>
      <c r="N98" s="70"/>
      <c r="O98" s="70"/>
      <c r="P98" s="70"/>
      <c r="Q98" s="186"/>
    </row>
    <row r="99" spans="1:17" x14ac:dyDescent="0.25">
      <c r="A99" s="115" t="s">
        <v>331</v>
      </c>
      <c r="B99" s="857"/>
      <c r="C99" s="863"/>
      <c r="D99" s="861"/>
      <c r="E99" s="863"/>
      <c r="F99" s="865"/>
      <c r="G99" s="865"/>
      <c r="H99" s="867"/>
      <c r="I99" s="400" t="str">
        <f>IF('Mapa R. Fiscal'!Y102="","",'Mapa R. Fiscal'!Y102)</f>
        <v/>
      </c>
      <c r="J99" s="400" t="str">
        <f>IF('Mapa R. Fiscal'!AA102="","",'Mapa R. Fiscal'!AA102)</f>
        <v/>
      </c>
      <c r="K99" s="436" t="str">
        <f t="shared" si="12"/>
        <v/>
      </c>
      <c r="L99" s="400" t="str">
        <f>IF('Mapa R. Fiscal'!AD102="","",'Mapa R. Fiscal'!AD102)</f>
        <v/>
      </c>
      <c r="M99" s="339" t="str">
        <f>IF('Mapa R. Fiscal'!P102="","",'Mapa R. Fiscal'!P102)</f>
        <v/>
      </c>
      <c r="N99" s="70"/>
      <c r="O99" s="70"/>
      <c r="P99" s="70"/>
      <c r="Q99" s="186"/>
    </row>
    <row r="100" spans="1:17" x14ac:dyDescent="0.25">
      <c r="A100" s="115" t="s">
        <v>332</v>
      </c>
      <c r="B100" s="857"/>
      <c r="C100" s="863"/>
      <c r="D100" s="861"/>
      <c r="E100" s="863"/>
      <c r="F100" s="865"/>
      <c r="G100" s="865"/>
      <c r="H100" s="867"/>
      <c r="I100" s="400" t="str">
        <f>IF('Mapa R. Fiscal'!Y103="","",'Mapa R. Fiscal'!Y103)</f>
        <v/>
      </c>
      <c r="J100" s="400" t="str">
        <f>IF('Mapa R. Fiscal'!AA103="","",'Mapa R. Fiscal'!AA103)</f>
        <v/>
      </c>
      <c r="K100" s="436" t="str">
        <f t="shared" si="12"/>
        <v/>
      </c>
      <c r="L100" s="400" t="str">
        <f>IF('Mapa R. Fiscal'!AD103="","",'Mapa R. Fiscal'!AD103)</f>
        <v/>
      </c>
      <c r="M100" s="339" t="str">
        <f>IF('Mapa R. Fiscal'!P103="","",'Mapa R. Fiscal'!P103)</f>
        <v/>
      </c>
      <c r="N100" s="70"/>
      <c r="O100" s="70"/>
      <c r="P100" s="70"/>
      <c r="Q100" s="186"/>
    </row>
    <row r="101" spans="1:17" x14ac:dyDescent="0.25">
      <c r="A101" s="115" t="s">
        <v>333</v>
      </c>
      <c r="B101" s="857"/>
      <c r="C101" s="863"/>
      <c r="D101" s="861"/>
      <c r="E101" s="863"/>
      <c r="F101" s="865"/>
      <c r="G101" s="865"/>
      <c r="H101" s="867"/>
      <c r="I101" s="400" t="str">
        <f>IF('Mapa R. Fiscal'!Y104="","",'Mapa R. Fiscal'!Y104)</f>
        <v/>
      </c>
      <c r="J101" s="400" t="str">
        <f>IF('Mapa R. Fiscal'!AA104="","",'Mapa R. Fiscal'!AA104)</f>
        <v/>
      </c>
      <c r="K101" s="436" t="str">
        <f t="shared" si="12"/>
        <v/>
      </c>
      <c r="L101" s="400" t="str">
        <f>IF('Mapa R. Fiscal'!AD104="","",'Mapa R. Fiscal'!AD104)</f>
        <v/>
      </c>
      <c r="M101" s="339" t="str">
        <f>IF('Mapa R. Fiscal'!P104="","",'Mapa R. Fiscal'!P104)</f>
        <v/>
      </c>
      <c r="N101" s="70"/>
      <c r="O101" s="70"/>
      <c r="P101" s="70"/>
      <c r="Q101" s="186"/>
    </row>
    <row r="102" spans="1:17" x14ac:dyDescent="0.25">
      <c r="A102" s="115" t="s">
        <v>334</v>
      </c>
      <c r="B102" s="857"/>
      <c r="C102" s="863"/>
      <c r="D102" s="861"/>
      <c r="E102" s="863"/>
      <c r="F102" s="865"/>
      <c r="G102" s="865"/>
      <c r="H102" s="867"/>
      <c r="I102" s="400" t="str">
        <f>IF('Mapa R. Fiscal'!Y105="","",'Mapa R. Fiscal'!Y105)</f>
        <v/>
      </c>
      <c r="J102" s="400" t="str">
        <f>IF('Mapa R. Fiscal'!AA105="","",'Mapa R. Fiscal'!AA105)</f>
        <v/>
      </c>
      <c r="K102" s="436" t="str">
        <f t="shared" si="12"/>
        <v/>
      </c>
      <c r="L102" s="400" t="str">
        <f>IF('Mapa R. Fiscal'!AD105="","",'Mapa R. Fiscal'!AD105)</f>
        <v/>
      </c>
      <c r="M102" s="339" t="str">
        <f>IF('Mapa R. Fiscal'!P105="","",'Mapa R. Fiscal'!P105)</f>
        <v/>
      </c>
      <c r="N102" s="70"/>
      <c r="O102" s="70"/>
      <c r="P102" s="70"/>
      <c r="Q102" s="186"/>
    </row>
    <row r="103" spans="1:17" x14ac:dyDescent="0.25">
      <c r="A103" s="115" t="s">
        <v>335</v>
      </c>
      <c r="B103" s="856"/>
      <c r="C103" s="862" t="str">
        <f>IF('Mapa R. Fiscal'!E106="","",'Mapa R. Fiscal'!E106)</f>
        <v/>
      </c>
      <c r="D103" s="860"/>
      <c r="E103" s="862" t="str">
        <f>IF('Mapa R. Fiscal'!D106="","",'Mapa R. Fiscal'!D106)</f>
        <v/>
      </c>
      <c r="F103" s="864" t="str">
        <f>IF('Mapa R. Fiscal'!H106="","",'Mapa R. Fiscal'!H106)</f>
        <v/>
      </c>
      <c r="G103" s="864" t="str">
        <f>IF('Mapa R. Fiscal'!L106="","",'Mapa R. Fiscal'!L106)</f>
        <v/>
      </c>
      <c r="H103" s="866"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0" t="str">
        <f>IF('Mapa R. Fiscal'!Y106="","",'Mapa R. Fiscal'!Y106)</f>
        <v/>
      </c>
      <c r="J103" s="400" t="str">
        <f>IF('Mapa R. Fiscal'!AA106="","",'Mapa R. Fiscal'!AA106)</f>
        <v/>
      </c>
      <c r="K103" s="436" t="str">
        <f t="shared" si="12"/>
        <v/>
      </c>
      <c r="L103" s="400" t="str">
        <f>IF('Mapa R. Fiscal'!AD106="","",'Mapa R. Fiscal'!AD106)</f>
        <v/>
      </c>
      <c r="M103" s="339" t="str">
        <f>IF('Mapa R. Fiscal'!P106="","",'Mapa R. Fiscal'!P106)</f>
        <v/>
      </c>
      <c r="N103" s="70"/>
      <c r="O103" s="70"/>
      <c r="P103" s="70"/>
      <c r="Q103" s="186"/>
    </row>
    <row r="104" spans="1:17" x14ac:dyDescent="0.25">
      <c r="A104" s="115" t="s">
        <v>336</v>
      </c>
      <c r="B104" s="857"/>
      <c r="C104" s="863"/>
      <c r="D104" s="861"/>
      <c r="E104" s="863"/>
      <c r="F104" s="865"/>
      <c r="G104" s="865"/>
      <c r="H104" s="867"/>
      <c r="I104" s="400" t="str">
        <f>IF('Mapa R. Fiscal'!Y107="","",'Mapa R. Fiscal'!Y107)</f>
        <v/>
      </c>
      <c r="J104" s="400" t="str">
        <f>IF('Mapa R. Fiscal'!AA107="","",'Mapa R. Fiscal'!AA107)</f>
        <v/>
      </c>
      <c r="K104" s="436" t="str">
        <f t="shared" si="12"/>
        <v/>
      </c>
      <c r="L104" s="400" t="str">
        <f>IF('Mapa R. Fiscal'!AD107="","",'Mapa R. Fiscal'!AD107)</f>
        <v/>
      </c>
      <c r="M104" s="339" t="str">
        <f>IF('Mapa R. Fiscal'!P107="","",'Mapa R. Fiscal'!P107)</f>
        <v/>
      </c>
      <c r="N104" s="70"/>
      <c r="O104" s="70"/>
      <c r="P104" s="70"/>
      <c r="Q104" s="186"/>
    </row>
    <row r="105" spans="1:17" x14ac:dyDescent="0.25">
      <c r="A105" s="115" t="s">
        <v>337</v>
      </c>
      <c r="B105" s="857"/>
      <c r="C105" s="863"/>
      <c r="D105" s="861"/>
      <c r="E105" s="863"/>
      <c r="F105" s="865"/>
      <c r="G105" s="865"/>
      <c r="H105" s="867"/>
      <c r="I105" s="400" t="str">
        <f>IF('Mapa R. Fiscal'!Y108="","",'Mapa R. Fiscal'!Y108)</f>
        <v/>
      </c>
      <c r="J105" s="400" t="str">
        <f>IF('Mapa R. Fiscal'!AA108="","",'Mapa R. Fiscal'!AA108)</f>
        <v/>
      </c>
      <c r="K105" s="436" t="str">
        <f t="shared" si="12"/>
        <v/>
      </c>
      <c r="L105" s="400" t="str">
        <f>IF('Mapa R. Fiscal'!AD108="","",'Mapa R. Fiscal'!AD108)</f>
        <v/>
      </c>
      <c r="M105" s="339" t="str">
        <f>IF('Mapa R. Fiscal'!P108="","",'Mapa R. Fiscal'!P108)</f>
        <v/>
      </c>
      <c r="N105" s="70"/>
      <c r="O105" s="70"/>
      <c r="P105" s="70"/>
      <c r="Q105" s="186"/>
    </row>
    <row r="106" spans="1:17" x14ac:dyDescent="0.25">
      <c r="A106" s="115" t="s">
        <v>338</v>
      </c>
      <c r="B106" s="857"/>
      <c r="C106" s="863"/>
      <c r="D106" s="861"/>
      <c r="E106" s="863"/>
      <c r="F106" s="865"/>
      <c r="G106" s="865"/>
      <c r="H106" s="867"/>
      <c r="I106" s="400" t="str">
        <f>IF('Mapa R. Fiscal'!Y109="","",'Mapa R. Fiscal'!Y109)</f>
        <v/>
      </c>
      <c r="J106" s="400" t="str">
        <f>IF('Mapa R. Fiscal'!AA109="","",'Mapa R. Fiscal'!AA109)</f>
        <v/>
      </c>
      <c r="K106" s="436" t="str">
        <f t="shared" si="12"/>
        <v/>
      </c>
      <c r="L106" s="400" t="str">
        <f>IF('Mapa R. Fiscal'!AD109="","",'Mapa R. Fiscal'!AD109)</f>
        <v/>
      </c>
      <c r="M106" s="339" t="str">
        <f>IF('Mapa R. Fiscal'!P109="","",'Mapa R. Fiscal'!P109)</f>
        <v/>
      </c>
      <c r="N106" s="70"/>
      <c r="O106" s="70"/>
      <c r="P106" s="70"/>
      <c r="Q106" s="186"/>
    </row>
    <row r="107" spans="1:17" x14ac:dyDescent="0.25">
      <c r="A107" s="115" t="s">
        <v>339</v>
      </c>
      <c r="B107" s="857"/>
      <c r="C107" s="863"/>
      <c r="D107" s="861"/>
      <c r="E107" s="863"/>
      <c r="F107" s="865"/>
      <c r="G107" s="865"/>
      <c r="H107" s="867"/>
      <c r="I107" s="400" t="str">
        <f>IF('Mapa R. Fiscal'!Y110="","",'Mapa R. Fiscal'!Y110)</f>
        <v/>
      </c>
      <c r="J107" s="400" t="str">
        <f>IF('Mapa R. Fiscal'!AA110="","",'Mapa R. Fiscal'!AA110)</f>
        <v/>
      </c>
      <c r="K107" s="436" t="str">
        <f t="shared" si="12"/>
        <v/>
      </c>
      <c r="L107" s="400" t="str">
        <f>IF('Mapa R. Fiscal'!AD110="","",'Mapa R. Fiscal'!AD110)</f>
        <v/>
      </c>
      <c r="M107" s="339" t="str">
        <f>IF('Mapa R. Fiscal'!P110="","",'Mapa R. Fiscal'!P110)</f>
        <v/>
      </c>
      <c r="N107" s="70"/>
      <c r="O107" s="70"/>
      <c r="P107" s="70"/>
      <c r="Q107" s="186"/>
    </row>
    <row r="108" spans="1:17" x14ac:dyDescent="0.25">
      <c r="A108" s="115" t="s">
        <v>340</v>
      </c>
      <c r="B108" s="857"/>
      <c r="C108" s="863"/>
      <c r="D108" s="861"/>
      <c r="E108" s="863"/>
      <c r="F108" s="865"/>
      <c r="G108" s="865"/>
      <c r="H108" s="867"/>
      <c r="I108" s="400" t="str">
        <f>IF('Mapa R. Fiscal'!Y111="","",'Mapa R. Fiscal'!Y111)</f>
        <v/>
      </c>
      <c r="J108" s="400" t="str">
        <f>IF('Mapa R. Fiscal'!AA111="","",'Mapa R. Fiscal'!AA111)</f>
        <v/>
      </c>
      <c r="K108" s="436" t="str">
        <f t="shared" si="12"/>
        <v/>
      </c>
      <c r="L108" s="400" t="str">
        <f>IF('Mapa R. Fiscal'!AD111="","",'Mapa R. Fiscal'!AD111)</f>
        <v/>
      </c>
      <c r="M108" s="339" t="str">
        <f>IF('Mapa R. Fiscal'!P111="","",'Mapa R. Fiscal'!P111)</f>
        <v/>
      </c>
      <c r="N108" s="70"/>
      <c r="O108" s="70"/>
      <c r="P108" s="70"/>
      <c r="Q108" s="186"/>
    </row>
    <row r="109" spans="1:17" x14ac:dyDescent="0.25">
      <c r="A109" s="115" t="s">
        <v>341</v>
      </c>
      <c r="B109" s="856"/>
      <c r="C109" s="862" t="str">
        <f>IF('Mapa R. Fiscal'!E112="","",'Mapa R. Fiscal'!E112)</f>
        <v/>
      </c>
      <c r="D109" s="860"/>
      <c r="E109" s="862" t="str">
        <f>IF('Mapa R. Fiscal'!D112="","",'Mapa R. Fiscal'!D112)</f>
        <v/>
      </c>
      <c r="F109" s="864" t="str">
        <f>IF('Mapa R. Fiscal'!H112="","",'Mapa R. Fiscal'!H112)</f>
        <v/>
      </c>
      <c r="G109" s="864" t="str">
        <f>IF('Mapa R. Fiscal'!L112="","",'Mapa R. Fiscal'!L112)</f>
        <v/>
      </c>
      <c r="H109" s="866"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0" t="str">
        <f>IF('Mapa R. Fiscal'!Y112="","",'Mapa R. Fiscal'!Y112)</f>
        <v/>
      </c>
      <c r="J109" s="400" t="str">
        <f>IF('Mapa R. Fiscal'!AA112="","",'Mapa R. Fiscal'!AA112)</f>
        <v/>
      </c>
      <c r="K109" s="436" t="str">
        <f t="shared" si="12"/>
        <v/>
      </c>
      <c r="L109" s="400" t="str">
        <f>IF('Mapa R. Fiscal'!AD112="","",'Mapa R. Fiscal'!AD112)</f>
        <v/>
      </c>
      <c r="M109" s="339" t="str">
        <f>IF('Mapa R. Fiscal'!P112="","",'Mapa R. Fiscal'!P112)</f>
        <v/>
      </c>
      <c r="N109" s="70"/>
      <c r="O109" s="70"/>
      <c r="P109" s="70"/>
      <c r="Q109" s="186"/>
    </row>
    <row r="110" spans="1:17" x14ac:dyDescent="0.25">
      <c r="A110" s="115" t="s">
        <v>342</v>
      </c>
      <c r="B110" s="857"/>
      <c r="C110" s="863"/>
      <c r="D110" s="861"/>
      <c r="E110" s="863"/>
      <c r="F110" s="865"/>
      <c r="G110" s="865"/>
      <c r="H110" s="867"/>
      <c r="I110" s="400" t="str">
        <f>IF('Mapa R. Fiscal'!Y113="","",'Mapa R. Fiscal'!Y113)</f>
        <v/>
      </c>
      <c r="J110" s="400" t="str">
        <f>IF('Mapa R. Fiscal'!AA113="","",'Mapa R. Fiscal'!AA113)</f>
        <v/>
      </c>
      <c r="K110" s="436" t="str">
        <f t="shared" si="12"/>
        <v/>
      </c>
      <c r="L110" s="400" t="str">
        <f>IF('Mapa R. Fiscal'!AD113="","",'Mapa R. Fiscal'!AD113)</f>
        <v/>
      </c>
      <c r="M110" s="339" t="str">
        <f>IF('Mapa R. Fiscal'!P113="","",'Mapa R. Fiscal'!P113)</f>
        <v/>
      </c>
      <c r="N110" s="70"/>
      <c r="O110" s="70"/>
      <c r="P110" s="70"/>
      <c r="Q110" s="186"/>
    </row>
    <row r="111" spans="1:17" x14ac:dyDescent="0.25">
      <c r="A111" s="115" t="s">
        <v>343</v>
      </c>
      <c r="B111" s="857"/>
      <c r="C111" s="863"/>
      <c r="D111" s="861"/>
      <c r="E111" s="863"/>
      <c r="F111" s="865"/>
      <c r="G111" s="865"/>
      <c r="H111" s="867"/>
      <c r="I111" s="400" t="str">
        <f>IF('Mapa R. Fiscal'!Y114="","",'Mapa R. Fiscal'!Y114)</f>
        <v/>
      </c>
      <c r="J111" s="400" t="str">
        <f>IF('Mapa R. Fiscal'!AA114="","",'Mapa R. Fiscal'!AA114)</f>
        <v/>
      </c>
      <c r="K111" s="436" t="str">
        <f t="shared" si="12"/>
        <v/>
      </c>
      <c r="L111" s="400" t="str">
        <f>IF('Mapa R. Fiscal'!AD114="","",'Mapa R. Fiscal'!AD114)</f>
        <v/>
      </c>
      <c r="M111" s="339" t="str">
        <f>IF('Mapa R. Fiscal'!P114="","",'Mapa R. Fiscal'!P114)</f>
        <v/>
      </c>
      <c r="N111" s="70"/>
      <c r="O111" s="70"/>
      <c r="P111" s="70"/>
      <c r="Q111" s="186"/>
    </row>
    <row r="112" spans="1:17" x14ac:dyDescent="0.25">
      <c r="A112" s="115" t="s">
        <v>344</v>
      </c>
      <c r="B112" s="857"/>
      <c r="C112" s="863"/>
      <c r="D112" s="861"/>
      <c r="E112" s="863"/>
      <c r="F112" s="865"/>
      <c r="G112" s="865"/>
      <c r="H112" s="867"/>
      <c r="I112" s="400" t="str">
        <f>IF('Mapa R. Fiscal'!Y115="","",'Mapa R. Fiscal'!Y115)</f>
        <v/>
      </c>
      <c r="J112" s="400" t="str">
        <f>IF('Mapa R. Fiscal'!AA115="","",'Mapa R. Fiscal'!AA115)</f>
        <v/>
      </c>
      <c r="K112" s="436" t="str">
        <f t="shared" si="12"/>
        <v/>
      </c>
      <c r="L112" s="400" t="str">
        <f>IF('Mapa R. Fiscal'!AD115="","",'Mapa R. Fiscal'!AD115)</f>
        <v/>
      </c>
      <c r="M112" s="339" t="str">
        <f>IF('Mapa R. Fiscal'!P115="","",'Mapa R. Fiscal'!P115)</f>
        <v/>
      </c>
      <c r="N112" s="70"/>
      <c r="O112" s="70"/>
      <c r="P112" s="70"/>
      <c r="Q112" s="186"/>
    </row>
    <row r="113" spans="1:17" x14ac:dyDescent="0.25">
      <c r="A113" s="115" t="s">
        <v>345</v>
      </c>
      <c r="B113" s="857"/>
      <c r="C113" s="863"/>
      <c r="D113" s="861"/>
      <c r="E113" s="863"/>
      <c r="F113" s="865"/>
      <c r="G113" s="865"/>
      <c r="H113" s="867"/>
      <c r="I113" s="400" t="str">
        <f>IF('Mapa R. Fiscal'!Y116="","",'Mapa R. Fiscal'!Y116)</f>
        <v/>
      </c>
      <c r="J113" s="400" t="str">
        <f>IF('Mapa R. Fiscal'!AA116="","",'Mapa R. Fiscal'!AA116)</f>
        <v/>
      </c>
      <c r="K113" s="436" t="str">
        <f t="shared" si="12"/>
        <v/>
      </c>
      <c r="L113" s="400" t="str">
        <f>IF('Mapa R. Fiscal'!AD116="","",'Mapa R. Fiscal'!AD116)</f>
        <v/>
      </c>
      <c r="M113" s="339" t="str">
        <f>IF('Mapa R. Fiscal'!P116="","",'Mapa R. Fiscal'!P116)</f>
        <v/>
      </c>
      <c r="N113" s="70"/>
      <c r="O113" s="70"/>
      <c r="P113" s="70"/>
      <c r="Q113" s="186"/>
    </row>
    <row r="114" spans="1:17" x14ac:dyDescent="0.25">
      <c r="A114" s="115" t="s">
        <v>346</v>
      </c>
      <c r="B114" s="857"/>
      <c r="C114" s="863"/>
      <c r="D114" s="861"/>
      <c r="E114" s="863"/>
      <c r="F114" s="865"/>
      <c r="G114" s="865"/>
      <c r="H114" s="867"/>
      <c r="I114" s="400" t="str">
        <f>IF('Mapa R. Fiscal'!Y117="","",'Mapa R. Fiscal'!Y117)</f>
        <v/>
      </c>
      <c r="J114" s="400" t="str">
        <f>IF('Mapa R. Fiscal'!AA117="","",'Mapa R. Fiscal'!AA117)</f>
        <v/>
      </c>
      <c r="K114" s="436" t="str">
        <f t="shared" si="12"/>
        <v/>
      </c>
      <c r="L114" s="400" t="str">
        <f>IF('Mapa R. Fiscal'!AD117="","",'Mapa R. Fiscal'!AD117)</f>
        <v/>
      </c>
      <c r="M114" s="339" t="str">
        <f>IF('Mapa R. Fiscal'!P117="","",'Mapa R. Fiscal'!P117)</f>
        <v/>
      </c>
      <c r="N114" s="70"/>
      <c r="O114" s="70"/>
      <c r="P114" s="70"/>
      <c r="Q114" s="186"/>
    </row>
    <row r="115" spans="1:17" x14ac:dyDescent="0.25">
      <c r="A115" s="115" t="s">
        <v>347</v>
      </c>
      <c r="B115" s="856"/>
      <c r="C115" s="862" t="str">
        <f>IF('Mapa R. Fiscal'!E118="","",'Mapa R. Fiscal'!E118)</f>
        <v/>
      </c>
      <c r="D115" s="860"/>
      <c r="E115" s="862" t="str">
        <f>IF('Mapa R. Fiscal'!D118="","",'Mapa R. Fiscal'!D118)</f>
        <v/>
      </c>
      <c r="F115" s="864" t="str">
        <f>IF('Mapa R. Fiscal'!H118="","",'Mapa R. Fiscal'!H118)</f>
        <v/>
      </c>
      <c r="G115" s="864" t="str">
        <f>IF('Mapa R. Fiscal'!L118="","",'Mapa R. Fiscal'!L118)</f>
        <v/>
      </c>
      <c r="H115" s="866"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0" t="str">
        <f>IF('Mapa R. Fiscal'!Y118="","",'Mapa R. Fiscal'!Y118)</f>
        <v/>
      </c>
      <c r="J115" s="400" t="str">
        <f>IF('Mapa R. Fiscal'!AA118="","",'Mapa R. Fiscal'!AA118)</f>
        <v/>
      </c>
      <c r="K115" s="436" t="str">
        <f t="shared" si="12"/>
        <v/>
      </c>
      <c r="L115" s="400" t="str">
        <f>IF('Mapa R. Fiscal'!AD118="","",'Mapa R. Fiscal'!AD118)</f>
        <v/>
      </c>
      <c r="M115" s="339" t="str">
        <f>IF('Mapa R. Fiscal'!P118="","",'Mapa R. Fiscal'!P118)</f>
        <v/>
      </c>
      <c r="N115" s="70"/>
      <c r="O115" s="70"/>
      <c r="P115" s="70"/>
      <c r="Q115" s="186"/>
    </row>
    <row r="116" spans="1:17" x14ac:dyDescent="0.25">
      <c r="A116" s="115" t="s">
        <v>348</v>
      </c>
      <c r="B116" s="857"/>
      <c r="C116" s="863"/>
      <c r="D116" s="861"/>
      <c r="E116" s="863"/>
      <c r="F116" s="865"/>
      <c r="G116" s="865"/>
      <c r="H116" s="867"/>
      <c r="I116" s="400" t="str">
        <f>IF('Mapa R. Fiscal'!Y119="","",'Mapa R. Fiscal'!Y119)</f>
        <v/>
      </c>
      <c r="J116" s="400" t="str">
        <f>IF('Mapa R. Fiscal'!AA119="","",'Mapa R. Fiscal'!AA119)</f>
        <v/>
      </c>
      <c r="K116" s="436" t="str">
        <f t="shared" si="12"/>
        <v/>
      </c>
      <c r="L116" s="400" t="str">
        <f>IF('Mapa R. Fiscal'!AD119="","",'Mapa R. Fiscal'!AD119)</f>
        <v/>
      </c>
      <c r="M116" s="339" t="str">
        <f>IF('Mapa R. Fiscal'!P119="","",'Mapa R. Fiscal'!P119)</f>
        <v/>
      </c>
      <c r="N116" s="70"/>
      <c r="O116" s="70"/>
      <c r="P116" s="70"/>
      <c r="Q116" s="186"/>
    </row>
    <row r="117" spans="1:17" x14ac:dyDescent="0.25">
      <c r="A117" s="115" t="s">
        <v>349</v>
      </c>
      <c r="B117" s="857"/>
      <c r="C117" s="863"/>
      <c r="D117" s="861"/>
      <c r="E117" s="863"/>
      <c r="F117" s="865"/>
      <c r="G117" s="865"/>
      <c r="H117" s="867"/>
      <c r="I117" s="400" t="str">
        <f>IF('Mapa R. Fiscal'!Y120="","",'Mapa R. Fiscal'!Y120)</f>
        <v/>
      </c>
      <c r="J117" s="400" t="str">
        <f>IF('Mapa R. Fiscal'!AA120="","",'Mapa R. Fiscal'!AA120)</f>
        <v/>
      </c>
      <c r="K117" s="436" t="str">
        <f t="shared" si="12"/>
        <v/>
      </c>
      <c r="L117" s="400" t="str">
        <f>IF('Mapa R. Fiscal'!AD120="","",'Mapa R. Fiscal'!AD120)</f>
        <v/>
      </c>
      <c r="M117" s="339" t="str">
        <f>IF('Mapa R. Fiscal'!P120="","",'Mapa R. Fiscal'!P120)</f>
        <v/>
      </c>
      <c r="N117" s="70"/>
      <c r="O117" s="70"/>
      <c r="P117" s="70"/>
      <c r="Q117" s="186"/>
    </row>
    <row r="118" spans="1:17" x14ac:dyDescent="0.25">
      <c r="A118" s="115" t="s">
        <v>350</v>
      </c>
      <c r="B118" s="857"/>
      <c r="C118" s="863"/>
      <c r="D118" s="861"/>
      <c r="E118" s="863"/>
      <c r="F118" s="865"/>
      <c r="G118" s="865"/>
      <c r="H118" s="867"/>
      <c r="I118" s="400" t="str">
        <f>IF('Mapa R. Fiscal'!Y121="","",'Mapa R. Fiscal'!Y121)</f>
        <v/>
      </c>
      <c r="J118" s="400" t="str">
        <f>IF('Mapa R. Fiscal'!AA121="","",'Mapa R. Fiscal'!AA121)</f>
        <v/>
      </c>
      <c r="K118" s="436" t="str">
        <f t="shared" si="12"/>
        <v/>
      </c>
      <c r="L118" s="400" t="str">
        <f>IF('Mapa R. Fiscal'!AD121="","",'Mapa R. Fiscal'!AD121)</f>
        <v/>
      </c>
      <c r="M118" s="339" t="str">
        <f>IF('Mapa R. Fiscal'!P121="","",'Mapa R. Fiscal'!P121)</f>
        <v/>
      </c>
      <c r="N118" s="70"/>
      <c r="O118" s="70"/>
      <c r="P118" s="70"/>
      <c r="Q118" s="186"/>
    </row>
    <row r="119" spans="1:17" x14ac:dyDescent="0.25">
      <c r="A119" s="115" t="s">
        <v>351</v>
      </c>
      <c r="B119" s="857"/>
      <c r="C119" s="863"/>
      <c r="D119" s="861"/>
      <c r="E119" s="863"/>
      <c r="F119" s="865"/>
      <c r="G119" s="865"/>
      <c r="H119" s="867"/>
      <c r="I119" s="400" t="str">
        <f>IF('Mapa R. Fiscal'!Y122="","",'Mapa R. Fiscal'!Y122)</f>
        <v/>
      </c>
      <c r="J119" s="400" t="str">
        <f>IF('Mapa R. Fiscal'!AA122="","",'Mapa R. Fiscal'!AA122)</f>
        <v/>
      </c>
      <c r="K119" s="436" t="str">
        <f t="shared" si="12"/>
        <v/>
      </c>
      <c r="L119" s="400" t="str">
        <f>IF('Mapa R. Fiscal'!AD122="","",'Mapa R. Fiscal'!AD122)</f>
        <v/>
      </c>
      <c r="M119" s="339" t="str">
        <f>IF('Mapa R. Fiscal'!P122="","",'Mapa R. Fiscal'!P122)</f>
        <v/>
      </c>
      <c r="N119" s="70"/>
      <c r="O119" s="70"/>
      <c r="P119" s="70"/>
      <c r="Q119" s="186"/>
    </row>
    <row r="120" spans="1:17" x14ac:dyDescent="0.25">
      <c r="A120" s="115" t="s">
        <v>352</v>
      </c>
      <c r="B120" s="857"/>
      <c r="C120" s="863"/>
      <c r="D120" s="861"/>
      <c r="E120" s="863"/>
      <c r="F120" s="865"/>
      <c r="G120" s="865"/>
      <c r="H120" s="867"/>
      <c r="I120" s="400" t="str">
        <f>IF('Mapa R. Fiscal'!Y123="","",'Mapa R. Fiscal'!Y123)</f>
        <v/>
      </c>
      <c r="J120" s="400" t="str">
        <f>IF('Mapa R. Fiscal'!AA123="","",'Mapa R. Fiscal'!AA123)</f>
        <v/>
      </c>
      <c r="K120" s="436" t="str">
        <f t="shared" si="12"/>
        <v/>
      </c>
      <c r="L120" s="400" t="str">
        <f>IF('Mapa R. Fiscal'!AD123="","",'Mapa R. Fiscal'!AD123)</f>
        <v/>
      </c>
      <c r="M120" s="339" t="str">
        <f>IF('Mapa R. Fiscal'!P123="","",'Mapa R. Fiscal'!P123)</f>
        <v/>
      </c>
      <c r="N120" s="70"/>
      <c r="O120" s="70"/>
      <c r="P120" s="70"/>
      <c r="Q120" s="186"/>
    </row>
    <row r="121" spans="1:17" x14ac:dyDescent="0.25">
      <c r="A121" s="115" t="s">
        <v>353</v>
      </c>
      <c r="B121" s="856"/>
      <c r="C121" s="862" t="str">
        <f>IF('Mapa R. Fiscal'!E124="","",'Mapa R. Fiscal'!E124)</f>
        <v/>
      </c>
      <c r="D121" s="860"/>
      <c r="E121" s="862" t="str">
        <f>IF('Mapa R. Fiscal'!D124="","",'Mapa R. Fiscal'!D124)</f>
        <v/>
      </c>
      <c r="F121" s="864" t="str">
        <f>IF('Mapa R. Fiscal'!H124="","",'Mapa R. Fiscal'!H124)</f>
        <v/>
      </c>
      <c r="G121" s="864" t="str">
        <f>IF('Mapa R. Fiscal'!L124="","",'Mapa R. Fiscal'!L124)</f>
        <v/>
      </c>
      <c r="H121" s="866"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0" t="str">
        <f>IF('Mapa R. Fiscal'!Y124="","",'Mapa R. Fiscal'!Y124)</f>
        <v/>
      </c>
      <c r="J121" s="400" t="str">
        <f>IF('Mapa R. Fiscal'!AA124="","",'Mapa R. Fiscal'!AA124)</f>
        <v/>
      </c>
      <c r="K121" s="436" t="str">
        <f t="shared" si="12"/>
        <v/>
      </c>
      <c r="L121" s="400" t="str">
        <f>IF('Mapa R. Fiscal'!AD124="","",'Mapa R. Fiscal'!AD124)</f>
        <v/>
      </c>
      <c r="M121" s="339" t="str">
        <f>IF('Mapa R. Fiscal'!P124="","",'Mapa R. Fiscal'!P124)</f>
        <v/>
      </c>
      <c r="N121" s="70"/>
      <c r="O121" s="70"/>
      <c r="P121" s="70"/>
      <c r="Q121" s="186"/>
    </row>
    <row r="122" spans="1:17" x14ac:dyDescent="0.25">
      <c r="A122" s="115" t="s">
        <v>354</v>
      </c>
      <c r="B122" s="857"/>
      <c r="C122" s="863"/>
      <c r="D122" s="861"/>
      <c r="E122" s="863"/>
      <c r="F122" s="865"/>
      <c r="G122" s="865"/>
      <c r="H122" s="867"/>
      <c r="I122" s="400" t="str">
        <f>IF('Mapa R. Fiscal'!Y125="","",'Mapa R. Fiscal'!Y125)</f>
        <v/>
      </c>
      <c r="J122" s="400" t="str">
        <f>IF('Mapa R. Fiscal'!AA125="","",'Mapa R. Fiscal'!AA125)</f>
        <v/>
      </c>
      <c r="K122" s="436" t="str">
        <f t="shared" si="12"/>
        <v/>
      </c>
      <c r="L122" s="400" t="str">
        <f>IF('Mapa R. Fiscal'!AD125="","",'Mapa R. Fiscal'!AD125)</f>
        <v/>
      </c>
      <c r="M122" s="339" t="str">
        <f>IF('Mapa R. Fiscal'!P125="","",'Mapa R. Fiscal'!P125)</f>
        <v/>
      </c>
      <c r="N122" s="70"/>
      <c r="O122" s="70"/>
      <c r="P122" s="70"/>
      <c r="Q122" s="186"/>
    </row>
    <row r="123" spans="1:17" x14ac:dyDescent="0.25">
      <c r="A123" s="115" t="s">
        <v>355</v>
      </c>
      <c r="B123" s="857"/>
      <c r="C123" s="863"/>
      <c r="D123" s="861"/>
      <c r="E123" s="863"/>
      <c r="F123" s="865"/>
      <c r="G123" s="865"/>
      <c r="H123" s="867"/>
      <c r="I123" s="400" t="str">
        <f>IF('Mapa R. Fiscal'!Y126="","",'Mapa R. Fiscal'!Y126)</f>
        <v/>
      </c>
      <c r="J123" s="400" t="str">
        <f>IF('Mapa R. Fiscal'!AA126="","",'Mapa R. Fiscal'!AA126)</f>
        <v/>
      </c>
      <c r="K123" s="436" t="str">
        <f t="shared" si="12"/>
        <v/>
      </c>
      <c r="L123" s="400" t="str">
        <f>IF('Mapa R. Fiscal'!AD126="","",'Mapa R. Fiscal'!AD126)</f>
        <v/>
      </c>
      <c r="M123" s="339" t="str">
        <f>IF('Mapa R. Fiscal'!P126="","",'Mapa R. Fiscal'!P126)</f>
        <v/>
      </c>
      <c r="N123" s="70"/>
      <c r="O123" s="70"/>
      <c r="P123" s="70"/>
      <c r="Q123" s="186"/>
    </row>
    <row r="124" spans="1:17" x14ac:dyDescent="0.25">
      <c r="A124" s="115" t="s">
        <v>356</v>
      </c>
      <c r="B124" s="857"/>
      <c r="C124" s="863"/>
      <c r="D124" s="861"/>
      <c r="E124" s="863"/>
      <c r="F124" s="865"/>
      <c r="G124" s="865"/>
      <c r="H124" s="867"/>
      <c r="I124" s="400" t="str">
        <f>IF('Mapa R. Fiscal'!Y127="","",'Mapa R. Fiscal'!Y127)</f>
        <v/>
      </c>
      <c r="J124" s="400" t="str">
        <f>IF('Mapa R. Fiscal'!AA127="","",'Mapa R. Fiscal'!AA127)</f>
        <v/>
      </c>
      <c r="K124" s="436" t="str">
        <f t="shared" si="12"/>
        <v/>
      </c>
      <c r="L124" s="400" t="str">
        <f>IF('Mapa R. Fiscal'!AD127="","",'Mapa R. Fiscal'!AD127)</f>
        <v/>
      </c>
      <c r="M124" s="339" t="str">
        <f>IF('Mapa R. Fiscal'!P127="","",'Mapa R. Fiscal'!P127)</f>
        <v/>
      </c>
      <c r="N124" s="70"/>
      <c r="O124" s="70"/>
      <c r="P124" s="70"/>
      <c r="Q124" s="186"/>
    </row>
    <row r="125" spans="1:17" x14ac:dyDescent="0.25">
      <c r="A125" s="115" t="s">
        <v>357</v>
      </c>
      <c r="B125" s="857"/>
      <c r="C125" s="863"/>
      <c r="D125" s="861"/>
      <c r="E125" s="863"/>
      <c r="F125" s="865"/>
      <c r="G125" s="865"/>
      <c r="H125" s="867"/>
      <c r="I125" s="400" t="str">
        <f>IF('Mapa R. Fiscal'!Y128="","",'Mapa R. Fiscal'!Y128)</f>
        <v/>
      </c>
      <c r="J125" s="400" t="str">
        <f>IF('Mapa R. Fiscal'!AA128="","",'Mapa R. Fiscal'!AA128)</f>
        <v/>
      </c>
      <c r="K125" s="436" t="str">
        <f t="shared" si="12"/>
        <v/>
      </c>
      <c r="L125" s="400" t="str">
        <f>IF('Mapa R. Fiscal'!AD128="","",'Mapa R. Fiscal'!AD128)</f>
        <v/>
      </c>
      <c r="M125" s="339" t="str">
        <f>IF('Mapa R. Fiscal'!P128="","",'Mapa R. Fiscal'!P128)</f>
        <v/>
      </c>
      <c r="N125" s="70"/>
      <c r="O125" s="70"/>
      <c r="P125" s="70"/>
      <c r="Q125" s="186"/>
    </row>
    <row r="126" spans="1:17" x14ac:dyDescent="0.25">
      <c r="A126" s="115" t="s">
        <v>358</v>
      </c>
      <c r="B126" s="857"/>
      <c r="C126" s="863"/>
      <c r="D126" s="861"/>
      <c r="E126" s="863"/>
      <c r="F126" s="865"/>
      <c r="G126" s="865"/>
      <c r="H126" s="867"/>
      <c r="I126" s="400" t="str">
        <f>IF('Mapa R. Fiscal'!Y129="","",'Mapa R. Fiscal'!Y129)</f>
        <v/>
      </c>
      <c r="J126" s="400" t="str">
        <f>IF('Mapa R. Fiscal'!AA129="","",'Mapa R. Fiscal'!AA129)</f>
        <v/>
      </c>
      <c r="K126" s="436" t="str">
        <f t="shared" si="12"/>
        <v/>
      </c>
      <c r="L126" s="400" t="str">
        <f>IF('Mapa R. Fiscal'!AD129="","",'Mapa R. Fiscal'!AD129)</f>
        <v/>
      </c>
      <c r="M126" s="339" t="str">
        <f>IF('Mapa R. Fiscal'!P129="","",'Mapa R. Fiscal'!P129)</f>
        <v/>
      </c>
      <c r="N126" s="70"/>
      <c r="O126" s="70"/>
      <c r="P126" s="70"/>
      <c r="Q126" s="186"/>
    </row>
    <row r="127" spans="1:17" x14ac:dyDescent="0.25">
      <c r="A127" s="115" t="s">
        <v>359</v>
      </c>
      <c r="B127" s="856"/>
      <c r="C127" s="862" t="str">
        <f>IF('Mapa R. Fiscal'!E130="","",'Mapa R. Fiscal'!E130)</f>
        <v/>
      </c>
      <c r="D127" s="860"/>
      <c r="E127" s="862" t="str">
        <f>IF('Mapa R. Fiscal'!D130="","",'Mapa R. Fiscal'!D130)</f>
        <v/>
      </c>
      <c r="F127" s="864" t="str">
        <f>IF('Mapa R. Fiscal'!H130="","",'Mapa R. Fiscal'!H130)</f>
        <v/>
      </c>
      <c r="G127" s="864" t="str">
        <f>IF('Mapa R. Fiscal'!L130="","",'Mapa R. Fiscal'!L130)</f>
        <v/>
      </c>
      <c r="H127" s="866"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0" t="str">
        <f>IF('Mapa R. Fiscal'!Y130="","",'Mapa R. Fiscal'!Y130)</f>
        <v/>
      </c>
      <c r="J127" s="400" t="str">
        <f>IF('Mapa R. Fiscal'!AA130="","",'Mapa R. Fiscal'!AA130)</f>
        <v/>
      </c>
      <c r="K127" s="436" t="str">
        <f t="shared" si="12"/>
        <v/>
      </c>
      <c r="L127" s="400" t="str">
        <f>IF('Mapa R. Fiscal'!AD130="","",'Mapa R. Fiscal'!AD130)</f>
        <v/>
      </c>
      <c r="M127" s="339" t="str">
        <f>IF('Mapa R. Fiscal'!P130="","",'Mapa R. Fiscal'!P130)</f>
        <v/>
      </c>
      <c r="N127" s="70"/>
      <c r="O127" s="70"/>
      <c r="P127" s="70"/>
      <c r="Q127" s="186"/>
    </row>
    <row r="128" spans="1:17" x14ac:dyDescent="0.25">
      <c r="A128" s="115" t="s">
        <v>360</v>
      </c>
      <c r="B128" s="857"/>
      <c r="C128" s="863"/>
      <c r="D128" s="861"/>
      <c r="E128" s="863"/>
      <c r="F128" s="865"/>
      <c r="G128" s="865"/>
      <c r="H128" s="867"/>
      <c r="I128" s="400" t="str">
        <f>IF('Mapa R. Fiscal'!Y131="","",'Mapa R. Fiscal'!Y131)</f>
        <v/>
      </c>
      <c r="J128" s="400" t="str">
        <f>IF('Mapa R. Fiscal'!AA131="","",'Mapa R. Fiscal'!AA131)</f>
        <v/>
      </c>
      <c r="K128" s="436" t="str">
        <f t="shared" si="12"/>
        <v/>
      </c>
      <c r="L128" s="400" t="str">
        <f>IF('Mapa R. Fiscal'!AD131="","",'Mapa R. Fiscal'!AD131)</f>
        <v/>
      </c>
      <c r="M128" s="339" t="str">
        <f>IF('Mapa R. Fiscal'!P131="","",'Mapa R. Fiscal'!P131)</f>
        <v/>
      </c>
      <c r="N128" s="70"/>
      <c r="O128" s="70"/>
      <c r="P128" s="70"/>
      <c r="Q128" s="186"/>
    </row>
    <row r="129" spans="1:17" x14ac:dyDescent="0.25">
      <c r="A129" s="115" t="s">
        <v>361</v>
      </c>
      <c r="B129" s="857"/>
      <c r="C129" s="863"/>
      <c r="D129" s="861"/>
      <c r="E129" s="863"/>
      <c r="F129" s="865"/>
      <c r="G129" s="865"/>
      <c r="H129" s="867"/>
      <c r="I129" s="400" t="str">
        <f>IF('Mapa R. Fiscal'!Y132="","",'Mapa R. Fiscal'!Y132)</f>
        <v/>
      </c>
      <c r="J129" s="400" t="str">
        <f>IF('Mapa R. Fiscal'!AA132="","",'Mapa R. Fiscal'!AA132)</f>
        <v/>
      </c>
      <c r="K129" s="436" t="str">
        <f t="shared" si="12"/>
        <v/>
      </c>
      <c r="L129" s="400" t="str">
        <f>IF('Mapa R. Fiscal'!AD132="","",'Mapa R. Fiscal'!AD132)</f>
        <v/>
      </c>
      <c r="M129" s="339" t="str">
        <f>IF('Mapa R. Fiscal'!P132="","",'Mapa R. Fiscal'!P132)</f>
        <v/>
      </c>
      <c r="N129" s="70"/>
      <c r="O129" s="70"/>
      <c r="P129" s="70"/>
      <c r="Q129" s="186"/>
    </row>
    <row r="130" spans="1:17" x14ac:dyDescent="0.25">
      <c r="A130" s="115" t="s">
        <v>362</v>
      </c>
      <c r="B130" s="857"/>
      <c r="C130" s="863"/>
      <c r="D130" s="861"/>
      <c r="E130" s="863"/>
      <c r="F130" s="865"/>
      <c r="G130" s="865"/>
      <c r="H130" s="867"/>
      <c r="I130" s="400" t="str">
        <f>IF('Mapa R. Fiscal'!Y133="","",'Mapa R. Fiscal'!Y133)</f>
        <v/>
      </c>
      <c r="J130" s="400" t="str">
        <f>IF('Mapa R. Fiscal'!AA133="","",'Mapa R. Fiscal'!AA133)</f>
        <v/>
      </c>
      <c r="K130" s="436" t="str">
        <f t="shared" si="12"/>
        <v/>
      </c>
      <c r="L130" s="400" t="str">
        <f>IF('Mapa R. Fiscal'!AD133="","",'Mapa R. Fiscal'!AD133)</f>
        <v/>
      </c>
      <c r="M130" s="339" t="str">
        <f>IF('Mapa R. Fiscal'!P133="","",'Mapa R. Fiscal'!P133)</f>
        <v/>
      </c>
      <c r="N130" s="70"/>
      <c r="O130" s="70"/>
      <c r="P130" s="70"/>
      <c r="Q130" s="186"/>
    </row>
    <row r="131" spans="1:17" x14ac:dyDescent="0.25">
      <c r="A131" s="115" t="s">
        <v>363</v>
      </c>
      <c r="B131" s="857"/>
      <c r="C131" s="863"/>
      <c r="D131" s="861"/>
      <c r="E131" s="863"/>
      <c r="F131" s="865"/>
      <c r="G131" s="865"/>
      <c r="H131" s="867"/>
      <c r="I131" s="400" t="str">
        <f>IF('Mapa R. Fiscal'!Y134="","",'Mapa R. Fiscal'!Y134)</f>
        <v/>
      </c>
      <c r="J131" s="400" t="str">
        <f>IF('Mapa R. Fiscal'!AA134="","",'Mapa R. Fiscal'!AA134)</f>
        <v/>
      </c>
      <c r="K131" s="436" t="str">
        <f t="shared" si="12"/>
        <v/>
      </c>
      <c r="L131" s="400" t="str">
        <f>IF('Mapa R. Fiscal'!AD134="","",'Mapa R. Fiscal'!AD134)</f>
        <v/>
      </c>
      <c r="M131" s="339" t="str">
        <f>IF('Mapa R. Fiscal'!P134="","",'Mapa R. Fiscal'!P134)</f>
        <v/>
      </c>
      <c r="N131" s="70"/>
      <c r="O131" s="70"/>
      <c r="P131" s="70"/>
      <c r="Q131" s="186"/>
    </row>
    <row r="132" spans="1:17" x14ac:dyDescent="0.25">
      <c r="A132" s="115" t="s">
        <v>364</v>
      </c>
      <c r="B132" s="857"/>
      <c r="C132" s="863"/>
      <c r="D132" s="861"/>
      <c r="E132" s="863"/>
      <c r="F132" s="865"/>
      <c r="G132" s="865"/>
      <c r="H132" s="867"/>
      <c r="I132" s="400" t="str">
        <f>IF('Mapa R. Fiscal'!Y135="","",'Mapa R. Fiscal'!Y135)</f>
        <v/>
      </c>
      <c r="J132" s="400" t="str">
        <f>IF('Mapa R. Fiscal'!AA135="","",'Mapa R. Fiscal'!AA135)</f>
        <v/>
      </c>
      <c r="K132" s="436" t="str">
        <f t="shared" si="12"/>
        <v/>
      </c>
      <c r="L132" s="400" t="str">
        <f>IF('Mapa R. Fiscal'!AD135="","",'Mapa R. Fiscal'!AD135)</f>
        <v/>
      </c>
      <c r="M132" s="339" t="str">
        <f>IF('Mapa R. Fiscal'!P135="","",'Mapa R. Fiscal'!P135)</f>
        <v/>
      </c>
      <c r="N132" s="70"/>
      <c r="O132" s="70"/>
      <c r="P132" s="70"/>
      <c r="Q132" s="186"/>
    </row>
    <row r="133" spans="1:17" x14ac:dyDescent="0.25">
      <c r="A133" s="115" t="s">
        <v>365</v>
      </c>
      <c r="B133" s="856"/>
      <c r="C133" s="862" t="str">
        <f>IF('Mapa R. Fiscal'!E136="","",'Mapa R. Fiscal'!E136)</f>
        <v/>
      </c>
      <c r="D133" s="860"/>
      <c r="E133" s="862" t="str">
        <f>IF('Mapa R. Fiscal'!D136="","",'Mapa R. Fiscal'!D136)</f>
        <v/>
      </c>
      <c r="F133" s="864" t="str">
        <f>IF('Mapa R. Fiscal'!H136="","",'Mapa R. Fiscal'!H136)</f>
        <v/>
      </c>
      <c r="G133" s="864" t="str">
        <f>IF('Mapa R. Fiscal'!L136="","",'Mapa R. Fiscal'!L136)</f>
        <v/>
      </c>
      <c r="H133" s="866"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0" t="str">
        <f>IF('Mapa R. Fiscal'!Y136="","",'Mapa R. Fiscal'!Y136)</f>
        <v/>
      </c>
      <c r="J133" s="400" t="str">
        <f>IF('Mapa R. Fiscal'!AA136="","",'Mapa R. Fiscal'!AA136)</f>
        <v/>
      </c>
      <c r="K133" s="436" t="str">
        <f t="shared" si="12"/>
        <v/>
      </c>
      <c r="L133" s="400" t="str">
        <f>IF('Mapa R. Fiscal'!AD136="","",'Mapa R. Fiscal'!AD136)</f>
        <v/>
      </c>
      <c r="M133" s="339" t="str">
        <f>IF('Mapa R. Fiscal'!P136="","",'Mapa R. Fiscal'!P136)</f>
        <v/>
      </c>
      <c r="N133" s="70"/>
      <c r="O133" s="70"/>
      <c r="P133" s="70"/>
      <c r="Q133" s="186"/>
    </row>
    <row r="134" spans="1:17" x14ac:dyDescent="0.25">
      <c r="A134" s="115" t="s">
        <v>366</v>
      </c>
      <c r="B134" s="857"/>
      <c r="C134" s="863"/>
      <c r="D134" s="861"/>
      <c r="E134" s="863"/>
      <c r="F134" s="865"/>
      <c r="G134" s="865"/>
      <c r="H134" s="867"/>
      <c r="I134" s="400" t="str">
        <f>IF('Mapa R. Fiscal'!Y137="","",'Mapa R. Fiscal'!Y137)</f>
        <v/>
      </c>
      <c r="J134" s="400" t="str">
        <f>IF('Mapa R. Fiscal'!AA137="","",'Mapa R. Fiscal'!AA137)</f>
        <v/>
      </c>
      <c r="K134" s="436" t="str">
        <f t="shared" si="12"/>
        <v/>
      </c>
      <c r="L134" s="400" t="str">
        <f>IF('Mapa R. Fiscal'!AD137="","",'Mapa R. Fiscal'!AD137)</f>
        <v/>
      </c>
      <c r="M134" s="339" t="str">
        <f>IF('Mapa R. Fiscal'!P137="","",'Mapa R. Fiscal'!P137)</f>
        <v/>
      </c>
      <c r="N134" s="70"/>
      <c r="O134" s="70"/>
      <c r="P134" s="70"/>
      <c r="Q134" s="186"/>
    </row>
    <row r="135" spans="1:17" x14ac:dyDescent="0.25">
      <c r="A135" s="115" t="s">
        <v>367</v>
      </c>
      <c r="B135" s="857"/>
      <c r="C135" s="863"/>
      <c r="D135" s="861"/>
      <c r="E135" s="863"/>
      <c r="F135" s="865"/>
      <c r="G135" s="865"/>
      <c r="H135" s="867"/>
      <c r="I135" s="400" t="str">
        <f>IF('Mapa R. Fiscal'!Y138="","",'Mapa R. Fiscal'!Y138)</f>
        <v/>
      </c>
      <c r="J135" s="400" t="str">
        <f>IF('Mapa R. Fiscal'!AA138="","",'Mapa R. Fiscal'!AA138)</f>
        <v/>
      </c>
      <c r="K135" s="436"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0" t="str">
        <f>IF('Mapa R. Fiscal'!AD138="","",'Mapa R. Fiscal'!AD138)</f>
        <v/>
      </c>
      <c r="M135" s="339" t="str">
        <f>IF('Mapa R. Fiscal'!P138="","",'Mapa R. Fiscal'!P138)</f>
        <v/>
      </c>
      <c r="N135" s="70"/>
      <c r="O135" s="70"/>
      <c r="P135" s="70"/>
      <c r="Q135" s="186"/>
    </row>
    <row r="136" spans="1:17" x14ac:dyDescent="0.25">
      <c r="A136" s="115" t="s">
        <v>368</v>
      </c>
      <c r="B136" s="857"/>
      <c r="C136" s="863"/>
      <c r="D136" s="861"/>
      <c r="E136" s="863"/>
      <c r="F136" s="865"/>
      <c r="G136" s="865"/>
      <c r="H136" s="867"/>
      <c r="I136" s="400" t="str">
        <f>IF('Mapa R. Fiscal'!Y139="","",'Mapa R. Fiscal'!Y139)</f>
        <v/>
      </c>
      <c r="J136" s="400" t="str">
        <f>IF('Mapa R. Fiscal'!AA139="","",'Mapa R. Fiscal'!AA139)</f>
        <v/>
      </c>
      <c r="K136" s="436" t="str">
        <f t="shared" si="24"/>
        <v/>
      </c>
      <c r="L136" s="400" t="str">
        <f>IF('Mapa R. Fiscal'!AD139="","",'Mapa R. Fiscal'!AD139)</f>
        <v/>
      </c>
      <c r="M136" s="339" t="str">
        <f>IF('Mapa R. Fiscal'!P139="","",'Mapa R. Fiscal'!P139)</f>
        <v/>
      </c>
      <c r="N136" s="70"/>
      <c r="O136" s="70"/>
      <c r="P136" s="70"/>
      <c r="Q136" s="186"/>
    </row>
    <row r="137" spans="1:17" x14ac:dyDescent="0.25">
      <c r="A137" s="115" t="s">
        <v>369</v>
      </c>
      <c r="B137" s="857"/>
      <c r="C137" s="863"/>
      <c r="D137" s="861"/>
      <c r="E137" s="863"/>
      <c r="F137" s="865"/>
      <c r="G137" s="865"/>
      <c r="H137" s="867"/>
      <c r="I137" s="400" t="str">
        <f>IF('Mapa R. Fiscal'!Y140="","",'Mapa R. Fiscal'!Y140)</f>
        <v/>
      </c>
      <c r="J137" s="400" t="str">
        <f>IF('Mapa R. Fiscal'!AA140="","",'Mapa R. Fiscal'!AA140)</f>
        <v/>
      </c>
      <c r="K137" s="436" t="str">
        <f t="shared" si="24"/>
        <v/>
      </c>
      <c r="L137" s="400" t="str">
        <f>IF('Mapa R. Fiscal'!AD140="","",'Mapa R. Fiscal'!AD140)</f>
        <v/>
      </c>
      <c r="M137" s="339" t="str">
        <f>IF('Mapa R. Fiscal'!P140="","",'Mapa R. Fiscal'!P140)</f>
        <v/>
      </c>
      <c r="N137" s="70"/>
      <c r="O137" s="70"/>
      <c r="P137" s="70"/>
      <c r="Q137" s="186"/>
    </row>
    <row r="138" spans="1:17" x14ac:dyDescent="0.25">
      <c r="A138" s="115" t="s">
        <v>370</v>
      </c>
      <c r="B138" s="857"/>
      <c r="C138" s="863"/>
      <c r="D138" s="861"/>
      <c r="E138" s="863"/>
      <c r="F138" s="865"/>
      <c r="G138" s="865"/>
      <c r="H138" s="867"/>
      <c r="I138" s="400" t="str">
        <f>IF('Mapa R. Fiscal'!Y141="","",'Mapa R. Fiscal'!Y141)</f>
        <v/>
      </c>
      <c r="J138" s="400" t="str">
        <f>IF('Mapa R. Fiscal'!AA141="","",'Mapa R. Fiscal'!AA141)</f>
        <v/>
      </c>
      <c r="K138" s="436" t="str">
        <f t="shared" si="24"/>
        <v/>
      </c>
      <c r="L138" s="400" t="str">
        <f>IF('Mapa R. Fiscal'!AD141="","",'Mapa R. Fiscal'!AD141)</f>
        <v/>
      </c>
      <c r="M138" s="339" t="str">
        <f>IF('Mapa R. Fiscal'!P141="","",'Mapa R. Fiscal'!P141)</f>
        <v/>
      </c>
      <c r="N138" s="70"/>
      <c r="O138" s="70"/>
      <c r="P138" s="70"/>
      <c r="Q138" s="186"/>
    </row>
    <row r="139" spans="1:17" x14ac:dyDescent="0.25">
      <c r="A139" s="115" t="s">
        <v>371</v>
      </c>
      <c r="B139" s="856"/>
      <c r="C139" s="862" t="str">
        <f>IF('Mapa R. Fiscal'!E142="","",'Mapa R. Fiscal'!E142)</f>
        <v/>
      </c>
      <c r="D139" s="860"/>
      <c r="E139" s="862" t="str">
        <f>IF('Mapa R. Fiscal'!D142="","",'Mapa R. Fiscal'!D142)</f>
        <v/>
      </c>
      <c r="F139" s="864" t="str">
        <f>IF('Mapa R. Fiscal'!H142="","",'Mapa R. Fiscal'!H142)</f>
        <v/>
      </c>
      <c r="G139" s="864" t="str">
        <f>IF('Mapa R. Fiscal'!L142="","",'Mapa R. Fiscal'!L142)</f>
        <v/>
      </c>
      <c r="H139" s="866"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0" t="str">
        <f>IF('Mapa R. Fiscal'!Y142="","",'Mapa R. Fiscal'!Y142)</f>
        <v/>
      </c>
      <c r="J139" s="400" t="str">
        <f>IF('Mapa R. Fiscal'!AA142="","",'Mapa R. Fiscal'!AA142)</f>
        <v/>
      </c>
      <c r="K139" s="436" t="str">
        <f t="shared" si="24"/>
        <v/>
      </c>
      <c r="L139" s="400" t="str">
        <f>IF('Mapa R. Fiscal'!AD142="","",'Mapa R. Fiscal'!AD142)</f>
        <v/>
      </c>
      <c r="M139" s="339" t="str">
        <f>IF('Mapa R. Fiscal'!P142="","",'Mapa R. Fiscal'!P142)</f>
        <v/>
      </c>
      <c r="N139" s="70"/>
      <c r="O139" s="70"/>
      <c r="P139" s="70"/>
      <c r="Q139" s="186"/>
    </row>
    <row r="140" spans="1:17" x14ac:dyDescent="0.25">
      <c r="A140" s="115" t="s">
        <v>372</v>
      </c>
      <c r="B140" s="857"/>
      <c r="C140" s="863"/>
      <c r="D140" s="861"/>
      <c r="E140" s="863"/>
      <c r="F140" s="865"/>
      <c r="G140" s="865"/>
      <c r="H140" s="867"/>
      <c r="I140" s="400" t="str">
        <f>IF('Mapa R. Fiscal'!Y143="","",'Mapa R. Fiscal'!Y143)</f>
        <v/>
      </c>
      <c r="J140" s="400" t="str">
        <f>IF('Mapa R. Fiscal'!AA143="","",'Mapa R. Fiscal'!AA143)</f>
        <v/>
      </c>
      <c r="K140" s="436" t="str">
        <f t="shared" si="24"/>
        <v/>
      </c>
      <c r="L140" s="400" t="str">
        <f>IF('Mapa R. Fiscal'!AD143="","",'Mapa R. Fiscal'!AD143)</f>
        <v/>
      </c>
      <c r="M140" s="339" t="str">
        <f>IF('Mapa R. Fiscal'!P143="","",'Mapa R. Fiscal'!P143)</f>
        <v/>
      </c>
      <c r="N140" s="70"/>
      <c r="O140" s="70"/>
      <c r="P140" s="70"/>
      <c r="Q140" s="186"/>
    </row>
    <row r="141" spans="1:17" x14ac:dyDescent="0.25">
      <c r="A141" s="115" t="s">
        <v>373</v>
      </c>
      <c r="B141" s="857"/>
      <c r="C141" s="863"/>
      <c r="D141" s="861"/>
      <c r="E141" s="863"/>
      <c r="F141" s="865"/>
      <c r="G141" s="865"/>
      <c r="H141" s="867"/>
      <c r="I141" s="400" t="str">
        <f>IF('Mapa R. Fiscal'!Y144="","",'Mapa R. Fiscal'!Y144)</f>
        <v/>
      </c>
      <c r="J141" s="400" t="str">
        <f>IF('Mapa R. Fiscal'!AA144="","",'Mapa R. Fiscal'!AA144)</f>
        <v/>
      </c>
      <c r="K141" s="436" t="str">
        <f t="shared" si="24"/>
        <v/>
      </c>
      <c r="L141" s="400" t="str">
        <f>IF('Mapa R. Fiscal'!AD144="","",'Mapa R. Fiscal'!AD144)</f>
        <v/>
      </c>
      <c r="M141" s="339" t="str">
        <f>IF('Mapa R. Fiscal'!P144="","",'Mapa R. Fiscal'!P144)</f>
        <v/>
      </c>
      <c r="N141" s="70"/>
      <c r="O141" s="70"/>
      <c r="P141" s="70"/>
      <c r="Q141" s="186"/>
    </row>
    <row r="142" spans="1:17" x14ac:dyDescent="0.25">
      <c r="A142" s="115" t="s">
        <v>374</v>
      </c>
      <c r="B142" s="857"/>
      <c r="C142" s="863"/>
      <c r="D142" s="861"/>
      <c r="E142" s="863"/>
      <c r="F142" s="865"/>
      <c r="G142" s="865"/>
      <c r="H142" s="867"/>
      <c r="I142" s="400" t="str">
        <f>IF('Mapa R. Fiscal'!Y145="","",'Mapa R. Fiscal'!Y145)</f>
        <v/>
      </c>
      <c r="J142" s="400" t="str">
        <f>IF('Mapa R. Fiscal'!AA145="","",'Mapa R. Fiscal'!AA145)</f>
        <v/>
      </c>
      <c r="K142" s="436" t="str">
        <f t="shared" si="24"/>
        <v/>
      </c>
      <c r="L142" s="400" t="str">
        <f>IF('Mapa R. Fiscal'!AD145="","",'Mapa R. Fiscal'!AD145)</f>
        <v/>
      </c>
      <c r="M142" s="339" t="str">
        <f>IF('Mapa R. Fiscal'!P145="","",'Mapa R. Fiscal'!P145)</f>
        <v/>
      </c>
      <c r="N142" s="70"/>
      <c r="O142" s="70"/>
      <c r="P142" s="70"/>
      <c r="Q142" s="186"/>
    </row>
    <row r="143" spans="1:17" x14ac:dyDescent="0.25">
      <c r="A143" s="115" t="s">
        <v>375</v>
      </c>
      <c r="B143" s="857"/>
      <c r="C143" s="863"/>
      <c r="D143" s="861"/>
      <c r="E143" s="863"/>
      <c r="F143" s="865"/>
      <c r="G143" s="865"/>
      <c r="H143" s="867"/>
      <c r="I143" s="400" t="str">
        <f>IF('Mapa R. Fiscal'!Y146="","",'Mapa R. Fiscal'!Y146)</f>
        <v/>
      </c>
      <c r="J143" s="400" t="str">
        <f>IF('Mapa R. Fiscal'!AA146="","",'Mapa R. Fiscal'!AA146)</f>
        <v/>
      </c>
      <c r="K143" s="436" t="str">
        <f t="shared" si="24"/>
        <v/>
      </c>
      <c r="L143" s="400" t="str">
        <f>IF('Mapa R. Fiscal'!AD146="","",'Mapa R. Fiscal'!AD146)</f>
        <v/>
      </c>
      <c r="M143" s="339" t="str">
        <f>IF('Mapa R. Fiscal'!P146="","",'Mapa R. Fiscal'!P146)</f>
        <v/>
      </c>
      <c r="N143" s="70"/>
      <c r="O143" s="70"/>
      <c r="P143" s="70"/>
      <c r="Q143" s="186"/>
    </row>
    <row r="144" spans="1:17" x14ac:dyDescent="0.25">
      <c r="A144" s="115" t="s">
        <v>376</v>
      </c>
      <c r="B144" s="857"/>
      <c r="C144" s="863"/>
      <c r="D144" s="861"/>
      <c r="E144" s="863"/>
      <c r="F144" s="865"/>
      <c r="G144" s="865"/>
      <c r="H144" s="867"/>
      <c r="I144" s="400" t="str">
        <f>IF('Mapa R. Fiscal'!Y147="","",'Mapa R. Fiscal'!Y147)</f>
        <v/>
      </c>
      <c r="J144" s="400" t="str">
        <f>IF('Mapa R. Fiscal'!AA147="","",'Mapa R. Fiscal'!AA147)</f>
        <v/>
      </c>
      <c r="K144" s="436" t="str">
        <f t="shared" si="24"/>
        <v/>
      </c>
      <c r="L144" s="400" t="str">
        <f>IF('Mapa R. Fiscal'!AD147="","",'Mapa R. Fiscal'!AD147)</f>
        <v/>
      </c>
      <c r="M144" s="339" t="str">
        <f>IF('Mapa R. Fiscal'!P147="","",'Mapa R. Fiscal'!P147)</f>
        <v/>
      </c>
      <c r="N144" s="70"/>
      <c r="O144" s="70"/>
      <c r="P144" s="70"/>
      <c r="Q144" s="186"/>
    </row>
    <row r="145" spans="1:17" x14ac:dyDescent="0.25">
      <c r="A145" s="115" t="s">
        <v>377</v>
      </c>
      <c r="B145" s="856"/>
      <c r="C145" s="862" t="str">
        <f>IF('Mapa R. Fiscal'!E148="","",'Mapa R. Fiscal'!E148)</f>
        <v/>
      </c>
      <c r="D145" s="860"/>
      <c r="E145" s="862" t="str">
        <f>IF('Mapa R. Fiscal'!D148="","",'Mapa R. Fiscal'!D148)</f>
        <v/>
      </c>
      <c r="F145" s="864" t="str">
        <f>IF('Mapa R. Fiscal'!H148="","",'Mapa R. Fiscal'!H148)</f>
        <v/>
      </c>
      <c r="G145" s="864" t="str">
        <f>IF('Mapa R. Fiscal'!L148="","",'Mapa R. Fiscal'!L148)</f>
        <v/>
      </c>
      <c r="H145" s="866"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0" t="str">
        <f>IF('Mapa R. Fiscal'!Y148="","",'Mapa R. Fiscal'!Y148)</f>
        <v/>
      </c>
      <c r="J145" s="400" t="str">
        <f>IF('Mapa R. Fiscal'!AA148="","",'Mapa R. Fiscal'!AA148)</f>
        <v/>
      </c>
      <c r="K145" s="436" t="str">
        <f t="shared" si="24"/>
        <v/>
      </c>
      <c r="L145" s="400" t="str">
        <f>IF('Mapa R. Fiscal'!AD148="","",'Mapa R. Fiscal'!AD148)</f>
        <v/>
      </c>
      <c r="M145" s="339" t="str">
        <f>IF('Mapa R. Fiscal'!P148="","",'Mapa R. Fiscal'!P148)</f>
        <v/>
      </c>
      <c r="N145" s="70"/>
      <c r="O145" s="70"/>
      <c r="P145" s="70"/>
      <c r="Q145" s="186"/>
    </row>
    <row r="146" spans="1:17" x14ac:dyDescent="0.25">
      <c r="A146" s="115" t="s">
        <v>378</v>
      </c>
      <c r="B146" s="857"/>
      <c r="C146" s="863"/>
      <c r="D146" s="861"/>
      <c r="E146" s="863"/>
      <c r="F146" s="865"/>
      <c r="G146" s="865"/>
      <c r="H146" s="867"/>
      <c r="I146" s="400" t="str">
        <f>IF('Mapa R. Fiscal'!Y149="","",'Mapa R. Fiscal'!Y149)</f>
        <v/>
      </c>
      <c r="J146" s="400" t="str">
        <f>IF('Mapa R. Fiscal'!AA149="","",'Mapa R. Fiscal'!AA149)</f>
        <v/>
      </c>
      <c r="K146" s="436" t="str">
        <f t="shared" si="24"/>
        <v/>
      </c>
      <c r="L146" s="400" t="str">
        <f>IF('Mapa R. Fiscal'!AD149="","",'Mapa R. Fiscal'!AD149)</f>
        <v/>
      </c>
      <c r="M146" s="339" t="str">
        <f>IF('Mapa R. Fiscal'!P149="","",'Mapa R. Fiscal'!P149)</f>
        <v/>
      </c>
      <c r="N146" s="70"/>
      <c r="O146" s="70"/>
      <c r="P146" s="70"/>
      <c r="Q146" s="186"/>
    </row>
    <row r="147" spans="1:17" x14ac:dyDescent="0.25">
      <c r="A147" s="115" t="s">
        <v>379</v>
      </c>
      <c r="B147" s="857"/>
      <c r="C147" s="863"/>
      <c r="D147" s="861"/>
      <c r="E147" s="863"/>
      <c r="F147" s="865"/>
      <c r="G147" s="865"/>
      <c r="H147" s="867"/>
      <c r="I147" s="400" t="str">
        <f>IF('Mapa R. Fiscal'!Y150="","",'Mapa R. Fiscal'!Y150)</f>
        <v/>
      </c>
      <c r="J147" s="400" t="str">
        <f>IF('Mapa R. Fiscal'!AA150="","",'Mapa R. Fiscal'!AA150)</f>
        <v/>
      </c>
      <c r="K147" s="436" t="str">
        <f t="shared" si="24"/>
        <v/>
      </c>
      <c r="L147" s="400" t="str">
        <f>IF('Mapa R. Fiscal'!AD150="","",'Mapa R. Fiscal'!AD150)</f>
        <v/>
      </c>
      <c r="M147" s="339" t="str">
        <f>IF('Mapa R. Fiscal'!P150="","",'Mapa R. Fiscal'!P150)</f>
        <v/>
      </c>
      <c r="N147" s="70"/>
      <c r="O147" s="70"/>
      <c r="P147" s="70"/>
      <c r="Q147" s="186"/>
    </row>
    <row r="148" spans="1:17" x14ac:dyDescent="0.25">
      <c r="A148" s="115" t="s">
        <v>380</v>
      </c>
      <c r="B148" s="857"/>
      <c r="C148" s="863"/>
      <c r="D148" s="861"/>
      <c r="E148" s="863"/>
      <c r="F148" s="865"/>
      <c r="G148" s="865"/>
      <c r="H148" s="867"/>
      <c r="I148" s="400" t="str">
        <f>IF('Mapa R. Fiscal'!Y151="","",'Mapa R. Fiscal'!Y151)</f>
        <v/>
      </c>
      <c r="J148" s="400" t="str">
        <f>IF('Mapa R. Fiscal'!AA151="","",'Mapa R. Fiscal'!AA151)</f>
        <v/>
      </c>
      <c r="K148" s="436" t="str">
        <f t="shared" si="24"/>
        <v/>
      </c>
      <c r="L148" s="400" t="str">
        <f>IF('Mapa R. Fiscal'!AD151="","",'Mapa R. Fiscal'!AD151)</f>
        <v/>
      </c>
      <c r="M148" s="339" t="str">
        <f>IF('Mapa R. Fiscal'!P151="","",'Mapa R. Fiscal'!P151)</f>
        <v/>
      </c>
      <c r="N148" s="70"/>
      <c r="O148" s="70"/>
      <c r="P148" s="70"/>
      <c r="Q148" s="186"/>
    </row>
    <row r="149" spans="1:17" x14ac:dyDescent="0.25">
      <c r="A149" s="115" t="s">
        <v>381</v>
      </c>
      <c r="B149" s="857"/>
      <c r="C149" s="863"/>
      <c r="D149" s="861"/>
      <c r="E149" s="863"/>
      <c r="F149" s="865"/>
      <c r="G149" s="865"/>
      <c r="H149" s="867"/>
      <c r="I149" s="400" t="str">
        <f>IF('Mapa R. Fiscal'!Y152="","",'Mapa R. Fiscal'!Y152)</f>
        <v/>
      </c>
      <c r="J149" s="400" t="str">
        <f>IF('Mapa R. Fiscal'!AA152="","",'Mapa R. Fiscal'!AA152)</f>
        <v/>
      </c>
      <c r="K149" s="436" t="str">
        <f t="shared" si="24"/>
        <v/>
      </c>
      <c r="L149" s="400" t="str">
        <f>IF('Mapa R. Fiscal'!AD152="","",'Mapa R. Fiscal'!AD152)</f>
        <v/>
      </c>
      <c r="M149" s="339" t="str">
        <f>IF('Mapa R. Fiscal'!P152="","",'Mapa R. Fiscal'!P152)</f>
        <v/>
      </c>
      <c r="N149" s="70"/>
      <c r="O149" s="70"/>
      <c r="P149" s="70"/>
      <c r="Q149" s="186"/>
    </row>
    <row r="150" spans="1:17" x14ac:dyDescent="0.25">
      <c r="A150" s="115" t="s">
        <v>382</v>
      </c>
      <c r="B150" s="857"/>
      <c r="C150" s="863"/>
      <c r="D150" s="861"/>
      <c r="E150" s="863"/>
      <c r="F150" s="865"/>
      <c r="G150" s="865"/>
      <c r="H150" s="867"/>
      <c r="I150" s="400" t="str">
        <f>IF('Mapa R. Fiscal'!Y153="","",'Mapa R. Fiscal'!Y153)</f>
        <v/>
      </c>
      <c r="J150" s="400" t="str">
        <f>IF('Mapa R. Fiscal'!AA153="","",'Mapa R. Fiscal'!AA153)</f>
        <v/>
      </c>
      <c r="K150" s="436" t="str">
        <f t="shared" si="24"/>
        <v/>
      </c>
      <c r="L150" s="400" t="str">
        <f>IF('Mapa R. Fiscal'!AD153="","",'Mapa R. Fiscal'!AD153)</f>
        <v/>
      </c>
      <c r="M150" s="339" t="str">
        <f>IF('Mapa R. Fiscal'!P153="","",'Mapa R. Fiscal'!P153)</f>
        <v/>
      </c>
      <c r="N150" s="70"/>
      <c r="O150" s="70"/>
      <c r="P150" s="70"/>
      <c r="Q150" s="186"/>
    </row>
    <row r="151" spans="1:17" x14ac:dyDescent="0.25">
      <c r="A151" s="115" t="s">
        <v>383</v>
      </c>
      <c r="B151" s="856"/>
      <c r="C151" s="862" t="str">
        <f>IF('Mapa R. Fiscal'!E154="","",'Mapa R. Fiscal'!E154)</f>
        <v/>
      </c>
      <c r="D151" s="860"/>
      <c r="E151" s="862" t="str">
        <f>IF('Mapa R. Fiscal'!D154="","",'Mapa R. Fiscal'!D154)</f>
        <v/>
      </c>
      <c r="F151" s="864" t="str">
        <f>IF('Mapa R. Fiscal'!H154="","",'Mapa R. Fiscal'!H154)</f>
        <v/>
      </c>
      <c r="G151" s="864" t="str">
        <f>IF('Mapa R. Fiscal'!L154="","",'Mapa R. Fiscal'!L154)</f>
        <v/>
      </c>
      <c r="H151" s="866"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0" t="str">
        <f>IF('Mapa R. Fiscal'!Y154="","",'Mapa R. Fiscal'!Y154)</f>
        <v/>
      </c>
      <c r="J151" s="400" t="str">
        <f>IF('Mapa R. Fiscal'!AA154="","",'Mapa R. Fiscal'!AA154)</f>
        <v/>
      </c>
      <c r="K151" s="436" t="str">
        <f t="shared" si="24"/>
        <v/>
      </c>
      <c r="L151" s="400" t="str">
        <f>IF('Mapa R. Fiscal'!AD154="","",'Mapa R. Fiscal'!AD154)</f>
        <v/>
      </c>
      <c r="M151" s="339" t="str">
        <f>IF('Mapa R. Fiscal'!P154="","",'Mapa R. Fiscal'!P154)</f>
        <v/>
      </c>
      <c r="N151" s="70"/>
      <c r="O151" s="70"/>
      <c r="P151" s="70"/>
      <c r="Q151" s="186"/>
    </row>
    <row r="152" spans="1:17" x14ac:dyDescent="0.25">
      <c r="A152" s="115" t="s">
        <v>384</v>
      </c>
      <c r="B152" s="857"/>
      <c r="C152" s="863"/>
      <c r="D152" s="861"/>
      <c r="E152" s="863"/>
      <c r="F152" s="865"/>
      <c r="G152" s="865"/>
      <c r="H152" s="867"/>
      <c r="I152" s="400" t="str">
        <f>IF('Mapa R. Fiscal'!Y155="","",'Mapa R. Fiscal'!Y155)</f>
        <v/>
      </c>
      <c r="J152" s="400" t="str">
        <f>IF('Mapa R. Fiscal'!AA155="","",'Mapa R. Fiscal'!AA155)</f>
        <v/>
      </c>
      <c r="K152" s="436" t="str">
        <f t="shared" si="24"/>
        <v/>
      </c>
      <c r="L152" s="400" t="str">
        <f>IF('Mapa R. Fiscal'!AD155="","",'Mapa R. Fiscal'!AD155)</f>
        <v/>
      </c>
      <c r="M152" s="339" t="str">
        <f>IF('Mapa R. Fiscal'!P155="","",'Mapa R. Fiscal'!P155)</f>
        <v/>
      </c>
      <c r="N152" s="70"/>
      <c r="O152" s="70"/>
      <c r="P152" s="70"/>
      <c r="Q152" s="186"/>
    </row>
    <row r="153" spans="1:17" x14ac:dyDescent="0.25">
      <c r="A153" s="115" t="s">
        <v>385</v>
      </c>
      <c r="B153" s="857"/>
      <c r="C153" s="863"/>
      <c r="D153" s="861"/>
      <c r="E153" s="863"/>
      <c r="F153" s="865"/>
      <c r="G153" s="865"/>
      <c r="H153" s="867"/>
      <c r="I153" s="400" t="str">
        <f>IF('Mapa R. Fiscal'!Y156="","",'Mapa R. Fiscal'!Y156)</f>
        <v/>
      </c>
      <c r="J153" s="400" t="str">
        <f>IF('Mapa R. Fiscal'!AA156="","",'Mapa R. Fiscal'!AA156)</f>
        <v/>
      </c>
      <c r="K153" s="436" t="str">
        <f t="shared" si="24"/>
        <v/>
      </c>
      <c r="L153" s="400" t="str">
        <f>IF('Mapa R. Fiscal'!AD156="","",'Mapa R. Fiscal'!AD156)</f>
        <v/>
      </c>
      <c r="M153" s="339" t="str">
        <f>IF('Mapa R. Fiscal'!P156="","",'Mapa R. Fiscal'!P156)</f>
        <v/>
      </c>
      <c r="N153" s="70"/>
      <c r="O153" s="70"/>
      <c r="P153" s="70"/>
      <c r="Q153" s="186"/>
    </row>
    <row r="154" spans="1:17" x14ac:dyDescent="0.25">
      <c r="A154" s="115" t="s">
        <v>386</v>
      </c>
      <c r="B154" s="857"/>
      <c r="C154" s="863"/>
      <c r="D154" s="861"/>
      <c r="E154" s="863"/>
      <c r="F154" s="865"/>
      <c r="G154" s="865"/>
      <c r="H154" s="867"/>
      <c r="I154" s="400" t="str">
        <f>IF('Mapa R. Fiscal'!Y157="","",'Mapa R. Fiscal'!Y157)</f>
        <v/>
      </c>
      <c r="J154" s="400" t="str">
        <f>IF('Mapa R. Fiscal'!AA157="","",'Mapa R. Fiscal'!AA157)</f>
        <v/>
      </c>
      <c r="K154" s="436" t="str">
        <f t="shared" si="24"/>
        <v/>
      </c>
      <c r="L154" s="400" t="str">
        <f>IF('Mapa R. Fiscal'!AD157="","",'Mapa R. Fiscal'!AD157)</f>
        <v/>
      </c>
      <c r="M154" s="339" t="str">
        <f>IF('Mapa R. Fiscal'!P157="","",'Mapa R. Fiscal'!P157)</f>
        <v/>
      </c>
      <c r="N154" s="70"/>
      <c r="O154" s="70"/>
      <c r="P154" s="70"/>
      <c r="Q154" s="186"/>
    </row>
    <row r="155" spans="1:17" x14ac:dyDescent="0.25">
      <c r="A155" s="115" t="s">
        <v>387</v>
      </c>
      <c r="B155" s="857"/>
      <c r="C155" s="863"/>
      <c r="D155" s="861"/>
      <c r="E155" s="863"/>
      <c r="F155" s="865"/>
      <c r="G155" s="865"/>
      <c r="H155" s="867"/>
      <c r="I155" s="400" t="str">
        <f>IF('Mapa R. Fiscal'!Y158="","",'Mapa R. Fiscal'!Y158)</f>
        <v/>
      </c>
      <c r="J155" s="400" t="str">
        <f>IF('Mapa R. Fiscal'!AA158="","",'Mapa R. Fiscal'!AA158)</f>
        <v/>
      </c>
      <c r="K155" s="436" t="str">
        <f t="shared" si="24"/>
        <v/>
      </c>
      <c r="L155" s="400" t="str">
        <f>IF('Mapa R. Fiscal'!AD158="","",'Mapa R. Fiscal'!AD158)</f>
        <v/>
      </c>
      <c r="M155" s="339" t="str">
        <f>IF('Mapa R. Fiscal'!P158="","",'Mapa R. Fiscal'!P158)</f>
        <v/>
      </c>
      <c r="N155" s="70"/>
      <c r="O155" s="70"/>
      <c r="P155" s="70"/>
      <c r="Q155" s="186"/>
    </row>
    <row r="156" spans="1:17" x14ac:dyDescent="0.25">
      <c r="A156" s="115" t="s">
        <v>388</v>
      </c>
      <c r="B156" s="857"/>
      <c r="C156" s="863"/>
      <c r="D156" s="861"/>
      <c r="E156" s="863"/>
      <c r="F156" s="865"/>
      <c r="G156" s="865"/>
      <c r="H156" s="867"/>
      <c r="I156" s="400" t="str">
        <f>IF('Mapa R. Fiscal'!Y159="","",'Mapa R. Fiscal'!Y159)</f>
        <v/>
      </c>
      <c r="J156" s="400" t="str">
        <f>IF('Mapa R. Fiscal'!AA159="","",'Mapa R. Fiscal'!AA159)</f>
        <v/>
      </c>
      <c r="K156" s="436" t="str">
        <f t="shared" si="24"/>
        <v/>
      </c>
      <c r="L156" s="400" t="str">
        <f>IF('Mapa R. Fiscal'!AD159="","",'Mapa R. Fiscal'!AD159)</f>
        <v/>
      </c>
      <c r="M156" s="339" t="str">
        <f>IF('Mapa R. Fiscal'!P159="","",'Mapa R. Fiscal'!P159)</f>
        <v/>
      </c>
      <c r="N156" s="70"/>
      <c r="O156" s="70"/>
      <c r="P156" s="70"/>
      <c r="Q156" s="186"/>
    </row>
    <row r="157" spans="1:17" x14ac:dyDescent="0.25">
      <c r="A157" s="115" t="s">
        <v>389</v>
      </c>
      <c r="B157" s="856"/>
      <c r="C157" s="862" t="str">
        <f>IF('Mapa R. Fiscal'!E160="","",'Mapa R. Fiscal'!E160)</f>
        <v/>
      </c>
      <c r="D157" s="860"/>
      <c r="E157" s="862" t="str">
        <f>IF('Mapa R. Fiscal'!D160="","",'Mapa R. Fiscal'!D160)</f>
        <v/>
      </c>
      <c r="F157" s="864" t="str">
        <f>IF('Mapa R. Fiscal'!H160="","",'Mapa R. Fiscal'!H160)</f>
        <v/>
      </c>
      <c r="G157" s="864" t="str">
        <f>IF('Mapa R. Fiscal'!L160="","",'Mapa R. Fiscal'!L160)</f>
        <v/>
      </c>
      <c r="H157" s="866"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0" t="str">
        <f>IF('Mapa R. Fiscal'!Y160="","",'Mapa R. Fiscal'!Y160)</f>
        <v/>
      </c>
      <c r="J157" s="400" t="str">
        <f>IF('Mapa R. Fiscal'!AA160="","",'Mapa R. Fiscal'!AA160)</f>
        <v/>
      </c>
      <c r="K157" s="436" t="str">
        <f t="shared" si="24"/>
        <v/>
      </c>
      <c r="L157" s="400" t="str">
        <f>IF('Mapa R. Fiscal'!AD160="","",'Mapa R. Fiscal'!AD160)</f>
        <v/>
      </c>
      <c r="M157" s="339" t="str">
        <f>IF('Mapa R. Fiscal'!P160="","",'Mapa R. Fiscal'!P160)</f>
        <v/>
      </c>
      <c r="N157" s="70"/>
      <c r="O157" s="70"/>
      <c r="P157" s="70"/>
      <c r="Q157" s="186"/>
    </row>
    <row r="158" spans="1:17" x14ac:dyDescent="0.25">
      <c r="A158" s="115" t="s">
        <v>390</v>
      </c>
      <c r="B158" s="857"/>
      <c r="C158" s="863"/>
      <c r="D158" s="861"/>
      <c r="E158" s="863"/>
      <c r="F158" s="865"/>
      <c r="G158" s="865"/>
      <c r="H158" s="867"/>
      <c r="I158" s="400" t="str">
        <f>IF('Mapa R. Fiscal'!Y161="","",'Mapa R. Fiscal'!Y161)</f>
        <v/>
      </c>
      <c r="J158" s="400" t="str">
        <f>IF('Mapa R. Fiscal'!AA161="","",'Mapa R. Fiscal'!AA161)</f>
        <v/>
      </c>
      <c r="K158" s="436" t="str">
        <f t="shared" si="24"/>
        <v/>
      </c>
      <c r="L158" s="400" t="str">
        <f>IF('Mapa R. Fiscal'!AD161="","",'Mapa R. Fiscal'!AD161)</f>
        <v/>
      </c>
      <c r="M158" s="339" t="str">
        <f>IF('Mapa R. Fiscal'!P161="","",'Mapa R. Fiscal'!P161)</f>
        <v/>
      </c>
      <c r="N158" s="70"/>
      <c r="O158" s="70"/>
      <c r="P158" s="70"/>
      <c r="Q158" s="186"/>
    </row>
    <row r="159" spans="1:17" x14ac:dyDescent="0.25">
      <c r="A159" s="115" t="s">
        <v>391</v>
      </c>
      <c r="B159" s="857"/>
      <c r="C159" s="863"/>
      <c r="D159" s="861"/>
      <c r="E159" s="863"/>
      <c r="F159" s="865"/>
      <c r="G159" s="865"/>
      <c r="H159" s="867"/>
      <c r="I159" s="400" t="str">
        <f>IF('Mapa R. Fiscal'!Y162="","",'Mapa R. Fiscal'!Y162)</f>
        <v/>
      </c>
      <c r="J159" s="400" t="str">
        <f>IF('Mapa R. Fiscal'!AA162="","",'Mapa R. Fiscal'!AA162)</f>
        <v/>
      </c>
      <c r="K159" s="436" t="str">
        <f t="shared" si="24"/>
        <v/>
      </c>
      <c r="L159" s="400" t="str">
        <f>IF('Mapa R. Fiscal'!AD162="","",'Mapa R. Fiscal'!AD162)</f>
        <v/>
      </c>
      <c r="M159" s="339" t="str">
        <f>IF('Mapa R. Fiscal'!P162="","",'Mapa R. Fiscal'!P162)</f>
        <v/>
      </c>
      <c r="N159" s="70"/>
      <c r="O159" s="70"/>
      <c r="P159" s="70"/>
      <c r="Q159" s="186"/>
    </row>
    <row r="160" spans="1:17" x14ac:dyDescent="0.25">
      <c r="A160" s="115" t="s">
        <v>392</v>
      </c>
      <c r="B160" s="857"/>
      <c r="C160" s="863"/>
      <c r="D160" s="861"/>
      <c r="E160" s="863"/>
      <c r="F160" s="865"/>
      <c r="G160" s="865"/>
      <c r="H160" s="867"/>
      <c r="I160" s="400" t="str">
        <f>IF('Mapa R. Fiscal'!Y163="","",'Mapa R. Fiscal'!Y163)</f>
        <v/>
      </c>
      <c r="J160" s="400" t="str">
        <f>IF('Mapa R. Fiscal'!AA163="","",'Mapa R. Fiscal'!AA163)</f>
        <v/>
      </c>
      <c r="K160" s="436" t="str">
        <f t="shared" si="24"/>
        <v/>
      </c>
      <c r="L160" s="400" t="str">
        <f>IF('Mapa R. Fiscal'!AD163="","",'Mapa R. Fiscal'!AD163)</f>
        <v/>
      </c>
      <c r="M160" s="339" t="str">
        <f>IF('Mapa R. Fiscal'!P163="","",'Mapa R. Fiscal'!P163)</f>
        <v/>
      </c>
      <c r="N160" s="70"/>
      <c r="O160" s="70"/>
      <c r="P160" s="70"/>
      <c r="Q160" s="186"/>
    </row>
    <row r="161" spans="1:17" x14ac:dyDescent="0.25">
      <c r="A161" s="115" t="s">
        <v>393</v>
      </c>
      <c r="B161" s="857"/>
      <c r="C161" s="863"/>
      <c r="D161" s="861"/>
      <c r="E161" s="863"/>
      <c r="F161" s="865"/>
      <c r="G161" s="865"/>
      <c r="H161" s="867"/>
      <c r="I161" s="400" t="str">
        <f>IF('Mapa R. Fiscal'!Y164="","",'Mapa R. Fiscal'!Y164)</f>
        <v/>
      </c>
      <c r="J161" s="400" t="str">
        <f>IF('Mapa R. Fiscal'!AA164="","",'Mapa R. Fiscal'!AA164)</f>
        <v/>
      </c>
      <c r="K161" s="436" t="str">
        <f t="shared" si="24"/>
        <v/>
      </c>
      <c r="L161" s="400" t="str">
        <f>IF('Mapa R. Fiscal'!AD164="","",'Mapa R. Fiscal'!AD164)</f>
        <v/>
      </c>
      <c r="M161" s="339" t="str">
        <f>IF('Mapa R. Fiscal'!P164="","",'Mapa R. Fiscal'!P164)</f>
        <v/>
      </c>
      <c r="N161" s="70"/>
      <c r="O161" s="70"/>
      <c r="P161" s="70"/>
      <c r="Q161" s="186"/>
    </row>
    <row r="162" spans="1:17" x14ac:dyDescent="0.25">
      <c r="A162" s="115" t="s">
        <v>394</v>
      </c>
      <c r="B162" s="857"/>
      <c r="C162" s="863"/>
      <c r="D162" s="861"/>
      <c r="E162" s="863"/>
      <c r="F162" s="865"/>
      <c r="G162" s="865"/>
      <c r="H162" s="867"/>
      <c r="I162" s="400" t="str">
        <f>IF('Mapa R. Fiscal'!Y165="","",'Mapa R. Fiscal'!Y165)</f>
        <v/>
      </c>
      <c r="J162" s="400" t="str">
        <f>IF('Mapa R. Fiscal'!AA165="","",'Mapa R. Fiscal'!AA165)</f>
        <v/>
      </c>
      <c r="K162" s="436" t="str">
        <f t="shared" si="24"/>
        <v/>
      </c>
      <c r="L162" s="400" t="str">
        <f>IF('Mapa R. Fiscal'!AD165="","",'Mapa R. Fiscal'!AD165)</f>
        <v/>
      </c>
      <c r="M162" s="339" t="str">
        <f>IF('Mapa R. Fiscal'!P165="","",'Mapa R. Fiscal'!P165)</f>
        <v/>
      </c>
      <c r="N162" s="70"/>
      <c r="O162" s="70"/>
      <c r="P162" s="70"/>
      <c r="Q162" s="186"/>
    </row>
    <row r="163" spans="1:17" x14ac:dyDescent="0.25">
      <c r="A163" s="115" t="s">
        <v>395</v>
      </c>
      <c r="B163" s="856"/>
      <c r="C163" s="862" t="str">
        <f>IF('Mapa R. Fiscal'!E166="","",'Mapa R. Fiscal'!E166)</f>
        <v/>
      </c>
      <c r="D163" s="860"/>
      <c r="E163" s="862" t="str">
        <f>IF('Mapa R. Fiscal'!D166="","",'Mapa R. Fiscal'!D166)</f>
        <v/>
      </c>
      <c r="F163" s="864" t="str">
        <f>IF('Mapa R. Fiscal'!H166="","",'Mapa R. Fiscal'!H166)</f>
        <v/>
      </c>
      <c r="G163" s="864" t="str">
        <f>IF('Mapa R. Fiscal'!L166="","",'Mapa R. Fiscal'!L166)</f>
        <v/>
      </c>
      <c r="H163" s="866"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0" t="str">
        <f>IF('Mapa R. Fiscal'!Y166="","",'Mapa R. Fiscal'!Y166)</f>
        <v/>
      </c>
      <c r="J163" s="400" t="str">
        <f>IF('Mapa R. Fiscal'!AA166="","",'Mapa R. Fiscal'!AA166)</f>
        <v/>
      </c>
      <c r="K163" s="436" t="str">
        <f t="shared" si="24"/>
        <v/>
      </c>
      <c r="L163" s="400" t="str">
        <f>IF('Mapa R. Fiscal'!AD166="","",'Mapa R. Fiscal'!AD166)</f>
        <v/>
      </c>
      <c r="M163" s="339" t="str">
        <f>IF('Mapa R. Fiscal'!P166="","",'Mapa R. Fiscal'!P166)</f>
        <v/>
      </c>
      <c r="N163" s="70"/>
      <c r="O163" s="70"/>
      <c r="P163" s="70"/>
      <c r="Q163" s="186"/>
    </row>
    <row r="164" spans="1:17" x14ac:dyDescent="0.25">
      <c r="A164" s="115" t="s">
        <v>396</v>
      </c>
      <c r="B164" s="857"/>
      <c r="C164" s="863"/>
      <c r="D164" s="861"/>
      <c r="E164" s="863"/>
      <c r="F164" s="865"/>
      <c r="G164" s="865"/>
      <c r="H164" s="867"/>
      <c r="I164" s="400" t="str">
        <f>IF('Mapa R. Fiscal'!Y167="","",'Mapa R. Fiscal'!Y167)</f>
        <v/>
      </c>
      <c r="J164" s="400" t="str">
        <f>IF('Mapa R. Fiscal'!AA167="","",'Mapa R. Fiscal'!AA167)</f>
        <v/>
      </c>
      <c r="K164" s="436" t="str">
        <f t="shared" si="24"/>
        <v/>
      </c>
      <c r="L164" s="400" t="str">
        <f>IF('Mapa R. Fiscal'!AD167="","",'Mapa R. Fiscal'!AD167)</f>
        <v/>
      </c>
      <c r="M164" s="339" t="str">
        <f>IF('Mapa R. Fiscal'!P167="","",'Mapa R. Fiscal'!P167)</f>
        <v/>
      </c>
      <c r="N164" s="70"/>
      <c r="O164" s="70"/>
      <c r="P164" s="70"/>
      <c r="Q164" s="186"/>
    </row>
    <row r="165" spans="1:17" x14ac:dyDescent="0.25">
      <c r="A165" s="115" t="s">
        <v>397</v>
      </c>
      <c r="B165" s="857"/>
      <c r="C165" s="863"/>
      <c r="D165" s="861"/>
      <c r="E165" s="863"/>
      <c r="F165" s="865"/>
      <c r="G165" s="865"/>
      <c r="H165" s="867"/>
      <c r="I165" s="400" t="str">
        <f>IF('Mapa R. Fiscal'!Y168="","",'Mapa R. Fiscal'!Y168)</f>
        <v/>
      </c>
      <c r="J165" s="400" t="str">
        <f>IF('Mapa R. Fiscal'!AA168="","",'Mapa R. Fiscal'!AA168)</f>
        <v/>
      </c>
      <c r="K165" s="436" t="str">
        <f t="shared" si="24"/>
        <v/>
      </c>
      <c r="L165" s="400" t="str">
        <f>IF('Mapa R. Fiscal'!AD168="","",'Mapa R. Fiscal'!AD168)</f>
        <v/>
      </c>
      <c r="M165" s="339" t="str">
        <f>IF('Mapa R. Fiscal'!P168="","",'Mapa R. Fiscal'!P168)</f>
        <v/>
      </c>
      <c r="N165" s="70"/>
      <c r="O165" s="70"/>
      <c r="P165" s="70"/>
      <c r="Q165" s="186"/>
    </row>
    <row r="166" spans="1:17" x14ac:dyDescent="0.25">
      <c r="A166" s="115" t="s">
        <v>398</v>
      </c>
      <c r="B166" s="857"/>
      <c r="C166" s="863"/>
      <c r="D166" s="861"/>
      <c r="E166" s="863"/>
      <c r="F166" s="865"/>
      <c r="G166" s="865"/>
      <c r="H166" s="867"/>
      <c r="I166" s="400" t="str">
        <f>IF('Mapa R. Fiscal'!Y169="","",'Mapa R. Fiscal'!Y169)</f>
        <v/>
      </c>
      <c r="J166" s="400" t="str">
        <f>IF('Mapa R. Fiscal'!AA169="","",'Mapa R. Fiscal'!AA169)</f>
        <v/>
      </c>
      <c r="K166" s="436" t="str">
        <f t="shared" si="24"/>
        <v/>
      </c>
      <c r="L166" s="400" t="str">
        <f>IF('Mapa R. Fiscal'!AD169="","",'Mapa R. Fiscal'!AD169)</f>
        <v/>
      </c>
      <c r="M166" s="339" t="str">
        <f>IF('Mapa R. Fiscal'!P169="","",'Mapa R. Fiscal'!P169)</f>
        <v/>
      </c>
      <c r="N166" s="70"/>
      <c r="O166" s="70"/>
      <c r="P166" s="70"/>
      <c r="Q166" s="186"/>
    </row>
    <row r="167" spans="1:17" x14ac:dyDescent="0.25">
      <c r="A167" s="115" t="s">
        <v>399</v>
      </c>
      <c r="B167" s="857"/>
      <c r="C167" s="863"/>
      <c r="D167" s="861"/>
      <c r="E167" s="863"/>
      <c r="F167" s="865"/>
      <c r="G167" s="865"/>
      <c r="H167" s="867"/>
      <c r="I167" s="400" t="str">
        <f>IF('Mapa R. Fiscal'!Y170="","",'Mapa R. Fiscal'!Y170)</f>
        <v/>
      </c>
      <c r="J167" s="400" t="str">
        <f>IF('Mapa R. Fiscal'!AA170="","",'Mapa R. Fiscal'!AA170)</f>
        <v/>
      </c>
      <c r="K167" s="436" t="str">
        <f t="shared" si="24"/>
        <v/>
      </c>
      <c r="L167" s="400" t="str">
        <f>IF('Mapa R. Fiscal'!AD170="","",'Mapa R. Fiscal'!AD170)</f>
        <v/>
      </c>
      <c r="M167" s="339" t="str">
        <f>IF('Mapa R. Fiscal'!P170="","",'Mapa R. Fiscal'!P170)</f>
        <v/>
      </c>
      <c r="N167" s="70"/>
      <c r="O167" s="70"/>
      <c r="P167" s="70"/>
      <c r="Q167" s="186"/>
    </row>
    <row r="168" spans="1:17" x14ac:dyDescent="0.25">
      <c r="A168" s="115" t="s">
        <v>400</v>
      </c>
      <c r="B168" s="857"/>
      <c r="C168" s="863"/>
      <c r="D168" s="861"/>
      <c r="E168" s="863"/>
      <c r="F168" s="865"/>
      <c r="G168" s="865"/>
      <c r="H168" s="867"/>
      <c r="I168" s="400" t="str">
        <f>IF('Mapa R. Fiscal'!Y171="","",'Mapa R. Fiscal'!Y171)</f>
        <v/>
      </c>
      <c r="J168" s="400" t="str">
        <f>IF('Mapa R. Fiscal'!AA171="","",'Mapa R. Fiscal'!AA171)</f>
        <v/>
      </c>
      <c r="K168" s="436" t="str">
        <f t="shared" si="24"/>
        <v/>
      </c>
      <c r="L168" s="400" t="str">
        <f>IF('Mapa R. Fiscal'!AD171="","",'Mapa R. Fiscal'!AD171)</f>
        <v/>
      </c>
      <c r="M168" s="339" t="str">
        <f>IF('Mapa R. Fiscal'!P171="","",'Mapa R. Fiscal'!P171)</f>
        <v/>
      </c>
      <c r="N168" s="70"/>
      <c r="O168" s="70"/>
      <c r="P168" s="70"/>
      <c r="Q168" s="186"/>
    </row>
    <row r="169" spans="1:17" x14ac:dyDescent="0.25">
      <c r="A169" s="115" t="s">
        <v>401</v>
      </c>
      <c r="B169" s="856"/>
      <c r="C169" s="862" t="str">
        <f>IF('Mapa R. Fiscal'!E172="","",'Mapa R. Fiscal'!E172)</f>
        <v/>
      </c>
      <c r="D169" s="860"/>
      <c r="E169" s="862" t="str">
        <f>IF('Mapa R. Fiscal'!D172="","",'Mapa R. Fiscal'!D172)</f>
        <v/>
      </c>
      <c r="F169" s="864" t="str">
        <f>IF('Mapa R. Fiscal'!H172="","",'Mapa R. Fiscal'!H172)</f>
        <v/>
      </c>
      <c r="G169" s="864" t="str">
        <f>IF('Mapa R. Fiscal'!L172="","",'Mapa R. Fiscal'!L172)</f>
        <v/>
      </c>
      <c r="H169" s="866"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0" t="str">
        <f>IF('Mapa R. Fiscal'!Y172="","",'Mapa R. Fiscal'!Y172)</f>
        <v/>
      </c>
      <c r="J169" s="400" t="str">
        <f>IF('Mapa R. Fiscal'!AA172="","",'Mapa R. Fiscal'!AA172)</f>
        <v/>
      </c>
      <c r="K169" s="436" t="str">
        <f t="shared" si="24"/>
        <v/>
      </c>
      <c r="L169" s="400" t="str">
        <f>IF('Mapa R. Fiscal'!AD172="","",'Mapa R. Fiscal'!AD172)</f>
        <v/>
      </c>
      <c r="M169" s="339" t="str">
        <f>IF('Mapa R. Fiscal'!P172="","",'Mapa R. Fiscal'!P172)</f>
        <v/>
      </c>
      <c r="N169" s="70"/>
      <c r="O169" s="70"/>
      <c r="P169" s="70"/>
      <c r="Q169" s="186"/>
    </row>
    <row r="170" spans="1:17" x14ac:dyDescent="0.25">
      <c r="A170" s="115" t="s">
        <v>402</v>
      </c>
      <c r="B170" s="857"/>
      <c r="C170" s="863"/>
      <c r="D170" s="861"/>
      <c r="E170" s="863"/>
      <c r="F170" s="865"/>
      <c r="G170" s="865"/>
      <c r="H170" s="867"/>
      <c r="I170" s="400" t="str">
        <f>IF('Mapa R. Fiscal'!Y173="","",'Mapa R. Fiscal'!Y173)</f>
        <v/>
      </c>
      <c r="J170" s="400" t="str">
        <f>IF('Mapa R. Fiscal'!AA173="","",'Mapa R. Fiscal'!AA173)</f>
        <v/>
      </c>
      <c r="K170" s="436" t="str">
        <f t="shared" si="24"/>
        <v/>
      </c>
      <c r="L170" s="400" t="str">
        <f>IF('Mapa R. Fiscal'!AD173="","",'Mapa R. Fiscal'!AD173)</f>
        <v/>
      </c>
      <c r="M170" s="339" t="str">
        <f>IF('Mapa R. Fiscal'!P173="","",'Mapa R. Fiscal'!P173)</f>
        <v/>
      </c>
      <c r="N170" s="70"/>
      <c r="O170" s="70"/>
      <c r="P170" s="70"/>
      <c r="Q170" s="186"/>
    </row>
    <row r="171" spans="1:17" x14ac:dyDescent="0.25">
      <c r="A171" s="115" t="s">
        <v>403</v>
      </c>
      <c r="B171" s="857"/>
      <c r="C171" s="863"/>
      <c r="D171" s="861"/>
      <c r="E171" s="863"/>
      <c r="F171" s="865"/>
      <c r="G171" s="865"/>
      <c r="H171" s="867"/>
      <c r="I171" s="400" t="str">
        <f>IF('Mapa R. Fiscal'!Y174="","",'Mapa R. Fiscal'!Y174)</f>
        <v/>
      </c>
      <c r="J171" s="400" t="str">
        <f>IF('Mapa R. Fiscal'!AA174="","",'Mapa R. Fiscal'!AA174)</f>
        <v/>
      </c>
      <c r="K171" s="436" t="str">
        <f t="shared" si="24"/>
        <v/>
      </c>
      <c r="L171" s="400" t="str">
        <f>IF('Mapa R. Fiscal'!AD174="","",'Mapa R. Fiscal'!AD174)</f>
        <v/>
      </c>
      <c r="M171" s="339" t="str">
        <f>IF('Mapa R. Fiscal'!P174="","",'Mapa R. Fiscal'!P174)</f>
        <v/>
      </c>
      <c r="N171" s="70"/>
      <c r="O171" s="70"/>
      <c r="P171" s="70"/>
      <c r="Q171" s="186"/>
    </row>
    <row r="172" spans="1:17" x14ac:dyDescent="0.25">
      <c r="A172" s="115" t="s">
        <v>404</v>
      </c>
      <c r="B172" s="857"/>
      <c r="C172" s="863"/>
      <c r="D172" s="861"/>
      <c r="E172" s="863"/>
      <c r="F172" s="865"/>
      <c r="G172" s="865"/>
      <c r="H172" s="867"/>
      <c r="I172" s="400" t="str">
        <f>IF('Mapa R. Fiscal'!Y175="","",'Mapa R. Fiscal'!Y175)</f>
        <v/>
      </c>
      <c r="J172" s="400" t="str">
        <f>IF('Mapa R. Fiscal'!AA175="","",'Mapa R. Fiscal'!AA175)</f>
        <v/>
      </c>
      <c r="K172" s="436" t="str">
        <f t="shared" si="24"/>
        <v/>
      </c>
      <c r="L172" s="400" t="str">
        <f>IF('Mapa R. Fiscal'!AD175="","",'Mapa R. Fiscal'!AD175)</f>
        <v/>
      </c>
      <c r="M172" s="339" t="str">
        <f>IF('Mapa R. Fiscal'!P175="","",'Mapa R. Fiscal'!P175)</f>
        <v/>
      </c>
      <c r="N172" s="70"/>
      <c r="O172" s="70"/>
      <c r="P172" s="70"/>
      <c r="Q172" s="186"/>
    </row>
    <row r="173" spans="1:17" x14ac:dyDescent="0.25">
      <c r="A173" s="115" t="s">
        <v>405</v>
      </c>
      <c r="B173" s="857"/>
      <c r="C173" s="863"/>
      <c r="D173" s="861"/>
      <c r="E173" s="863"/>
      <c r="F173" s="865"/>
      <c r="G173" s="865"/>
      <c r="H173" s="867"/>
      <c r="I173" s="400" t="str">
        <f>IF('Mapa R. Fiscal'!Y176="","",'Mapa R. Fiscal'!Y176)</f>
        <v/>
      </c>
      <c r="J173" s="400" t="str">
        <f>IF('Mapa R. Fiscal'!AA176="","",'Mapa R. Fiscal'!AA176)</f>
        <v/>
      </c>
      <c r="K173" s="436" t="str">
        <f t="shared" si="24"/>
        <v/>
      </c>
      <c r="L173" s="400" t="str">
        <f>IF('Mapa R. Fiscal'!AD176="","",'Mapa R. Fiscal'!AD176)</f>
        <v/>
      </c>
      <c r="M173" s="339" t="str">
        <f>IF('Mapa R. Fiscal'!P176="","",'Mapa R. Fiscal'!P176)</f>
        <v/>
      </c>
      <c r="N173" s="70"/>
      <c r="O173" s="70"/>
      <c r="P173" s="70"/>
      <c r="Q173" s="186"/>
    </row>
    <row r="174" spans="1:17" x14ac:dyDescent="0.25">
      <c r="A174" s="115" t="s">
        <v>406</v>
      </c>
      <c r="B174" s="857"/>
      <c r="C174" s="863"/>
      <c r="D174" s="861"/>
      <c r="E174" s="863"/>
      <c r="F174" s="865"/>
      <c r="G174" s="865"/>
      <c r="H174" s="867"/>
      <c r="I174" s="400" t="str">
        <f>IF('Mapa R. Fiscal'!Y177="","",'Mapa R. Fiscal'!Y177)</f>
        <v/>
      </c>
      <c r="J174" s="400" t="str">
        <f>IF('Mapa R. Fiscal'!AA177="","",'Mapa R. Fiscal'!AA177)</f>
        <v/>
      </c>
      <c r="K174" s="436" t="str">
        <f t="shared" si="24"/>
        <v/>
      </c>
      <c r="L174" s="400" t="str">
        <f>IF('Mapa R. Fiscal'!AD177="","",'Mapa R. Fiscal'!AD177)</f>
        <v/>
      </c>
      <c r="M174" s="339" t="str">
        <f>IF('Mapa R. Fiscal'!P177="","",'Mapa R. Fiscal'!P177)</f>
        <v/>
      </c>
      <c r="N174" s="70"/>
      <c r="O174" s="70"/>
      <c r="P174" s="70"/>
      <c r="Q174" s="186"/>
    </row>
    <row r="175" spans="1:17" x14ac:dyDescent="0.25">
      <c r="A175" s="115" t="s">
        <v>407</v>
      </c>
      <c r="B175" s="856"/>
      <c r="C175" s="862" t="str">
        <f>IF('Mapa R. Fiscal'!E178="","",'Mapa R. Fiscal'!E178)</f>
        <v/>
      </c>
      <c r="D175" s="860"/>
      <c r="E175" s="862" t="str">
        <f>IF('Mapa R. Fiscal'!D178="","",'Mapa R. Fiscal'!D178)</f>
        <v/>
      </c>
      <c r="F175" s="864" t="str">
        <f>IF('Mapa R. Fiscal'!H178="","",'Mapa R. Fiscal'!H178)</f>
        <v/>
      </c>
      <c r="G175" s="864" t="str">
        <f>IF('Mapa R. Fiscal'!L178="","",'Mapa R. Fiscal'!L178)</f>
        <v/>
      </c>
      <c r="H175" s="866"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0" t="str">
        <f>IF('Mapa R. Fiscal'!Y178="","",'Mapa R. Fiscal'!Y178)</f>
        <v/>
      </c>
      <c r="J175" s="400" t="str">
        <f>IF('Mapa R. Fiscal'!AA178="","",'Mapa R. Fiscal'!AA178)</f>
        <v/>
      </c>
      <c r="K175" s="436" t="str">
        <f t="shared" si="24"/>
        <v/>
      </c>
      <c r="L175" s="400" t="str">
        <f>IF('Mapa R. Fiscal'!AD178="","",'Mapa R. Fiscal'!AD178)</f>
        <v/>
      </c>
      <c r="M175" s="339" t="str">
        <f>IF('Mapa R. Fiscal'!P178="","",'Mapa R. Fiscal'!P178)</f>
        <v/>
      </c>
      <c r="N175" s="70"/>
      <c r="O175" s="70"/>
      <c r="P175" s="70"/>
      <c r="Q175" s="186"/>
    </row>
    <row r="176" spans="1:17" x14ac:dyDescent="0.25">
      <c r="A176" s="115" t="s">
        <v>408</v>
      </c>
      <c r="B176" s="857"/>
      <c r="C176" s="863"/>
      <c r="D176" s="861"/>
      <c r="E176" s="863"/>
      <c r="F176" s="865"/>
      <c r="G176" s="865"/>
      <c r="H176" s="867"/>
      <c r="I176" s="400" t="str">
        <f>IF('Mapa R. Fiscal'!Y179="","",'Mapa R. Fiscal'!Y179)</f>
        <v/>
      </c>
      <c r="J176" s="400" t="str">
        <f>IF('Mapa R. Fiscal'!AA179="","",'Mapa R. Fiscal'!AA179)</f>
        <v/>
      </c>
      <c r="K176" s="436" t="str">
        <f t="shared" si="24"/>
        <v/>
      </c>
      <c r="L176" s="400" t="str">
        <f>IF('Mapa R. Fiscal'!AD179="","",'Mapa R. Fiscal'!AD179)</f>
        <v/>
      </c>
      <c r="M176" s="339" t="str">
        <f>IF('Mapa R. Fiscal'!P179="","",'Mapa R. Fiscal'!P179)</f>
        <v/>
      </c>
      <c r="N176" s="70"/>
      <c r="O176" s="70"/>
      <c r="P176" s="70"/>
      <c r="Q176" s="186"/>
    </row>
    <row r="177" spans="1:17" x14ac:dyDescent="0.25">
      <c r="A177" s="115" t="s">
        <v>409</v>
      </c>
      <c r="B177" s="857"/>
      <c r="C177" s="863"/>
      <c r="D177" s="861"/>
      <c r="E177" s="863"/>
      <c r="F177" s="865"/>
      <c r="G177" s="865"/>
      <c r="H177" s="867"/>
      <c r="I177" s="400" t="str">
        <f>IF('Mapa R. Fiscal'!Y180="","",'Mapa R. Fiscal'!Y180)</f>
        <v/>
      </c>
      <c r="J177" s="400" t="str">
        <f>IF('Mapa R. Fiscal'!AA180="","",'Mapa R. Fiscal'!AA180)</f>
        <v/>
      </c>
      <c r="K177" s="436" t="str">
        <f t="shared" si="24"/>
        <v/>
      </c>
      <c r="L177" s="400" t="str">
        <f>IF('Mapa R. Fiscal'!AD180="","",'Mapa R. Fiscal'!AD180)</f>
        <v/>
      </c>
      <c r="M177" s="339" t="str">
        <f>IF('Mapa R. Fiscal'!P180="","",'Mapa R. Fiscal'!P180)</f>
        <v/>
      </c>
      <c r="N177" s="70"/>
      <c r="O177" s="70"/>
      <c r="P177" s="70"/>
      <c r="Q177" s="186"/>
    </row>
    <row r="178" spans="1:17" x14ac:dyDescent="0.25">
      <c r="A178" s="115" t="s">
        <v>410</v>
      </c>
      <c r="B178" s="857"/>
      <c r="C178" s="863"/>
      <c r="D178" s="861"/>
      <c r="E178" s="863"/>
      <c r="F178" s="865"/>
      <c r="G178" s="865"/>
      <c r="H178" s="867"/>
      <c r="I178" s="400" t="str">
        <f>IF('Mapa R. Fiscal'!Y181="","",'Mapa R. Fiscal'!Y181)</f>
        <v/>
      </c>
      <c r="J178" s="400" t="str">
        <f>IF('Mapa R. Fiscal'!AA181="","",'Mapa R. Fiscal'!AA181)</f>
        <v/>
      </c>
      <c r="K178" s="436" t="str">
        <f t="shared" si="24"/>
        <v/>
      </c>
      <c r="L178" s="400" t="str">
        <f>IF('Mapa R. Fiscal'!AD181="","",'Mapa R. Fiscal'!AD181)</f>
        <v/>
      </c>
      <c r="M178" s="339" t="str">
        <f>IF('Mapa R. Fiscal'!P181="","",'Mapa R. Fiscal'!P181)</f>
        <v/>
      </c>
      <c r="N178" s="70"/>
      <c r="O178" s="70"/>
      <c r="P178" s="70"/>
      <c r="Q178" s="186"/>
    </row>
    <row r="179" spans="1:17" x14ac:dyDescent="0.25">
      <c r="A179" s="115" t="s">
        <v>411</v>
      </c>
      <c r="B179" s="857"/>
      <c r="C179" s="863"/>
      <c r="D179" s="861"/>
      <c r="E179" s="863"/>
      <c r="F179" s="865"/>
      <c r="G179" s="865"/>
      <c r="H179" s="867"/>
      <c r="I179" s="400" t="str">
        <f>IF('Mapa R. Fiscal'!Y182="","",'Mapa R. Fiscal'!Y182)</f>
        <v/>
      </c>
      <c r="J179" s="400" t="str">
        <f>IF('Mapa R. Fiscal'!AA182="","",'Mapa R. Fiscal'!AA182)</f>
        <v/>
      </c>
      <c r="K179" s="436" t="str">
        <f t="shared" si="24"/>
        <v/>
      </c>
      <c r="L179" s="400" t="str">
        <f>IF('Mapa R. Fiscal'!AD182="","",'Mapa R. Fiscal'!AD182)</f>
        <v/>
      </c>
      <c r="M179" s="339" t="str">
        <f>IF('Mapa R. Fiscal'!P182="","",'Mapa R. Fiscal'!P182)</f>
        <v/>
      </c>
      <c r="N179" s="70"/>
      <c r="O179" s="70"/>
      <c r="P179" s="70"/>
      <c r="Q179" s="186"/>
    </row>
    <row r="180" spans="1:17" x14ac:dyDescent="0.25">
      <c r="A180" s="115" t="s">
        <v>412</v>
      </c>
      <c r="B180" s="857"/>
      <c r="C180" s="863"/>
      <c r="D180" s="861"/>
      <c r="E180" s="863"/>
      <c r="F180" s="865"/>
      <c r="G180" s="865"/>
      <c r="H180" s="867"/>
      <c r="I180" s="400" t="str">
        <f>IF('Mapa R. Fiscal'!Y183="","",'Mapa R. Fiscal'!Y183)</f>
        <v/>
      </c>
      <c r="J180" s="400" t="str">
        <f>IF('Mapa R. Fiscal'!AA183="","",'Mapa R. Fiscal'!AA183)</f>
        <v/>
      </c>
      <c r="K180" s="436" t="str">
        <f t="shared" si="24"/>
        <v/>
      </c>
      <c r="L180" s="400" t="str">
        <f>IF('Mapa R. Fiscal'!AD183="","",'Mapa R. Fiscal'!AD183)</f>
        <v/>
      </c>
      <c r="M180" s="339" t="str">
        <f>IF('Mapa R. Fiscal'!P183="","",'Mapa R. Fiscal'!P183)</f>
        <v/>
      </c>
      <c r="N180" s="70"/>
      <c r="O180" s="70"/>
      <c r="P180" s="70"/>
      <c r="Q180" s="186"/>
    </row>
    <row r="181" spans="1:17" x14ac:dyDescent="0.25">
      <c r="A181" s="115" t="s">
        <v>413</v>
      </c>
      <c r="B181" s="856"/>
      <c r="C181" s="862" t="str">
        <f>IF('Mapa R. Fiscal'!E184="","",'Mapa R. Fiscal'!E184)</f>
        <v/>
      </c>
      <c r="D181" s="860"/>
      <c r="E181" s="862" t="str">
        <f>IF('Mapa R. Fiscal'!D184="","",'Mapa R. Fiscal'!D184)</f>
        <v/>
      </c>
      <c r="F181" s="864" t="str">
        <f>IF('Mapa R. Fiscal'!H184="","",'Mapa R. Fiscal'!H184)</f>
        <v/>
      </c>
      <c r="G181" s="864" t="str">
        <f>IF('Mapa R. Fiscal'!L184="","",'Mapa R. Fiscal'!L184)</f>
        <v/>
      </c>
      <c r="H181" s="866"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0" t="str">
        <f>IF('Mapa R. Fiscal'!Y184="","",'Mapa R. Fiscal'!Y184)</f>
        <v/>
      </c>
      <c r="J181" s="400" t="str">
        <f>IF('Mapa R. Fiscal'!AA184="","",'Mapa R. Fiscal'!AA184)</f>
        <v/>
      </c>
      <c r="K181" s="436" t="str">
        <f t="shared" si="24"/>
        <v/>
      </c>
      <c r="L181" s="400" t="str">
        <f>IF('Mapa R. Fiscal'!AD184="","",'Mapa R. Fiscal'!AD184)</f>
        <v/>
      </c>
      <c r="M181" s="339" t="str">
        <f>IF('Mapa R. Fiscal'!P184="","",'Mapa R. Fiscal'!P184)</f>
        <v/>
      </c>
      <c r="N181" s="70"/>
      <c r="O181" s="70"/>
      <c r="P181" s="70"/>
      <c r="Q181" s="186"/>
    </row>
    <row r="182" spans="1:17" x14ac:dyDescent="0.25">
      <c r="A182" s="115" t="s">
        <v>414</v>
      </c>
      <c r="B182" s="857"/>
      <c r="C182" s="863"/>
      <c r="D182" s="861"/>
      <c r="E182" s="863"/>
      <c r="F182" s="865"/>
      <c r="G182" s="865"/>
      <c r="H182" s="867"/>
      <c r="I182" s="400" t="str">
        <f>IF('Mapa R. Fiscal'!Y185="","",'Mapa R. Fiscal'!Y185)</f>
        <v/>
      </c>
      <c r="J182" s="400" t="str">
        <f>IF('Mapa R. Fiscal'!AA185="","",'Mapa R. Fiscal'!AA185)</f>
        <v/>
      </c>
      <c r="K182" s="436" t="str">
        <f t="shared" si="24"/>
        <v/>
      </c>
      <c r="L182" s="400" t="str">
        <f>IF('Mapa R. Fiscal'!AD185="","",'Mapa R. Fiscal'!AD185)</f>
        <v/>
      </c>
      <c r="M182" s="339" t="str">
        <f>IF('Mapa R. Fiscal'!P185="","",'Mapa R. Fiscal'!P185)</f>
        <v/>
      </c>
      <c r="N182" s="70"/>
      <c r="O182" s="70"/>
      <c r="P182" s="70"/>
      <c r="Q182" s="186"/>
    </row>
    <row r="183" spans="1:17" x14ac:dyDescent="0.25">
      <c r="A183" s="115" t="s">
        <v>415</v>
      </c>
      <c r="B183" s="857"/>
      <c r="C183" s="863"/>
      <c r="D183" s="861"/>
      <c r="E183" s="863"/>
      <c r="F183" s="865"/>
      <c r="G183" s="865"/>
      <c r="H183" s="867"/>
      <c r="I183" s="400" t="str">
        <f>IF('Mapa R. Fiscal'!Y186="","",'Mapa R. Fiscal'!Y186)</f>
        <v/>
      </c>
      <c r="J183" s="400" t="str">
        <f>IF('Mapa R. Fiscal'!AA186="","",'Mapa R. Fiscal'!AA186)</f>
        <v/>
      </c>
      <c r="K183" s="436" t="str">
        <f t="shared" si="24"/>
        <v/>
      </c>
      <c r="L183" s="400" t="str">
        <f>IF('Mapa R. Fiscal'!AD186="","",'Mapa R. Fiscal'!AD186)</f>
        <v/>
      </c>
      <c r="M183" s="339" t="str">
        <f>IF('Mapa R. Fiscal'!P186="","",'Mapa R. Fiscal'!P186)</f>
        <v/>
      </c>
      <c r="N183" s="70"/>
      <c r="O183" s="70"/>
      <c r="P183" s="70"/>
      <c r="Q183" s="186"/>
    </row>
    <row r="184" spans="1:17" x14ac:dyDescent="0.25">
      <c r="A184" s="115" t="s">
        <v>416</v>
      </c>
      <c r="B184" s="857"/>
      <c r="C184" s="863"/>
      <c r="D184" s="861"/>
      <c r="E184" s="863"/>
      <c r="F184" s="865"/>
      <c r="G184" s="865"/>
      <c r="H184" s="867"/>
      <c r="I184" s="400" t="str">
        <f>IF('Mapa R. Fiscal'!Y187="","",'Mapa R. Fiscal'!Y187)</f>
        <v/>
      </c>
      <c r="J184" s="400" t="str">
        <f>IF('Mapa R. Fiscal'!AA187="","",'Mapa R. Fiscal'!AA187)</f>
        <v/>
      </c>
      <c r="K184" s="436" t="str">
        <f t="shared" si="24"/>
        <v/>
      </c>
      <c r="L184" s="400" t="str">
        <f>IF('Mapa R. Fiscal'!AD187="","",'Mapa R. Fiscal'!AD187)</f>
        <v/>
      </c>
      <c r="M184" s="339" t="str">
        <f>IF('Mapa R. Fiscal'!P187="","",'Mapa R. Fiscal'!P187)</f>
        <v/>
      </c>
      <c r="N184" s="70"/>
      <c r="O184" s="70"/>
      <c r="P184" s="70"/>
      <c r="Q184" s="186"/>
    </row>
    <row r="185" spans="1:17" x14ac:dyDescent="0.25">
      <c r="A185" s="115" t="s">
        <v>417</v>
      </c>
      <c r="B185" s="857"/>
      <c r="C185" s="863"/>
      <c r="D185" s="861"/>
      <c r="E185" s="863"/>
      <c r="F185" s="865"/>
      <c r="G185" s="865"/>
      <c r="H185" s="867"/>
      <c r="I185" s="400" t="str">
        <f>IF('Mapa R. Fiscal'!Y188="","",'Mapa R. Fiscal'!Y188)</f>
        <v/>
      </c>
      <c r="J185" s="400" t="str">
        <f>IF('Mapa R. Fiscal'!AA188="","",'Mapa R. Fiscal'!AA188)</f>
        <v/>
      </c>
      <c r="K185" s="436" t="str">
        <f t="shared" si="24"/>
        <v/>
      </c>
      <c r="L185" s="400" t="str">
        <f>IF('Mapa R. Fiscal'!AD188="","",'Mapa R. Fiscal'!AD188)</f>
        <v/>
      </c>
      <c r="M185" s="339" t="str">
        <f>IF('Mapa R. Fiscal'!P188="","",'Mapa R. Fiscal'!P188)</f>
        <v/>
      </c>
      <c r="N185" s="70"/>
      <c r="O185" s="70"/>
      <c r="P185" s="70"/>
      <c r="Q185" s="186"/>
    </row>
    <row r="186" spans="1:17" x14ac:dyDescent="0.25">
      <c r="A186" s="115" t="s">
        <v>418</v>
      </c>
      <c r="B186" s="857"/>
      <c r="C186" s="863"/>
      <c r="D186" s="861"/>
      <c r="E186" s="863"/>
      <c r="F186" s="865"/>
      <c r="G186" s="865"/>
      <c r="H186" s="867"/>
      <c r="I186" s="400" t="str">
        <f>IF('Mapa R. Fiscal'!Y189="","",'Mapa R. Fiscal'!Y189)</f>
        <v/>
      </c>
      <c r="J186" s="400" t="str">
        <f>IF('Mapa R. Fiscal'!AA189="","",'Mapa R. Fiscal'!AA189)</f>
        <v/>
      </c>
      <c r="K186" s="436" t="str">
        <f t="shared" si="24"/>
        <v/>
      </c>
      <c r="L186" s="400" t="str">
        <f>IF('Mapa R. Fiscal'!AD189="","",'Mapa R. Fiscal'!AD189)</f>
        <v/>
      </c>
      <c r="M186" s="339" t="str">
        <f>IF('Mapa R. Fiscal'!P189="","",'Mapa R. Fiscal'!P189)</f>
        <v/>
      </c>
      <c r="N186" s="70"/>
      <c r="O186" s="70"/>
      <c r="P186" s="70"/>
      <c r="Q186" s="186"/>
    </row>
    <row r="187" spans="1:17" x14ac:dyDescent="0.25">
      <c r="A187" s="115" t="s">
        <v>419</v>
      </c>
      <c r="B187" s="856"/>
      <c r="C187" s="862" t="str">
        <f>IF('Mapa R. Fiscal'!E190="","",'Mapa R. Fiscal'!E190)</f>
        <v/>
      </c>
      <c r="D187" s="860"/>
      <c r="E187" s="862" t="str">
        <f>IF('Mapa R. Fiscal'!D190="","",'Mapa R. Fiscal'!D190)</f>
        <v/>
      </c>
      <c r="F187" s="864" t="str">
        <f>IF('Mapa R. Fiscal'!H190="","",'Mapa R. Fiscal'!H190)</f>
        <v/>
      </c>
      <c r="G187" s="864" t="str">
        <f>IF('Mapa R. Fiscal'!L190="","",'Mapa R. Fiscal'!L190)</f>
        <v/>
      </c>
      <c r="H187" s="866"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0" t="str">
        <f>IF('Mapa R. Fiscal'!Y190="","",'Mapa R. Fiscal'!Y190)</f>
        <v/>
      </c>
      <c r="J187" s="400" t="str">
        <f>IF('Mapa R. Fiscal'!AA190="","",'Mapa R. Fiscal'!AA190)</f>
        <v/>
      </c>
      <c r="K187" s="436" t="str">
        <f t="shared" si="24"/>
        <v/>
      </c>
      <c r="L187" s="400" t="str">
        <f>IF('Mapa R. Fiscal'!AD190="","",'Mapa R. Fiscal'!AD190)</f>
        <v/>
      </c>
      <c r="M187" s="339" t="str">
        <f>IF('Mapa R. Fiscal'!P190="","",'Mapa R. Fiscal'!P190)</f>
        <v/>
      </c>
      <c r="N187" s="70"/>
      <c r="O187" s="70"/>
      <c r="P187" s="70"/>
      <c r="Q187" s="186"/>
    </row>
    <row r="188" spans="1:17" x14ac:dyDescent="0.25">
      <c r="A188" s="115" t="s">
        <v>420</v>
      </c>
      <c r="B188" s="857"/>
      <c r="C188" s="863"/>
      <c r="D188" s="861"/>
      <c r="E188" s="863"/>
      <c r="F188" s="865"/>
      <c r="G188" s="865"/>
      <c r="H188" s="867"/>
      <c r="I188" s="400" t="str">
        <f>IF('Mapa R. Fiscal'!Y191="","",'Mapa R. Fiscal'!Y191)</f>
        <v/>
      </c>
      <c r="J188" s="400" t="str">
        <f>IF('Mapa R. Fiscal'!AA191="","",'Mapa R. Fiscal'!AA191)</f>
        <v/>
      </c>
      <c r="K188" s="436" t="str">
        <f t="shared" si="24"/>
        <v/>
      </c>
      <c r="L188" s="400" t="str">
        <f>IF('Mapa R. Fiscal'!AD191="","",'Mapa R. Fiscal'!AD191)</f>
        <v/>
      </c>
      <c r="M188" s="339" t="str">
        <f>IF('Mapa R. Fiscal'!P191="","",'Mapa R. Fiscal'!P191)</f>
        <v/>
      </c>
      <c r="N188" s="70"/>
      <c r="O188" s="70"/>
      <c r="P188" s="70"/>
      <c r="Q188" s="186"/>
    </row>
    <row r="189" spans="1:17" x14ac:dyDescent="0.25">
      <c r="A189" s="115" t="s">
        <v>421</v>
      </c>
      <c r="B189" s="857"/>
      <c r="C189" s="863"/>
      <c r="D189" s="861"/>
      <c r="E189" s="863"/>
      <c r="F189" s="865"/>
      <c r="G189" s="865"/>
      <c r="H189" s="867"/>
      <c r="I189" s="400" t="str">
        <f>IF('Mapa R. Fiscal'!Y192="","",'Mapa R. Fiscal'!Y192)</f>
        <v/>
      </c>
      <c r="J189" s="400" t="str">
        <f>IF('Mapa R. Fiscal'!AA192="","",'Mapa R. Fiscal'!AA192)</f>
        <v/>
      </c>
      <c r="K189" s="436" t="str">
        <f t="shared" si="24"/>
        <v/>
      </c>
      <c r="L189" s="400" t="str">
        <f>IF('Mapa R. Fiscal'!AD192="","",'Mapa R. Fiscal'!AD192)</f>
        <v/>
      </c>
      <c r="M189" s="339" t="str">
        <f>IF('Mapa R. Fiscal'!P192="","",'Mapa R. Fiscal'!P192)</f>
        <v/>
      </c>
      <c r="N189" s="70"/>
      <c r="O189" s="70"/>
      <c r="P189" s="70"/>
      <c r="Q189" s="186"/>
    </row>
    <row r="190" spans="1:17" x14ac:dyDescent="0.25">
      <c r="A190" s="115" t="s">
        <v>422</v>
      </c>
      <c r="B190" s="857"/>
      <c r="C190" s="863"/>
      <c r="D190" s="861"/>
      <c r="E190" s="863"/>
      <c r="F190" s="865"/>
      <c r="G190" s="865"/>
      <c r="H190" s="867"/>
      <c r="I190" s="400" t="str">
        <f>IF('Mapa R. Fiscal'!Y193="","",'Mapa R. Fiscal'!Y193)</f>
        <v/>
      </c>
      <c r="J190" s="400" t="str">
        <f>IF('Mapa R. Fiscal'!AA193="","",'Mapa R. Fiscal'!AA193)</f>
        <v/>
      </c>
      <c r="K190" s="436" t="str">
        <f t="shared" si="24"/>
        <v/>
      </c>
      <c r="L190" s="400" t="str">
        <f>IF('Mapa R. Fiscal'!AD193="","",'Mapa R. Fiscal'!AD193)</f>
        <v/>
      </c>
      <c r="M190" s="339" t="str">
        <f>IF('Mapa R. Fiscal'!P193="","",'Mapa R. Fiscal'!P193)</f>
        <v/>
      </c>
      <c r="N190" s="70"/>
      <c r="O190" s="70"/>
      <c r="P190" s="70"/>
      <c r="Q190" s="186"/>
    </row>
    <row r="191" spans="1:17" x14ac:dyDescent="0.25">
      <c r="A191" s="115" t="s">
        <v>423</v>
      </c>
      <c r="B191" s="857"/>
      <c r="C191" s="863"/>
      <c r="D191" s="861"/>
      <c r="E191" s="863"/>
      <c r="F191" s="865"/>
      <c r="G191" s="865"/>
      <c r="H191" s="867"/>
      <c r="I191" s="400" t="str">
        <f>IF('Mapa R. Fiscal'!Y194="","",'Mapa R. Fiscal'!Y194)</f>
        <v/>
      </c>
      <c r="J191" s="400" t="str">
        <f>IF('Mapa R. Fiscal'!AA194="","",'Mapa R. Fiscal'!AA194)</f>
        <v/>
      </c>
      <c r="K191" s="436" t="str">
        <f t="shared" si="24"/>
        <v/>
      </c>
      <c r="L191" s="400" t="str">
        <f>IF('Mapa R. Fiscal'!AD194="","",'Mapa R. Fiscal'!AD194)</f>
        <v/>
      </c>
      <c r="M191" s="339" t="str">
        <f>IF('Mapa R. Fiscal'!P194="","",'Mapa R. Fiscal'!P194)</f>
        <v/>
      </c>
      <c r="N191" s="70"/>
      <c r="O191" s="70"/>
      <c r="P191" s="70"/>
      <c r="Q191" s="186"/>
    </row>
    <row r="192" spans="1:17" x14ac:dyDescent="0.25">
      <c r="A192" s="115" t="s">
        <v>424</v>
      </c>
      <c r="B192" s="857"/>
      <c r="C192" s="863"/>
      <c r="D192" s="861"/>
      <c r="E192" s="863"/>
      <c r="F192" s="865"/>
      <c r="G192" s="865"/>
      <c r="H192" s="867"/>
      <c r="I192" s="400" t="str">
        <f>IF('Mapa R. Fiscal'!Y195="","",'Mapa R. Fiscal'!Y195)</f>
        <v/>
      </c>
      <c r="J192" s="400" t="str">
        <f>IF('Mapa R. Fiscal'!AA195="","",'Mapa R. Fiscal'!AA195)</f>
        <v/>
      </c>
      <c r="K192" s="436" t="str">
        <f t="shared" si="24"/>
        <v/>
      </c>
      <c r="L192" s="400" t="str">
        <f>IF('Mapa R. Fiscal'!AD195="","",'Mapa R. Fiscal'!AD195)</f>
        <v/>
      </c>
      <c r="M192" s="339" t="str">
        <f>IF('Mapa R. Fiscal'!P195="","",'Mapa R. Fiscal'!P195)</f>
        <v/>
      </c>
      <c r="N192" s="70"/>
      <c r="O192" s="70"/>
      <c r="P192" s="70"/>
      <c r="Q192" s="186"/>
    </row>
    <row r="193" spans="1:17" x14ac:dyDescent="0.25">
      <c r="A193" s="115" t="s">
        <v>425</v>
      </c>
      <c r="B193" s="856"/>
      <c r="C193" s="862" t="str">
        <f>IF('Mapa R. Fiscal'!E196="","",'Mapa R. Fiscal'!E196)</f>
        <v/>
      </c>
      <c r="D193" s="860"/>
      <c r="E193" s="862" t="str">
        <f>IF('Mapa R. Fiscal'!D196="","",'Mapa R. Fiscal'!D196)</f>
        <v/>
      </c>
      <c r="F193" s="864" t="str">
        <f>IF('Mapa R. Fiscal'!H196="","",'Mapa R. Fiscal'!H196)</f>
        <v/>
      </c>
      <c r="G193" s="864" t="str">
        <f>IF('Mapa R. Fiscal'!L196="","",'Mapa R. Fiscal'!L196)</f>
        <v/>
      </c>
      <c r="H193" s="866"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0" t="str">
        <f>IF('Mapa R. Fiscal'!Y196="","",'Mapa R. Fiscal'!Y196)</f>
        <v/>
      </c>
      <c r="J193" s="400" t="str">
        <f>IF('Mapa R. Fiscal'!AA196="","",'Mapa R. Fiscal'!AA196)</f>
        <v/>
      </c>
      <c r="K193" s="436" t="str">
        <f t="shared" si="24"/>
        <v/>
      </c>
      <c r="L193" s="400" t="str">
        <f>IF('Mapa R. Fiscal'!AD196="","",'Mapa R. Fiscal'!AD196)</f>
        <v/>
      </c>
      <c r="M193" s="339" t="str">
        <f>IF('Mapa R. Fiscal'!P196="","",'Mapa R. Fiscal'!P196)</f>
        <v/>
      </c>
      <c r="N193" s="70"/>
      <c r="O193" s="70"/>
      <c r="P193" s="70"/>
      <c r="Q193" s="186"/>
    </row>
    <row r="194" spans="1:17" x14ac:dyDescent="0.25">
      <c r="A194" s="115" t="s">
        <v>426</v>
      </c>
      <c r="B194" s="857"/>
      <c r="C194" s="863"/>
      <c r="D194" s="861"/>
      <c r="E194" s="863"/>
      <c r="F194" s="865"/>
      <c r="G194" s="865"/>
      <c r="H194" s="867"/>
      <c r="I194" s="400" t="str">
        <f>IF('Mapa R. Fiscal'!Y197="","",'Mapa R. Fiscal'!Y197)</f>
        <v/>
      </c>
      <c r="J194" s="400" t="str">
        <f>IF('Mapa R. Fiscal'!AA197="","",'Mapa R. Fiscal'!AA197)</f>
        <v/>
      </c>
      <c r="K194" s="436" t="str">
        <f t="shared" si="24"/>
        <v/>
      </c>
      <c r="L194" s="400" t="str">
        <f>IF('Mapa R. Fiscal'!AD197="","",'Mapa R. Fiscal'!AD197)</f>
        <v/>
      </c>
      <c r="M194" s="339" t="str">
        <f>IF('Mapa R. Fiscal'!P197="","",'Mapa R. Fiscal'!P197)</f>
        <v/>
      </c>
      <c r="N194" s="70"/>
      <c r="O194" s="70"/>
      <c r="P194" s="70"/>
      <c r="Q194" s="186"/>
    </row>
    <row r="195" spans="1:17" x14ac:dyDescent="0.25">
      <c r="A195" s="115" t="s">
        <v>427</v>
      </c>
      <c r="B195" s="857"/>
      <c r="C195" s="863"/>
      <c r="D195" s="861"/>
      <c r="E195" s="863"/>
      <c r="F195" s="865"/>
      <c r="G195" s="865"/>
      <c r="H195" s="867"/>
      <c r="I195" s="400" t="str">
        <f>IF('Mapa R. Fiscal'!Y198="","",'Mapa R. Fiscal'!Y198)</f>
        <v/>
      </c>
      <c r="J195" s="400" t="str">
        <f>IF('Mapa R. Fiscal'!AA198="","",'Mapa R. Fiscal'!AA198)</f>
        <v/>
      </c>
      <c r="K195" s="436" t="str">
        <f t="shared" si="24"/>
        <v/>
      </c>
      <c r="L195" s="400" t="str">
        <f>IF('Mapa R. Fiscal'!AD198="","",'Mapa R. Fiscal'!AD198)</f>
        <v/>
      </c>
      <c r="M195" s="339" t="str">
        <f>IF('Mapa R. Fiscal'!P198="","",'Mapa R. Fiscal'!P198)</f>
        <v/>
      </c>
      <c r="N195" s="70"/>
      <c r="O195" s="70"/>
      <c r="P195" s="70"/>
      <c r="Q195" s="186"/>
    </row>
    <row r="196" spans="1:17" x14ac:dyDescent="0.25">
      <c r="A196" s="115" t="s">
        <v>428</v>
      </c>
      <c r="B196" s="857"/>
      <c r="C196" s="863"/>
      <c r="D196" s="861"/>
      <c r="E196" s="863"/>
      <c r="F196" s="865"/>
      <c r="G196" s="865"/>
      <c r="H196" s="867"/>
      <c r="I196" s="400" t="str">
        <f>IF('Mapa R. Fiscal'!Y199="","",'Mapa R. Fiscal'!Y199)</f>
        <v/>
      </c>
      <c r="J196" s="400" t="str">
        <f>IF('Mapa R. Fiscal'!AA199="","",'Mapa R. Fiscal'!AA199)</f>
        <v/>
      </c>
      <c r="K196" s="436" t="str">
        <f t="shared" si="24"/>
        <v/>
      </c>
      <c r="L196" s="400" t="str">
        <f>IF('Mapa R. Fiscal'!AD199="","",'Mapa R. Fiscal'!AD199)</f>
        <v/>
      </c>
      <c r="M196" s="339" t="str">
        <f>IF('Mapa R. Fiscal'!P199="","",'Mapa R. Fiscal'!P199)</f>
        <v/>
      </c>
      <c r="N196" s="70"/>
      <c r="O196" s="70"/>
      <c r="P196" s="70"/>
      <c r="Q196" s="186"/>
    </row>
    <row r="197" spans="1:17" x14ac:dyDescent="0.25">
      <c r="A197" s="115" t="s">
        <v>429</v>
      </c>
      <c r="B197" s="857"/>
      <c r="C197" s="863"/>
      <c r="D197" s="861"/>
      <c r="E197" s="863"/>
      <c r="F197" s="865"/>
      <c r="G197" s="865"/>
      <c r="H197" s="867"/>
      <c r="I197" s="400" t="str">
        <f>IF('Mapa R. Fiscal'!Y200="","",'Mapa R. Fiscal'!Y200)</f>
        <v/>
      </c>
      <c r="J197" s="400" t="str">
        <f>IF('Mapa R. Fiscal'!AA200="","",'Mapa R. Fiscal'!AA200)</f>
        <v/>
      </c>
      <c r="K197" s="436" t="str">
        <f t="shared" si="24"/>
        <v/>
      </c>
      <c r="L197" s="400" t="str">
        <f>IF('Mapa R. Fiscal'!AD200="","",'Mapa R. Fiscal'!AD200)</f>
        <v/>
      </c>
      <c r="M197" s="339" t="str">
        <f>IF('Mapa R. Fiscal'!P200="","",'Mapa R. Fiscal'!P200)</f>
        <v/>
      </c>
      <c r="N197" s="70"/>
      <c r="O197" s="70"/>
      <c r="P197" s="70"/>
      <c r="Q197" s="186"/>
    </row>
    <row r="198" spans="1:17" x14ac:dyDescent="0.25">
      <c r="A198" s="115" t="s">
        <v>430</v>
      </c>
      <c r="B198" s="857"/>
      <c r="C198" s="863"/>
      <c r="D198" s="861"/>
      <c r="E198" s="863"/>
      <c r="F198" s="865"/>
      <c r="G198" s="865"/>
      <c r="H198" s="867"/>
      <c r="I198" s="400" t="str">
        <f>IF('Mapa R. Fiscal'!Y201="","",'Mapa R. Fiscal'!Y201)</f>
        <v/>
      </c>
      <c r="J198" s="400" t="str">
        <f>IF('Mapa R. Fiscal'!AA201="","",'Mapa R. Fiscal'!AA201)</f>
        <v/>
      </c>
      <c r="K198" s="436" t="str">
        <f t="shared" si="24"/>
        <v/>
      </c>
      <c r="L198" s="400" t="str">
        <f>IF('Mapa R. Fiscal'!AD201="","",'Mapa R. Fiscal'!AD201)</f>
        <v/>
      </c>
      <c r="M198" s="339" t="str">
        <f>IF('Mapa R. Fiscal'!P201="","",'Mapa R. Fiscal'!P201)</f>
        <v/>
      </c>
      <c r="N198" s="70"/>
      <c r="O198" s="70"/>
      <c r="P198" s="70"/>
      <c r="Q198" s="186"/>
    </row>
    <row r="199" spans="1:17" x14ac:dyDescent="0.25">
      <c r="A199" s="115" t="s">
        <v>431</v>
      </c>
      <c r="B199" s="856"/>
      <c r="C199" s="862" t="str">
        <f>IF('Mapa R. Fiscal'!E202="","",'Mapa R. Fiscal'!E202)</f>
        <v/>
      </c>
      <c r="D199" s="860"/>
      <c r="E199" s="862" t="str">
        <f>IF('Mapa R. Fiscal'!D202="","",'Mapa R. Fiscal'!D202)</f>
        <v/>
      </c>
      <c r="F199" s="864" t="str">
        <f>IF('Mapa R. Fiscal'!H202="","",'Mapa R. Fiscal'!H202)</f>
        <v/>
      </c>
      <c r="G199" s="864" t="str">
        <f>IF('Mapa R. Fiscal'!L202="","",'Mapa R. Fiscal'!L202)</f>
        <v/>
      </c>
      <c r="H199" s="866"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0" t="str">
        <f>IF('Mapa R. Fiscal'!Y202="","",'Mapa R. Fiscal'!Y202)</f>
        <v/>
      </c>
      <c r="J199" s="400" t="str">
        <f>IF('Mapa R. Fiscal'!AA202="","",'Mapa R. Fiscal'!AA202)</f>
        <v/>
      </c>
      <c r="K199" s="436"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0" t="str">
        <f>IF('Mapa R. Fiscal'!AD202="","",'Mapa R. Fiscal'!AD202)</f>
        <v/>
      </c>
      <c r="M199" s="339" t="str">
        <f>IF('Mapa R. Fiscal'!P202="","",'Mapa R. Fiscal'!P202)</f>
        <v/>
      </c>
      <c r="N199" s="70"/>
      <c r="O199" s="70"/>
      <c r="P199" s="70"/>
      <c r="Q199" s="186"/>
    </row>
    <row r="200" spans="1:17" x14ac:dyDescent="0.25">
      <c r="A200" s="115" t="s">
        <v>432</v>
      </c>
      <c r="B200" s="857"/>
      <c r="C200" s="863"/>
      <c r="D200" s="861"/>
      <c r="E200" s="863"/>
      <c r="F200" s="865"/>
      <c r="G200" s="865"/>
      <c r="H200" s="867"/>
      <c r="I200" s="400" t="str">
        <f>IF('Mapa R. Fiscal'!Y203="","",'Mapa R. Fiscal'!Y203)</f>
        <v/>
      </c>
      <c r="J200" s="400" t="str">
        <f>IF('Mapa R. Fiscal'!AA203="","",'Mapa R. Fiscal'!AA203)</f>
        <v/>
      </c>
      <c r="K200" s="436" t="str">
        <f t="shared" si="36"/>
        <v/>
      </c>
      <c r="L200" s="400" t="str">
        <f>IF('Mapa R. Fiscal'!AD203="","",'Mapa R. Fiscal'!AD203)</f>
        <v/>
      </c>
      <c r="M200" s="339" t="str">
        <f>IF('Mapa R. Fiscal'!P203="","",'Mapa R. Fiscal'!P203)</f>
        <v/>
      </c>
      <c r="N200" s="70"/>
      <c r="O200" s="70"/>
      <c r="P200" s="70"/>
      <c r="Q200" s="186"/>
    </row>
    <row r="201" spans="1:17" x14ac:dyDescent="0.25">
      <c r="A201" s="115" t="s">
        <v>433</v>
      </c>
      <c r="B201" s="857"/>
      <c r="C201" s="863"/>
      <c r="D201" s="861"/>
      <c r="E201" s="863"/>
      <c r="F201" s="865"/>
      <c r="G201" s="865"/>
      <c r="H201" s="867"/>
      <c r="I201" s="400" t="str">
        <f>IF('Mapa R. Fiscal'!Y204="","",'Mapa R. Fiscal'!Y204)</f>
        <v/>
      </c>
      <c r="J201" s="400" t="str">
        <f>IF('Mapa R. Fiscal'!AA204="","",'Mapa R. Fiscal'!AA204)</f>
        <v/>
      </c>
      <c r="K201" s="436" t="str">
        <f t="shared" si="36"/>
        <v/>
      </c>
      <c r="L201" s="400" t="str">
        <f>IF('Mapa R. Fiscal'!AD204="","",'Mapa R. Fiscal'!AD204)</f>
        <v/>
      </c>
      <c r="M201" s="339" t="str">
        <f>IF('Mapa R. Fiscal'!P204="","",'Mapa R. Fiscal'!P204)</f>
        <v/>
      </c>
      <c r="N201" s="70"/>
      <c r="O201" s="70"/>
      <c r="P201" s="70"/>
      <c r="Q201" s="186"/>
    </row>
    <row r="202" spans="1:17" x14ac:dyDescent="0.25">
      <c r="A202" s="115" t="s">
        <v>434</v>
      </c>
      <c r="B202" s="857"/>
      <c r="C202" s="863"/>
      <c r="D202" s="861"/>
      <c r="E202" s="863"/>
      <c r="F202" s="865"/>
      <c r="G202" s="865"/>
      <c r="H202" s="867"/>
      <c r="I202" s="400" t="str">
        <f>IF('Mapa R. Fiscal'!Y205="","",'Mapa R. Fiscal'!Y205)</f>
        <v/>
      </c>
      <c r="J202" s="400" t="str">
        <f>IF('Mapa R. Fiscal'!AA205="","",'Mapa R. Fiscal'!AA205)</f>
        <v/>
      </c>
      <c r="K202" s="436" t="str">
        <f t="shared" si="36"/>
        <v/>
      </c>
      <c r="L202" s="400" t="str">
        <f>IF('Mapa R. Fiscal'!AD205="","",'Mapa R. Fiscal'!AD205)</f>
        <v/>
      </c>
      <c r="M202" s="339" t="str">
        <f>IF('Mapa R. Fiscal'!P205="","",'Mapa R. Fiscal'!P205)</f>
        <v/>
      </c>
      <c r="N202" s="70"/>
      <c r="O202" s="70"/>
      <c r="P202" s="70"/>
      <c r="Q202" s="186"/>
    </row>
    <row r="203" spans="1:17" x14ac:dyDescent="0.25">
      <c r="A203" s="115" t="s">
        <v>435</v>
      </c>
      <c r="B203" s="857"/>
      <c r="C203" s="863"/>
      <c r="D203" s="861"/>
      <c r="E203" s="863"/>
      <c r="F203" s="865"/>
      <c r="G203" s="865"/>
      <c r="H203" s="867"/>
      <c r="I203" s="400" t="str">
        <f>IF('Mapa R. Fiscal'!Y206="","",'Mapa R. Fiscal'!Y206)</f>
        <v/>
      </c>
      <c r="J203" s="400" t="str">
        <f>IF('Mapa R. Fiscal'!AA206="","",'Mapa R. Fiscal'!AA206)</f>
        <v/>
      </c>
      <c r="K203" s="436" t="str">
        <f t="shared" si="36"/>
        <v/>
      </c>
      <c r="L203" s="400" t="str">
        <f>IF('Mapa R. Fiscal'!AD206="","",'Mapa R. Fiscal'!AD206)</f>
        <v/>
      </c>
      <c r="M203" s="339" t="str">
        <f>IF('Mapa R. Fiscal'!P206="","",'Mapa R. Fiscal'!P206)</f>
        <v/>
      </c>
      <c r="N203" s="70"/>
      <c r="O203" s="70"/>
      <c r="P203" s="70"/>
      <c r="Q203" s="186"/>
    </row>
    <row r="204" spans="1:17" x14ac:dyDescent="0.25">
      <c r="A204" s="115" t="s">
        <v>436</v>
      </c>
      <c r="B204" s="857"/>
      <c r="C204" s="863"/>
      <c r="D204" s="861"/>
      <c r="E204" s="863"/>
      <c r="F204" s="865"/>
      <c r="G204" s="865"/>
      <c r="H204" s="867"/>
      <c r="I204" s="400" t="str">
        <f>IF('Mapa R. Fiscal'!Y207="","",'Mapa R. Fiscal'!Y207)</f>
        <v/>
      </c>
      <c r="J204" s="400" t="str">
        <f>IF('Mapa R. Fiscal'!AA207="","",'Mapa R. Fiscal'!AA207)</f>
        <v/>
      </c>
      <c r="K204" s="436" t="str">
        <f t="shared" si="36"/>
        <v/>
      </c>
      <c r="L204" s="400" t="str">
        <f>IF('Mapa R. Fiscal'!AD207="","",'Mapa R. Fiscal'!AD207)</f>
        <v/>
      </c>
      <c r="M204" s="339" t="str">
        <f>IF('Mapa R. Fiscal'!P207="","",'Mapa R. Fiscal'!P207)</f>
        <v/>
      </c>
      <c r="N204" s="70"/>
      <c r="O204" s="70"/>
      <c r="P204" s="70"/>
      <c r="Q204" s="186"/>
    </row>
    <row r="205" spans="1:17" x14ac:dyDescent="0.25">
      <c r="A205" s="115" t="s">
        <v>437</v>
      </c>
      <c r="B205" s="856"/>
      <c r="C205" s="862" t="str">
        <f>IF('Mapa R. Fiscal'!E208="","",'Mapa R. Fiscal'!E208)</f>
        <v/>
      </c>
      <c r="D205" s="860"/>
      <c r="E205" s="862" t="str">
        <f>IF('Mapa R. Fiscal'!D208="","",'Mapa R. Fiscal'!D208)</f>
        <v/>
      </c>
      <c r="F205" s="864" t="str">
        <f>IF('Mapa R. Fiscal'!H208="","",'Mapa R. Fiscal'!H208)</f>
        <v/>
      </c>
      <c r="G205" s="864" t="str">
        <f>IF('Mapa R. Fiscal'!L208="","",'Mapa R. Fiscal'!L208)</f>
        <v/>
      </c>
      <c r="H205" s="866"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0" t="str">
        <f>IF('Mapa R. Fiscal'!Y208="","",'Mapa R. Fiscal'!Y208)</f>
        <v/>
      </c>
      <c r="J205" s="400" t="str">
        <f>IF('Mapa R. Fiscal'!AA208="","",'Mapa R. Fiscal'!AA208)</f>
        <v/>
      </c>
      <c r="K205" s="436" t="str">
        <f t="shared" si="36"/>
        <v/>
      </c>
      <c r="L205" s="400" t="str">
        <f>IF('Mapa R. Fiscal'!AD208="","",'Mapa R. Fiscal'!AD208)</f>
        <v/>
      </c>
      <c r="M205" s="339" t="str">
        <f>IF('Mapa R. Fiscal'!P208="","",'Mapa R. Fiscal'!P208)</f>
        <v/>
      </c>
      <c r="N205" s="70"/>
      <c r="O205" s="70"/>
      <c r="P205" s="70"/>
      <c r="Q205" s="186"/>
    </row>
    <row r="206" spans="1:17" x14ac:dyDescent="0.25">
      <c r="A206" s="115" t="s">
        <v>438</v>
      </c>
      <c r="B206" s="857"/>
      <c r="C206" s="863"/>
      <c r="D206" s="861"/>
      <c r="E206" s="863"/>
      <c r="F206" s="865"/>
      <c r="G206" s="865"/>
      <c r="H206" s="867"/>
      <c r="I206" s="400" t="str">
        <f>IF('Mapa R. Fiscal'!Y209="","",'Mapa R. Fiscal'!Y209)</f>
        <v/>
      </c>
      <c r="J206" s="400" t="str">
        <f>IF('Mapa R. Fiscal'!AA209="","",'Mapa R. Fiscal'!AA209)</f>
        <v/>
      </c>
      <c r="K206" s="436" t="str">
        <f t="shared" si="36"/>
        <v/>
      </c>
      <c r="L206" s="400" t="str">
        <f>IF('Mapa R. Fiscal'!AD209="","",'Mapa R. Fiscal'!AD209)</f>
        <v/>
      </c>
      <c r="M206" s="339" t="str">
        <f>IF('Mapa R. Fiscal'!P209="","",'Mapa R. Fiscal'!P209)</f>
        <v/>
      </c>
      <c r="N206" s="70"/>
      <c r="O206" s="70"/>
      <c r="P206" s="70"/>
      <c r="Q206" s="186"/>
    </row>
    <row r="207" spans="1:17" x14ac:dyDescent="0.25">
      <c r="A207" s="115" t="s">
        <v>439</v>
      </c>
      <c r="B207" s="857"/>
      <c r="C207" s="863"/>
      <c r="D207" s="861"/>
      <c r="E207" s="863"/>
      <c r="F207" s="865"/>
      <c r="G207" s="865"/>
      <c r="H207" s="867"/>
      <c r="I207" s="400" t="str">
        <f>IF('Mapa R. Fiscal'!Y210="","",'Mapa R. Fiscal'!Y210)</f>
        <v/>
      </c>
      <c r="J207" s="400" t="str">
        <f>IF('Mapa R. Fiscal'!AA210="","",'Mapa R. Fiscal'!AA210)</f>
        <v/>
      </c>
      <c r="K207" s="436" t="str">
        <f t="shared" si="36"/>
        <v/>
      </c>
      <c r="L207" s="400" t="str">
        <f>IF('Mapa R. Fiscal'!AD210="","",'Mapa R. Fiscal'!AD210)</f>
        <v/>
      </c>
      <c r="M207" s="339" t="str">
        <f>IF('Mapa R. Fiscal'!P210="","",'Mapa R. Fiscal'!P210)</f>
        <v/>
      </c>
      <c r="N207" s="70"/>
      <c r="O207" s="70"/>
      <c r="P207" s="70"/>
      <c r="Q207" s="186"/>
    </row>
    <row r="208" spans="1:17" x14ac:dyDescent="0.25">
      <c r="A208" s="115" t="s">
        <v>440</v>
      </c>
      <c r="B208" s="857"/>
      <c r="C208" s="863"/>
      <c r="D208" s="861"/>
      <c r="E208" s="863"/>
      <c r="F208" s="865"/>
      <c r="G208" s="865"/>
      <c r="H208" s="867"/>
      <c r="I208" s="400" t="str">
        <f>IF('Mapa R. Fiscal'!Y211="","",'Mapa R. Fiscal'!Y211)</f>
        <v/>
      </c>
      <c r="J208" s="400" t="str">
        <f>IF('Mapa R. Fiscal'!AA211="","",'Mapa R. Fiscal'!AA211)</f>
        <v/>
      </c>
      <c r="K208" s="436" t="str">
        <f t="shared" si="36"/>
        <v/>
      </c>
      <c r="L208" s="400" t="str">
        <f>IF('Mapa R. Fiscal'!AD211="","",'Mapa R. Fiscal'!AD211)</f>
        <v/>
      </c>
      <c r="M208" s="339" t="str">
        <f>IF('Mapa R. Fiscal'!P211="","",'Mapa R. Fiscal'!P211)</f>
        <v/>
      </c>
      <c r="N208" s="70"/>
      <c r="O208" s="70"/>
      <c r="P208" s="70"/>
      <c r="Q208" s="186"/>
    </row>
    <row r="209" spans="1:17" x14ac:dyDescent="0.25">
      <c r="A209" s="115" t="s">
        <v>441</v>
      </c>
      <c r="B209" s="857"/>
      <c r="C209" s="863"/>
      <c r="D209" s="861"/>
      <c r="E209" s="863"/>
      <c r="F209" s="865"/>
      <c r="G209" s="865"/>
      <c r="H209" s="867"/>
      <c r="I209" s="400" t="str">
        <f>IF('Mapa R. Fiscal'!Y212="","",'Mapa R. Fiscal'!Y212)</f>
        <v/>
      </c>
      <c r="J209" s="400" t="str">
        <f>IF('Mapa R. Fiscal'!AA212="","",'Mapa R. Fiscal'!AA212)</f>
        <v/>
      </c>
      <c r="K209" s="436" t="str">
        <f t="shared" si="36"/>
        <v/>
      </c>
      <c r="L209" s="400" t="str">
        <f>IF('Mapa R. Fiscal'!AD212="","",'Mapa R. Fiscal'!AD212)</f>
        <v/>
      </c>
      <c r="M209" s="339" t="str">
        <f>IF('Mapa R. Fiscal'!P212="","",'Mapa R. Fiscal'!P212)</f>
        <v/>
      </c>
      <c r="N209" s="70"/>
      <c r="O209" s="70"/>
      <c r="P209" s="70"/>
      <c r="Q209" s="186"/>
    </row>
    <row r="210" spans="1:17" x14ac:dyDescent="0.25">
      <c r="A210" s="115" t="s">
        <v>442</v>
      </c>
      <c r="B210" s="857"/>
      <c r="C210" s="863"/>
      <c r="D210" s="861"/>
      <c r="E210" s="863"/>
      <c r="F210" s="865"/>
      <c r="G210" s="865"/>
      <c r="H210" s="867"/>
      <c r="I210" s="400" t="str">
        <f>IF('Mapa R. Fiscal'!Y213="","",'Mapa R. Fiscal'!Y213)</f>
        <v/>
      </c>
      <c r="J210" s="400" t="str">
        <f>IF('Mapa R. Fiscal'!AA213="","",'Mapa R. Fiscal'!AA213)</f>
        <v/>
      </c>
      <c r="K210" s="436" t="str">
        <f t="shared" si="36"/>
        <v/>
      </c>
      <c r="L210" s="400" t="str">
        <f>IF('Mapa R. Fiscal'!AD213="","",'Mapa R. Fiscal'!AD213)</f>
        <v/>
      </c>
      <c r="M210" s="339" t="str">
        <f>IF('Mapa R. Fiscal'!P213="","",'Mapa R. Fiscal'!P213)</f>
        <v/>
      </c>
      <c r="N210" s="70"/>
      <c r="O210" s="70"/>
      <c r="P210" s="70"/>
      <c r="Q210" s="186"/>
    </row>
    <row r="211" spans="1:17" x14ac:dyDescent="0.25">
      <c r="A211" s="115" t="s">
        <v>443</v>
      </c>
      <c r="B211" s="856"/>
      <c r="C211" s="862" t="str">
        <f>IF('Mapa R. Fiscal'!E214="","",'Mapa R. Fiscal'!E214)</f>
        <v/>
      </c>
      <c r="D211" s="860"/>
      <c r="E211" s="862" t="str">
        <f>IF('Mapa R. Fiscal'!D214="","",'Mapa R. Fiscal'!D214)</f>
        <v/>
      </c>
      <c r="F211" s="864" t="str">
        <f>IF('Mapa R. Fiscal'!H214="","",'Mapa R. Fiscal'!H214)</f>
        <v/>
      </c>
      <c r="G211" s="864" t="str">
        <f>IF('Mapa R. Fiscal'!L214="","",'Mapa R. Fiscal'!L214)</f>
        <v/>
      </c>
      <c r="H211" s="866"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0" t="str">
        <f>IF('Mapa R. Fiscal'!Y214="","",'Mapa R. Fiscal'!Y214)</f>
        <v/>
      </c>
      <c r="J211" s="400" t="str">
        <f>IF('Mapa R. Fiscal'!AA214="","",'Mapa R. Fiscal'!AA214)</f>
        <v/>
      </c>
      <c r="K211" s="436" t="str">
        <f t="shared" si="36"/>
        <v/>
      </c>
      <c r="L211" s="400" t="str">
        <f>IF('Mapa R. Fiscal'!AD214="","",'Mapa R. Fiscal'!AD214)</f>
        <v/>
      </c>
      <c r="M211" s="339" t="str">
        <f>IF('Mapa R. Fiscal'!P214="","",'Mapa R. Fiscal'!P214)</f>
        <v/>
      </c>
      <c r="N211" s="70"/>
      <c r="O211" s="70"/>
      <c r="P211" s="70"/>
      <c r="Q211" s="186"/>
    </row>
    <row r="212" spans="1:17" x14ac:dyDescent="0.25">
      <c r="A212" s="115" t="s">
        <v>444</v>
      </c>
      <c r="B212" s="857"/>
      <c r="C212" s="863"/>
      <c r="D212" s="861"/>
      <c r="E212" s="863"/>
      <c r="F212" s="865"/>
      <c r="G212" s="865"/>
      <c r="H212" s="867"/>
      <c r="I212" s="400" t="str">
        <f>IF('Mapa R. Fiscal'!Y215="","",'Mapa R. Fiscal'!Y215)</f>
        <v/>
      </c>
      <c r="J212" s="400" t="str">
        <f>IF('Mapa R. Fiscal'!AA215="","",'Mapa R. Fiscal'!AA215)</f>
        <v/>
      </c>
      <c r="K212" s="436" t="str">
        <f t="shared" si="36"/>
        <v/>
      </c>
      <c r="L212" s="400" t="str">
        <f>IF('Mapa R. Fiscal'!AD215="","",'Mapa R. Fiscal'!AD215)</f>
        <v/>
      </c>
      <c r="M212" s="339" t="str">
        <f>IF('Mapa R. Fiscal'!P215="","",'Mapa R. Fiscal'!P215)</f>
        <v/>
      </c>
      <c r="N212" s="70"/>
      <c r="O212" s="70"/>
      <c r="P212" s="70"/>
      <c r="Q212" s="186"/>
    </row>
    <row r="213" spans="1:17" x14ac:dyDescent="0.25">
      <c r="A213" s="115" t="s">
        <v>445</v>
      </c>
      <c r="B213" s="857"/>
      <c r="C213" s="863"/>
      <c r="D213" s="861"/>
      <c r="E213" s="863"/>
      <c r="F213" s="865"/>
      <c r="G213" s="865"/>
      <c r="H213" s="867"/>
      <c r="I213" s="400" t="str">
        <f>IF('Mapa R. Fiscal'!Y216="","",'Mapa R. Fiscal'!Y216)</f>
        <v/>
      </c>
      <c r="J213" s="400" t="str">
        <f>IF('Mapa R. Fiscal'!AA216="","",'Mapa R. Fiscal'!AA216)</f>
        <v/>
      </c>
      <c r="K213" s="436" t="str">
        <f t="shared" si="36"/>
        <v/>
      </c>
      <c r="L213" s="400" t="str">
        <f>IF('Mapa R. Fiscal'!AD216="","",'Mapa R. Fiscal'!AD216)</f>
        <v/>
      </c>
      <c r="M213" s="339" t="str">
        <f>IF('Mapa R. Fiscal'!P216="","",'Mapa R. Fiscal'!P216)</f>
        <v/>
      </c>
      <c r="N213" s="70"/>
      <c r="O213" s="70"/>
      <c r="P213" s="70"/>
      <c r="Q213" s="186"/>
    </row>
    <row r="214" spans="1:17" x14ac:dyDescent="0.25">
      <c r="A214" s="115" t="s">
        <v>446</v>
      </c>
      <c r="B214" s="857"/>
      <c r="C214" s="863"/>
      <c r="D214" s="861"/>
      <c r="E214" s="863"/>
      <c r="F214" s="865"/>
      <c r="G214" s="865"/>
      <c r="H214" s="867"/>
      <c r="I214" s="400" t="str">
        <f>IF('Mapa R. Fiscal'!Y217="","",'Mapa R. Fiscal'!Y217)</f>
        <v/>
      </c>
      <c r="J214" s="400" t="str">
        <f>IF('Mapa R. Fiscal'!AA217="","",'Mapa R. Fiscal'!AA217)</f>
        <v/>
      </c>
      <c r="K214" s="436" t="str">
        <f t="shared" si="36"/>
        <v/>
      </c>
      <c r="L214" s="400" t="str">
        <f>IF('Mapa R. Fiscal'!AD217="","",'Mapa R. Fiscal'!AD217)</f>
        <v/>
      </c>
      <c r="M214" s="339" t="str">
        <f>IF('Mapa R. Fiscal'!P217="","",'Mapa R. Fiscal'!P217)</f>
        <v/>
      </c>
      <c r="N214" s="70"/>
      <c r="O214" s="70"/>
      <c r="P214" s="70"/>
      <c r="Q214" s="186"/>
    </row>
    <row r="215" spans="1:17" x14ac:dyDescent="0.25">
      <c r="A215" s="115" t="s">
        <v>447</v>
      </c>
      <c r="B215" s="857"/>
      <c r="C215" s="863"/>
      <c r="D215" s="861"/>
      <c r="E215" s="863"/>
      <c r="F215" s="865"/>
      <c r="G215" s="865"/>
      <c r="H215" s="867"/>
      <c r="I215" s="400" t="str">
        <f>IF('Mapa R. Fiscal'!Y218="","",'Mapa R. Fiscal'!Y218)</f>
        <v/>
      </c>
      <c r="J215" s="400" t="str">
        <f>IF('Mapa R. Fiscal'!AA218="","",'Mapa R. Fiscal'!AA218)</f>
        <v/>
      </c>
      <c r="K215" s="436" t="str">
        <f t="shared" si="36"/>
        <v/>
      </c>
      <c r="L215" s="400" t="str">
        <f>IF('Mapa R. Fiscal'!AD218="","",'Mapa R. Fiscal'!AD218)</f>
        <v/>
      </c>
      <c r="M215" s="339" t="str">
        <f>IF('Mapa R. Fiscal'!P218="","",'Mapa R. Fiscal'!P218)</f>
        <v/>
      </c>
      <c r="N215" s="70"/>
      <c r="O215" s="70"/>
      <c r="P215" s="70"/>
      <c r="Q215" s="186"/>
    </row>
    <row r="216" spans="1:17" x14ac:dyDescent="0.25">
      <c r="A216" s="115" t="s">
        <v>448</v>
      </c>
      <c r="B216" s="857"/>
      <c r="C216" s="863"/>
      <c r="D216" s="861"/>
      <c r="E216" s="863"/>
      <c r="F216" s="865"/>
      <c r="G216" s="865"/>
      <c r="H216" s="867"/>
      <c r="I216" s="400" t="str">
        <f>IF('Mapa R. Fiscal'!Y219="","",'Mapa R. Fiscal'!Y219)</f>
        <v/>
      </c>
      <c r="J216" s="400" t="str">
        <f>IF('Mapa R. Fiscal'!AA219="","",'Mapa R. Fiscal'!AA219)</f>
        <v/>
      </c>
      <c r="K216" s="436" t="str">
        <f t="shared" si="36"/>
        <v/>
      </c>
      <c r="L216" s="400" t="str">
        <f>IF('Mapa R. Fiscal'!AD219="","",'Mapa R. Fiscal'!AD219)</f>
        <v/>
      </c>
      <c r="M216" s="339" t="str">
        <f>IF('Mapa R. Fiscal'!P219="","",'Mapa R. Fiscal'!P219)</f>
        <v/>
      </c>
      <c r="N216" s="70"/>
      <c r="O216" s="70"/>
      <c r="P216" s="70"/>
      <c r="Q216" s="186"/>
    </row>
    <row r="217" spans="1:17" x14ac:dyDescent="0.25">
      <c r="A217" s="115" t="s">
        <v>449</v>
      </c>
      <c r="B217" s="856"/>
      <c r="C217" s="862" t="str">
        <f>IF('Mapa R. Fiscal'!E220="","",'Mapa R. Fiscal'!E220)</f>
        <v/>
      </c>
      <c r="D217" s="860"/>
      <c r="E217" s="862" t="str">
        <f>IF('Mapa R. Fiscal'!D220="","",'Mapa R. Fiscal'!D220)</f>
        <v/>
      </c>
      <c r="F217" s="864" t="str">
        <f>IF('Mapa R. Fiscal'!H220="","",'Mapa R. Fiscal'!H220)</f>
        <v/>
      </c>
      <c r="G217" s="864" t="str">
        <f>IF('Mapa R. Fiscal'!L220="","",'Mapa R. Fiscal'!L220)</f>
        <v/>
      </c>
      <c r="H217" s="866"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0" t="str">
        <f>IF('Mapa R. Fiscal'!Y220="","",'Mapa R. Fiscal'!Y220)</f>
        <v/>
      </c>
      <c r="J217" s="400" t="str">
        <f>IF('Mapa R. Fiscal'!AA220="","",'Mapa R. Fiscal'!AA220)</f>
        <v/>
      </c>
      <c r="K217" s="436" t="str">
        <f t="shared" si="36"/>
        <v/>
      </c>
      <c r="L217" s="400" t="str">
        <f>IF('Mapa R. Fiscal'!AD220="","",'Mapa R. Fiscal'!AD220)</f>
        <v/>
      </c>
      <c r="M217" s="339" t="str">
        <f>IF('Mapa R. Fiscal'!P220="","",'Mapa R. Fiscal'!P220)</f>
        <v/>
      </c>
      <c r="N217" s="70"/>
      <c r="O217" s="70"/>
      <c r="P217" s="70"/>
      <c r="Q217" s="186"/>
    </row>
    <row r="218" spans="1:17" x14ac:dyDescent="0.25">
      <c r="A218" s="115" t="s">
        <v>450</v>
      </c>
      <c r="B218" s="857"/>
      <c r="C218" s="863"/>
      <c r="D218" s="861"/>
      <c r="E218" s="863"/>
      <c r="F218" s="865"/>
      <c r="G218" s="865"/>
      <c r="H218" s="867"/>
      <c r="I218" s="400" t="str">
        <f>IF('Mapa R. Fiscal'!Y221="","",'Mapa R. Fiscal'!Y221)</f>
        <v/>
      </c>
      <c r="J218" s="400" t="str">
        <f>IF('Mapa R. Fiscal'!AA221="","",'Mapa R. Fiscal'!AA221)</f>
        <v/>
      </c>
      <c r="K218" s="436" t="str">
        <f t="shared" si="36"/>
        <v/>
      </c>
      <c r="L218" s="400" t="str">
        <f>IF('Mapa R. Fiscal'!AD221="","",'Mapa R. Fiscal'!AD221)</f>
        <v/>
      </c>
      <c r="M218" s="339" t="str">
        <f>IF('Mapa R. Fiscal'!P221="","",'Mapa R. Fiscal'!P221)</f>
        <v/>
      </c>
      <c r="N218" s="70"/>
      <c r="O218" s="70"/>
      <c r="P218" s="70"/>
      <c r="Q218" s="186"/>
    </row>
    <row r="219" spans="1:17" x14ac:dyDescent="0.25">
      <c r="A219" s="115" t="s">
        <v>451</v>
      </c>
      <c r="B219" s="857"/>
      <c r="C219" s="863"/>
      <c r="D219" s="861"/>
      <c r="E219" s="863"/>
      <c r="F219" s="865"/>
      <c r="G219" s="865"/>
      <c r="H219" s="867"/>
      <c r="I219" s="400" t="str">
        <f>IF('Mapa R. Fiscal'!Y222="","",'Mapa R. Fiscal'!Y222)</f>
        <v/>
      </c>
      <c r="J219" s="400" t="str">
        <f>IF('Mapa R. Fiscal'!AA222="","",'Mapa R. Fiscal'!AA222)</f>
        <v/>
      </c>
      <c r="K219" s="436" t="str">
        <f t="shared" si="36"/>
        <v/>
      </c>
      <c r="L219" s="400" t="str">
        <f>IF('Mapa R. Fiscal'!AD222="","",'Mapa R. Fiscal'!AD222)</f>
        <v/>
      </c>
      <c r="M219" s="339" t="str">
        <f>IF('Mapa R. Fiscal'!P222="","",'Mapa R. Fiscal'!P222)</f>
        <v/>
      </c>
      <c r="N219" s="70"/>
      <c r="O219" s="70"/>
      <c r="P219" s="70"/>
      <c r="Q219" s="186"/>
    </row>
    <row r="220" spans="1:17" x14ac:dyDescent="0.25">
      <c r="A220" s="115" t="s">
        <v>452</v>
      </c>
      <c r="B220" s="857"/>
      <c r="C220" s="863"/>
      <c r="D220" s="861"/>
      <c r="E220" s="863"/>
      <c r="F220" s="865"/>
      <c r="G220" s="865"/>
      <c r="H220" s="867"/>
      <c r="I220" s="400" t="str">
        <f>IF('Mapa R. Fiscal'!Y223="","",'Mapa R. Fiscal'!Y223)</f>
        <v/>
      </c>
      <c r="J220" s="400" t="str">
        <f>IF('Mapa R. Fiscal'!AA223="","",'Mapa R. Fiscal'!AA223)</f>
        <v/>
      </c>
      <c r="K220" s="436" t="str">
        <f t="shared" si="36"/>
        <v/>
      </c>
      <c r="L220" s="400" t="str">
        <f>IF('Mapa R. Fiscal'!AD223="","",'Mapa R. Fiscal'!AD223)</f>
        <v/>
      </c>
      <c r="M220" s="339" t="str">
        <f>IF('Mapa R. Fiscal'!P223="","",'Mapa R. Fiscal'!P223)</f>
        <v/>
      </c>
      <c r="N220" s="70"/>
      <c r="O220" s="70"/>
      <c r="P220" s="70"/>
      <c r="Q220" s="186"/>
    </row>
    <row r="221" spans="1:17" x14ac:dyDescent="0.25">
      <c r="A221" s="115" t="s">
        <v>453</v>
      </c>
      <c r="B221" s="857"/>
      <c r="C221" s="863"/>
      <c r="D221" s="861"/>
      <c r="E221" s="863"/>
      <c r="F221" s="865"/>
      <c r="G221" s="865"/>
      <c r="H221" s="867"/>
      <c r="I221" s="400" t="str">
        <f>IF('Mapa R. Fiscal'!Y224="","",'Mapa R. Fiscal'!Y224)</f>
        <v/>
      </c>
      <c r="J221" s="400" t="str">
        <f>IF('Mapa R. Fiscal'!AA224="","",'Mapa R. Fiscal'!AA224)</f>
        <v/>
      </c>
      <c r="K221" s="436" t="str">
        <f t="shared" si="36"/>
        <v/>
      </c>
      <c r="L221" s="400" t="str">
        <f>IF('Mapa R. Fiscal'!AD224="","",'Mapa R. Fiscal'!AD224)</f>
        <v/>
      </c>
      <c r="M221" s="339" t="str">
        <f>IF('Mapa R. Fiscal'!P224="","",'Mapa R. Fiscal'!P224)</f>
        <v/>
      </c>
      <c r="N221" s="70"/>
      <c r="O221" s="70"/>
      <c r="P221" s="70"/>
      <c r="Q221" s="186"/>
    </row>
    <row r="222" spans="1:17" x14ac:dyDescent="0.25">
      <c r="A222" s="115" t="s">
        <v>454</v>
      </c>
      <c r="B222" s="857"/>
      <c r="C222" s="863"/>
      <c r="D222" s="861"/>
      <c r="E222" s="863"/>
      <c r="F222" s="865"/>
      <c r="G222" s="865"/>
      <c r="H222" s="867"/>
      <c r="I222" s="400" t="str">
        <f>IF('Mapa R. Fiscal'!Y225="","",'Mapa R. Fiscal'!Y225)</f>
        <v/>
      </c>
      <c r="J222" s="400" t="str">
        <f>IF('Mapa R. Fiscal'!AA225="","",'Mapa R. Fiscal'!AA225)</f>
        <v/>
      </c>
      <c r="K222" s="436" t="str">
        <f t="shared" si="36"/>
        <v/>
      </c>
      <c r="L222" s="400" t="str">
        <f>IF('Mapa R. Fiscal'!AD225="","",'Mapa R. Fiscal'!AD225)</f>
        <v/>
      </c>
      <c r="M222" s="339" t="str">
        <f>IF('Mapa R. Fiscal'!P225="","",'Mapa R. Fiscal'!P225)</f>
        <v/>
      </c>
      <c r="N222" s="70"/>
      <c r="O222" s="70"/>
      <c r="P222" s="70"/>
      <c r="Q222" s="186"/>
    </row>
    <row r="223" spans="1:17" x14ac:dyDescent="0.25">
      <c r="A223" s="115" t="s">
        <v>455</v>
      </c>
      <c r="B223" s="856"/>
      <c r="C223" s="862" t="str">
        <f>IF('Mapa R. Fiscal'!E226="","",'Mapa R. Fiscal'!E226)</f>
        <v/>
      </c>
      <c r="D223" s="860"/>
      <c r="E223" s="862" t="str">
        <f>IF('Mapa R. Fiscal'!D226="","",'Mapa R. Fiscal'!D226)</f>
        <v/>
      </c>
      <c r="F223" s="864" t="str">
        <f>IF('Mapa R. Fiscal'!H226="","",'Mapa R. Fiscal'!H226)</f>
        <v/>
      </c>
      <c r="G223" s="864" t="str">
        <f>IF('Mapa R. Fiscal'!L226="","",'Mapa R. Fiscal'!L226)</f>
        <v/>
      </c>
      <c r="H223" s="866"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0" t="str">
        <f>IF('Mapa R. Fiscal'!Y226="","",'Mapa R. Fiscal'!Y226)</f>
        <v/>
      </c>
      <c r="J223" s="400" t="str">
        <f>IF('Mapa R. Fiscal'!AA226="","",'Mapa R. Fiscal'!AA226)</f>
        <v/>
      </c>
      <c r="K223" s="436" t="str">
        <f t="shared" si="36"/>
        <v/>
      </c>
      <c r="L223" s="400" t="str">
        <f>IF('Mapa R. Fiscal'!AD226="","",'Mapa R. Fiscal'!AD226)</f>
        <v/>
      </c>
      <c r="M223" s="339" t="str">
        <f>IF('Mapa R. Fiscal'!P226="","",'Mapa R. Fiscal'!P226)</f>
        <v/>
      </c>
      <c r="N223" s="70"/>
      <c r="O223" s="70"/>
      <c r="P223" s="70"/>
      <c r="Q223" s="186"/>
    </row>
    <row r="224" spans="1:17" x14ac:dyDescent="0.25">
      <c r="A224" s="115" t="s">
        <v>456</v>
      </c>
      <c r="B224" s="857"/>
      <c r="C224" s="863"/>
      <c r="D224" s="861"/>
      <c r="E224" s="863"/>
      <c r="F224" s="865"/>
      <c r="G224" s="865"/>
      <c r="H224" s="867"/>
      <c r="I224" s="400" t="str">
        <f>IF('Mapa R. Fiscal'!Y227="","",'Mapa R. Fiscal'!Y227)</f>
        <v/>
      </c>
      <c r="J224" s="400" t="str">
        <f>IF('Mapa R. Fiscal'!AA227="","",'Mapa R. Fiscal'!AA227)</f>
        <v/>
      </c>
      <c r="K224" s="436" t="str">
        <f t="shared" si="36"/>
        <v/>
      </c>
      <c r="L224" s="400" t="str">
        <f>IF('Mapa R. Fiscal'!AD227="","",'Mapa R. Fiscal'!AD227)</f>
        <v/>
      </c>
      <c r="M224" s="339" t="str">
        <f>IF('Mapa R. Fiscal'!P227="","",'Mapa R. Fiscal'!P227)</f>
        <v/>
      </c>
      <c r="N224" s="70"/>
      <c r="O224" s="70"/>
      <c r="P224" s="70"/>
      <c r="Q224" s="186"/>
    </row>
    <row r="225" spans="1:17" x14ac:dyDescent="0.25">
      <c r="A225" s="115" t="s">
        <v>457</v>
      </c>
      <c r="B225" s="857"/>
      <c r="C225" s="863"/>
      <c r="D225" s="861"/>
      <c r="E225" s="863"/>
      <c r="F225" s="865"/>
      <c r="G225" s="865"/>
      <c r="H225" s="867"/>
      <c r="I225" s="400" t="str">
        <f>IF('Mapa R. Fiscal'!Y228="","",'Mapa R. Fiscal'!Y228)</f>
        <v/>
      </c>
      <c r="J225" s="400" t="str">
        <f>IF('Mapa R. Fiscal'!AA228="","",'Mapa R. Fiscal'!AA228)</f>
        <v/>
      </c>
      <c r="K225" s="436" t="str">
        <f t="shared" si="36"/>
        <v/>
      </c>
      <c r="L225" s="400" t="str">
        <f>IF('Mapa R. Fiscal'!AD228="","",'Mapa R. Fiscal'!AD228)</f>
        <v/>
      </c>
      <c r="M225" s="339" t="str">
        <f>IF('Mapa R. Fiscal'!P228="","",'Mapa R. Fiscal'!P228)</f>
        <v/>
      </c>
      <c r="N225" s="70"/>
      <c r="O225" s="70"/>
      <c r="P225" s="70"/>
      <c r="Q225" s="186"/>
    </row>
    <row r="226" spans="1:17" x14ac:dyDescent="0.25">
      <c r="A226" s="115" t="s">
        <v>458</v>
      </c>
      <c r="B226" s="857"/>
      <c r="C226" s="863"/>
      <c r="D226" s="861"/>
      <c r="E226" s="863"/>
      <c r="F226" s="865"/>
      <c r="G226" s="865"/>
      <c r="H226" s="867"/>
      <c r="I226" s="400" t="str">
        <f>IF('Mapa R. Fiscal'!Y229="","",'Mapa R. Fiscal'!Y229)</f>
        <v/>
      </c>
      <c r="J226" s="400" t="str">
        <f>IF('Mapa R. Fiscal'!AA229="","",'Mapa R. Fiscal'!AA229)</f>
        <v/>
      </c>
      <c r="K226" s="436" t="str">
        <f t="shared" si="36"/>
        <v/>
      </c>
      <c r="L226" s="400" t="str">
        <f>IF('Mapa R. Fiscal'!AD229="","",'Mapa R. Fiscal'!AD229)</f>
        <v/>
      </c>
      <c r="M226" s="339" t="str">
        <f>IF('Mapa R. Fiscal'!P229="","",'Mapa R. Fiscal'!P229)</f>
        <v/>
      </c>
      <c r="N226" s="70"/>
      <c r="O226" s="70"/>
      <c r="P226" s="70"/>
      <c r="Q226" s="186"/>
    </row>
    <row r="227" spans="1:17" x14ac:dyDescent="0.25">
      <c r="A227" s="115" t="s">
        <v>459</v>
      </c>
      <c r="B227" s="857"/>
      <c r="C227" s="863"/>
      <c r="D227" s="861"/>
      <c r="E227" s="863"/>
      <c r="F227" s="865"/>
      <c r="G227" s="865"/>
      <c r="H227" s="867"/>
      <c r="I227" s="400" t="str">
        <f>IF('Mapa R. Fiscal'!Y230="","",'Mapa R. Fiscal'!Y230)</f>
        <v/>
      </c>
      <c r="J227" s="400" t="str">
        <f>IF('Mapa R. Fiscal'!AA230="","",'Mapa R. Fiscal'!AA230)</f>
        <v/>
      </c>
      <c r="K227" s="436" t="str">
        <f t="shared" si="36"/>
        <v/>
      </c>
      <c r="L227" s="400" t="str">
        <f>IF('Mapa R. Fiscal'!AD230="","",'Mapa R. Fiscal'!AD230)</f>
        <v/>
      </c>
      <c r="M227" s="339" t="str">
        <f>IF('Mapa R. Fiscal'!P230="","",'Mapa R. Fiscal'!P230)</f>
        <v/>
      </c>
      <c r="N227" s="70"/>
      <c r="O227" s="70"/>
      <c r="P227" s="70"/>
      <c r="Q227" s="186"/>
    </row>
    <row r="228" spans="1:17" x14ac:dyDescent="0.25">
      <c r="A228" s="115" t="s">
        <v>460</v>
      </c>
      <c r="B228" s="857"/>
      <c r="C228" s="863"/>
      <c r="D228" s="861"/>
      <c r="E228" s="863"/>
      <c r="F228" s="865"/>
      <c r="G228" s="865"/>
      <c r="H228" s="867"/>
      <c r="I228" s="400" t="str">
        <f>IF('Mapa R. Fiscal'!Y231="","",'Mapa R. Fiscal'!Y231)</f>
        <v/>
      </c>
      <c r="J228" s="400" t="str">
        <f>IF('Mapa R. Fiscal'!AA231="","",'Mapa R. Fiscal'!AA231)</f>
        <v/>
      </c>
      <c r="K228" s="436" t="str">
        <f t="shared" si="36"/>
        <v/>
      </c>
      <c r="L228" s="400" t="str">
        <f>IF('Mapa R. Fiscal'!AD231="","",'Mapa R. Fiscal'!AD231)</f>
        <v/>
      </c>
      <c r="M228" s="339" t="str">
        <f>IF('Mapa R. Fiscal'!P231="","",'Mapa R. Fiscal'!P231)</f>
        <v/>
      </c>
      <c r="N228" s="70"/>
      <c r="O228" s="70"/>
      <c r="P228" s="70"/>
      <c r="Q228" s="186"/>
    </row>
    <row r="229" spans="1:17" x14ac:dyDescent="0.25">
      <c r="A229" s="115" t="s">
        <v>461</v>
      </c>
      <c r="B229" s="856"/>
      <c r="C229" s="862" t="str">
        <f>IF('Mapa R. Fiscal'!E232="","",'Mapa R. Fiscal'!E232)</f>
        <v/>
      </c>
      <c r="D229" s="860"/>
      <c r="E229" s="862" t="str">
        <f>IF('Mapa R. Fiscal'!D232="","",'Mapa R. Fiscal'!D232)</f>
        <v/>
      </c>
      <c r="F229" s="864" t="str">
        <f>IF('Mapa R. Fiscal'!H232="","",'Mapa R. Fiscal'!H232)</f>
        <v/>
      </c>
      <c r="G229" s="864" t="str">
        <f>IF('Mapa R. Fiscal'!L232="","",'Mapa R. Fiscal'!L232)</f>
        <v/>
      </c>
      <c r="H229" s="866"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0" t="str">
        <f>IF('Mapa R. Fiscal'!Y232="","",'Mapa R. Fiscal'!Y232)</f>
        <v/>
      </c>
      <c r="J229" s="400" t="str">
        <f>IF('Mapa R. Fiscal'!AA232="","",'Mapa R. Fiscal'!AA232)</f>
        <v/>
      </c>
      <c r="K229" s="436" t="str">
        <f t="shared" si="36"/>
        <v/>
      </c>
      <c r="L229" s="400" t="str">
        <f>IF('Mapa R. Fiscal'!AD232="","",'Mapa R. Fiscal'!AD232)</f>
        <v/>
      </c>
      <c r="M229" s="339" t="str">
        <f>IF('Mapa R. Fiscal'!P232="","",'Mapa R. Fiscal'!P232)</f>
        <v/>
      </c>
      <c r="N229" s="70"/>
      <c r="O229" s="70"/>
      <c r="P229" s="70"/>
      <c r="Q229" s="186"/>
    </row>
    <row r="230" spans="1:17" x14ac:dyDescent="0.25">
      <c r="A230" s="115" t="s">
        <v>462</v>
      </c>
      <c r="B230" s="857"/>
      <c r="C230" s="863"/>
      <c r="D230" s="861"/>
      <c r="E230" s="863"/>
      <c r="F230" s="865"/>
      <c r="G230" s="865"/>
      <c r="H230" s="867"/>
      <c r="I230" s="400" t="str">
        <f>IF('Mapa R. Fiscal'!Y233="","",'Mapa R. Fiscal'!Y233)</f>
        <v/>
      </c>
      <c r="J230" s="400" t="str">
        <f>IF('Mapa R. Fiscal'!AA233="","",'Mapa R. Fiscal'!AA233)</f>
        <v/>
      </c>
      <c r="K230" s="436" t="str">
        <f t="shared" si="36"/>
        <v/>
      </c>
      <c r="L230" s="400" t="str">
        <f>IF('Mapa R. Fiscal'!AD233="","",'Mapa R. Fiscal'!AD233)</f>
        <v/>
      </c>
      <c r="M230" s="339" t="str">
        <f>IF('Mapa R. Fiscal'!P233="","",'Mapa R. Fiscal'!P233)</f>
        <v/>
      </c>
      <c r="N230" s="70"/>
      <c r="O230" s="70"/>
      <c r="P230" s="70"/>
      <c r="Q230" s="186"/>
    </row>
    <row r="231" spans="1:17" x14ac:dyDescent="0.25">
      <c r="A231" s="115" t="s">
        <v>463</v>
      </c>
      <c r="B231" s="857"/>
      <c r="C231" s="863"/>
      <c r="D231" s="861"/>
      <c r="E231" s="863"/>
      <c r="F231" s="865"/>
      <c r="G231" s="865"/>
      <c r="H231" s="867"/>
      <c r="I231" s="400" t="str">
        <f>IF('Mapa R. Fiscal'!Y234="","",'Mapa R. Fiscal'!Y234)</f>
        <v/>
      </c>
      <c r="J231" s="400" t="str">
        <f>IF('Mapa R. Fiscal'!AA234="","",'Mapa R. Fiscal'!AA234)</f>
        <v/>
      </c>
      <c r="K231" s="436" t="str">
        <f t="shared" si="36"/>
        <v/>
      </c>
      <c r="L231" s="400" t="str">
        <f>IF('Mapa R. Fiscal'!AD234="","",'Mapa R. Fiscal'!AD234)</f>
        <v/>
      </c>
      <c r="M231" s="339" t="str">
        <f>IF('Mapa R. Fiscal'!P234="","",'Mapa R. Fiscal'!P234)</f>
        <v/>
      </c>
      <c r="N231" s="70"/>
      <c r="O231" s="70"/>
      <c r="P231" s="70"/>
      <c r="Q231" s="186"/>
    </row>
    <row r="232" spans="1:17" x14ac:dyDescent="0.25">
      <c r="A232" s="115" t="s">
        <v>464</v>
      </c>
      <c r="B232" s="857"/>
      <c r="C232" s="863"/>
      <c r="D232" s="861"/>
      <c r="E232" s="863"/>
      <c r="F232" s="865"/>
      <c r="G232" s="865"/>
      <c r="H232" s="867"/>
      <c r="I232" s="400" t="str">
        <f>IF('Mapa R. Fiscal'!Y235="","",'Mapa R. Fiscal'!Y235)</f>
        <v/>
      </c>
      <c r="J232" s="400" t="str">
        <f>IF('Mapa R. Fiscal'!AA235="","",'Mapa R. Fiscal'!AA235)</f>
        <v/>
      </c>
      <c r="K232" s="436" t="str">
        <f t="shared" si="36"/>
        <v/>
      </c>
      <c r="L232" s="400" t="str">
        <f>IF('Mapa R. Fiscal'!AD235="","",'Mapa R. Fiscal'!AD235)</f>
        <v/>
      </c>
      <c r="M232" s="339" t="str">
        <f>IF('Mapa R. Fiscal'!P235="","",'Mapa R. Fiscal'!P235)</f>
        <v/>
      </c>
      <c r="N232" s="70"/>
      <c r="O232" s="70"/>
      <c r="P232" s="70"/>
      <c r="Q232" s="186"/>
    </row>
    <row r="233" spans="1:17" x14ac:dyDescent="0.25">
      <c r="A233" s="115" t="s">
        <v>465</v>
      </c>
      <c r="B233" s="857"/>
      <c r="C233" s="863"/>
      <c r="D233" s="861"/>
      <c r="E233" s="863"/>
      <c r="F233" s="865"/>
      <c r="G233" s="865"/>
      <c r="H233" s="867"/>
      <c r="I233" s="400" t="str">
        <f>IF('Mapa R. Fiscal'!Y236="","",'Mapa R. Fiscal'!Y236)</f>
        <v/>
      </c>
      <c r="J233" s="400" t="str">
        <f>IF('Mapa R. Fiscal'!AA236="","",'Mapa R. Fiscal'!AA236)</f>
        <v/>
      </c>
      <c r="K233" s="436" t="str">
        <f t="shared" si="36"/>
        <v/>
      </c>
      <c r="L233" s="400" t="str">
        <f>IF('Mapa R. Fiscal'!AD236="","",'Mapa R. Fiscal'!AD236)</f>
        <v/>
      </c>
      <c r="M233" s="339" t="str">
        <f>IF('Mapa R. Fiscal'!P236="","",'Mapa R. Fiscal'!P236)</f>
        <v/>
      </c>
      <c r="N233" s="70"/>
      <c r="O233" s="70"/>
      <c r="P233" s="70"/>
      <c r="Q233" s="186"/>
    </row>
    <row r="234" spans="1:17" x14ac:dyDescent="0.25">
      <c r="A234" s="115" t="s">
        <v>466</v>
      </c>
      <c r="B234" s="857"/>
      <c r="C234" s="863"/>
      <c r="D234" s="861"/>
      <c r="E234" s="863"/>
      <c r="F234" s="865"/>
      <c r="G234" s="865"/>
      <c r="H234" s="867"/>
      <c r="I234" s="400" t="str">
        <f>IF('Mapa R. Fiscal'!Y237="","",'Mapa R. Fiscal'!Y237)</f>
        <v/>
      </c>
      <c r="J234" s="400" t="str">
        <f>IF('Mapa R. Fiscal'!AA237="","",'Mapa R. Fiscal'!AA237)</f>
        <v/>
      </c>
      <c r="K234" s="436" t="str">
        <f t="shared" si="36"/>
        <v/>
      </c>
      <c r="L234" s="400" t="str">
        <f>IF('Mapa R. Fiscal'!AD237="","",'Mapa R. Fiscal'!AD237)</f>
        <v/>
      </c>
      <c r="M234" s="339" t="str">
        <f>IF('Mapa R. Fiscal'!P237="","",'Mapa R. Fiscal'!P237)</f>
        <v/>
      </c>
      <c r="N234" s="70"/>
      <c r="O234" s="70"/>
      <c r="P234" s="70"/>
      <c r="Q234" s="186"/>
    </row>
    <row r="235" spans="1:17" x14ac:dyDescent="0.25">
      <c r="A235" s="115" t="s">
        <v>467</v>
      </c>
      <c r="B235" s="856"/>
      <c r="C235" s="862" t="str">
        <f>IF('Mapa R. Fiscal'!E238="","",'Mapa R. Fiscal'!E238)</f>
        <v/>
      </c>
      <c r="D235" s="860"/>
      <c r="E235" s="862" t="str">
        <f>IF('Mapa R. Fiscal'!D238="","",'Mapa R. Fiscal'!D238)</f>
        <v/>
      </c>
      <c r="F235" s="864" t="str">
        <f>IF('Mapa R. Fiscal'!H238="","",'Mapa R. Fiscal'!H238)</f>
        <v/>
      </c>
      <c r="G235" s="864" t="str">
        <f>IF('Mapa R. Fiscal'!L238="","",'Mapa R. Fiscal'!L238)</f>
        <v/>
      </c>
      <c r="H235" s="866"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0" t="str">
        <f>IF('Mapa R. Fiscal'!Y238="","",'Mapa R. Fiscal'!Y238)</f>
        <v/>
      </c>
      <c r="J235" s="400" t="str">
        <f>IF('Mapa R. Fiscal'!AA238="","",'Mapa R. Fiscal'!AA238)</f>
        <v/>
      </c>
      <c r="K235" s="436" t="str">
        <f t="shared" si="36"/>
        <v/>
      </c>
      <c r="L235" s="400" t="str">
        <f>IF('Mapa R. Fiscal'!AD238="","",'Mapa R. Fiscal'!AD238)</f>
        <v/>
      </c>
      <c r="M235" s="339" t="str">
        <f>IF('Mapa R. Fiscal'!P238="","",'Mapa R. Fiscal'!P238)</f>
        <v/>
      </c>
      <c r="N235" s="70"/>
      <c r="O235" s="70"/>
      <c r="P235" s="70"/>
      <c r="Q235" s="186"/>
    </row>
    <row r="236" spans="1:17" x14ac:dyDescent="0.25">
      <c r="A236" s="115" t="s">
        <v>468</v>
      </c>
      <c r="B236" s="857"/>
      <c r="C236" s="863"/>
      <c r="D236" s="861"/>
      <c r="E236" s="863"/>
      <c r="F236" s="865"/>
      <c r="G236" s="865"/>
      <c r="H236" s="867"/>
      <c r="I236" s="400" t="str">
        <f>IF('Mapa R. Fiscal'!Y239="","",'Mapa R. Fiscal'!Y239)</f>
        <v/>
      </c>
      <c r="J236" s="400" t="str">
        <f>IF('Mapa R. Fiscal'!AA239="","",'Mapa R. Fiscal'!AA239)</f>
        <v/>
      </c>
      <c r="K236" s="436" t="str">
        <f t="shared" si="36"/>
        <v/>
      </c>
      <c r="L236" s="400" t="str">
        <f>IF('Mapa R. Fiscal'!AD239="","",'Mapa R. Fiscal'!AD239)</f>
        <v/>
      </c>
      <c r="M236" s="339" t="str">
        <f>IF('Mapa R. Fiscal'!P239="","",'Mapa R. Fiscal'!P239)</f>
        <v/>
      </c>
      <c r="N236" s="70"/>
      <c r="O236" s="70"/>
      <c r="P236" s="70"/>
      <c r="Q236" s="186"/>
    </row>
    <row r="237" spans="1:17" x14ac:dyDescent="0.25">
      <c r="A237" s="115" t="s">
        <v>469</v>
      </c>
      <c r="B237" s="857"/>
      <c r="C237" s="863"/>
      <c r="D237" s="861"/>
      <c r="E237" s="863"/>
      <c r="F237" s="865"/>
      <c r="G237" s="865"/>
      <c r="H237" s="867"/>
      <c r="I237" s="400" t="str">
        <f>IF('Mapa R. Fiscal'!Y240="","",'Mapa R. Fiscal'!Y240)</f>
        <v/>
      </c>
      <c r="J237" s="400" t="str">
        <f>IF('Mapa R. Fiscal'!AA240="","",'Mapa R. Fiscal'!AA240)</f>
        <v/>
      </c>
      <c r="K237" s="436" t="str">
        <f t="shared" si="36"/>
        <v/>
      </c>
      <c r="L237" s="400" t="str">
        <f>IF('Mapa R. Fiscal'!AD240="","",'Mapa R. Fiscal'!AD240)</f>
        <v/>
      </c>
      <c r="M237" s="339" t="str">
        <f>IF('Mapa R. Fiscal'!P240="","",'Mapa R. Fiscal'!P240)</f>
        <v/>
      </c>
      <c r="N237" s="70"/>
      <c r="O237" s="70"/>
      <c r="P237" s="70"/>
      <c r="Q237" s="186"/>
    </row>
    <row r="238" spans="1:17" x14ac:dyDescent="0.25">
      <c r="A238" s="115" t="s">
        <v>470</v>
      </c>
      <c r="B238" s="857"/>
      <c r="C238" s="863"/>
      <c r="D238" s="861"/>
      <c r="E238" s="863"/>
      <c r="F238" s="865"/>
      <c r="G238" s="865"/>
      <c r="H238" s="867"/>
      <c r="I238" s="400" t="str">
        <f>IF('Mapa R. Fiscal'!Y241="","",'Mapa R. Fiscal'!Y241)</f>
        <v/>
      </c>
      <c r="J238" s="400" t="str">
        <f>IF('Mapa R. Fiscal'!AA241="","",'Mapa R. Fiscal'!AA241)</f>
        <v/>
      </c>
      <c r="K238" s="436" t="str">
        <f t="shared" si="36"/>
        <v/>
      </c>
      <c r="L238" s="400" t="str">
        <f>IF('Mapa R. Fiscal'!AD241="","",'Mapa R. Fiscal'!AD241)</f>
        <v/>
      </c>
      <c r="M238" s="339" t="str">
        <f>IF('Mapa R. Fiscal'!P241="","",'Mapa R. Fiscal'!P241)</f>
        <v/>
      </c>
      <c r="N238" s="70"/>
      <c r="O238" s="70"/>
      <c r="P238" s="70"/>
      <c r="Q238" s="186"/>
    </row>
    <row r="239" spans="1:17" x14ac:dyDescent="0.25">
      <c r="A239" s="115" t="s">
        <v>471</v>
      </c>
      <c r="B239" s="857"/>
      <c r="C239" s="863"/>
      <c r="D239" s="861"/>
      <c r="E239" s="863"/>
      <c r="F239" s="865"/>
      <c r="G239" s="865"/>
      <c r="H239" s="867"/>
      <c r="I239" s="400" t="str">
        <f>IF('Mapa R. Fiscal'!Y242="","",'Mapa R. Fiscal'!Y242)</f>
        <v/>
      </c>
      <c r="J239" s="400" t="str">
        <f>IF('Mapa R. Fiscal'!AA242="","",'Mapa R. Fiscal'!AA242)</f>
        <v/>
      </c>
      <c r="K239" s="436" t="str">
        <f t="shared" si="36"/>
        <v/>
      </c>
      <c r="L239" s="400" t="str">
        <f>IF('Mapa R. Fiscal'!AD242="","",'Mapa R. Fiscal'!AD242)</f>
        <v/>
      </c>
      <c r="M239" s="339" t="str">
        <f>IF('Mapa R. Fiscal'!P242="","",'Mapa R. Fiscal'!P242)</f>
        <v/>
      </c>
      <c r="N239" s="70"/>
      <c r="O239" s="70"/>
      <c r="P239" s="70"/>
      <c r="Q239" s="186"/>
    </row>
    <row r="240" spans="1:17" x14ac:dyDescent="0.25">
      <c r="A240" s="115" t="s">
        <v>472</v>
      </c>
      <c r="B240" s="857"/>
      <c r="C240" s="863"/>
      <c r="D240" s="861"/>
      <c r="E240" s="863"/>
      <c r="F240" s="865"/>
      <c r="G240" s="865"/>
      <c r="H240" s="867"/>
      <c r="I240" s="400" t="str">
        <f>IF('Mapa R. Fiscal'!Y243="","",'Mapa R. Fiscal'!Y243)</f>
        <v/>
      </c>
      <c r="J240" s="400" t="str">
        <f>IF('Mapa R. Fiscal'!AA243="","",'Mapa R. Fiscal'!AA243)</f>
        <v/>
      </c>
      <c r="K240" s="436" t="str">
        <f t="shared" si="36"/>
        <v/>
      </c>
      <c r="L240" s="400" t="str">
        <f>IF('Mapa R. Fiscal'!AD243="","",'Mapa R. Fiscal'!AD243)</f>
        <v/>
      </c>
      <c r="M240" s="339" t="str">
        <f>IF('Mapa R. Fiscal'!P243="","",'Mapa R. Fiscal'!P243)</f>
        <v/>
      </c>
      <c r="N240" s="70"/>
      <c r="O240" s="70"/>
      <c r="P240" s="70"/>
      <c r="Q240" s="186"/>
    </row>
    <row r="241" spans="1:17" x14ac:dyDescent="0.25">
      <c r="A241" s="115" t="s">
        <v>473</v>
      </c>
      <c r="B241" s="856"/>
      <c r="C241" s="862" t="str">
        <f>IF('Mapa R. Fiscal'!E244="","",'Mapa R. Fiscal'!E244)</f>
        <v/>
      </c>
      <c r="D241" s="860"/>
      <c r="E241" s="862" t="str">
        <f>IF('Mapa R. Fiscal'!D244="","",'Mapa R. Fiscal'!D244)</f>
        <v/>
      </c>
      <c r="F241" s="864" t="str">
        <f>IF('Mapa R. Fiscal'!H244="","",'Mapa R. Fiscal'!H244)</f>
        <v/>
      </c>
      <c r="G241" s="864" t="str">
        <f>IF('Mapa R. Fiscal'!L244="","",'Mapa R. Fiscal'!L244)</f>
        <v/>
      </c>
      <c r="H241" s="866"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0" t="str">
        <f>IF('Mapa R. Fiscal'!Y244="","",'Mapa R. Fiscal'!Y244)</f>
        <v/>
      </c>
      <c r="J241" s="400" t="str">
        <f>IF('Mapa R. Fiscal'!AA244="","",'Mapa R. Fiscal'!AA244)</f>
        <v/>
      </c>
      <c r="K241" s="436" t="str">
        <f t="shared" si="36"/>
        <v/>
      </c>
      <c r="L241" s="400" t="str">
        <f>IF('Mapa R. Fiscal'!AD244="","",'Mapa R. Fiscal'!AD244)</f>
        <v/>
      </c>
      <c r="M241" s="339" t="str">
        <f>IF('Mapa R. Fiscal'!P244="","",'Mapa R. Fiscal'!P244)</f>
        <v/>
      </c>
      <c r="N241" s="70"/>
      <c r="O241" s="70"/>
      <c r="P241" s="70"/>
      <c r="Q241" s="186"/>
    </row>
    <row r="242" spans="1:17" x14ac:dyDescent="0.25">
      <c r="A242" s="115" t="s">
        <v>474</v>
      </c>
      <c r="B242" s="857"/>
      <c r="C242" s="863"/>
      <c r="D242" s="861"/>
      <c r="E242" s="863"/>
      <c r="F242" s="865"/>
      <c r="G242" s="865"/>
      <c r="H242" s="867"/>
      <c r="I242" s="400" t="str">
        <f>IF('Mapa R. Fiscal'!Y245="","",'Mapa R. Fiscal'!Y245)</f>
        <v/>
      </c>
      <c r="J242" s="400" t="str">
        <f>IF('Mapa R. Fiscal'!AA245="","",'Mapa R. Fiscal'!AA245)</f>
        <v/>
      </c>
      <c r="K242" s="436" t="str">
        <f t="shared" si="36"/>
        <v/>
      </c>
      <c r="L242" s="400" t="str">
        <f>IF('Mapa R. Fiscal'!AD245="","",'Mapa R. Fiscal'!AD245)</f>
        <v/>
      </c>
      <c r="M242" s="339" t="str">
        <f>IF('Mapa R. Fiscal'!P245="","",'Mapa R. Fiscal'!P245)</f>
        <v/>
      </c>
      <c r="N242" s="70"/>
      <c r="O242" s="70"/>
      <c r="P242" s="70"/>
      <c r="Q242" s="186"/>
    </row>
    <row r="243" spans="1:17" x14ac:dyDescent="0.25">
      <c r="A243" s="115" t="s">
        <v>475</v>
      </c>
      <c r="B243" s="857"/>
      <c r="C243" s="863"/>
      <c r="D243" s="861"/>
      <c r="E243" s="863"/>
      <c r="F243" s="865"/>
      <c r="G243" s="865"/>
      <c r="H243" s="867"/>
      <c r="I243" s="400" t="str">
        <f>IF('Mapa R. Fiscal'!Y246="","",'Mapa R. Fiscal'!Y246)</f>
        <v/>
      </c>
      <c r="J243" s="400" t="str">
        <f>IF('Mapa R. Fiscal'!AA246="","",'Mapa R. Fiscal'!AA246)</f>
        <v/>
      </c>
      <c r="K243" s="436" t="str">
        <f t="shared" si="36"/>
        <v/>
      </c>
      <c r="L243" s="400" t="str">
        <f>IF('Mapa R. Fiscal'!AD246="","",'Mapa R. Fiscal'!AD246)</f>
        <v/>
      </c>
      <c r="M243" s="339" t="str">
        <f>IF('Mapa R. Fiscal'!P246="","",'Mapa R. Fiscal'!P246)</f>
        <v/>
      </c>
      <c r="N243" s="70"/>
      <c r="O243" s="70"/>
      <c r="P243" s="70"/>
      <c r="Q243" s="186"/>
    </row>
    <row r="244" spans="1:17" x14ac:dyDescent="0.25">
      <c r="A244" s="115" t="s">
        <v>476</v>
      </c>
      <c r="B244" s="857"/>
      <c r="C244" s="863"/>
      <c r="D244" s="861"/>
      <c r="E244" s="863"/>
      <c r="F244" s="865"/>
      <c r="G244" s="865"/>
      <c r="H244" s="867"/>
      <c r="I244" s="400" t="str">
        <f>IF('Mapa R. Fiscal'!Y247="","",'Mapa R. Fiscal'!Y247)</f>
        <v/>
      </c>
      <c r="J244" s="400" t="str">
        <f>IF('Mapa R. Fiscal'!AA247="","",'Mapa R. Fiscal'!AA247)</f>
        <v/>
      </c>
      <c r="K244" s="436" t="str">
        <f t="shared" si="36"/>
        <v/>
      </c>
      <c r="L244" s="400" t="str">
        <f>IF('Mapa R. Fiscal'!AD247="","",'Mapa R. Fiscal'!AD247)</f>
        <v/>
      </c>
      <c r="M244" s="339" t="str">
        <f>IF('Mapa R. Fiscal'!P247="","",'Mapa R. Fiscal'!P247)</f>
        <v/>
      </c>
      <c r="N244" s="70"/>
      <c r="O244" s="70"/>
      <c r="P244" s="70"/>
      <c r="Q244" s="186"/>
    </row>
    <row r="245" spans="1:17" x14ac:dyDescent="0.25">
      <c r="A245" s="115" t="s">
        <v>477</v>
      </c>
      <c r="B245" s="857"/>
      <c r="C245" s="863"/>
      <c r="D245" s="861"/>
      <c r="E245" s="863"/>
      <c r="F245" s="865"/>
      <c r="G245" s="865"/>
      <c r="H245" s="867"/>
      <c r="I245" s="400" t="str">
        <f>IF('Mapa R. Fiscal'!Y248="","",'Mapa R. Fiscal'!Y248)</f>
        <v/>
      </c>
      <c r="J245" s="400" t="str">
        <f>IF('Mapa R. Fiscal'!AA248="","",'Mapa R. Fiscal'!AA248)</f>
        <v/>
      </c>
      <c r="K245" s="436" t="str">
        <f t="shared" si="36"/>
        <v/>
      </c>
      <c r="L245" s="400" t="str">
        <f>IF('Mapa R. Fiscal'!AD248="","",'Mapa R. Fiscal'!AD248)</f>
        <v/>
      </c>
      <c r="M245" s="339" t="str">
        <f>IF('Mapa R. Fiscal'!P248="","",'Mapa R. Fiscal'!P248)</f>
        <v/>
      </c>
      <c r="N245" s="70"/>
      <c r="O245" s="70"/>
      <c r="P245" s="70"/>
      <c r="Q245" s="186"/>
    </row>
    <row r="246" spans="1:17" x14ac:dyDescent="0.25">
      <c r="A246" s="115" t="s">
        <v>478</v>
      </c>
      <c r="B246" s="857"/>
      <c r="C246" s="863"/>
      <c r="D246" s="861"/>
      <c r="E246" s="863"/>
      <c r="F246" s="865"/>
      <c r="G246" s="865"/>
      <c r="H246" s="867"/>
      <c r="I246" s="400" t="str">
        <f>IF('Mapa R. Fiscal'!Y249="","",'Mapa R. Fiscal'!Y249)</f>
        <v/>
      </c>
      <c r="J246" s="400" t="str">
        <f>IF('Mapa R. Fiscal'!AA249="","",'Mapa R. Fiscal'!AA249)</f>
        <v/>
      </c>
      <c r="K246" s="436" t="str">
        <f t="shared" si="36"/>
        <v/>
      </c>
      <c r="L246" s="400" t="str">
        <f>IF('Mapa R. Fiscal'!AD249="","",'Mapa R. Fiscal'!AD249)</f>
        <v/>
      </c>
      <c r="M246" s="339" t="str">
        <f>IF('Mapa R. Fiscal'!P249="","",'Mapa R. Fiscal'!P249)</f>
        <v/>
      </c>
      <c r="N246" s="70"/>
      <c r="O246" s="70"/>
      <c r="P246" s="70"/>
      <c r="Q246" s="186"/>
    </row>
    <row r="247" spans="1:17" x14ac:dyDescent="0.25">
      <c r="A247" s="115" t="s">
        <v>479</v>
      </c>
      <c r="B247" s="856"/>
      <c r="C247" s="862" t="str">
        <f>IF('Mapa R. Fiscal'!E250="","",'Mapa R. Fiscal'!E250)</f>
        <v/>
      </c>
      <c r="D247" s="860"/>
      <c r="E247" s="862" t="str">
        <f>IF('Mapa R. Fiscal'!D250="","",'Mapa R. Fiscal'!D250)</f>
        <v/>
      </c>
      <c r="F247" s="864" t="str">
        <f>IF('Mapa R. Fiscal'!H250="","",'Mapa R. Fiscal'!H250)</f>
        <v/>
      </c>
      <c r="G247" s="864" t="str">
        <f>IF('Mapa R. Fiscal'!L250="","",'Mapa R. Fiscal'!L250)</f>
        <v/>
      </c>
      <c r="H247" s="866"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0" t="str">
        <f>IF('Mapa R. Fiscal'!Y250="","",'Mapa R. Fiscal'!Y250)</f>
        <v/>
      </c>
      <c r="J247" s="400" t="str">
        <f>IF('Mapa R. Fiscal'!AA250="","",'Mapa R. Fiscal'!AA250)</f>
        <v/>
      </c>
      <c r="K247" s="436" t="str">
        <f t="shared" si="36"/>
        <v/>
      </c>
      <c r="L247" s="400" t="str">
        <f>IF('Mapa R. Fiscal'!AD250="","",'Mapa R. Fiscal'!AD250)</f>
        <v/>
      </c>
      <c r="M247" s="339" t="str">
        <f>IF('Mapa R. Fiscal'!P250="","",'Mapa R. Fiscal'!P250)</f>
        <v/>
      </c>
      <c r="N247" s="70"/>
      <c r="O247" s="70"/>
      <c r="P247" s="70"/>
      <c r="Q247" s="186"/>
    </row>
    <row r="248" spans="1:17" x14ac:dyDescent="0.25">
      <c r="A248" s="115" t="s">
        <v>480</v>
      </c>
      <c r="B248" s="857"/>
      <c r="C248" s="863"/>
      <c r="D248" s="861"/>
      <c r="E248" s="863"/>
      <c r="F248" s="865"/>
      <c r="G248" s="865"/>
      <c r="H248" s="867"/>
      <c r="I248" s="400" t="str">
        <f>IF('Mapa R. Fiscal'!Y251="","",'Mapa R. Fiscal'!Y251)</f>
        <v/>
      </c>
      <c r="J248" s="400" t="str">
        <f>IF('Mapa R. Fiscal'!AA251="","",'Mapa R. Fiscal'!AA251)</f>
        <v/>
      </c>
      <c r="K248" s="436" t="str">
        <f t="shared" si="36"/>
        <v/>
      </c>
      <c r="L248" s="400" t="str">
        <f>IF('Mapa R. Fiscal'!AD251="","",'Mapa R. Fiscal'!AD251)</f>
        <v/>
      </c>
      <c r="M248" s="339" t="str">
        <f>IF('Mapa R. Fiscal'!P251="","",'Mapa R. Fiscal'!P251)</f>
        <v/>
      </c>
      <c r="N248" s="70"/>
      <c r="O248" s="70"/>
      <c r="P248" s="70"/>
      <c r="Q248" s="186"/>
    </row>
    <row r="249" spans="1:17" x14ac:dyDescent="0.25">
      <c r="A249" s="115" t="s">
        <v>481</v>
      </c>
      <c r="B249" s="857"/>
      <c r="C249" s="863"/>
      <c r="D249" s="861"/>
      <c r="E249" s="863"/>
      <c r="F249" s="865"/>
      <c r="G249" s="865"/>
      <c r="H249" s="867"/>
      <c r="I249" s="400" t="str">
        <f>IF('Mapa R. Fiscal'!Y252="","",'Mapa R. Fiscal'!Y252)</f>
        <v/>
      </c>
      <c r="J249" s="400" t="str">
        <f>IF('Mapa R. Fiscal'!AA252="","",'Mapa R. Fiscal'!AA252)</f>
        <v/>
      </c>
      <c r="K249" s="436" t="str">
        <f t="shared" si="36"/>
        <v/>
      </c>
      <c r="L249" s="400" t="str">
        <f>IF('Mapa R. Fiscal'!AD252="","",'Mapa R. Fiscal'!AD252)</f>
        <v/>
      </c>
      <c r="M249" s="339" t="str">
        <f>IF('Mapa R. Fiscal'!P252="","",'Mapa R. Fiscal'!P252)</f>
        <v/>
      </c>
      <c r="N249" s="70"/>
      <c r="O249" s="70"/>
      <c r="P249" s="70"/>
      <c r="Q249" s="186"/>
    </row>
    <row r="250" spans="1:17" x14ac:dyDescent="0.25">
      <c r="A250" s="115" t="s">
        <v>482</v>
      </c>
      <c r="B250" s="857"/>
      <c r="C250" s="863"/>
      <c r="D250" s="861"/>
      <c r="E250" s="863"/>
      <c r="F250" s="865"/>
      <c r="G250" s="865"/>
      <c r="H250" s="867"/>
      <c r="I250" s="400" t="str">
        <f>IF('Mapa R. Fiscal'!Y253="","",'Mapa R. Fiscal'!Y253)</f>
        <v/>
      </c>
      <c r="J250" s="400" t="str">
        <f>IF('Mapa R. Fiscal'!AA253="","",'Mapa R. Fiscal'!AA253)</f>
        <v/>
      </c>
      <c r="K250" s="436" t="str">
        <f t="shared" si="36"/>
        <v/>
      </c>
      <c r="L250" s="400" t="str">
        <f>IF('Mapa R. Fiscal'!AD253="","",'Mapa R. Fiscal'!AD253)</f>
        <v/>
      </c>
      <c r="M250" s="339" t="str">
        <f>IF('Mapa R. Fiscal'!P253="","",'Mapa R. Fiscal'!P253)</f>
        <v/>
      </c>
      <c r="N250" s="70"/>
      <c r="O250" s="70"/>
      <c r="P250" s="70"/>
      <c r="Q250" s="186"/>
    </row>
    <row r="251" spans="1:17" x14ac:dyDescent="0.25">
      <c r="A251" s="115" t="s">
        <v>483</v>
      </c>
      <c r="B251" s="857"/>
      <c r="C251" s="863"/>
      <c r="D251" s="861"/>
      <c r="E251" s="863"/>
      <c r="F251" s="865"/>
      <c r="G251" s="865"/>
      <c r="H251" s="867"/>
      <c r="I251" s="400" t="str">
        <f>IF('Mapa R. Fiscal'!Y254="","",'Mapa R. Fiscal'!Y254)</f>
        <v/>
      </c>
      <c r="J251" s="400" t="str">
        <f>IF('Mapa R. Fiscal'!AA254="","",'Mapa R. Fiscal'!AA254)</f>
        <v/>
      </c>
      <c r="K251" s="436" t="str">
        <f t="shared" si="36"/>
        <v/>
      </c>
      <c r="L251" s="400" t="str">
        <f>IF('Mapa R. Fiscal'!AD254="","",'Mapa R. Fiscal'!AD254)</f>
        <v/>
      </c>
      <c r="M251" s="339" t="str">
        <f>IF('Mapa R. Fiscal'!P254="","",'Mapa R. Fiscal'!P254)</f>
        <v/>
      </c>
      <c r="N251" s="70"/>
      <c r="O251" s="70"/>
      <c r="P251" s="70"/>
      <c r="Q251" s="186"/>
    </row>
    <row r="252" spans="1:17" x14ac:dyDescent="0.25">
      <c r="A252" s="115" t="s">
        <v>484</v>
      </c>
      <c r="B252" s="857"/>
      <c r="C252" s="863"/>
      <c r="D252" s="861"/>
      <c r="E252" s="863"/>
      <c r="F252" s="865"/>
      <c r="G252" s="865"/>
      <c r="H252" s="867"/>
      <c r="I252" s="400" t="str">
        <f>IF('Mapa R. Fiscal'!Y255="","",'Mapa R. Fiscal'!Y255)</f>
        <v/>
      </c>
      <c r="J252" s="400" t="str">
        <f>IF('Mapa R. Fiscal'!AA255="","",'Mapa R. Fiscal'!AA255)</f>
        <v/>
      </c>
      <c r="K252" s="436" t="str">
        <f t="shared" si="36"/>
        <v/>
      </c>
      <c r="L252" s="400" t="str">
        <f>IF('Mapa R. Fiscal'!AD255="","",'Mapa R. Fiscal'!AD255)</f>
        <v/>
      </c>
      <c r="M252" s="339" t="str">
        <f>IF('Mapa R. Fiscal'!P255="","",'Mapa R. Fiscal'!P255)</f>
        <v/>
      </c>
      <c r="N252" s="70"/>
      <c r="O252" s="70"/>
      <c r="P252" s="70"/>
      <c r="Q252" s="186"/>
    </row>
    <row r="253" spans="1:17" x14ac:dyDescent="0.25">
      <c r="A253" s="115" t="s">
        <v>485</v>
      </c>
      <c r="B253" s="856"/>
      <c r="C253" s="862" t="str">
        <f>IF('Mapa R. Fiscal'!E256="","",'Mapa R. Fiscal'!E256)</f>
        <v/>
      </c>
      <c r="D253" s="860"/>
      <c r="E253" s="862" t="str">
        <f>IF('[2]Mapa R. Fiscal '!D256="","",'[2]Mapa R. Fiscal '!D256)</f>
        <v/>
      </c>
      <c r="F253" s="864" t="str">
        <f>IF('Mapa R. Fiscal'!H256="","",'Mapa R. Fiscal'!H256)</f>
        <v/>
      </c>
      <c r="G253" s="864" t="str">
        <f>IF('Mapa R. Fiscal'!L256="","",'Mapa R. Fiscal'!L256)</f>
        <v/>
      </c>
      <c r="H253" s="866"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0" t="str">
        <f>IF('Mapa R. Fiscal'!Y256="","",'Mapa R. Fiscal'!Y256)</f>
        <v/>
      </c>
      <c r="J253" s="400" t="str">
        <f>IF('Mapa R. Fiscal'!AA256="","",'Mapa R. Fiscal'!AA256)</f>
        <v/>
      </c>
      <c r="K253" s="436" t="str">
        <f t="shared" si="36"/>
        <v/>
      </c>
      <c r="L253" s="400" t="str">
        <f>IF('Mapa R. Fiscal'!AD256="","",'Mapa R. Fiscal'!AD256)</f>
        <v/>
      </c>
      <c r="M253" s="339" t="str">
        <f>IF('Mapa R. Fiscal'!P256="","",'Mapa R. Fiscal'!P256)</f>
        <v/>
      </c>
      <c r="N253" s="70"/>
      <c r="O253" s="70"/>
      <c r="P253" s="70"/>
      <c r="Q253" s="186"/>
    </row>
    <row r="254" spans="1:17" x14ac:dyDescent="0.25">
      <c r="A254" s="115" t="s">
        <v>486</v>
      </c>
      <c r="B254" s="857"/>
      <c r="C254" s="863"/>
      <c r="D254" s="861"/>
      <c r="E254" s="863"/>
      <c r="F254" s="865"/>
      <c r="G254" s="865"/>
      <c r="H254" s="867"/>
      <c r="I254" s="400" t="str">
        <f>IF('Mapa R. Fiscal'!Y257="","",'Mapa R. Fiscal'!Y257)</f>
        <v/>
      </c>
      <c r="J254" s="400" t="str">
        <f>IF('Mapa R. Fiscal'!AA257="","",'Mapa R. Fiscal'!AA257)</f>
        <v/>
      </c>
      <c r="K254" s="436" t="str">
        <f t="shared" si="36"/>
        <v/>
      </c>
      <c r="L254" s="400" t="str">
        <f>IF('Mapa R. Fiscal'!AD257="","",'Mapa R. Fiscal'!AD257)</f>
        <v/>
      </c>
      <c r="M254" s="339" t="str">
        <f>IF('Mapa R. Fiscal'!P257="","",'Mapa R. Fiscal'!P257)</f>
        <v/>
      </c>
      <c r="N254" s="70"/>
      <c r="O254" s="70"/>
      <c r="P254" s="70"/>
      <c r="Q254" s="186"/>
    </row>
    <row r="255" spans="1:17" x14ac:dyDescent="0.25">
      <c r="A255" s="115" t="s">
        <v>487</v>
      </c>
      <c r="B255" s="857"/>
      <c r="C255" s="863"/>
      <c r="D255" s="861"/>
      <c r="E255" s="863"/>
      <c r="F255" s="865"/>
      <c r="G255" s="865"/>
      <c r="H255" s="867"/>
      <c r="I255" s="400" t="str">
        <f>IF('Mapa R. Fiscal'!Y258="","",'Mapa R. Fiscal'!Y258)</f>
        <v/>
      </c>
      <c r="J255" s="400" t="str">
        <f>IF('Mapa R. Fiscal'!AA258="","",'Mapa R. Fiscal'!AA258)</f>
        <v/>
      </c>
      <c r="K255" s="436" t="str">
        <f t="shared" si="36"/>
        <v/>
      </c>
      <c r="L255" s="400" t="str">
        <f>IF('Mapa R. Fiscal'!AD258="","",'Mapa R. Fiscal'!AD258)</f>
        <v/>
      </c>
      <c r="M255" s="339" t="str">
        <f>IF('Mapa R. Fiscal'!P258="","",'Mapa R. Fiscal'!P258)</f>
        <v/>
      </c>
      <c r="N255" s="70"/>
      <c r="O255" s="70"/>
      <c r="P255" s="70"/>
      <c r="Q255" s="186"/>
    </row>
    <row r="256" spans="1:17" x14ac:dyDescent="0.25">
      <c r="A256" s="115" t="s">
        <v>488</v>
      </c>
      <c r="B256" s="857"/>
      <c r="C256" s="863"/>
      <c r="D256" s="861"/>
      <c r="E256" s="863"/>
      <c r="F256" s="865"/>
      <c r="G256" s="865"/>
      <c r="H256" s="867"/>
      <c r="I256" s="400" t="str">
        <f>IF('Mapa R. Fiscal'!Y259="","",'Mapa R. Fiscal'!Y259)</f>
        <v/>
      </c>
      <c r="J256" s="400" t="str">
        <f>IF('Mapa R. Fiscal'!AA259="","",'Mapa R. Fiscal'!AA259)</f>
        <v/>
      </c>
      <c r="K256" s="436" t="str">
        <f t="shared" si="36"/>
        <v/>
      </c>
      <c r="L256" s="400" t="str">
        <f>IF('Mapa R. Fiscal'!AD259="","",'Mapa R. Fiscal'!AD259)</f>
        <v/>
      </c>
      <c r="M256" s="339" t="str">
        <f>IF('Mapa R. Fiscal'!P259="","",'Mapa R. Fiscal'!P259)</f>
        <v/>
      </c>
      <c r="N256" s="70"/>
      <c r="O256" s="70"/>
      <c r="P256" s="70"/>
      <c r="Q256" s="186"/>
    </row>
    <row r="257" spans="1:17" x14ac:dyDescent="0.25">
      <c r="A257" s="115" t="s">
        <v>489</v>
      </c>
      <c r="B257" s="857"/>
      <c r="C257" s="863"/>
      <c r="D257" s="861"/>
      <c r="E257" s="863"/>
      <c r="F257" s="865"/>
      <c r="G257" s="865"/>
      <c r="H257" s="867"/>
      <c r="I257" s="400" t="str">
        <f>IF('Mapa R. Fiscal'!Y260="","",'Mapa R. Fiscal'!Y260)</f>
        <v/>
      </c>
      <c r="J257" s="400" t="str">
        <f>IF('Mapa R. Fiscal'!AA260="","",'Mapa R. Fiscal'!AA260)</f>
        <v/>
      </c>
      <c r="K257" s="436" t="str">
        <f t="shared" si="36"/>
        <v/>
      </c>
      <c r="L257" s="400" t="str">
        <f>IF('Mapa R. Fiscal'!AD260="","",'Mapa R. Fiscal'!AD260)</f>
        <v/>
      </c>
      <c r="M257" s="339" t="str">
        <f>IF('Mapa R. Fiscal'!P260="","",'Mapa R. Fiscal'!P260)</f>
        <v/>
      </c>
      <c r="N257" s="70"/>
      <c r="O257" s="70"/>
      <c r="P257" s="70"/>
      <c r="Q257" s="186"/>
    </row>
    <row r="258" spans="1:17" x14ac:dyDescent="0.25">
      <c r="A258" s="115" t="s">
        <v>490</v>
      </c>
      <c r="B258" s="857"/>
      <c r="C258" s="863"/>
      <c r="D258" s="861"/>
      <c r="E258" s="863"/>
      <c r="F258" s="865"/>
      <c r="G258" s="865"/>
      <c r="H258" s="867"/>
      <c r="I258" s="400" t="str">
        <f>IF('Mapa R. Fiscal'!Y261="","",'Mapa R. Fiscal'!Y261)</f>
        <v/>
      </c>
      <c r="J258" s="400" t="str">
        <f>IF('Mapa R. Fiscal'!AA261="","",'Mapa R. Fiscal'!AA261)</f>
        <v/>
      </c>
      <c r="K258" s="436" t="str">
        <f t="shared" si="36"/>
        <v/>
      </c>
      <c r="L258" s="400" t="str">
        <f>IF('Mapa R. Fiscal'!AD261="","",'Mapa R. Fiscal'!AD261)</f>
        <v/>
      </c>
      <c r="M258" s="339" t="str">
        <f>IF('Mapa R. Fiscal'!P261="","",'Mapa R. Fiscal'!P261)</f>
        <v/>
      </c>
      <c r="N258" s="70"/>
      <c r="O258" s="70"/>
      <c r="P258" s="70"/>
      <c r="Q258" s="186"/>
    </row>
    <row r="259" spans="1:17" x14ac:dyDescent="0.25">
      <c r="A259" s="115" t="s">
        <v>491</v>
      </c>
      <c r="B259" s="856"/>
      <c r="C259" s="862" t="str">
        <f>IF('Mapa R. Fiscal'!E262="","",'Mapa R. Fiscal'!E262)</f>
        <v/>
      </c>
      <c r="D259" s="860"/>
      <c r="E259" s="862" t="str">
        <f>IF('[2]Mapa R. Fiscal '!D262="","",'[2]Mapa R. Fiscal '!D262)</f>
        <v/>
      </c>
      <c r="F259" s="864" t="str">
        <f>IF('Mapa R. Fiscal'!H262="","",'Mapa R. Fiscal'!H262)</f>
        <v/>
      </c>
      <c r="G259" s="864" t="str">
        <f>IF('Mapa R. Fiscal'!L262="","",'Mapa R. Fiscal'!L262)</f>
        <v/>
      </c>
      <c r="H259" s="866"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0" t="str">
        <f>IF('Mapa R. Fiscal'!Y262="","",'Mapa R. Fiscal'!Y262)</f>
        <v/>
      </c>
      <c r="J259" s="400" t="str">
        <f>IF('Mapa R. Fiscal'!AA262="","",'Mapa R. Fiscal'!AA262)</f>
        <v/>
      </c>
      <c r="K259" s="436" t="str">
        <f t="shared" si="36"/>
        <v/>
      </c>
      <c r="L259" s="400" t="str">
        <f>IF('Mapa R. Fiscal'!AD262="","",'Mapa R. Fiscal'!AD262)</f>
        <v/>
      </c>
      <c r="M259" s="339" t="str">
        <f>IF('Mapa R. Fiscal'!P262="","",'Mapa R. Fiscal'!P262)</f>
        <v/>
      </c>
      <c r="N259" s="70"/>
      <c r="O259" s="70"/>
      <c r="P259" s="70"/>
      <c r="Q259" s="186"/>
    </row>
    <row r="260" spans="1:17" x14ac:dyDescent="0.25">
      <c r="A260" s="115" t="s">
        <v>492</v>
      </c>
      <c r="B260" s="857"/>
      <c r="C260" s="863"/>
      <c r="D260" s="861"/>
      <c r="E260" s="863"/>
      <c r="F260" s="865"/>
      <c r="G260" s="865"/>
      <c r="H260" s="867"/>
      <c r="I260" s="400" t="str">
        <f>IF('Mapa R. Fiscal'!Y263="","",'Mapa R. Fiscal'!Y263)</f>
        <v/>
      </c>
      <c r="J260" s="400" t="str">
        <f>IF('Mapa R. Fiscal'!AA263="","",'Mapa R. Fiscal'!AA263)</f>
        <v/>
      </c>
      <c r="K260" s="436" t="str">
        <f t="shared" si="36"/>
        <v/>
      </c>
      <c r="L260" s="400" t="str">
        <f>IF('Mapa R. Fiscal'!AD263="","",'Mapa R. Fiscal'!AD263)</f>
        <v/>
      </c>
      <c r="M260" s="339" t="str">
        <f>IF('Mapa R. Fiscal'!P263="","",'Mapa R. Fiscal'!P263)</f>
        <v/>
      </c>
      <c r="N260" s="70"/>
      <c r="O260" s="70"/>
      <c r="P260" s="70"/>
      <c r="Q260" s="186"/>
    </row>
    <row r="261" spans="1:17" x14ac:dyDescent="0.25">
      <c r="A261" s="115" t="s">
        <v>493</v>
      </c>
      <c r="B261" s="857"/>
      <c r="C261" s="863"/>
      <c r="D261" s="861"/>
      <c r="E261" s="863"/>
      <c r="F261" s="865"/>
      <c r="G261" s="865"/>
      <c r="H261" s="867"/>
      <c r="I261" s="400" t="str">
        <f>IF('Mapa R. Fiscal'!Y264="","",'Mapa R. Fiscal'!Y264)</f>
        <v/>
      </c>
      <c r="J261" s="400" t="str">
        <f>IF('Mapa R. Fiscal'!AA264="","",'Mapa R. Fiscal'!AA264)</f>
        <v/>
      </c>
      <c r="K261" s="436" t="str">
        <f t="shared" si="36"/>
        <v/>
      </c>
      <c r="L261" s="400" t="str">
        <f>IF('Mapa R. Fiscal'!AD264="","",'Mapa R. Fiscal'!AD264)</f>
        <v/>
      </c>
      <c r="M261" s="339" t="str">
        <f>IF('Mapa R. Fiscal'!P264="","",'Mapa R. Fiscal'!P264)</f>
        <v/>
      </c>
      <c r="N261" s="70"/>
      <c r="O261" s="70"/>
      <c r="P261" s="70"/>
      <c r="Q261" s="186"/>
    </row>
    <row r="262" spans="1:17" x14ac:dyDescent="0.25">
      <c r="A262" s="115" t="s">
        <v>494</v>
      </c>
      <c r="B262" s="857"/>
      <c r="C262" s="863"/>
      <c r="D262" s="861"/>
      <c r="E262" s="863"/>
      <c r="F262" s="865"/>
      <c r="G262" s="865"/>
      <c r="H262" s="867"/>
      <c r="I262" s="400" t="str">
        <f>IF('Mapa R. Fiscal'!Y265="","",'Mapa R. Fiscal'!Y265)</f>
        <v/>
      </c>
      <c r="J262" s="400" t="str">
        <f>IF('Mapa R. Fiscal'!AA265="","",'Mapa R. Fiscal'!AA265)</f>
        <v/>
      </c>
      <c r="K262" s="436" t="str">
        <f t="shared" si="36"/>
        <v/>
      </c>
      <c r="L262" s="400" t="str">
        <f>IF('Mapa R. Fiscal'!AD265="","",'Mapa R. Fiscal'!AD265)</f>
        <v/>
      </c>
      <c r="M262" s="339" t="str">
        <f>IF('Mapa R. Fiscal'!P265="","",'Mapa R. Fiscal'!P265)</f>
        <v/>
      </c>
      <c r="N262" s="70"/>
      <c r="O262" s="70"/>
      <c r="P262" s="70"/>
      <c r="Q262" s="186"/>
    </row>
    <row r="263" spans="1:17" x14ac:dyDescent="0.25">
      <c r="A263" s="115" t="s">
        <v>495</v>
      </c>
      <c r="B263" s="857"/>
      <c r="C263" s="863"/>
      <c r="D263" s="861"/>
      <c r="E263" s="863"/>
      <c r="F263" s="865"/>
      <c r="G263" s="865"/>
      <c r="H263" s="867"/>
      <c r="I263" s="400" t="str">
        <f>IF('Mapa R. Fiscal'!Y266="","",'Mapa R. Fiscal'!Y266)</f>
        <v/>
      </c>
      <c r="J263" s="400" t="str">
        <f>IF('Mapa R. Fiscal'!AA266="","",'Mapa R. Fiscal'!AA266)</f>
        <v/>
      </c>
      <c r="K263" s="436"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0" t="str">
        <f>IF('Mapa R. Fiscal'!AD266="","",'Mapa R. Fiscal'!AD266)</f>
        <v/>
      </c>
      <c r="M263" s="339" t="str">
        <f>IF('Mapa R. Fiscal'!P266="","",'Mapa R. Fiscal'!P266)</f>
        <v/>
      </c>
      <c r="N263" s="70"/>
      <c r="O263" s="70"/>
      <c r="P263" s="70"/>
      <c r="Q263" s="186"/>
    </row>
    <row r="264" spans="1:17" x14ac:dyDescent="0.25">
      <c r="A264" s="115" t="s">
        <v>496</v>
      </c>
      <c r="B264" s="857"/>
      <c r="C264" s="863"/>
      <c r="D264" s="861"/>
      <c r="E264" s="863"/>
      <c r="F264" s="865"/>
      <c r="G264" s="865"/>
      <c r="H264" s="867"/>
      <c r="I264" s="400" t="str">
        <f>IF('Mapa R. Fiscal'!Y267="","",'Mapa R. Fiscal'!Y267)</f>
        <v/>
      </c>
      <c r="J264" s="400" t="str">
        <f>IF('Mapa R. Fiscal'!AA267="","",'Mapa R. Fiscal'!AA267)</f>
        <v/>
      </c>
      <c r="K264" s="436" t="str">
        <f t="shared" si="47"/>
        <v/>
      </c>
      <c r="L264" s="400" t="str">
        <f>IF('Mapa R. Fiscal'!AD267="","",'Mapa R. Fiscal'!AD267)</f>
        <v/>
      </c>
      <c r="M264" s="339" t="str">
        <f>IF('Mapa R. Fiscal'!P267="","",'Mapa R. Fiscal'!P267)</f>
        <v/>
      </c>
      <c r="N264" s="70"/>
      <c r="O264" s="70"/>
      <c r="P264" s="70"/>
      <c r="Q264" s="186"/>
    </row>
    <row r="265" spans="1:17" x14ac:dyDescent="0.25">
      <c r="A265" s="115" t="s">
        <v>497</v>
      </c>
      <c r="B265" s="856"/>
      <c r="C265" s="862" t="str">
        <f>IF('Mapa R. Fiscal'!E268="","",'Mapa R. Fiscal'!E268)</f>
        <v/>
      </c>
      <c r="D265" s="860"/>
      <c r="E265" s="862" t="str">
        <f>IF('[2]Mapa R. Fiscal '!D268="","",'[2]Mapa R. Fiscal '!D268)</f>
        <v/>
      </c>
      <c r="F265" s="864" t="str">
        <f>IF('Mapa R. Fiscal'!H268="","",'Mapa R. Fiscal'!H268)</f>
        <v/>
      </c>
      <c r="G265" s="864" t="str">
        <f>IF('Mapa R. Fiscal'!L268="","",'Mapa R. Fiscal'!L268)</f>
        <v/>
      </c>
      <c r="H265" s="866"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0" t="str">
        <f>IF('Mapa R. Fiscal'!Y268="","",'Mapa R. Fiscal'!Y268)</f>
        <v/>
      </c>
      <c r="J265" s="400" t="str">
        <f>IF('Mapa R. Fiscal'!AA268="","",'Mapa R. Fiscal'!AA268)</f>
        <v/>
      </c>
      <c r="K265" s="436" t="str">
        <f t="shared" si="47"/>
        <v/>
      </c>
      <c r="L265" s="400" t="str">
        <f>IF('Mapa R. Fiscal'!AD268="","",'Mapa R. Fiscal'!AD268)</f>
        <v/>
      </c>
      <c r="M265" s="339" t="str">
        <f>IF('Mapa R. Fiscal'!P268="","",'Mapa R. Fiscal'!P268)</f>
        <v/>
      </c>
      <c r="N265" s="70"/>
      <c r="O265" s="70"/>
      <c r="P265" s="70"/>
      <c r="Q265" s="186"/>
    </row>
    <row r="266" spans="1:17" x14ac:dyDescent="0.25">
      <c r="A266" s="115" t="s">
        <v>498</v>
      </c>
      <c r="B266" s="857"/>
      <c r="C266" s="863"/>
      <c r="D266" s="861"/>
      <c r="E266" s="863"/>
      <c r="F266" s="865"/>
      <c r="G266" s="865"/>
      <c r="H266" s="867"/>
      <c r="I266" s="400" t="str">
        <f>IF('Mapa R. Fiscal'!Y269="","",'Mapa R. Fiscal'!Y269)</f>
        <v/>
      </c>
      <c r="J266" s="400" t="str">
        <f>IF('Mapa R. Fiscal'!AA269="","",'Mapa R. Fiscal'!AA269)</f>
        <v/>
      </c>
      <c r="K266" s="436" t="str">
        <f t="shared" si="47"/>
        <v/>
      </c>
      <c r="L266" s="400" t="str">
        <f>IF('Mapa R. Fiscal'!AD269="","",'Mapa R. Fiscal'!AD269)</f>
        <v/>
      </c>
      <c r="M266" s="339" t="str">
        <f>IF('Mapa R. Fiscal'!P269="","",'Mapa R. Fiscal'!P269)</f>
        <v/>
      </c>
      <c r="N266" s="70"/>
      <c r="O266" s="70"/>
      <c r="P266" s="70"/>
      <c r="Q266" s="186"/>
    </row>
    <row r="267" spans="1:17" x14ac:dyDescent="0.25">
      <c r="A267" s="115" t="s">
        <v>499</v>
      </c>
      <c r="B267" s="857"/>
      <c r="C267" s="863"/>
      <c r="D267" s="861"/>
      <c r="E267" s="863"/>
      <c r="F267" s="865"/>
      <c r="G267" s="865"/>
      <c r="H267" s="867"/>
      <c r="I267" s="400" t="str">
        <f>IF('Mapa R. Fiscal'!Y270="","",'Mapa R. Fiscal'!Y270)</f>
        <v/>
      </c>
      <c r="J267" s="400" t="str">
        <f>IF('Mapa R. Fiscal'!AA270="","",'Mapa R. Fiscal'!AA270)</f>
        <v/>
      </c>
      <c r="K267" s="436" t="str">
        <f t="shared" si="47"/>
        <v/>
      </c>
      <c r="L267" s="400" t="str">
        <f>IF('Mapa R. Fiscal'!AD270="","",'Mapa R. Fiscal'!AD270)</f>
        <v/>
      </c>
      <c r="M267" s="339" t="str">
        <f>IF('Mapa R. Fiscal'!P270="","",'Mapa R. Fiscal'!P270)</f>
        <v/>
      </c>
      <c r="N267" s="70"/>
      <c r="O267" s="70"/>
      <c r="P267" s="70"/>
      <c r="Q267" s="186"/>
    </row>
    <row r="268" spans="1:17" x14ac:dyDescent="0.25">
      <c r="A268" s="115" t="s">
        <v>500</v>
      </c>
      <c r="B268" s="857"/>
      <c r="C268" s="863"/>
      <c r="D268" s="861"/>
      <c r="E268" s="863"/>
      <c r="F268" s="865"/>
      <c r="G268" s="865"/>
      <c r="H268" s="867"/>
      <c r="I268" s="400" t="str">
        <f>IF('Mapa R. Fiscal'!Y271="","",'Mapa R. Fiscal'!Y271)</f>
        <v/>
      </c>
      <c r="J268" s="400" t="str">
        <f>IF('Mapa R. Fiscal'!AA271="","",'Mapa R. Fiscal'!AA271)</f>
        <v/>
      </c>
      <c r="K268" s="436" t="str">
        <f t="shared" si="47"/>
        <v/>
      </c>
      <c r="L268" s="400" t="str">
        <f>IF('Mapa R. Fiscal'!AD271="","",'Mapa R. Fiscal'!AD271)</f>
        <v/>
      </c>
      <c r="M268" s="339" t="str">
        <f>IF('Mapa R. Fiscal'!P271="","",'Mapa R. Fiscal'!P271)</f>
        <v/>
      </c>
      <c r="N268" s="70"/>
      <c r="O268" s="70"/>
      <c r="P268" s="70"/>
      <c r="Q268" s="186"/>
    </row>
    <row r="269" spans="1:17" x14ac:dyDescent="0.25">
      <c r="A269" s="115" t="s">
        <v>501</v>
      </c>
      <c r="B269" s="857"/>
      <c r="C269" s="863"/>
      <c r="D269" s="861"/>
      <c r="E269" s="863"/>
      <c r="F269" s="865"/>
      <c r="G269" s="865"/>
      <c r="H269" s="867"/>
      <c r="I269" s="400" t="str">
        <f>IF('Mapa R. Fiscal'!Y272="","",'Mapa R. Fiscal'!Y272)</f>
        <v/>
      </c>
      <c r="J269" s="400" t="str">
        <f>IF('Mapa R. Fiscal'!AA272="","",'Mapa R. Fiscal'!AA272)</f>
        <v/>
      </c>
      <c r="K269" s="436" t="str">
        <f t="shared" si="47"/>
        <v/>
      </c>
      <c r="L269" s="400" t="str">
        <f>IF('Mapa R. Fiscal'!AD272="","",'Mapa R. Fiscal'!AD272)</f>
        <v/>
      </c>
      <c r="M269" s="339" t="str">
        <f>IF('Mapa R. Fiscal'!P272="","",'Mapa R. Fiscal'!P272)</f>
        <v/>
      </c>
      <c r="N269" s="70"/>
      <c r="O269" s="70"/>
      <c r="P269" s="70"/>
      <c r="Q269" s="186"/>
    </row>
    <row r="270" spans="1:17" x14ac:dyDescent="0.25">
      <c r="A270" s="115" t="s">
        <v>502</v>
      </c>
      <c r="B270" s="857"/>
      <c r="C270" s="863"/>
      <c r="D270" s="861"/>
      <c r="E270" s="863"/>
      <c r="F270" s="865"/>
      <c r="G270" s="865"/>
      <c r="H270" s="867"/>
      <c r="I270" s="400" t="str">
        <f>IF('Mapa R. Fiscal'!Y273="","",'Mapa R. Fiscal'!Y273)</f>
        <v/>
      </c>
      <c r="J270" s="400" t="str">
        <f>IF('Mapa R. Fiscal'!AA273="","",'Mapa R. Fiscal'!AA273)</f>
        <v/>
      </c>
      <c r="K270" s="436" t="str">
        <f t="shared" si="47"/>
        <v/>
      </c>
      <c r="L270" s="400" t="str">
        <f>IF('Mapa R. Fiscal'!AD273="","",'Mapa R. Fiscal'!AD273)</f>
        <v/>
      </c>
      <c r="M270" s="339" t="str">
        <f>IF('Mapa R. Fiscal'!P273="","",'Mapa R. Fiscal'!P273)</f>
        <v/>
      </c>
      <c r="N270" s="70"/>
      <c r="O270" s="70"/>
      <c r="P270" s="70"/>
      <c r="Q270" s="186"/>
    </row>
    <row r="271" spans="1:17" x14ac:dyDescent="0.25">
      <c r="A271" s="115" t="s">
        <v>503</v>
      </c>
      <c r="B271" s="856"/>
      <c r="C271" s="862" t="str">
        <f>IF('Mapa R. Fiscal'!E274="","",'Mapa R. Fiscal'!E274)</f>
        <v/>
      </c>
      <c r="D271" s="860"/>
      <c r="E271" s="862" t="str">
        <f>IF('[2]Mapa R. Fiscal '!D274="","",'[2]Mapa R. Fiscal '!D274)</f>
        <v/>
      </c>
      <c r="F271" s="864" t="str">
        <f>IF('Mapa R. Fiscal'!H274="","",'Mapa R. Fiscal'!H274)</f>
        <v/>
      </c>
      <c r="G271" s="864" t="str">
        <f>IF('Mapa R. Fiscal'!L274="","",'Mapa R. Fiscal'!L274)</f>
        <v/>
      </c>
      <c r="H271" s="866"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0" t="str">
        <f>IF('Mapa R. Fiscal'!Y274="","",'Mapa R. Fiscal'!Y274)</f>
        <v/>
      </c>
      <c r="J271" s="400" t="str">
        <f>IF('Mapa R. Fiscal'!AA274="","",'Mapa R. Fiscal'!AA274)</f>
        <v/>
      </c>
      <c r="K271" s="436" t="str">
        <f t="shared" si="47"/>
        <v/>
      </c>
      <c r="L271" s="400" t="str">
        <f>IF('Mapa R. Fiscal'!AD274="","",'Mapa R. Fiscal'!AD274)</f>
        <v/>
      </c>
      <c r="M271" s="339" t="str">
        <f>IF('Mapa R. Fiscal'!P274="","",'Mapa R. Fiscal'!P274)</f>
        <v/>
      </c>
      <c r="N271" s="70"/>
      <c r="O271" s="70"/>
      <c r="P271" s="70"/>
      <c r="Q271" s="186"/>
    </row>
    <row r="272" spans="1:17" x14ac:dyDescent="0.25">
      <c r="A272" s="115" t="s">
        <v>504</v>
      </c>
      <c r="B272" s="857"/>
      <c r="C272" s="863"/>
      <c r="D272" s="861"/>
      <c r="E272" s="863"/>
      <c r="F272" s="865"/>
      <c r="G272" s="865"/>
      <c r="H272" s="867"/>
      <c r="I272" s="400" t="str">
        <f>IF('Mapa R. Fiscal'!Y275="","",'Mapa R. Fiscal'!Y275)</f>
        <v/>
      </c>
      <c r="J272" s="400" t="str">
        <f>IF('Mapa R. Fiscal'!AA275="","",'Mapa R. Fiscal'!AA275)</f>
        <v/>
      </c>
      <c r="K272" s="436" t="str">
        <f t="shared" si="47"/>
        <v/>
      </c>
      <c r="L272" s="400" t="str">
        <f>IF('Mapa R. Fiscal'!AD275="","",'Mapa R. Fiscal'!AD275)</f>
        <v/>
      </c>
      <c r="M272" s="339" t="str">
        <f>IF('Mapa R. Fiscal'!P275="","",'Mapa R. Fiscal'!P275)</f>
        <v/>
      </c>
      <c r="N272" s="70"/>
      <c r="O272" s="70"/>
      <c r="P272" s="70"/>
      <c r="Q272" s="186"/>
    </row>
    <row r="273" spans="1:17" x14ac:dyDescent="0.25">
      <c r="A273" s="115" t="s">
        <v>505</v>
      </c>
      <c r="B273" s="857"/>
      <c r="C273" s="863"/>
      <c r="D273" s="861"/>
      <c r="E273" s="863"/>
      <c r="F273" s="865"/>
      <c r="G273" s="865"/>
      <c r="H273" s="867"/>
      <c r="I273" s="400" t="str">
        <f>IF('Mapa R. Fiscal'!Y276="","",'Mapa R. Fiscal'!Y276)</f>
        <v/>
      </c>
      <c r="J273" s="400" t="str">
        <f>IF('Mapa R. Fiscal'!AA276="","",'Mapa R. Fiscal'!AA276)</f>
        <v/>
      </c>
      <c r="K273" s="436" t="str">
        <f t="shared" si="47"/>
        <v/>
      </c>
      <c r="L273" s="400" t="str">
        <f>IF('Mapa R. Fiscal'!AD276="","",'Mapa R. Fiscal'!AD276)</f>
        <v/>
      </c>
      <c r="M273" s="339" t="str">
        <f>IF('Mapa R. Fiscal'!P276="","",'Mapa R. Fiscal'!P276)</f>
        <v/>
      </c>
      <c r="N273" s="70"/>
      <c r="O273" s="70"/>
      <c r="P273" s="70"/>
      <c r="Q273" s="186"/>
    </row>
    <row r="274" spans="1:17" x14ac:dyDescent="0.25">
      <c r="A274" s="115" t="s">
        <v>506</v>
      </c>
      <c r="B274" s="857"/>
      <c r="C274" s="863"/>
      <c r="D274" s="861"/>
      <c r="E274" s="863"/>
      <c r="F274" s="865"/>
      <c r="G274" s="865"/>
      <c r="H274" s="867"/>
      <c r="I274" s="400" t="str">
        <f>IF('Mapa R. Fiscal'!Y277="","",'Mapa R. Fiscal'!Y277)</f>
        <v/>
      </c>
      <c r="J274" s="400" t="str">
        <f>IF('Mapa R. Fiscal'!AA277="","",'Mapa R. Fiscal'!AA277)</f>
        <v/>
      </c>
      <c r="K274" s="436" t="str">
        <f t="shared" si="47"/>
        <v/>
      </c>
      <c r="L274" s="400" t="str">
        <f>IF('Mapa R. Fiscal'!AD277="","",'Mapa R. Fiscal'!AD277)</f>
        <v/>
      </c>
      <c r="M274" s="339" t="str">
        <f>IF('Mapa R. Fiscal'!P277="","",'Mapa R. Fiscal'!P277)</f>
        <v/>
      </c>
      <c r="N274" s="70"/>
      <c r="O274" s="70"/>
      <c r="P274" s="70"/>
      <c r="Q274" s="186"/>
    </row>
    <row r="275" spans="1:17" x14ac:dyDescent="0.25">
      <c r="A275" s="115" t="s">
        <v>507</v>
      </c>
      <c r="B275" s="857"/>
      <c r="C275" s="863"/>
      <c r="D275" s="861"/>
      <c r="E275" s="863"/>
      <c r="F275" s="865"/>
      <c r="G275" s="865"/>
      <c r="H275" s="867"/>
      <c r="I275" s="400" t="str">
        <f>IF('Mapa R. Fiscal'!Y278="","",'Mapa R. Fiscal'!Y278)</f>
        <v/>
      </c>
      <c r="J275" s="400" t="str">
        <f>IF('Mapa R. Fiscal'!AA278="","",'Mapa R. Fiscal'!AA278)</f>
        <v/>
      </c>
      <c r="K275" s="436" t="str">
        <f t="shared" si="47"/>
        <v/>
      </c>
      <c r="L275" s="400" t="str">
        <f>IF('Mapa R. Fiscal'!AD278="","",'Mapa R. Fiscal'!AD278)</f>
        <v/>
      </c>
      <c r="M275" s="339" t="str">
        <f>IF('Mapa R. Fiscal'!P278="","",'Mapa R. Fiscal'!P278)</f>
        <v/>
      </c>
      <c r="N275" s="70"/>
      <c r="O275" s="70"/>
      <c r="P275" s="70"/>
      <c r="Q275" s="186"/>
    </row>
    <row r="276" spans="1:17" x14ac:dyDescent="0.25">
      <c r="A276" s="115" t="s">
        <v>508</v>
      </c>
      <c r="B276" s="857"/>
      <c r="C276" s="863"/>
      <c r="D276" s="861"/>
      <c r="E276" s="863"/>
      <c r="F276" s="865"/>
      <c r="G276" s="865"/>
      <c r="H276" s="867"/>
      <c r="I276" s="400" t="str">
        <f>IF('Mapa R. Fiscal'!Y279="","",'Mapa R. Fiscal'!Y279)</f>
        <v/>
      </c>
      <c r="J276" s="400" t="str">
        <f>IF('Mapa R. Fiscal'!AA279="","",'Mapa R. Fiscal'!AA279)</f>
        <v/>
      </c>
      <c r="K276" s="436" t="str">
        <f t="shared" si="47"/>
        <v/>
      </c>
      <c r="L276" s="400" t="str">
        <f>IF('Mapa R. Fiscal'!AD279="","",'Mapa R. Fiscal'!AD279)</f>
        <v/>
      </c>
      <c r="M276" s="339" t="str">
        <f>IF('Mapa R. Fiscal'!P279="","",'Mapa R. Fiscal'!P279)</f>
        <v/>
      </c>
      <c r="N276" s="70"/>
      <c r="O276" s="70"/>
      <c r="P276" s="70"/>
      <c r="Q276" s="186"/>
    </row>
    <row r="277" spans="1:17" x14ac:dyDescent="0.25">
      <c r="A277" s="115" t="s">
        <v>509</v>
      </c>
      <c r="B277" s="856"/>
      <c r="C277" s="862" t="str">
        <f>IF('Mapa R. Fiscal'!E280="","",'Mapa R. Fiscal'!E280)</f>
        <v/>
      </c>
      <c r="D277" s="860"/>
      <c r="E277" s="862" t="str">
        <f>IF('[2]Mapa R. Fiscal '!D280="","",'[2]Mapa R. Fiscal '!D280)</f>
        <v/>
      </c>
      <c r="F277" s="864" t="str">
        <f>IF('Mapa R. Fiscal'!H280="","",'Mapa R. Fiscal'!H280)</f>
        <v/>
      </c>
      <c r="G277" s="864" t="str">
        <f>IF('Mapa R. Fiscal'!L280="","",'Mapa R. Fiscal'!L280)</f>
        <v/>
      </c>
      <c r="H277" s="866"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0" t="str">
        <f>IF('Mapa R. Fiscal'!Y280="","",'Mapa R. Fiscal'!Y280)</f>
        <v/>
      </c>
      <c r="J277" s="400" t="str">
        <f>IF('Mapa R. Fiscal'!AA280="","",'Mapa R. Fiscal'!AA280)</f>
        <v/>
      </c>
      <c r="K277" s="436" t="str">
        <f t="shared" si="47"/>
        <v/>
      </c>
      <c r="L277" s="400" t="str">
        <f>IF('Mapa R. Fiscal'!AD280="","",'Mapa R. Fiscal'!AD280)</f>
        <v/>
      </c>
      <c r="M277" s="339" t="str">
        <f>IF('Mapa R. Fiscal'!P280="","",'Mapa R. Fiscal'!P280)</f>
        <v/>
      </c>
      <c r="N277" s="70"/>
      <c r="O277" s="70"/>
      <c r="P277" s="70"/>
      <c r="Q277" s="186"/>
    </row>
    <row r="278" spans="1:17" x14ac:dyDescent="0.25">
      <c r="A278" s="115" t="s">
        <v>510</v>
      </c>
      <c r="B278" s="857"/>
      <c r="C278" s="863"/>
      <c r="D278" s="861"/>
      <c r="E278" s="863"/>
      <c r="F278" s="865"/>
      <c r="G278" s="865"/>
      <c r="H278" s="867"/>
      <c r="I278" s="400" t="str">
        <f>IF('Mapa R. Fiscal'!Y281="","",'Mapa R. Fiscal'!Y281)</f>
        <v/>
      </c>
      <c r="J278" s="400" t="str">
        <f>IF('Mapa R. Fiscal'!AA281="","",'Mapa R. Fiscal'!AA281)</f>
        <v/>
      </c>
      <c r="K278" s="436" t="str">
        <f t="shared" si="47"/>
        <v/>
      </c>
      <c r="L278" s="400" t="str">
        <f>IF('Mapa R. Fiscal'!AD281="","",'Mapa R. Fiscal'!AD281)</f>
        <v/>
      </c>
      <c r="M278" s="339" t="str">
        <f>IF('Mapa R. Fiscal'!P281="","",'Mapa R. Fiscal'!P281)</f>
        <v/>
      </c>
      <c r="N278" s="70"/>
      <c r="O278" s="70"/>
      <c r="P278" s="70"/>
      <c r="Q278" s="186"/>
    </row>
    <row r="279" spans="1:17" x14ac:dyDescent="0.25">
      <c r="A279" s="115" t="s">
        <v>511</v>
      </c>
      <c r="B279" s="857"/>
      <c r="C279" s="863"/>
      <c r="D279" s="861"/>
      <c r="E279" s="863"/>
      <c r="F279" s="865"/>
      <c r="G279" s="865"/>
      <c r="H279" s="867"/>
      <c r="I279" s="400" t="str">
        <f>IF('Mapa R. Fiscal'!Y282="","",'Mapa R. Fiscal'!Y282)</f>
        <v/>
      </c>
      <c r="J279" s="400" t="str">
        <f>IF('Mapa R. Fiscal'!AA282="","",'Mapa R. Fiscal'!AA282)</f>
        <v/>
      </c>
      <c r="K279" s="436" t="str">
        <f t="shared" si="47"/>
        <v/>
      </c>
      <c r="L279" s="400" t="str">
        <f>IF('Mapa R. Fiscal'!AD282="","",'Mapa R. Fiscal'!AD282)</f>
        <v/>
      </c>
      <c r="M279" s="339" t="str">
        <f>IF('Mapa R. Fiscal'!P282="","",'Mapa R. Fiscal'!P282)</f>
        <v/>
      </c>
      <c r="N279" s="70"/>
      <c r="O279" s="70"/>
      <c r="P279" s="70"/>
      <c r="Q279" s="186"/>
    </row>
    <row r="280" spans="1:17" x14ac:dyDescent="0.25">
      <c r="A280" s="115" t="s">
        <v>512</v>
      </c>
      <c r="B280" s="857"/>
      <c r="C280" s="863"/>
      <c r="D280" s="861"/>
      <c r="E280" s="863"/>
      <c r="F280" s="865"/>
      <c r="G280" s="865"/>
      <c r="H280" s="867"/>
      <c r="I280" s="400" t="str">
        <f>IF('Mapa R. Fiscal'!Y283="","",'Mapa R. Fiscal'!Y283)</f>
        <v/>
      </c>
      <c r="J280" s="400" t="str">
        <f>IF('Mapa R. Fiscal'!AA283="","",'Mapa R. Fiscal'!AA283)</f>
        <v/>
      </c>
      <c r="K280" s="436" t="str">
        <f t="shared" si="47"/>
        <v/>
      </c>
      <c r="L280" s="400" t="str">
        <f>IF('Mapa R. Fiscal'!AD283="","",'Mapa R. Fiscal'!AD283)</f>
        <v/>
      </c>
      <c r="M280" s="339" t="str">
        <f>IF('Mapa R. Fiscal'!P283="","",'Mapa R. Fiscal'!P283)</f>
        <v/>
      </c>
      <c r="N280" s="70"/>
      <c r="O280" s="70"/>
      <c r="P280" s="70"/>
      <c r="Q280" s="186"/>
    </row>
    <row r="281" spans="1:17" x14ac:dyDescent="0.25">
      <c r="A281" s="115" t="s">
        <v>513</v>
      </c>
      <c r="B281" s="857"/>
      <c r="C281" s="863"/>
      <c r="D281" s="861"/>
      <c r="E281" s="863"/>
      <c r="F281" s="865"/>
      <c r="G281" s="865"/>
      <c r="H281" s="867"/>
      <c r="I281" s="400" t="str">
        <f>IF('Mapa R. Fiscal'!Y284="","",'Mapa R. Fiscal'!Y284)</f>
        <v/>
      </c>
      <c r="J281" s="400" t="str">
        <f>IF('Mapa R. Fiscal'!AA284="","",'Mapa R. Fiscal'!AA284)</f>
        <v/>
      </c>
      <c r="K281" s="436" t="str">
        <f t="shared" si="47"/>
        <v/>
      </c>
      <c r="L281" s="400" t="str">
        <f>IF('Mapa R. Fiscal'!AD284="","",'Mapa R. Fiscal'!AD284)</f>
        <v/>
      </c>
      <c r="M281" s="339" t="str">
        <f>IF('Mapa R. Fiscal'!P284="","",'Mapa R. Fiscal'!P284)</f>
        <v/>
      </c>
      <c r="N281" s="70"/>
      <c r="O281" s="70"/>
      <c r="P281" s="70"/>
      <c r="Q281" s="186"/>
    </row>
    <row r="282" spans="1:17" x14ac:dyDescent="0.25">
      <c r="A282" s="115" t="s">
        <v>514</v>
      </c>
      <c r="B282" s="857"/>
      <c r="C282" s="863"/>
      <c r="D282" s="861"/>
      <c r="E282" s="863"/>
      <c r="F282" s="865"/>
      <c r="G282" s="865"/>
      <c r="H282" s="867"/>
      <c r="I282" s="400" t="str">
        <f>IF('Mapa R. Fiscal'!Y285="","",'Mapa R. Fiscal'!Y285)</f>
        <v/>
      </c>
      <c r="J282" s="400" t="str">
        <f>IF('Mapa R. Fiscal'!AA285="","",'Mapa R. Fiscal'!AA285)</f>
        <v/>
      </c>
      <c r="K282" s="436" t="str">
        <f t="shared" si="47"/>
        <v/>
      </c>
      <c r="L282" s="400" t="str">
        <f>IF('Mapa R. Fiscal'!AD285="","",'Mapa R. Fiscal'!AD285)</f>
        <v/>
      </c>
      <c r="M282" s="339" t="str">
        <f>IF('Mapa R. Fiscal'!P285="","",'Mapa R. Fiscal'!P285)</f>
        <v/>
      </c>
      <c r="N282" s="70"/>
      <c r="O282" s="70"/>
      <c r="P282" s="70"/>
      <c r="Q282" s="186"/>
    </row>
    <row r="283" spans="1:17" x14ac:dyDescent="0.25">
      <c r="A283" s="115" t="s">
        <v>515</v>
      </c>
      <c r="B283" s="856"/>
      <c r="C283" s="862" t="str">
        <f>IF('Mapa R. Fiscal'!E286="","",'Mapa R. Fiscal'!E286)</f>
        <v/>
      </c>
      <c r="D283" s="860"/>
      <c r="E283" s="862" t="str">
        <f>IF('[2]Mapa R. Fiscal '!D286="","",'[2]Mapa R. Fiscal '!D286)</f>
        <v/>
      </c>
      <c r="F283" s="864" t="str">
        <f>IF('Mapa R. Fiscal'!H286="","",'Mapa R. Fiscal'!H286)</f>
        <v/>
      </c>
      <c r="G283" s="864" t="str">
        <f>IF('Mapa R. Fiscal'!L286="","",'Mapa R. Fiscal'!L286)</f>
        <v/>
      </c>
      <c r="H283" s="866"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0" t="str">
        <f>IF('Mapa R. Fiscal'!Y286="","",'Mapa R. Fiscal'!Y286)</f>
        <v/>
      </c>
      <c r="J283" s="400" t="str">
        <f>IF('Mapa R. Fiscal'!AA286="","",'Mapa R. Fiscal'!AA286)</f>
        <v/>
      </c>
      <c r="K283" s="436" t="str">
        <f t="shared" si="47"/>
        <v/>
      </c>
      <c r="L283" s="400" t="str">
        <f>IF('Mapa R. Fiscal'!AD286="","",'Mapa R. Fiscal'!AD286)</f>
        <v/>
      </c>
      <c r="M283" s="339" t="str">
        <f>IF('Mapa R. Fiscal'!P286="","",'Mapa R. Fiscal'!P286)</f>
        <v/>
      </c>
      <c r="N283" s="70"/>
      <c r="O283" s="70"/>
      <c r="P283" s="70"/>
      <c r="Q283" s="186"/>
    </row>
    <row r="284" spans="1:17" x14ac:dyDescent="0.25">
      <c r="A284" s="115" t="s">
        <v>516</v>
      </c>
      <c r="B284" s="857"/>
      <c r="C284" s="863"/>
      <c r="D284" s="861"/>
      <c r="E284" s="863"/>
      <c r="F284" s="865"/>
      <c r="G284" s="865"/>
      <c r="H284" s="867"/>
      <c r="I284" s="400" t="str">
        <f>IF('Mapa R. Fiscal'!Y287="","",'Mapa R. Fiscal'!Y287)</f>
        <v/>
      </c>
      <c r="J284" s="400" t="str">
        <f>IF('Mapa R. Fiscal'!AA287="","",'Mapa R. Fiscal'!AA287)</f>
        <v/>
      </c>
      <c r="K284" s="436" t="str">
        <f t="shared" si="47"/>
        <v/>
      </c>
      <c r="L284" s="400" t="str">
        <f>IF('Mapa R. Fiscal'!AD287="","",'Mapa R. Fiscal'!AD287)</f>
        <v/>
      </c>
      <c r="M284" s="339" t="str">
        <f>IF('Mapa R. Fiscal'!P287="","",'Mapa R. Fiscal'!P287)</f>
        <v/>
      </c>
      <c r="N284" s="70"/>
      <c r="O284" s="70"/>
      <c r="P284" s="70"/>
      <c r="Q284" s="186"/>
    </row>
    <row r="285" spans="1:17" x14ac:dyDescent="0.25">
      <c r="A285" s="115" t="s">
        <v>517</v>
      </c>
      <c r="B285" s="857"/>
      <c r="C285" s="863"/>
      <c r="D285" s="861"/>
      <c r="E285" s="863"/>
      <c r="F285" s="865"/>
      <c r="G285" s="865"/>
      <c r="H285" s="867"/>
      <c r="I285" s="400" t="str">
        <f>IF('Mapa R. Fiscal'!Y288="","",'Mapa R. Fiscal'!Y288)</f>
        <v/>
      </c>
      <c r="J285" s="400" t="str">
        <f>IF('Mapa R. Fiscal'!AA288="","",'Mapa R. Fiscal'!AA288)</f>
        <v/>
      </c>
      <c r="K285" s="436" t="str">
        <f t="shared" si="47"/>
        <v/>
      </c>
      <c r="L285" s="400" t="str">
        <f>IF('Mapa R. Fiscal'!AD288="","",'Mapa R. Fiscal'!AD288)</f>
        <v/>
      </c>
      <c r="M285" s="339" t="str">
        <f>IF('Mapa R. Fiscal'!P288="","",'Mapa R. Fiscal'!P288)</f>
        <v/>
      </c>
      <c r="N285" s="70"/>
      <c r="O285" s="70"/>
      <c r="P285" s="70"/>
      <c r="Q285" s="186"/>
    </row>
    <row r="286" spans="1:17" x14ac:dyDescent="0.25">
      <c r="A286" s="115" t="s">
        <v>518</v>
      </c>
      <c r="B286" s="857"/>
      <c r="C286" s="863"/>
      <c r="D286" s="861"/>
      <c r="E286" s="863"/>
      <c r="F286" s="865"/>
      <c r="G286" s="865"/>
      <c r="H286" s="867"/>
      <c r="I286" s="400" t="str">
        <f>IF('Mapa R. Fiscal'!Y289="","",'Mapa R. Fiscal'!Y289)</f>
        <v/>
      </c>
      <c r="J286" s="400" t="str">
        <f>IF('Mapa R. Fiscal'!AA289="","",'Mapa R. Fiscal'!AA289)</f>
        <v/>
      </c>
      <c r="K286" s="436" t="str">
        <f t="shared" si="47"/>
        <v/>
      </c>
      <c r="L286" s="400" t="str">
        <f>IF('Mapa R. Fiscal'!AD289="","",'Mapa R. Fiscal'!AD289)</f>
        <v/>
      </c>
      <c r="M286" s="339" t="str">
        <f>IF('Mapa R. Fiscal'!P289="","",'Mapa R. Fiscal'!P289)</f>
        <v/>
      </c>
      <c r="N286" s="70"/>
      <c r="O286" s="70"/>
      <c r="P286" s="70"/>
      <c r="Q286" s="186"/>
    </row>
    <row r="287" spans="1:17" x14ac:dyDescent="0.25">
      <c r="A287" s="115" t="s">
        <v>519</v>
      </c>
      <c r="B287" s="857"/>
      <c r="C287" s="863"/>
      <c r="D287" s="861"/>
      <c r="E287" s="863"/>
      <c r="F287" s="865"/>
      <c r="G287" s="865"/>
      <c r="H287" s="867"/>
      <c r="I287" s="400" t="str">
        <f>IF('Mapa R. Fiscal'!Y290="","",'Mapa R. Fiscal'!Y290)</f>
        <v/>
      </c>
      <c r="J287" s="400" t="str">
        <f>IF('Mapa R. Fiscal'!AA290="","",'Mapa R. Fiscal'!AA290)</f>
        <v/>
      </c>
      <c r="K287" s="436" t="str">
        <f t="shared" si="47"/>
        <v/>
      </c>
      <c r="L287" s="400" t="str">
        <f>IF('Mapa R. Fiscal'!AD290="","",'Mapa R. Fiscal'!AD290)</f>
        <v/>
      </c>
      <c r="M287" s="339" t="str">
        <f>IF('Mapa R. Fiscal'!P290="","",'Mapa R. Fiscal'!P290)</f>
        <v/>
      </c>
      <c r="N287" s="70"/>
      <c r="O287" s="70"/>
      <c r="P287" s="70"/>
      <c r="Q287" s="186"/>
    </row>
    <row r="288" spans="1:17" x14ac:dyDescent="0.25">
      <c r="A288" s="115" t="s">
        <v>520</v>
      </c>
      <c r="B288" s="857"/>
      <c r="C288" s="863"/>
      <c r="D288" s="861"/>
      <c r="E288" s="863"/>
      <c r="F288" s="865"/>
      <c r="G288" s="865"/>
      <c r="H288" s="867"/>
      <c r="I288" s="400" t="str">
        <f>IF('Mapa R. Fiscal'!Y291="","",'Mapa R. Fiscal'!Y291)</f>
        <v/>
      </c>
      <c r="J288" s="400" t="str">
        <f>IF('Mapa R. Fiscal'!AA291="","",'Mapa R. Fiscal'!AA291)</f>
        <v/>
      </c>
      <c r="K288" s="436" t="str">
        <f t="shared" si="47"/>
        <v/>
      </c>
      <c r="L288" s="400" t="str">
        <f>IF('Mapa R. Fiscal'!AD291="","",'Mapa R. Fiscal'!AD291)</f>
        <v/>
      </c>
      <c r="M288" s="339" t="str">
        <f>IF('Mapa R. Fiscal'!P291="","",'Mapa R. Fiscal'!P291)</f>
        <v/>
      </c>
      <c r="N288" s="70"/>
      <c r="O288" s="70"/>
      <c r="P288" s="70"/>
      <c r="Q288" s="186"/>
    </row>
    <row r="289" spans="1:17" x14ac:dyDescent="0.25">
      <c r="A289" s="115" t="s">
        <v>521</v>
      </c>
      <c r="B289" s="856"/>
      <c r="C289" s="862" t="str">
        <f>IF('Mapa R. Fiscal'!E292="","",'Mapa R. Fiscal'!E292)</f>
        <v/>
      </c>
      <c r="D289" s="860"/>
      <c r="E289" s="862" t="str">
        <f>IF('[2]Mapa R. Fiscal '!D292="","",'[2]Mapa R. Fiscal '!D292)</f>
        <v/>
      </c>
      <c r="F289" s="864" t="str">
        <f>IF('Mapa R. Fiscal'!H292="","",'Mapa R. Fiscal'!H292)</f>
        <v/>
      </c>
      <c r="G289" s="864" t="str">
        <f>IF('Mapa R. Fiscal'!L292="","",'Mapa R. Fiscal'!L292)</f>
        <v/>
      </c>
      <c r="H289" s="866"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0" t="str">
        <f>IF('Mapa R. Fiscal'!Y292="","",'Mapa R. Fiscal'!Y292)</f>
        <v/>
      </c>
      <c r="J289" s="400" t="str">
        <f>IF('Mapa R. Fiscal'!AA292="","",'Mapa R. Fiscal'!AA292)</f>
        <v/>
      </c>
      <c r="K289" s="436" t="str">
        <f t="shared" si="47"/>
        <v/>
      </c>
      <c r="L289" s="400" t="str">
        <f>IF('Mapa R. Fiscal'!AD292="","",'Mapa R. Fiscal'!AD292)</f>
        <v/>
      </c>
      <c r="M289" s="339" t="str">
        <f>IF('Mapa R. Fiscal'!P292="","",'Mapa R. Fiscal'!P292)</f>
        <v/>
      </c>
      <c r="N289" s="70"/>
      <c r="O289" s="70"/>
      <c r="P289" s="70"/>
      <c r="Q289" s="186"/>
    </row>
    <row r="290" spans="1:17" x14ac:dyDescent="0.25">
      <c r="A290" s="115" t="s">
        <v>522</v>
      </c>
      <c r="B290" s="857"/>
      <c r="C290" s="863"/>
      <c r="D290" s="861"/>
      <c r="E290" s="863"/>
      <c r="F290" s="865"/>
      <c r="G290" s="865"/>
      <c r="H290" s="867"/>
      <c r="I290" s="400" t="str">
        <f>IF('Mapa R. Fiscal'!Y293="","",'Mapa R. Fiscal'!Y293)</f>
        <v/>
      </c>
      <c r="J290" s="400" t="str">
        <f>IF('Mapa R. Fiscal'!AA293="","",'Mapa R. Fiscal'!AA293)</f>
        <v/>
      </c>
      <c r="K290" s="436" t="str">
        <f t="shared" si="47"/>
        <v/>
      </c>
      <c r="L290" s="400" t="str">
        <f>IF('Mapa R. Fiscal'!AD293="","",'Mapa R. Fiscal'!AD293)</f>
        <v/>
      </c>
      <c r="M290" s="339" t="str">
        <f>IF('Mapa R. Fiscal'!P293="","",'Mapa R. Fiscal'!P293)</f>
        <v/>
      </c>
      <c r="N290" s="70"/>
      <c r="O290" s="70"/>
      <c r="P290" s="70"/>
      <c r="Q290" s="186"/>
    </row>
    <row r="291" spans="1:17" x14ac:dyDescent="0.25">
      <c r="A291" s="115" t="s">
        <v>523</v>
      </c>
      <c r="B291" s="857"/>
      <c r="C291" s="863"/>
      <c r="D291" s="861"/>
      <c r="E291" s="863"/>
      <c r="F291" s="865"/>
      <c r="G291" s="865"/>
      <c r="H291" s="867"/>
      <c r="I291" s="400" t="str">
        <f>IF('Mapa R. Fiscal'!Y294="","",'Mapa R. Fiscal'!Y294)</f>
        <v/>
      </c>
      <c r="J291" s="400" t="str">
        <f>IF('Mapa R. Fiscal'!AA294="","",'Mapa R. Fiscal'!AA294)</f>
        <v/>
      </c>
      <c r="K291" s="436" t="str">
        <f t="shared" si="47"/>
        <v/>
      </c>
      <c r="L291" s="400" t="str">
        <f>IF('Mapa R. Fiscal'!AD294="","",'Mapa R. Fiscal'!AD294)</f>
        <v/>
      </c>
      <c r="M291" s="339" t="str">
        <f>IF('Mapa R. Fiscal'!P294="","",'Mapa R. Fiscal'!P294)</f>
        <v/>
      </c>
      <c r="N291" s="70"/>
      <c r="O291" s="70"/>
      <c r="P291" s="70"/>
      <c r="Q291" s="186"/>
    </row>
    <row r="292" spans="1:17" x14ac:dyDescent="0.25">
      <c r="A292" s="115" t="s">
        <v>524</v>
      </c>
      <c r="B292" s="857"/>
      <c r="C292" s="863"/>
      <c r="D292" s="861"/>
      <c r="E292" s="863"/>
      <c r="F292" s="865"/>
      <c r="G292" s="865"/>
      <c r="H292" s="867"/>
      <c r="I292" s="400" t="str">
        <f>IF('Mapa R. Fiscal'!Y295="","",'Mapa R. Fiscal'!Y295)</f>
        <v/>
      </c>
      <c r="J292" s="400" t="str">
        <f>IF('Mapa R. Fiscal'!AA295="","",'Mapa R. Fiscal'!AA295)</f>
        <v/>
      </c>
      <c r="K292" s="436" t="str">
        <f t="shared" si="47"/>
        <v/>
      </c>
      <c r="L292" s="400" t="str">
        <f>IF('Mapa R. Fiscal'!AD295="","",'Mapa R. Fiscal'!AD295)</f>
        <v/>
      </c>
      <c r="M292" s="339" t="str">
        <f>IF('Mapa R. Fiscal'!P295="","",'Mapa R. Fiscal'!P295)</f>
        <v/>
      </c>
      <c r="N292" s="70"/>
      <c r="O292" s="70"/>
      <c r="P292" s="70"/>
      <c r="Q292" s="186"/>
    </row>
    <row r="293" spans="1:17" x14ac:dyDescent="0.25">
      <c r="A293" s="115" t="s">
        <v>525</v>
      </c>
      <c r="B293" s="857"/>
      <c r="C293" s="863"/>
      <c r="D293" s="861"/>
      <c r="E293" s="863"/>
      <c r="F293" s="865"/>
      <c r="G293" s="865"/>
      <c r="H293" s="867"/>
      <c r="I293" s="400" t="str">
        <f>IF('Mapa R. Fiscal'!Y296="","",'Mapa R. Fiscal'!Y296)</f>
        <v/>
      </c>
      <c r="J293" s="400" t="str">
        <f>IF('Mapa R. Fiscal'!AA296="","",'Mapa R. Fiscal'!AA296)</f>
        <v/>
      </c>
      <c r="K293" s="436" t="str">
        <f t="shared" si="47"/>
        <v/>
      </c>
      <c r="L293" s="400" t="str">
        <f>IF('Mapa R. Fiscal'!AD296="","",'Mapa R. Fiscal'!AD296)</f>
        <v/>
      </c>
      <c r="M293" s="339" t="str">
        <f>IF('Mapa R. Fiscal'!P296="","",'Mapa R. Fiscal'!P296)</f>
        <v/>
      </c>
      <c r="N293" s="70"/>
      <c r="O293" s="70"/>
      <c r="P293" s="70"/>
      <c r="Q293" s="186"/>
    </row>
    <row r="294" spans="1:17" x14ac:dyDescent="0.25">
      <c r="A294" s="115" t="s">
        <v>526</v>
      </c>
      <c r="B294" s="857"/>
      <c r="C294" s="863"/>
      <c r="D294" s="861"/>
      <c r="E294" s="863"/>
      <c r="F294" s="865"/>
      <c r="G294" s="865"/>
      <c r="H294" s="867"/>
      <c r="I294" s="400" t="str">
        <f>IF('Mapa R. Fiscal'!Y297="","",'Mapa R. Fiscal'!Y297)</f>
        <v/>
      </c>
      <c r="J294" s="400" t="str">
        <f>IF('Mapa R. Fiscal'!AA297="","",'Mapa R. Fiscal'!AA297)</f>
        <v/>
      </c>
      <c r="K294" s="436" t="str">
        <f t="shared" si="47"/>
        <v/>
      </c>
      <c r="L294" s="400" t="str">
        <f>IF('Mapa R. Fiscal'!AD297="","",'Mapa R. Fiscal'!AD297)</f>
        <v/>
      </c>
      <c r="M294" s="339" t="str">
        <f>IF('Mapa R. Fiscal'!P297="","",'Mapa R. Fiscal'!P297)</f>
        <v/>
      </c>
      <c r="N294" s="70"/>
      <c r="O294" s="70"/>
      <c r="P294" s="70"/>
      <c r="Q294" s="186"/>
    </row>
    <row r="295" spans="1:17" x14ac:dyDescent="0.25">
      <c r="A295" s="115" t="s">
        <v>527</v>
      </c>
      <c r="B295" s="856"/>
      <c r="C295" s="862" t="str">
        <f>IF('Mapa R. Fiscal'!E298="","",'Mapa R. Fiscal'!E298)</f>
        <v/>
      </c>
      <c r="D295" s="860"/>
      <c r="E295" s="862" t="str">
        <f>IF('[2]Mapa R. Fiscal '!D298="","",'[2]Mapa R. Fiscal '!D298)</f>
        <v/>
      </c>
      <c r="F295" s="864" t="str">
        <f>IF('Mapa R. Fiscal'!H298="","",'Mapa R. Fiscal'!H298)</f>
        <v/>
      </c>
      <c r="G295" s="864" t="str">
        <f>IF('Mapa R. Fiscal'!L298="","",'Mapa R. Fiscal'!L298)</f>
        <v/>
      </c>
      <c r="H295" s="866"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0" t="str">
        <f>IF('Mapa R. Fiscal'!Y298="","",'Mapa R. Fiscal'!Y298)</f>
        <v/>
      </c>
      <c r="J295" s="400" t="str">
        <f>IF('Mapa R. Fiscal'!AA298="","",'Mapa R. Fiscal'!AA298)</f>
        <v/>
      </c>
      <c r="K295" s="436" t="str">
        <f t="shared" si="47"/>
        <v/>
      </c>
      <c r="L295" s="400" t="str">
        <f>IF('Mapa R. Fiscal'!AD298="","",'Mapa R. Fiscal'!AD298)</f>
        <v/>
      </c>
      <c r="M295" s="339" t="str">
        <f>IF('Mapa R. Fiscal'!P298="","",'Mapa R. Fiscal'!P298)</f>
        <v/>
      </c>
      <c r="N295" s="70"/>
      <c r="O295" s="70"/>
      <c r="P295" s="70"/>
      <c r="Q295" s="186"/>
    </row>
    <row r="296" spans="1:17" x14ac:dyDescent="0.25">
      <c r="A296" s="115" t="s">
        <v>528</v>
      </c>
      <c r="B296" s="857"/>
      <c r="C296" s="863"/>
      <c r="D296" s="861"/>
      <c r="E296" s="863"/>
      <c r="F296" s="865"/>
      <c r="G296" s="865"/>
      <c r="H296" s="867"/>
      <c r="I296" s="400" t="str">
        <f>IF('Mapa R. Fiscal'!Y299="","",'Mapa R. Fiscal'!Y299)</f>
        <v/>
      </c>
      <c r="J296" s="400" t="str">
        <f>IF('Mapa R. Fiscal'!AA299="","",'Mapa R. Fiscal'!AA299)</f>
        <v/>
      </c>
      <c r="K296" s="436" t="str">
        <f t="shared" si="47"/>
        <v/>
      </c>
      <c r="L296" s="400" t="str">
        <f>IF('Mapa R. Fiscal'!AD299="","",'Mapa R. Fiscal'!AD299)</f>
        <v/>
      </c>
      <c r="M296" s="339" t="str">
        <f>IF('Mapa R. Fiscal'!P299="","",'Mapa R. Fiscal'!P299)</f>
        <v/>
      </c>
      <c r="N296" s="70"/>
      <c r="O296" s="70"/>
      <c r="P296" s="70"/>
      <c r="Q296" s="186"/>
    </row>
    <row r="297" spans="1:17" x14ac:dyDescent="0.25">
      <c r="A297" s="115" t="s">
        <v>529</v>
      </c>
      <c r="B297" s="857"/>
      <c r="C297" s="863"/>
      <c r="D297" s="861"/>
      <c r="E297" s="863"/>
      <c r="F297" s="865"/>
      <c r="G297" s="865"/>
      <c r="H297" s="867"/>
      <c r="I297" s="400" t="str">
        <f>IF('Mapa R. Fiscal'!Y300="","",'Mapa R. Fiscal'!Y300)</f>
        <v/>
      </c>
      <c r="J297" s="400" t="str">
        <f>IF('Mapa R. Fiscal'!AA300="","",'Mapa R. Fiscal'!AA300)</f>
        <v/>
      </c>
      <c r="K297" s="436" t="str">
        <f t="shared" si="47"/>
        <v/>
      </c>
      <c r="L297" s="400" t="str">
        <f>IF('Mapa R. Fiscal'!AD300="","",'Mapa R. Fiscal'!AD300)</f>
        <v/>
      </c>
      <c r="M297" s="339" t="str">
        <f>IF('Mapa R. Fiscal'!P300="","",'Mapa R. Fiscal'!P300)</f>
        <v/>
      </c>
      <c r="N297" s="70"/>
      <c r="O297" s="70"/>
      <c r="P297" s="70"/>
      <c r="Q297" s="186"/>
    </row>
    <row r="298" spans="1:17" x14ac:dyDescent="0.25">
      <c r="A298" s="115" t="s">
        <v>530</v>
      </c>
      <c r="B298" s="857"/>
      <c r="C298" s="863"/>
      <c r="D298" s="861"/>
      <c r="E298" s="863"/>
      <c r="F298" s="865"/>
      <c r="G298" s="865"/>
      <c r="H298" s="867"/>
      <c r="I298" s="400" t="str">
        <f>IF('Mapa R. Fiscal'!Y301="","",'Mapa R. Fiscal'!Y301)</f>
        <v/>
      </c>
      <c r="J298" s="400" t="str">
        <f>IF('Mapa R. Fiscal'!AA301="","",'Mapa R. Fiscal'!AA301)</f>
        <v/>
      </c>
      <c r="K298" s="436" t="str">
        <f t="shared" si="47"/>
        <v/>
      </c>
      <c r="L298" s="400" t="str">
        <f>IF('Mapa R. Fiscal'!AD301="","",'Mapa R. Fiscal'!AD301)</f>
        <v/>
      </c>
      <c r="M298" s="339" t="str">
        <f>IF('Mapa R. Fiscal'!P301="","",'Mapa R. Fiscal'!P301)</f>
        <v/>
      </c>
      <c r="N298" s="70"/>
      <c r="O298" s="70"/>
      <c r="P298" s="70"/>
      <c r="Q298" s="186"/>
    </row>
    <row r="299" spans="1:17" x14ac:dyDescent="0.25">
      <c r="A299" s="115" t="s">
        <v>531</v>
      </c>
      <c r="B299" s="857"/>
      <c r="C299" s="863"/>
      <c r="D299" s="861"/>
      <c r="E299" s="863"/>
      <c r="F299" s="865"/>
      <c r="G299" s="865"/>
      <c r="H299" s="867"/>
      <c r="I299" s="400" t="str">
        <f>IF('Mapa R. Fiscal'!Y302="","",'Mapa R. Fiscal'!Y302)</f>
        <v/>
      </c>
      <c r="J299" s="400" t="str">
        <f>IF('Mapa R. Fiscal'!AA302="","",'Mapa R. Fiscal'!AA302)</f>
        <v/>
      </c>
      <c r="K299" s="436" t="str">
        <f t="shared" si="47"/>
        <v/>
      </c>
      <c r="L299" s="400" t="str">
        <f>IF('Mapa R. Fiscal'!AD302="","",'Mapa R. Fiscal'!AD302)</f>
        <v/>
      </c>
      <c r="M299" s="339" t="str">
        <f>IF('Mapa R. Fiscal'!P302="","",'Mapa R. Fiscal'!P302)</f>
        <v/>
      </c>
      <c r="N299" s="70"/>
      <c r="O299" s="70"/>
      <c r="P299" s="70"/>
      <c r="Q299" s="186"/>
    </row>
    <row r="300" spans="1:17" x14ac:dyDescent="0.25">
      <c r="A300" s="115" t="s">
        <v>532</v>
      </c>
      <c r="B300" s="857"/>
      <c r="C300" s="863"/>
      <c r="D300" s="861"/>
      <c r="E300" s="863"/>
      <c r="F300" s="865"/>
      <c r="G300" s="865"/>
      <c r="H300" s="867"/>
      <c r="I300" s="400" t="str">
        <f>IF('Mapa R. Fiscal'!Y303="","",'Mapa R. Fiscal'!Y303)</f>
        <v/>
      </c>
      <c r="J300" s="400" t="str">
        <f>IF('Mapa R. Fiscal'!AA303="","",'Mapa R. Fiscal'!AA303)</f>
        <v/>
      </c>
      <c r="K300" s="436" t="str">
        <f t="shared" si="47"/>
        <v/>
      </c>
      <c r="L300" s="400" t="str">
        <f>IF('Mapa R. Fiscal'!AD303="","",'Mapa R. Fiscal'!AD303)</f>
        <v/>
      </c>
      <c r="M300" s="339" t="str">
        <f>IF('Mapa R. Fiscal'!P303="","",'Mapa R. Fiscal'!P303)</f>
        <v/>
      </c>
      <c r="N300" s="70"/>
      <c r="O300" s="70"/>
      <c r="P300" s="70"/>
      <c r="Q300" s="186"/>
    </row>
    <row r="301" spans="1:17" x14ac:dyDescent="0.25">
      <c r="A301" s="115" t="s">
        <v>533</v>
      </c>
      <c r="B301" s="856"/>
      <c r="C301" s="862" t="str">
        <f>IF('[2]Mapa R. Fiscal '!E304="","",'[2]Mapa R. Fiscal '!E304)</f>
        <v/>
      </c>
      <c r="D301" s="860"/>
      <c r="E301" s="862" t="str">
        <f>IF('[2]Mapa R. Fiscal '!D304="","",'[2]Mapa R. Fiscal '!D304)</f>
        <v/>
      </c>
      <c r="F301" s="864" t="str">
        <f>IF('Mapa R. Fiscal'!H304="","",'Mapa R. Fiscal'!H304)</f>
        <v/>
      </c>
      <c r="G301" s="864" t="str">
        <f>IF('Mapa R. Fiscal'!L304="","",'Mapa R. Fiscal'!L304)</f>
        <v/>
      </c>
      <c r="H301" s="866"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0" t="str">
        <f>IF('Mapa R. Fiscal'!Y304="","",'Mapa R. Fiscal'!Y304)</f>
        <v/>
      </c>
      <c r="J301" s="400" t="str">
        <f>IF('Mapa R. Fiscal'!AA304="","",'Mapa R. Fiscal'!AA304)</f>
        <v/>
      </c>
      <c r="K301" s="436" t="str">
        <f t="shared" si="47"/>
        <v/>
      </c>
      <c r="L301" s="400" t="str">
        <f>IF('Mapa R. Fiscal'!AD304="","",'Mapa R. Fiscal'!AD304)</f>
        <v/>
      </c>
      <c r="M301" s="339" t="str">
        <f>IF('Mapa R. Fiscal'!P304="","",'Mapa R. Fiscal'!P304)</f>
        <v/>
      </c>
      <c r="N301" s="70"/>
      <c r="O301" s="70"/>
      <c r="P301" s="70"/>
      <c r="Q301" s="186"/>
    </row>
    <row r="302" spans="1:17" x14ac:dyDescent="0.25">
      <c r="A302" s="115" t="s">
        <v>534</v>
      </c>
      <c r="B302" s="857"/>
      <c r="C302" s="863"/>
      <c r="D302" s="861"/>
      <c r="E302" s="863"/>
      <c r="F302" s="865"/>
      <c r="G302" s="865"/>
      <c r="H302" s="867"/>
      <c r="I302" s="400" t="str">
        <f>IF('Mapa R. Fiscal'!Y305="","",'Mapa R. Fiscal'!Y305)</f>
        <v/>
      </c>
      <c r="J302" s="400" t="str">
        <f>IF('Mapa R. Fiscal'!AA305="","",'Mapa R. Fiscal'!AA305)</f>
        <v/>
      </c>
      <c r="K302" s="436" t="str">
        <f t="shared" si="47"/>
        <v/>
      </c>
      <c r="L302" s="400" t="str">
        <f>IF('Mapa R. Fiscal'!AD305="","",'Mapa R. Fiscal'!AD305)</f>
        <v/>
      </c>
      <c r="M302" s="339" t="str">
        <f>IF('Mapa R. Fiscal'!P305="","",'Mapa R. Fiscal'!P305)</f>
        <v/>
      </c>
      <c r="N302" s="70"/>
      <c r="O302" s="70"/>
      <c r="P302" s="70"/>
      <c r="Q302" s="186"/>
    </row>
    <row r="303" spans="1:17" x14ac:dyDescent="0.25">
      <c r="A303" s="115" t="s">
        <v>535</v>
      </c>
      <c r="B303" s="857"/>
      <c r="C303" s="863"/>
      <c r="D303" s="861"/>
      <c r="E303" s="863"/>
      <c r="F303" s="865"/>
      <c r="G303" s="865"/>
      <c r="H303" s="867"/>
      <c r="I303" s="400" t="str">
        <f>IF('Mapa R. Fiscal'!Y306="","",'Mapa R. Fiscal'!Y306)</f>
        <v/>
      </c>
      <c r="J303" s="400" t="str">
        <f>IF('Mapa R. Fiscal'!AA306="","",'Mapa R. Fiscal'!AA306)</f>
        <v/>
      </c>
      <c r="K303" s="436" t="str">
        <f t="shared" si="47"/>
        <v/>
      </c>
      <c r="L303" s="400" t="str">
        <f>IF('Mapa R. Fiscal'!AD306="","",'Mapa R. Fiscal'!AD306)</f>
        <v/>
      </c>
      <c r="M303" s="339" t="str">
        <f>IF('Mapa R. Fiscal'!P306="","",'Mapa R. Fiscal'!P306)</f>
        <v/>
      </c>
      <c r="N303" s="70"/>
      <c r="O303" s="70"/>
      <c r="P303" s="70"/>
      <c r="Q303" s="186"/>
    </row>
    <row r="304" spans="1:17" x14ac:dyDescent="0.25">
      <c r="A304" s="115" t="s">
        <v>536</v>
      </c>
      <c r="B304" s="857"/>
      <c r="C304" s="863"/>
      <c r="D304" s="861"/>
      <c r="E304" s="863"/>
      <c r="F304" s="865"/>
      <c r="G304" s="865"/>
      <c r="H304" s="867"/>
      <c r="I304" s="400" t="str">
        <f>IF('Mapa R. Fiscal'!Y307="","",'Mapa R. Fiscal'!Y307)</f>
        <v/>
      </c>
      <c r="J304" s="400" t="str">
        <f>IF('Mapa R. Fiscal'!AA307="","",'Mapa R. Fiscal'!AA307)</f>
        <v/>
      </c>
      <c r="K304" s="436" t="str">
        <f t="shared" si="47"/>
        <v/>
      </c>
      <c r="L304" s="400" t="str">
        <f>IF('Mapa R. Fiscal'!AD307="","",'Mapa R. Fiscal'!AD307)</f>
        <v/>
      </c>
      <c r="M304" s="339" t="str">
        <f>IF('Mapa R. Fiscal'!P307="","",'Mapa R. Fiscal'!P307)</f>
        <v/>
      </c>
      <c r="N304" s="70"/>
      <c r="O304" s="70"/>
      <c r="P304" s="70"/>
      <c r="Q304" s="186"/>
    </row>
    <row r="305" spans="1:17" x14ac:dyDescent="0.25">
      <c r="A305" s="115" t="s">
        <v>537</v>
      </c>
      <c r="B305" s="857"/>
      <c r="C305" s="863"/>
      <c r="D305" s="861"/>
      <c r="E305" s="863"/>
      <c r="F305" s="865"/>
      <c r="G305" s="865"/>
      <c r="H305" s="867"/>
      <c r="I305" s="400" t="str">
        <f>IF('Mapa R. Fiscal'!Y308="","",'Mapa R. Fiscal'!Y308)</f>
        <v/>
      </c>
      <c r="J305" s="400" t="str">
        <f>IF('Mapa R. Fiscal'!AA308="","",'Mapa R. Fiscal'!AA308)</f>
        <v/>
      </c>
      <c r="K305" s="436" t="str">
        <f t="shared" si="47"/>
        <v/>
      </c>
      <c r="L305" s="400" t="str">
        <f>IF('Mapa R. Fiscal'!AD308="","",'Mapa R. Fiscal'!AD308)</f>
        <v/>
      </c>
      <c r="M305" s="339" t="str">
        <f>IF('Mapa R. Fiscal'!P308="","",'Mapa R. Fiscal'!P308)</f>
        <v/>
      </c>
      <c r="N305" s="70"/>
      <c r="O305" s="70"/>
      <c r="P305" s="70"/>
      <c r="Q305" s="186"/>
    </row>
    <row r="306" spans="1:17" x14ac:dyDescent="0.25">
      <c r="A306" s="115" t="s">
        <v>538</v>
      </c>
      <c r="B306" s="857"/>
      <c r="C306" s="863"/>
      <c r="D306" s="861"/>
      <c r="E306" s="863"/>
      <c r="F306" s="865"/>
      <c r="G306" s="865"/>
      <c r="H306" s="867"/>
      <c r="I306" s="400" t="str">
        <f>IF('Mapa R. Fiscal'!Y309="","",'Mapa R. Fiscal'!Y309)</f>
        <v/>
      </c>
      <c r="J306" s="400" t="str">
        <f>IF('Mapa R. Fiscal'!AA309="","",'Mapa R. Fiscal'!AA309)</f>
        <v/>
      </c>
      <c r="K306" s="436" t="str">
        <f t="shared" si="47"/>
        <v/>
      </c>
      <c r="L306" s="400" t="str">
        <f>IF('Mapa R. Fiscal'!AD309="","",'Mapa R. Fiscal'!AD309)</f>
        <v/>
      </c>
      <c r="M306" s="339" t="str">
        <f>IF('Mapa R. Fiscal'!P309="","",'Mapa R. Fiscal'!P309)</f>
        <v/>
      </c>
      <c r="N306" s="70"/>
      <c r="O306" s="70"/>
      <c r="P306" s="70"/>
      <c r="Q306" s="186"/>
    </row>
    <row r="307" spans="1:17" x14ac:dyDescent="0.25">
      <c r="A307" s="115" t="s">
        <v>539</v>
      </c>
      <c r="B307" s="856"/>
      <c r="C307" s="862" t="str">
        <f>IF('[2]Mapa R. Fiscal '!E310="","",'[2]Mapa R. Fiscal '!E310)</f>
        <v/>
      </c>
      <c r="D307" s="860"/>
      <c r="E307" s="862" t="str">
        <f>IF('[2]Mapa R. Fiscal '!D310="","",'[2]Mapa R. Fiscal '!D310)</f>
        <v/>
      </c>
      <c r="F307" s="864" t="str">
        <f>IF('Mapa R. Fiscal'!H310="","",'Mapa R. Fiscal'!H310)</f>
        <v/>
      </c>
      <c r="G307" s="864" t="str">
        <f>IF('Mapa R. Fiscal'!L310="","",'Mapa R. Fiscal'!L310)</f>
        <v/>
      </c>
      <c r="H307" s="866"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0" t="str">
        <f>IF('Mapa R. Fiscal'!Y310="","",'Mapa R. Fiscal'!Y310)</f>
        <v/>
      </c>
      <c r="J307" s="400" t="str">
        <f>IF('Mapa R. Fiscal'!AA310="","",'Mapa R. Fiscal'!AA310)</f>
        <v/>
      </c>
      <c r="K307" s="436" t="str">
        <f t="shared" si="47"/>
        <v/>
      </c>
      <c r="L307" s="400" t="str">
        <f>IF('Mapa R. Fiscal'!AD310="","",'Mapa R. Fiscal'!AD310)</f>
        <v/>
      </c>
      <c r="M307" s="339" t="str">
        <f>IF('Mapa R. Fiscal'!P310="","",'Mapa R. Fiscal'!P310)</f>
        <v/>
      </c>
      <c r="N307" s="70"/>
      <c r="O307" s="70"/>
      <c r="P307" s="70"/>
      <c r="Q307" s="186"/>
    </row>
    <row r="308" spans="1:17" x14ac:dyDescent="0.25">
      <c r="A308" s="115" t="s">
        <v>540</v>
      </c>
      <c r="B308" s="857"/>
      <c r="C308" s="863"/>
      <c r="D308" s="861"/>
      <c r="E308" s="863"/>
      <c r="F308" s="865"/>
      <c r="G308" s="865"/>
      <c r="H308" s="867"/>
      <c r="I308" s="400" t="str">
        <f>IF('Mapa R. Fiscal'!Y311="","",'Mapa R. Fiscal'!Y311)</f>
        <v/>
      </c>
      <c r="J308" s="400" t="str">
        <f>IF('Mapa R. Fiscal'!AA311="","",'Mapa R. Fiscal'!AA311)</f>
        <v/>
      </c>
      <c r="K308" s="436" t="str">
        <f t="shared" si="47"/>
        <v/>
      </c>
      <c r="L308" s="400" t="str">
        <f>IF('Mapa R. Fiscal'!AD311="","",'Mapa R. Fiscal'!AD311)</f>
        <v/>
      </c>
      <c r="M308" s="339" t="str">
        <f>IF('Mapa R. Fiscal'!P311="","",'Mapa R. Fiscal'!P311)</f>
        <v/>
      </c>
      <c r="N308" s="70"/>
      <c r="O308" s="70"/>
      <c r="P308" s="70"/>
      <c r="Q308" s="186"/>
    </row>
    <row r="309" spans="1:17" x14ac:dyDescent="0.25">
      <c r="A309" s="115" t="s">
        <v>541</v>
      </c>
      <c r="B309" s="857"/>
      <c r="C309" s="863"/>
      <c r="D309" s="861"/>
      <c r="E309" s="863"/>
      <c r="F309" s="865"/>
      <c r="G309" s="865"/>
      <c r="H309" s="867"/>
      <c r="I309" s="400" t="str">
        <f>IF('Mapa R. Fiscal'!Y312="","",'Mapa R. Fiscal'!Y312)</f>
        <v/>
      </c>
      <c r="J309" s="400" t="str">
        <f>IF('Mapa R. Fiscal'!AA312="","",'Mapa R. Fiscal'!AA312)</f>
        <v/>
      </c>
      <c r="K309" s="436" t="str">
        <f t="shared" si="47"/>
        <v/>
      </c>
      <c r="L309" s="400" t="str">
        <f>IF('Mapa R. Fiscal'!AD312="","",'Mapa R. Fiscal'!AD312)</f>
        <v/>
      </c>
      <c r="M309" s="339" t="str">
        <f>IF('Mapa R. Fiscal'!P312="","",'Mapa R. Fiscal'!P312)</f>
        <v/>
      </c>
      <c r="N309" s="70"/>
      <c r="O309" s="70"/>
      <c r="P309" s="70"/>
      <c r="Q309" s="186"/>
    </row>
    <row r="310" spans="1:17" x14ac:dyDescent="0.25">
      <c r="A310" s="115" t="s">
        <v>542</v>
      </c>
      <c r="B310" s="857"/>
      <c r="C310" s="863"/>
      <c r="D310" s="861"/>
      <c r="E310" s="863"/>
      <c r="F310" s="865"/>
      <c r="G310" s="865"/>
      <c r="H310" s="867"/>
      <c r="I310" s="400" t="str">
        <f>IF('Mapa R. Fiscal'!Y313="","",'Mapa R. Fiscal'!Y313)</f>
        <v/>
      </c>
      <c r="J310" s="400" t="str">
        <f>IF('Mapa R. Fiscal'!AA313="","",'Mapa R. Fiscal'!AA313)</f>
        <v/>
      </c>
      <c r="K310" s="436" t="str">
        <f t="shared" si="47"/>
        <v/>
      </c>
      <c r="L310" s="400" t="str">
        <f>IF('Mapa R. Fiscal'!AD313="","",'Mapa R. Fiscal'!AD313)</f>
        <v/>
      </c>
      <c r="M310" s="339" t="str">
        <f>IF('Mapa R. Fiscal'!P313="","",'Mapa R. Fiscal'!P313)</f>
        <v/>
      </c>
      <c r="N310" s="70"/>
      <c r="O310" s="70"/>
      <c r="P310" s="70"/>
      <c r="Q310" s="186"/>
    </row>
    <row r="311" spans="1:17" x14ac:dyDescent="0.25">
      <c r="A311" s="115" t="s">
        <v>543</v>
      </c>
      <c r="B311" s="857"/>
      <c r="C311" s="863"/>
      <c r="D311" s="861"/>
      <c r="E311" s="863"/>
      <c r="F311" s="865"/>
      <c r="G311" s="865"/>
      <c r="H311" s="867"/>
      <c r="I311" s="400" t="str">
        <f>IF('Mapa R. Fiscal'!Y314="","",'Mapa R. Fiscal'!Y314)</f>
        <v/>
      </c>
      <c r="J311" s="400" t="str">
        <f>IF('Mapa R. Fiscal'!AA314="","",'Mapa R. Fiscal'!AA314)</f>
        <v/>
      </c>
      <c r="K311" s="436" t="str">
        <f t="shared" si="47"/>
        <v/>
      </c>
      <c r="L311" s="400" t="str">
        <f>IF('Mapa R. Fiscal'!AD314="","",'Mapa R. Fiscal'!AD314)</f>
        <v/>
      </c>
      <c r="M311" s="339" t="str">
        <f>IF('Mapa R. Fiscal'!P314="","",'Mapa R. Fiscal'!P314)</f>
        <v/>
      </c>
      <c r="N311" s="70"/>
      <c r="O311" s="70"/>
      <c r="P311" s="70"/>
      <c r="Q311" s="186"/>
    </row>
    <row r="312" spans="1:17" x14ac:dyDescent="0.25">
      <c r="A312" s="115" t="s">
        <v>544</v>
      </c>
      <c r="B312" s="857"/>
      <c r="C312" s="863"/>
      <c r="D312" s="861"/>
      <c r="E312" s="863"/>
      <c r="F312" s="865"/>
      <c r="G312" s="865"/>
      <c r="H312" s="867"/>
      <c r="I312" s="400" t="str">
        <f>IF('Mapa R. Fiscal'!Y315="","",'Mapa R. Fiscal'!Y315)</f>
        <v/>
      </c>
      <c r="J312" s="400" t="str">
        <f>IF('Mapa R. Fiscal'!AA315="","",'Mapa R. Fiscal'!AA315)</f>
        <v/>
      </c>
      <c r="K312" s="436" t="str">
        <f t="shared" si="47"/>
        <v/>
      </c>
      <c r="L312" s="400" t="str">
        <f>IF('Mapa R. Fiscal'!AD315="","",'Mapa R. Fiscal'!AD315)</f>
        <v/>
      </c>
      <c r="M312" s="339" t="str">
        <f>IF('Mapa R. Fiscal'!P315="","",'Mapa R. Fiscal'!P315)</f>
        <v/>
      </c>
      <c r="N312" s="70"/>
      <c r="O312" s="70"/>
      <c r="P312" s="70"/>
      <c r="Q312" s="186"/>
    </row>
    <row r="313" spans="1:17" x14ac:dyDescent="0.25">
      <c r="A313" s="115" t="s">
        <v>545</v>
      </c>
      <c r="B313" s="856"/>
      <c r="C313" s="862" t="str">
        <f>IF('[2]Mapa R. Fiscal '!E316="","",'[2]Mapa R. Fiscal '!E316)</f>
        <v/>
      </c>
      <c r="D313" s="860"/>
      <c r="E313" s="862" t="str">
        <f>IF('[2]Mapa R. Fiscal '!D316="","",'[2]Mapa R. Fiscal '!D316)</f>
        <v/>
      </c>
      <c r="F313" s="864" t="str">
        <f>IF('Mapa R. Fiscal'!H316="","",'Mapa R. Fiscal'!H316)</f>
        <v/>
      </c>
      <c r="G313" s="864" t="str">
        <f>IF('Mapa R. Fiscal'!L316="","",'Mapa R. Fiscal'!L316)</f>
        <v/>
      </c>
      <c r="H313" s="866"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0" t="str">
        <f>IF('Mapa R. Fiscal'!Y316="","",'Mapa R. Fiscal'!Y316)</f>
        <v/>
      </c>
      <c r="J313" s="400" t="str">
        <f>IF('Mapa R. Fiscal'!AA316="","",'Mapa R. Fiscal'!AA316)</f>
        <v/>
      </c>
      <c r="K313" s="436" t="str">
        <f t="shared" si="47"/>
        <v/>
      </c>
      <c r="L313" s="400" t="str">
        <f>IF('Mapa R. Fiscal'!AD316="","",'Mapa R. Fiscal'!AD316)</f>
        <v/>
      </c>
      <c r="M313" s="339" t="str">
        <f>IF('Mapa R. Fiscal'!P316="","",'Mapa R. Fiscal'!P316)</f>
        <v/>
      </c>
      <c r="N313" s="70"/>
      <c r="O313" s="70"/>
      <c r="P313" s="70"/>
      <c r="Q313" s="186"/>
    </row>
    <row r="314" spans="1:17" x14ac:dyDescent="0.25">
      <c r="A314" s="115" t="s">
        <v>546</v>
      </c>
      <c r="B314" s="857"/>
      <c r="C314" s="863"/>
      <c r="D314" s="861"/>
      <c r="E314" s="863"/>
      <c r="F314" s="865"/>
      <c r="G314" s="865"/>
      <c r="H314" s="867"/>
      <c r="I314" s="400" t="str">
        <f>IF('Mapa R. Fiscal'!Y317="","",'Mapa R. Fiscal'!Y317)</f>
        <v/>
      </c>
      <c r="J314" s="400" t="str">
        <f>IF('Mapa R. Fiscal'!AA317="","",'Mapa R. Fiscal'!AA317)</f>
        <v/>
      </c>
      <c r="K314" s="436" t="str">
        <f t="shared" si="47"/>
        <v/>
      </c>
      <c r="L314" s="400" t="str">
        <f>IF('Mapa R. Fiscal'!AD317="","",'Mapa R. Fiscal'!AD317)</f>
        <v/>
      </c>
      <c r="M314" s="339" t="str">
        <f>IF('Mapa R. Fiscal'!P317="","",'Mapa R. Fiscal'!P317)</f>
        <v/>
      </c>
      <c r="N314" s="70"/>
      <c r="O314" s="70"/>
      <c r="P314" s="70"/>
      <c r="Q314" s="186"/>
    </row>
    <row r="315" spans="1:17" x14ac:dyDescent="0.25">
      <c r="A315" s="115" t="s">
        <v>547</v>
      </c>
      <c r="B315" s="857"/>
      <c r="C315" s="863"/>
      <c r="D315" s="861"/>
      <c r="E315" s="863"/>
      <c r="F315" s="865"/>
      <c r="G315" s="865"/>
      <c r="H315" s="867"/>
      <c r="I315" s="400" t="str">
        <f>IF('Mapa R. Fiscal'!Y318="","",'Mapa R. Fiscal'!Y318)</f>
        <v/>
      </c>
      <c r="J315" s="400" t="str">
        <f>IF('Mapa R. Fiscal'!AA318="","",'Mapa R. Fiscal'!AA318)</f>
        <v/>
      </c>
      <c r="K315" s="436" t="str">
        <f t="shared" si="47"/>
        <v/>
      </c>
      <c r="L315" s="400" t="str">
        <f>IF('Mapa R. Fiscal'!AD318="","",'Mapa R. Fiscal'!AD318)</f>
        <v/>
      </c>
      <c r="M315" s="339" t="str">
        <f>IF('Mapa R. Fiscal'!P318="","",'Mapa R. Fiscal'!P318)</f>
        <v/>
      </c>
      <c r="N315" s="70"/>
      <c r="O315" s="70"/>
      <c r="P315" s="70"/>
      <c r="Q315" s="186"/>
    </row>
    <row r="316" spans="1:17" x14ac:dyDescent="0.25">
      <c r="A316" s="115" t="s">
        <v>548</v>
      </c>
      <c r="B316" s="857"/>
      <c r="C316" s="863"/>
      <c r="D316" s="861"/>
      <c r="E316" s="863"/>
      <c r="F316" s="865"/>
      <c r="G316" s="865"/>
      <c r="H316" s="867"/>
      <c r="I316" s="400" t="str">
        <f>IF('Mapa R. Fiscal'!Y319="","",'Mapa R. Fiscal'!Y319)</f>
        <v/>
      </c>
      <c r="J316" s="400" t="str">
        <f>IF('Mapa R. Fiscal'!AA319="","",'Mapa R. Fiscal'!AA319)</f>
        <v/>
      </c>
      <c r="K316" s="436" t="str">
        <f t="shared" si="47"/>
        <v/>
      </c>
      <c r="L316" s="400" t="str">
        <f>IF('Mapa R. Fiscal'!AD319="","",'Mapa R. Fiscal'!AD319)</f>
        <v/>
      </c>
      <c r="M316" s="339" t="str">
        <f>IF('Mapa R. Fiscal'!P319="","",'Mapa R. Fiscal'!P319)</f>
        <v/>
      </c>
      <c r="N316" s="70"/>
      <c r="O316" s="70"/>
      <c r="P316" s="70"/>
      <c r="Q316" s="186"/>
    </row>
    <row r="317" spans="1:17" x14ac:dyDescent="0.25">
      <c r="A317" s="115" t="s">
        <v>549</v>
      </c>
      <c r="B317" s="857"/>
      <c r="C317" s="863"/>
      <c r="D317" s="861"/>
      <c r="E317" s="863"/>
      <c r="F317" s="865"/>
      <c r="G317" s="865"/>
      <c r="H317" s="867"/>
      <c r="I317" s="400" t="str">
        <f>IF('Mapa R. Fiscal'!Y320="","",'Mapa R. Fiscal'!Y320)</f>
        <v/>
      </c>
      <c r="J317" s="400" t="str">
        <f>IF('Mapa R. Fiscal'!AA320="","",'Mapa R. Fiscal'!AA320)</f>
        <v/>
      </c>
      <c r="K317" s="436" t="str">
        <f t="shared" si="47"/>
        <v/>
      </c>
      <c r="L317" s="400" t="str">
        <f>IF('Mapa R. Fiscal'!AD320="","",'Mapa R. Fiscal'!AD320)</f>
        <v/>
      </c>
      <c r="M317" s="339" t="str">
        <f>IF('Mapa R. Fiscal'!P320="","",'Mapa R. Fiscal'!P320)</f>
        <v/>
      </c>
      <c r="N317" s="70"/>
      <c r="O317" s="70"/>
      <c r="P317" s="70"/>
      <c r="Q317" s="186"/>
    </row>
    <row r="318" spans="1:17" x14ac:dyDescent="0.25">
      <c r="A318" s="115" t="s">
        <v>550</v>
      </c>
      <c r="B318" s="857"/>
      <c r="C318" s="863"/>
      <c r="D318" s="861"/>
      <c r="E318" s="863"/>
      <c r="F318" s="865"/>
      <c r="G318" s="865"/>
      <c r="H318" s="867"/>
      <c r="I318" s="400" t="str">
        <f>IF('Mapa R. Fiscal'!Y321="","",'Mapa R. Fiscal'!Y321)</f>
        <v/>
      </c>
      <c r="J318" s="400" t="str">
        <f>IF('Mapa R. Fiscal'!AA321="","",'Mapa R. Fiscal'!AA321)</f>
        <v/>
      </c>
      <c r="K318" s="436" t="str">
        <f t="shared" si="47"/>
        <v/>
      </c>
      <c r="L318" s="400" t="str">
        <f>IF('Mapa R. Fiscal'!AD321="","",'Mapa R. Fiscal'!AD321)</f>
        <v/>
      </c>
      <c r="M318" s="339" t="str">
        <f>IF('Mapa R. Fiscal'!P321="","",'Mapa R. Fiscal'!P321)</f>
        <v/>
      </c>
      <c r="N318" s="70"/>
      <c r="O318" s="70"/>
      <c r="P318" s="70"/>
      <c r="Q318" s="186"/>
    </row>
    <row r="319" spans="1:17" x14ac:dyDescent="0.25">
      <c r="A319" s="115" t="s">
        <v>551</v>
      </c>
      <c r="B319" s="856"/>
      <c r="C319" s="862" t="str">
        <f>IF('[2]Mapa R. Fiscal '!E322="","",'[2]Mapa R. Fiscal '!E322)</f>
        <v/>
      </c>
      <c r="D319" s="860"/>
      <c r="E319" s="862" t="str">
        <f>IF('[2]Mapa R. Fiscal '!D322="","",'[2]Mapa R. Fiscal '!D322)</f>
        <v/>
      </c>
      <c r="F319" s="864" t="str">
        <f>IF('Mapa R. Fiscal'!H322="","",'Mapa R. Fiscal'!H322)</f>
        <v/>
      </c>
      <c r="G319" s="864" t="str">
        <f>IF('Mapa R. Fiscal'!L322="","",'Mapa R. Fiscal'!L322)</f>
        <v/>
      </c>
      <c r="H319" s="866"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0" t="str">
        <f>IF('Mapa R. Fiscal'!Y322="","",'Mapa R. Fiscal'!Y322)</f>
        <v/>
      </c>
      <c r="J319" s="400" t="str">
        <f>IF('Mapa R. Fiscal'!AA322="","",'Mapa R. Fiscal'!AA322)</f>
        <v/>
      </c>
      <c r="K319" s="436" t="str">
        <f t="shared" si="47"/>
        <v/>
      </c>
      <c r="L319" s="400" t="str">
        <f>IF('Mapa R. Fiscal'!AD322="","",'Mapa R. Fiscal'!AD322)</f>
        <v/>
      </c>
      <c r="M319" s="339" t="str">
        <f>IF('Mapa R. Fiscal'!P322="","",'Mapa R. Fiscal'!P322)</f>
        <v/>
      </c>
      <c r="N319" s="70"/>
      <c r="O319" s="70"/>
      <c r="P319" s="70"/>
      <c r="Q319" s="186"/>
    </row>
    <row r="320" spans="1:17" x14ac:dyDescent="0.25">
      <c r="A320" s="115" t="s">
        <v>552</v>
      </c>
      <c r="B320" s="857"/>
      <c r="C320" s="863"/>
      <c r="D320" s="861"/>
      <c r="E320" s="863"/>
      <c r="F320" s="865"/>
      <c r="G320" s="865"/>
      <c r="H320" s="867"/>
      <c r="I320" s="400" t="str">
        <f>IF('Mapa R. Fiscal'!Y323="","",'Mapa R. Fiscal'!Y323)</f>
        <v/>
      </c>
      <c r="J320" s="400" t="str">
        <f>IF('Mapa R. Fiscal'!AA323="","",'Mapa R. Fiscal'!AA323)</f>
        <v/>
      </c>
      <c r="K320" s="436" t="str">
        <f t="shared" si="47"/>
        <v/>
      </c>
      <c r="L320" s="400" t="str">
        <f>IF('Mapa R. Fiscal'!AD323="","",'Mapa R. Fiscal'!AD323)</f>
        <v/>
      </c>
      <c r="M320" s="339" t="str">
        <f>IF('Mapa R. Fiscal'!P323="","",'Mapa R. Fiscal'!P323)</f>
        <v/>
      </c>
      <c r="N320" s="70"/>
      <c r="O320" s="70"/>
      <c r="P320" s="70"/>
      <c r="Q320" s="186"/>
    </row>
    <row r="321" spans="1:17" x14ac:dyDescent="0.25">
      <c r="A321" s="115" t="s">
        <v>553</v>
      </c>
      <c r="B321" s="857"/>
      <c r="C321" s="863"/>
      <c r="D321" s="861"/>
      <c r="E321" s="863"/>
      <c r="F321" s="865"/>
      <c r="G321" s="865"/>
      <c r="H321" s="867"/>
      <c r="I321" s="400" t="str">
        <f>IF('Mapa R. Fiscal'!Y324="","",'Mapa R. Fiscal'!Y324)</f>
        <v/>
      </c>
      <c r="J321" s="400" t="str">
        <f>IF('Mapa R. Fiscal'!AA324="","",'Mapa R. Fiscal'!AA324)</f>
        <v/>
      </c>
      <c r="K321" s="436" t="str">
        <f t="shared" si="47"/>
        <v/>
      </c>
      <c r="L321" s="400" t="str">
        <f>IF('Mapa R. Fiscal'!AD324="","",'Mapa R. Fiscal'!AD324)</f>
        <v/>
      </c>
      <c r="M321" s="339" t="str">
        <f>IF('Mapa R. Fiscal'!P324="","",'Mapa R. Fiscal'!P324)</f>
        <v/>
      </c>
      <c r="N321" s="70"/>
      <c r="O321" s="70"/>
      <c r="P321" s="70"/>
      <c r="Q321" s="186"/>
    </row>
    <row r="322" spans="1:17" x14ac:dyDescent="0.25">
      <c r="A322" s="115" t="s">
        <v>554</v>
      </c>
      <c r="B322" s="857"/>
      <c r="C322" s="863"/>
      <c r="D322" s="861"/>
      <c r="E322" s="863"/>
      <c r="F322" s="865"/>
      <c r="G322" s="865"/>
      <c r="H322" s="867"/>
      <c r="I322" s="400" t="str">
        <f>IF('Mapa R. Fiscal'!Y325="","",'Mapa R. Fiscal'!Y325)</f>
        <v/>
      </c>
      <c r="J322" s="400" t="str">
        <f>IF('Mapa R. Fiscal'!AA325="","",'Mapa R. Fiscal'!AA325)</f>
        <v/>
      </c>
      <c r="K322" s="436" t="str">
        <f t="shared" si="47"/>
        <v/>
      </c>
      <c r="L322" s="400" t="str">
        <f>IF('Mapa R. Fiscal'!AD325="","",'Mapa R. Fiscal'!AD325)</f>
        <v/>
      </c>
      <c r="M322" s="339" t="str">
        <f>IF('Mapa R. Fiscal'!P325="","",'Mapa R. Fiscal'!P325)</f>
        <v/>
      </c>
      <c r="N322" s="70"/>
      <c r="O322" s="70"/>
      <c r="P322" s="70"/>
      <c r="Q322" s="186"/>
    </row>
    <row r="323" spans="1:17" x14ac:dyDescent="0.25">
      <c r="A323" s="115" t="s">
        <v>555</v>
      </c>
      <c r="B323" s="857"/>
      <c r="C323" s="863"/>
      <c r="D323" s="861"/>
      <c r="E323" s="863"/>
      <c r="F323" s="865"/>
      <c r="G323" s="865"/>
      <c r="H323" s="867"/>
      <c r="I323" s="400" t="str">
        <f>IF('Mapa R. Fiscal'!Y326="","",'Mapa R. Fiscal'!Y326)</f>
        <v/>
      </c>
      <c r="J323" s="400" t="str">
        <f>IF('Mapa R. Fiscal'!AA326="","",'Mapa R. Fiscal'!AA326)</f>
        <v/>
      </c>
      <c r="K323" s="436" t="str">
        <f t="shared" si="47"/>
        <v/>
      </c>
      <c r="L323" s="400" t="str">
        <f>IF('Mapa R. Fiscal'!AD326="","",'Mapa R. Fiscal'!AD326)</f>
        <v/>
      </c>
      <c r="M323" s="339" t="str">
        <f>IF('Mapa R. Fiscal'!P326="","",'Mapa R. Fiscal'!P326)</f>
        <v/>
      </c>
      <c r="N323" s="70"/>
      <c r="O323" s="70"/>
      <c r="P323" s="70"/>
      <c r="Q323" s="186"/>
    </row>
    <row r="324" spans="1:17" x14ac:dyDescent="0.25">
      <c r="A324" s="115" t="s">
        <v>556</v>
      </c>
      <c r="B324" s="857"/>
      <c r="C324" s="863"/>
      <c r="D324" s="861"/>
      <c r="E324" s="863"/>
      <c r="F324" s="865"/>
      <c r="G324" s="865"/>
      <c r="H324" s="867"/>
      <c r="I324" s="400" t="str">
        <f>IF('Mapa R. Fiscal'!Y327="","",'Mapa R. Fiscal'!Y327)</f>
        <v/>
      </c>
      <c r="J324" s="400" t="str">
        <f>IF('Mapa R. Fiscal'!AA327="","",'Mapa R. Fiscal'!AA327)</f>
        <v/>
      </c>
      <c r="K324" s="436" t="str">
        <f t="shared" si="47"/>
        <v/>
      </c>
      <c r="L324" s="400" t="str">
        <f>IF('Mapa R. Fiscal'!AD327="","",'Mapa R. Fiscal'!AD327)</f>
        <v/>
      </c>
      <c r="M324" s="339" t="str">
        <f>IF('Mapa R. Fiscal'!P327="","",'Mapa R. Fiscal'!P327)</f>
        <v/>
      </c>
      <c r="N324" s="70"/>
      <c r="O324" s="70"/>
      <c r="P324" s="70"/>
      <c r="Q324" s="186"/>
    </row>
    <row r="325" spans="1:17" x14ac:dyDescent="0.25">
      <c r="A325" s="115" t="s">
        <v>557</v>
      </c>
      <c r="B325" s="856"/>
      <c r="C325" s="862" t="str">
        <f>IF('[2]Mapa R. Fiscal '!E328="","",'[2]Mapa R. Fiscal '!E328)</f>
        <v/>
      </c>
      <c r="D325" s="860"/>
      <c r="E325" s="862" t="str">
        <f>IF('[2]Mapa R. Fiscal '!D328="","",'[2]Mapa R. Fiscal '!D328)</f>
        <v/>
      </c>
      <c r="F325" s="864" t="str">
        <f>IF('Mapa R. Fiscal'!H328="","",'Mapa R. Fiscal'!H328)</f>
        <v/>
      </c>
      <c r="G325" s="864" t="str">
        <f>IF('Mapa R. Fiscal'!L328="","",'Mapa R. Fiscal'!L328)</f>
        <v/>
      </c>
      <c r="H325" s="866"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0" t="str">
        <f>IF('Mapa R. Fiscal'!Y328="","",'Mapa R. Fiscal'!Y328)</f>
        <v/>
      </c>
      <c r="J325" s="400" t="str">
        <f>IF('Mapa R. Fiscal'!AA328="","",'Mapa R. Fiscal'!AA328)</f>
        <v/>
      </c>
      <c r="K325" s="436" t="str">
        <f t="shared" si="47"/>
        <v/>
      </c>
      <c r="L325" s="400" t="str">
        <f>IF('Mapa R. Fiscal'!AD328="","",'Mapa R. Fiscal'!AD328)</f>
        <v/>
      </c>
      <c r="M325" s="339" t="str">
        <f>IF('Mapa R. Fiscal'!P328="","",'Mapa R. Fiscal'!P328)</f>
        <v/>
      </c>
      <c r="N325" s="70"/>
      <c r="O325" s="70"/>
      <c r="P325" s="70"/>
      <c r="Q325" s="186"/>
    </row>
    <row r="326" spans="1:17" x14ac:dyDescent="0.25">
      <c r="A326" s="115" t="s">
        <v>558</v>
      </c>
      <c r="B326" s="857"/>
      <c r="C326" s="863"/>
      <c r="D326" s="861"/>
      <c r="E326" s="863"/>
      <c r="F326" s="865"/>
      <c r="G326" s="865"/>
      <c r="H326" s="867"/>
      <c r="I326" s="400" t="str">
        <f>IF('Mapa R. Fiscal'!Y329="","",'Mapa R. Fiscal'!Y329)</f>
        <v/>
      </c>
      <c r="J326" s="400" t="str">
        <f>IF('Mapa R. Fiscal'!AA329="","",'Mapa R. Fiscal'!AA329)</f>
        <v/>
      </c>
      <c r="K326" s="436" t="str">
        <f t="shared" si="47"/>
        <v/>
      </c>
      <c r="L326" s="400" t="str">
        <f>IF('Mapa R. Fiscal'!AD329="","",'Mapa R. Fiscal'!AD329)</f>
        <v/>
      </c>
      <c r="M326" s="339" t="str">
        <f>IF('Mapa R. Fiscal'!P329="","",'Mapa R. Fiscal'!P329)</f>
        <v/>
      </c>
      <c r="N326" s="70"/>
      <c r="O326" s="70"/>
      <c r="P326" s="70"/>
      <c r="Q326" s="186"/>
    </row>
    <row r="327" spans="1:17" x14ac:dyDescent="0.25">
      <c r="A327" s="115" t="s">
        <v>559</v>
      </c>
      <c r="B327" s="857"/>
      <c r="C327" s="863"/>
      <c r="D327" s="861"/>
      <c r="E327" s="863"/>
      <c r="F327" s="865"/>
      <c r="G327" s="865"/>
      <c r="H327" s="867"/>
      <c r="I327" s="400" t="str">
        <f>IF('Mapa R. Fiscal'!Y330="","",'Mapa R. Fiscal'!Y330)</f>
        <v/>
      </c>
      <c r="J327" s="400" t="str">
        <f>IF('Mapa R. Fiscal'!AA330="","",'Mapa R. Fiscal'!AA330)</f>
        <v/>
      </c>
      <c r="K327" s="436"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0" t="str">
        <f>IF('Mapa R. Fiscal'!AD330="","",'Mapa R. Fiscal'!AD330)</f>
        <v/>
      </c>
      <c r="M327" s="339" t="str">
        <f>IF('Mapa R. Fiscal'!P330="","",'Mapa R. Fiscal'!P330)</f>
        <v/>
      </c>
      <c r="N327" s="70"/>
      <c r="O327" s="70"/>
      <c r="P327" s="70"/>
      <c r="Q327" s="186"/>
    </row>
    <row r="328" spans="1:17" x14ac:dyDescent="0.25">
      <c r="A328" s="115" t="s">
        <v>560</v>
      </c>
      <c r="B328" s="857"/>
      <c r="C328" s="863"/>
      <c r="D328" s="861"/>
      <c r="E328" s="863"/>
      <c r="F328" s="865"/>
      <c r="G328" s="865"/>
      <c r="H328" s="867"/>
      <c r="I328" s="400" t="str">
        <f>IF('Mapa R. Fiscal'!Y331="","",'Mapa R. Fiscal'!Y331)</f>
        <v/>
      </c>
      <c r="J328" s="400" t="str">
        <f>IF('Mapa R. Fiscal'!AA331="","",'Mapa R. Fiscal'!AA331)</f>
        <v/>
      </c>
      <c r="K328" s="436" t="str">
        <f t="shared" si="59"/>
        <v/>
      </c>
      <c r="L328" s="400" t="str">
        <f>IF('Mapa R. Fiscal'!AD331="","",'Mapa R. Fiscal'!AD331)</f>
        <v/>
      </c>
      <c r="M328" s="339" t="str">
        <f>IF('Mapa R. Fiscal'!P331="","",'Mapa R. Fiscal'!P331)</f>
        <v/>
      </c>
      <c r="N328" s="70"/>
      <c r="O328" s="70"/>
      <c r="P328" s="70"/>
      <c r="Q328" s="186"/>
    </row>
    <row r="329" spans="1:17" x14ac:dyDescent="0.25">
      <c r="A329" s="115" t="s">
        <v>561</v>
      </c>
      <c r="B329" s="857"/>
      <c r="C329" s="863"/>
      <c r="D329" s="861"/>
      <c r="E329" s="863"/>
      <c r="F329" s="865"/>
      <c r="G329" s="865"/>
      <c r="H329" s="867"/>
      <c r="I329" s="400" t="str">
        <f>IF('Mapa R. Fiscal'!Y332="","",'Mapa R. Fiscal'!Y332)</f>
        <v/>
      </c>
      <c r="J329" s="400" t="str">
        <f>IF('Mapa R. Fiscal'!AA332="","",'Mapa R. Fiscal'!AA332)</f>
        <v/>
      </c>
      <c r="K329" s="436" t="str">
        <f t="shared" si="59"/>
        <v/>
      </c>
      <c r="L329" s="400" t="str">
        <f>IF('Mapa R. Fiscal'!AD332="","",'Mapa R. Fiscal'!AD332)</f>
        <v/>
      </c>
      <c r="M329" s="339" t="str">
        <f>IF('Mapa R. Fiscal'!P332="","",'Mapa R. Fiscal'!P332)</f>
        <v/>
      </c>
      <c r="N329" s="70"/>
      <c r="O329" s="70"/>
      <c r="P329" s="70"/>
      <c r="Q329" s="186"/>
    </row>
    <row r="330" spans="1:17" x14ac:dyDescent="0.25">
      <c r="A330" s="115" t="s">
        <v>562</v>
      </c>
      <c r="B330" s="857"/>
      <c r="C330" s="863"/>
      <c r="D330" s="861"/>
      <c r="E330" s="863"/>
      <c r="F330" s="865"/>
      <c r="G330" s="865"/>
      <c r="H330" s="867"/>
      <c r="I330" s="400" t="str">
        <f>IF('Mapa R. Fiscal'!Y333="","",'Mapa R. Fiscal'!Y333)</f>
        <v/>
      </c>
      <c r="J330" s="400" t="str">
        <f>IF('Mapa R. Fiscal'!AA333="","",'Mapa R. Fiscal'!AA333)</f>
        <v/>
      </c>
      <c r="K330" s="436" t="str">
        <f t="shared" si="59"/>
        <v/>
      </c>
      <c r="L330" s="400" t="str">
        <f>IF('Mapa R. Fiscal'!AD333="","",'Mapa R. Fiscal'!AD333)</f>
        <v/>
      </c>
      <c r="M330" s="339" t="str">
        <f>IF('Mapa R. Fiscal'!P333="","",'Mapa R. Fiscal'!P333)</f>
        <v/>
      </c>
      <c r="N330" s="70"/>
      <c r="O330" s="70"/>
      <c r="P330" s="70"/>
      <c r="Q330" s="186"/>
    </row>
    <row r="331" spans="1:17" x14ac:dyDescent="0.25">
      <c r="A331" s="115" t="s">
        <v>563</v>
      </c>
      <c r="B331" s="856"/>
      <c r="C331" s="862" t="str">
        <f>IF('[2]Mapa R. Fiscal '!E334="","",'[2]Mapa R. Fiscal '!E334)</f>
        <v/>
      </c>
      <c r="D331" s="860"/>
      <c r="E331" s="862" t="str">
        <f>IF('[2]Mapa R. Fiscal '!D334="","",'[2]Mapa R. Fiscal '!D334)</f>
        <v/>
      </c>
      <c r="F331" s="864" t="str">
        <f>IF('Mapa R. Fiscal'!H334="","",'Mapa R. Fiscal'!H334)</f>
        <v/>
      </c>
      <c r="G331" s="864" t="str">
        <f>IF('Mapa R. Fiscal'!L334="","",'Mapa R. Fiscal'!L334)</f>
        <v/>
      </c>
      <c r="H331" s="866"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0" t="str">
        <f>IF('Mapa R. Fiscal'!Y334="","",'Mapa R. Fiscal'!Y334)</f>
        <v/>
      </c>
      <c r="J331" s="400" t="str">
        <f>IF('Mapa R. Fiscal'!AA334="","",'Mapa R. Fiscal'!AA334)</f>
        <v/>
      </c>
      <c r="K331" s="436" t="str">
        <f t="shared" si="59"/>
        <v/>
      </c>
      <c r="L331" s="400" t="str">
        <f>IF('Mapa R. Fiscal'!AD334="","",'Mapa R. Fiscal'!AD334)</f>
        <v/>
      </c>
      <c r="M331" s="339" t="str">
        <f>IF('Mapa R. Fiscal'!P334="","",'Mapa R. Fiscal'!P334)</f>
        <v/>
      </c>
      <c r="N331" s="70"/>
      <c r="O331" s="70"/>
      <c r="P331" s="70"/>
      <c r="Q331" s="186"/>
    </row>
    <row r="332" spans="1:17" x14ac:dyDescent="0.25">
      <c r="A332" s="115" t="s">
        <v>564</v>
      </c>
      <c r="B332" s="857"/>
      <c r="C332" s="863"/>
      <c r="D332" s="861"/>
      <c r="E332" s="863"/>
      <c r="F332" s="865"/>
      <c r="G332" s="865"/>
      <c r="H332" s="867"/>
      <c r="I332" s="400" t="str">
        <f>IF('Mapa R. Fiscal'!Y335="","",'Mapa R. Fiscal'!Y335)</f>
        <v/>
      </c>
      <c r="J332" s="400" t="str">
        <f>IF('Mapa R. Fiscal'!AA335="","",'Mapa R. Fiscal'!AA335)</f>
        <v/>
      </c>
      <c r="K332" s="436" t="str">
        <f t="shared" si="59"/>
        <v/>
      </c>
      <c r="L332" s="400" t="str">
        <f>IF('Mapa R. Fiscal'!AD335="","",'Mapa R. Fiscal'!AD335)</f>
        <v/>
      </c>
      <c r="M332" s="339" t="str">
        <f>IF('Mapa R. Fiscal'!P335="","",'Mapa R. Fiscal'!P335)</f>
        <v/>
      </c>
      <c r="N332" s="70"/>
      <c r="O332" s="70"/>
      <c r="P332" s="70"/>
      <c r="Q332" s="186"/>
    </row>
    <row r="333" spans="1:17" x14ac:dyDescent="0.25">
      <c r="A333" s="115" t="s">
        <v>565</v>
      </c>
      <c r="B333" s="857"/>
      <c r="C333" s="863"/>
      <c r="D333" s="861"/>
      <c r="E333" s="863"/>
      <c r="F333" s="865"/>
      <c r="G333" s="865"/>
      <c r="H333" s="867"/>
      <c r="I333" s="400" t="str">
        <f>IF('Mapa R. Fiscal'!Y336="","",'Mapa R. Fiscal'!Y336)</f>
        <v/>
      </c>
      <c r="J333" s="400" t="str">
        <f>IF('Mapa R. Fiscal'!AA336="","",'Mapa R. Fiscal'!AA336)</f>
        <v/>
      </c>
      <c r="K333" s="436" t="str">
        <f t="shared" si="59"/>
        <v/>
      </c>
      <c r="L333" s="400" t="str">
        <f>IF('Mapa R. Fiscal'!AD336="","",'Mapa R. Fiscal'!AD336)</f>
        <v/>
      </c>
      <c r="M333" s="339" t="str">
        <f>IF('Mapa R. Fiscal'!P336="","",'Mapa R. Fiscal'!P336)</f>
        <v/>
      </c>
      <c r="N333" s="70"/>
      <c r="O333" s="70"/>
      <c r="P333" s="70"/>
      <c r="Q333" s="186"/>
    </row>
    <row r="334" spans="1:17" x14ac:dyDescent="0.25">
      <c r="A334" s="115" t="s">
        <v>566</v>
      </c>
      <c r="B334" s="857"/>
      <c r="C334" s="863"/>
      <c r="D334" s="861"/>
      <c r="E334" s="863"/>
      <c r="F334" s="865"/>
      <c r="G334" s="865"/>
      <c r="H334" s="867"/>
      <c r="I334" s="400" t="str">
        <f>IF('Mapa R. Fiscal'!Y337="","",'Mapa R. Fiscal'!Y337)</f>
        <v/>
      </c>
      <c r="J334" s="400" t="str">
        <f>IF('Mapa R. Fiscal'!AA337="","",'Mapa R. Fiscal'!AA337)</f>
        <v/>
      </c>
      <c r="K334" s="436" t="str">
        <f t="shared" si="59"/>
        <v/>
      </c>
      <c r="L334" s="400" t="str">
        <f>IF('Mapa R. Fiscal'!AD337="","",'Mapa R. Fiscal'!AD337)</f>
        <v/>
      </c>
      <c r="M334" s="339" t="str">
        <f>IF('Mapa R. Fiscal'!P337="","",'Mapa R. Fiscal'!P337)</f>
        <v/>
      </c>
      <c r="N334" s="70"/>
      <c r="O334" s="70"/>
      <c r="P334" s="70"/>
      <c r="Q334" s="186"/>
    </row>
    <row r="335" spans="1:17" x14ac:dyDescent="0.25">
      <c r="A335" s="115" t="s">
        <v>567</v>
      </c>
      <c r="B335" s="857"/>
      <c r="C335" s="863"/>
      <c r="D335" s="861"/>
      <c r="E335" s="863"/>
      <c r="F335" s="865"/>
      <c r="G335" s="865"/>
      <c r="H335" s="867"/>
      <c r="I335" s="400" t="str">
        <f>IF('Mapa R. Fiscal'!Y338="","",'Mapa R. Fiscal'!Y338)</f>
        <v/>
      </c>
      <c r="J335" s="400" t="str">
        <f>IF('Mapa R. Fiscal'!AA338="","",'Mapa R. Fiscal'!AA338)</f>
        <v/>
      </c>
      <c r="K335" s="436" t="str">
        <f t="shared" si="59"/>
        <v/>
      </c>
      <c r="L335" s="400" t="str">
        <f>IF('Mapa R. Fiscal'!AD338="","",'Mapa R. Fiscal'!AD338)</f>
        <v/>
      </c>
      <c r="M335" s="339" t="str">
        <f>IF('Mapa R. Fiscal'!P338="","",'Mapa R. Fiscal'!P338)</f>
        <v/>
      </c>
      <c r="N335" s="70"/>
      <c r="O335" s="70"/>
      <c r="P335" s="70"/>
      <c r="Q335" s="186"/>
    </row>
    <row r="336" spans="1:17" x14ac:dyDescent="0.25">
      <c r="A336" s="115" t="s">
        <v>568</v>
      </c>
      <c r="B336" s="857"/>
      <c r="C336" s="863"/>
      <c r="D336" s="861"/>
      <c r="E336" s="863"/>
      <c r="F336" s="865"/>
      <c r="G336" s="865"/>
      <c r="H336" s="867"/>
      <c r="I336" s="400" t="str">
        <f>IF('Mapa R. Fiscal'!Y339="","",'Mapa R. Fiscal'!Y339)</f>
        <v/>
      </c>
      <c r="J336" s="400" t="str">
        <f>IF('Mapa R. Fiscal'!AA339="","",'Mapa R. Fiscal'!AA339)</f>
        <v/>
      </c>
      <c r="K336" s="436" t="str">
        <f t="shared" si="59"/>
        <v/>
      </c>
      <c r="L336" s="400" t="str">
        <f>IF('Mapa R. Fiscal'!AD339="","",'Mapa R. Fiscal'!AD339)</f>
        <v/>
      </c>
      <c r="M336" s="339" t="str">
        <f>IF('Mapa R. Fiscal'!P339="","",'Mapa R. Fiscal'!P339)</f>
        <v/>
      </c>
      <c r="N336" s="70"/>
      <c r="O336" s="70"/>
      <c r="P336" s="70"/>
      <c r="Q336" s="186"/>
    </row>
    <row r="337" spans="1:17" x14ac:dyDescent="0.25">
      <c r="A337" s="115" t="s">
        <v>569</v>
      </c>
      <c r="B337" s="856"/>
      <c r="C337" s="862" t="str">
        <f>IF('[2]Mapa R. Fiscal '!E340="","",'[2]Mapa R. Fiscal '!E340)</f>
        <v/>
      </c>
      <c r="D337" s="860"/>
      <c r="E337" s="862" t="str">
        <f>IF('[2]Mapa R. Fiscal '!D340="","",'[2]Mapa R. Fiscal '!D340)</f>
        <v/>
      </c>
      <c r="F337" s="864" t="str">
        <f>IF('Mapa R. Fiscal'!H340="","",'Mapa R. Fiscal'!H340)</f>
        <v/>
      </c>
      <c r="G337" s="864" t="str">
        <f>IF('Mapa R. Fiscal'!L340="","",'Mapa R. Fiscal'!L340)</f>
        <v/>
      </c>
      <c r="H337" s="866"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0" t="str">
        <f>IF('Mapa R. Fiscal'!Y340="","",'Mapa R. Fiscal'!Y340)</f>
        <v/>
      </c>
      <c r="J337" s="400" t="str">
        <f>IF('Mapa R. Fiscal'!AA340="","",'Mapa R. Fiscal'!AA340)</f>
        <v/>
      </c>
      <c r="K337" s="436" t="str">
        <f t="shared" si="59"/>
        <v/>
      </c>
      <c r="L337" s="400" t="str">
        <f>IF('Mapa R. Fiscal'!AD340="","",'Mapa R. Fiscal'!AD340)</f>
        <v/>
      </c>
      <c r="M337" s="339" t="str">
        <f>IF('Mapa R. Fiscal'!P340="","",'Mapa R. Fiscal'!P340)</f>
        <v/>
      </c>
      <c r="N337" s="70"/>
      <c r="O337" s="70"/>
      <c r="P337" s="70"/>
      <c r="Q337" s="186"/>
    </row>
    <row r="338" spans="1:17" x14ac:dyDescent="0.25">
      <c r="A338" s="115" t="s">
        <v>570</v>
      </c>
      <c r="B338" s="857"/>
      <c r="C338" s="863"/>
      <c r="D338" s="861"/>
      <c r="E338" s="863"/>
      <c r="F338" s="865"/>
      <c r="G338" s="865"/>
      <c r="H338" s="867"/>
      <c r="I338" s="400" t="str">
        <f>IF('Mapa R. Fiscal'!Y341="","",'Mapa R. Fiscal'!Y341)</f>
        <v/>
      </c>
      <c r="J338" s="400" t="str">
        <f>IF('Mapa R. Fiscal'!AA341="","",'Mapa R. Fiscal'!AA341)</f>
        <v/>
      </c>
      <c r="K338" s="436" t="str">
        <f t="shared" si="59"/>
        <v/>
      </c>
      <c r="L338" s="400" t="str">
        <f>IF('Mapa R. Fiscal'!AD341="","",'Mapa R. Fiscal'!AD341)</f>
        <v/>
      </c>
      <c r="M338" s="339" t="str">
        <f>IF('Mapa R. Fiscal'!P341="","",'Mapa R. Fiscal'!P341)</f>
        <v/>
      </c>
      <c r="N338" s="70"/>
      <c r="O338" s="70"/>
      <c r="P338" s="70"/>
      <c r="Q338" s="186"/>
    </row>
    <row r="339" spans="1:17" x14ac:dyDescent="0.25">
      <c r="A339" s="115" t="s">
        <v>571</v>
      </c>
      <c r="B339" s="857"/>
      <c r="C339" s="863"/>
      <c r="D339" s="861"/>
      <c r="E339" s="863"/>
      <c r="F339" s="865"/>
      <c r="G339" s="865"/>
      <c r="H339" s="867"/>
      <c r="I339" s="400" t="str">
        <f>IF('Mapa R. Fiscal'!Y342="","",'Mapa R. Fiscal'!Y342)</f>
        <v/>
      </c>
      <c r="J339" s="400" t="str">
        <f>IF('Mapa R. Fiscal'!AA342="","",'Mapa R. Fiscal'!AA342)</f>
        <v/>
      </c>
      <c r="K339" s="436" t="str">
        <f t="shared" si="59"/>
        <v/>
      </c>
      <c r="L339" s="400" t="str">
        <f>IF('Mapa R. Fiscal'!AD342="","",'Mapa R. Fiscal'!AD342)</f>
        <v/>
      </c>
      <c r="M339" s="339" t="str">
        <f>IF('Mapa R. Fiscal'!P342="","",'Mapa R. Fiscal'!P342)</f>
        <v/>
      </c>
      <c r="N339" s="70"/>
      <c r="O339" s="70"/>
      <c r="P339" s="70"/>
      <c r="Q339" s="186"/>
    </row>
    <row r="340" spans="1:17" x14ac:dyDescent="0.25">
      <c r="A340" s="115" t="s">
        <v>572</v>
      </c>
      <c r="B340" s="857"/>
      <c r="C340" s="863"/>
      <c r="D340" s="861"/>
      <c r="E340" s="863"/>
      <c r="F340" s="865"/>
      <c r="G340" s="865"/>
      <c r="H340" s="867"/>
      <c r="I340" s="400" t="str">
        <f>IF('Mapa R. Fiscal'!Y343="","",'Mapa R. Fiscal'!Y343)</f>
        <v/>
      </c>
      <c r="J340" s="400" t="str">
        <f>IF('Mapa R. Fiscal'!AA343="","",'Mapa R. Fiscal'!AA343)</f>
        <v/>
      </c>
      <c r="K340" s="436" t="str">
        <f t="shared" si="59"/>
        <v/>
      </c>
      <c r="L340" s="400" t="str">
        <f>IF('Mapa R. Fiscal'!AD343="","",'Mapa R. Fiscal'!AD343)</f>
        <v/>
      </c>
      <c r="M340" s="339" t="str">
        <f>IF('Mapa R. Fiscal'!P343="","",'Mapa R. Fiscal'!P343)</f>
        <v/>
      </c>
      <c r="N340" s="70"/>
      <c r="O340" s="70"/>
      <c r="P340" s="70"/>
      <c r="Q340" s="186"/>
    </row>
    <row r="341" spans="1:17" x14ac:dyDescent="0.25">
      <c r="A341" s="115" t="s">
        <v>573</v>
      </c>
      <c r="B341" s="857"/>
      <c r="C341" s="863"/>
      <c r="D341" s="861"/>
      <c r="E341" s="863"/>
      <c r="F341" s="865"/>
      <c r="G341" s="865"/>
      <c r="H341" s="867"/>
      <c r="I341" s="400" t="str">
        <f>IF('Mapa R. Fiscal'!Y344="","",'Mapa R. Fiscal'!Y344)</f>
        <v/>
      </c>
      <c r="J341" s="400" t="str">
        <f>IF('Mapa R. Fiscal'!AA344="","",'Mapa R. Fiscal'!AA344)</f>
        <v/>
      </c>
      <c r="K341" s="436" t="str">
        <f t="shared" si="59"/>
        <v/>
      </c>
      <c r="L341" s="400" t="str">
        <f>IF('Mapa R. Fiscal'!AD344="","",'Mapa R. Fiscal'!AD344)</f>
        <v/>
      </c>
      <c r="M341" s="339" t="str">
        <f>IF('Mapa R. Fiscal'!P344="","",'Mapa R. Fiscal'!P344)</f>
        <v/>
      </c>
      <c r="N341" s="70"/>
      <c r="O341" s="70"/>
      <c r="P341" s="70"/>
      <c r="Q341" s="186"/>
    </row>
    <row r="342" spans="1:17" x14ac:dyDescent="0.25">
      <c r="A342" s="115" t="s">
        <v>574</v>
      </c>
      <c r="B342" s="857"/>
      <c r="C342" s="863"/>
      <c r="D342" s="861"/>
      <c r="E342" s="863"/>
      <c r="F342" s="865"/>
      <c r="G342" s="865"/>
      <c r="H342" s="867"/>
      <c r="I342" s="400" t="str">
        <f>IF('Mapa R. Fiscal'!Y345="","",'Mapa R. Fiscal'!Y345)</f>
        <v/>
      </c>
      <c r="J342" s="400" t="str">
        <f>IF('Mapa R. Fiscal'!AA345="","",'Mapa R. Fiscal'!AA345)</f>
        <v/>
      </c>
      <c r="K342" s="436" t="str">
        <f t="shared" si="59"/>
        <v/>
      </c>
      <c r="L342" s="400" t="str">
        <f>IF('Mapa R. Fiscal'!AD345="","",'Mapa R. Fiscal'!AD345)</f>
        <v/>
      </c>
      <c r="M342" s="339" t="str">
        <f>IF('Mapa R. Fiscal'!P345="","",'Mapa R. Fiscal'!P345)</f>
        <v/>
      </c>
      <c r="N342" s="70"/>
      <c r="O342" s="70"/>
      <c r="P342" s="70"/>
      <c r="Q342" s="186"/>
    </row>
    <row r="343" spans="1:17" x14ac:dyDescent="0.25">
      <c r="A343" s="115" t="s">
        <v>575</v>
      </c>
      <c r="B343" s="856"/>
      <c r="C343" s="862" t="str">
        <f>IF('[2]Mapa R. Fiscal '!E346="","",'[2]Mapa R. Fiscal '!E346)</f>
        <v/>
      </c>
      <c r="D343" s="860"/>
      <c r="E343" s="862" t="str">
        <f>IF('[2]Mapa R. Fiscal '!D346="","",'[2]Mapa R. Fiscal '!D346)</f>
        <v/>
      </c>
      <c r="F343" s="864" t="str">
        <f>IF('Mapa R. Fiscal'!H346="","",'Mapa R. Fiscal'!H346)</f>
        <v/>
      </c>
      <c r="G343" s="864" t="str">
        <f>IF('Mapa R. Fiscal'!L346="","",'Mapa R. Fiscal'!L346)</f>
        <v/>
      </c>
      <c r="H343" s="866"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0" t="str">
        <f>IF('Mapa R. Fiscal'!Y346="","",'Mapa R. Fiscal'!Y346)</f>
        <v/>
      </c>
      <c r="J343" s="400" t="str">
        <f>IF('Mapa R. Fiscal'!AA346="","",'Mapa R. Fiscal'!AA346)</f>
        <v/>
      </c>
      <c r="K343" s="436" t="str">
        <f t="shared" si="59"/>
        <v/>
      </c>
      <c r="L343" s="400" t="str">
        <f>IF('Mapa R. Fiscal'!AD346="","",'Mapa R. Fiscal'!AD346)</f>
        <v/>
      </c>
      <c r="M343" s="339" t="str">
        <f>IF('Mapa R. Fiscal'!P346="","",'Mapa R. Fiscal'!P346)</f>
        <v/>
      </c>
      <c r="N343" s="70"/>
      <c r="O343" s="70"/>
      <c r="P343" s="70"/>
      <c r="Q343" s="186"/>
    </row>
    <row r="344" spans="1:17" x14ac:dyDescent="0.25">
      <c r="A344" s="115" t="s">
        <v>576</v>
      </c>
      <c r="B344" s="857"/>
      <c r="C344" s="863"/>
      <c r="D344" s="861"/>
      <c r="E344" s="863"/>
      <c r="F344" s="865"/>
      <c r="G344" s="865"/>
      <c r="H344" s="867"/>
      <c r="I344" s="400" t="str">
        <f>IF('Mapa R. Fiscal'!Y347="","",'Mapa R. Fiscal'!Y347)</f>
        <v/>
      </c>
      <c r="J344" s="400" t="str">
        <f>IF('Mapa R. Fiscal'!AA347="","",'Mapa R. Fiscal'!AA347)</f>
        <v/>
      </c>
      <c r="K344" s="436" t="str">
        <f t="shared" si="59"/>
        <v/>
      </c>
      <c r="L344" s="400" t="str">
        <f>IF('Mapa R. Fiscal'!AD347="","",'Mapa R. Fiscal'!AD347)</f>
        <v/>
      </c>
      <c r="M344" s="339" t="str">
        <f>IF('Mapa R. Fiscal'!P347="","",'Mapa R. Fiscal'!P347)</f>
        <v/>
      </c>
      <c r="N344" s="70"/>
      <c r="O344" s="70"/>
      <c r="P344" s="70"/>
      <c r="Q344" s="186"/>
    </row>
    <row r="345" spans="1:17" x14ac:dyDescent="0.25">
      <c r="A345" s="115" t="s">
        <v>577</v>
      </c>
      <c r="B345" s="857"/>
      <c r="C345" s="863"/>
      <c r="D345" s="861"/>
      <c r="E345" s="863"/>
      <c r="F345" s="865"/>
      <c r="G345" s="865"/>
      <c r="H345" s="867"/>
      <c r="I345" s="400" t="str">
        <f>IF('Mapa R. Fiscal'!Y348="","",'Mapa R. Fiscal'!Y348)</f>
        <v/>
      </c>
      <c r="J345" s="400" t="str">
        <f>IF('Mapa R. Fiscal'!AA348="","",'Mapa R. Fiscal'!AA348)</f>
        <v/>
      </c>
      <c r="K345" s="436" t="str">
        <f t="shared" si="59"/>
        <v/>
      </c>
      <c r="L345" s="400" t="str">
        <f>IF('Mapa R. Fiscal'!AD348="","",'Mapa R. Fiscal'!AD348)</f>
        <v/>
      </c>
      <c r="M345" s="339" t="str">
        <f>IF('Mapa R. Fiscal'!P348="","",'Mapa R. Fiscal'!P348)</f>
        <v/>
      </c>
      <c r="N345" s="70"/>
      <c r="O345" s="70"/>
      <c r="P345" s="70"/>
      <c r="Q345" s="186"/>
    </row>
    <row r="346" spans="1:17" x14ac:dyDescent="0.25">
      <c r="A346" s="115" t="s">
        <v>578</v>
      </c>
      <c r="B346" s="857"/>
      <c r="C346" s="863"/>
      <c r="D346" s="861"/>
      <c r="E346" s="863"/>
      <c r="F346" s="865"/>
      <c r="G346" s="865"/>
      <c r="H346" s="867"/>
      <c r="I346" s="400" t="str">
        <f>IF('Mapa R. Fiscal'!Y349="","",'Mapa R. Fiscal'!Y349)</f>
        <v/>
      </c>
      <c r="J346" s="400" t="str">
        <f>IF('Mapa R. Fiscal'!AA349="","",'Mapa R. Fiscal'!AA349)</f>
        <v/>
      </c>
      <c r="K346" s="436" t="str">
        <f t="shared" si="59"/>
        <v/>
      </c>
      <c r="L346" s="400" t="str">
        <f>IF('Mapa R. Fiscal'!AD349="","",'Mapa R. Fiscal'!AD349)</f>
        <v/>
      </c>
      <c r="M346" s="339" t="str">
        <f>IF('Mapa R. Fiscal'!P349="","",'Mapa R. Fiscal'!P349)</f>
        <v/>
      </c>
      <c r="N346" s="70"/>
      <c r="O346" s="70"/>
      <c r="P346" s="70"/>
      <c r="Q346" s="186"/>
    </row>
    <row r="347" spans="1:17" x14ac:dyDescent="0.25">
      <c r="A347" s="115" t="s">
        <v>579</v>
      </c>
      <c r="B347" s="857"/>
      <c r="C347" s="863"/>
      <c r="D347" s="861"/>
      <c r="E347" s="863"/>
      <c r="F347" s="865"/>
      <c r="G347" s="865"/>
      <c r="H347" s="867"/>
      <c r="I347" s="400" t="str">
        <f>IF('Mapa R. Fiscal'!Y350="","",'Mapa R. Fiscal'!Y350)</f>
        <v/>
      </c>
      <c r="J347" s="400" t="str">
        <f>IF('Mapa R. Fiscal'!AA350="","",'Mapa R. Fiscal'!AA350)</f>
        <v/>
      </c>
      <c r="K347" s="436" t="str">
        <f t="shared" si="59"/>
        <v/>
      </c>
      <c r="L347" s="400" t="str">
        <f>IF('Mapa R. Fiscal'!AD350="","",'Mapa R. Fiscal'!AD350)</f>
        <v/>
      </c>
      <c r="M347" s="339" t="str">
        <f>IF('Mapa R. Fiscal'!P350="","",'Mapa R. Fiscal'!P350)</f>
        <v/>
      </c>
      <c r="N347" s="70"/>
      <c r="O347" s="70"/>
      <c r="P347" s="70"/>
      <c r="Q347" s="186"/>
    </row>
    <row r="348" spans="1:17" x14ac:dyDescent="0.25">
      <c r="A348" s="115" t="s">
        <v>580</v>
      </c>
      <c r="B348" s="857"/>
      <c r="C348" s="863"/>
      <c r="D348" s="861"/>
      <c r="E348" s="863"/>
      <c r="F348" s="865"/>
      <c r="G348" s="865"/>
      <c r="H348" s="867"/>
      <c r="I348" s="400" t="str">
        <f>IF('Mapa R. Fiscal'!Y351="","",'Mapa R. Fiscal'!Y351)</f>
        <v/>
      </c>
      <c r="J348" s="400" t="str">
        <f>IF('Mapa R. Fiscal'!AA351="","",'Mapa R. Fiscal'!AA351)</f>
        <v/>
      </c>
      <c r="K348" s="436" t="str">
        <f t="shared" si="59"/>
        <v/>
      </c>
      <c r="L348" s="400" t="str">
        <f>IF('Mapa R. Fiscal'!AD351="","",'Mapa R. Fiscal'!AD351)</f>
        <v/>
      </c>
      <c r="M348" s="339" t="str">
        <f>IF('Mapa R. Fiscal'!P351="","",'Mapa R. Fiscal'!P351)</f>
        <v/>
      </c>
      <c r="N348" s="70"/>
      <c r="O348" s="70"/>
      <c r="P348" s="70"/>
      <c r="Q348" s="186"/>
    </row>
    <row r="349" spans="1:17" x14ac:dyDescent="0.25">
      <c r="A349" s="115" t="s">
        <v>581</v>
      </c>
      <c r="B349" s="856"/>
      <c r="C349" s="862" t="str">
        <f>IF('[2]Mapa R. Fiscal '!E352="","",'[2]Mapa R. Fiscal '!E352)</f>
        <v/>
      </c>
      <c r="D349" s="860"/>
      <c r="E349" s="862" t="str">
        <f>IF('[2]Mapa R. Fiscal '!D352="","",'[2]Mapa R. Fiscal '!D352)</f>
        <v/>
      </c>
      <c r="F349" s="864" t="str">
        <f>IF('Mapa R. Fiscal'!H352="","",'Mapa R. Fiscal'!H352)</f>
        <v/>
      </c>
      <c r="G349" s="864" t="str">
        <f>IF('Mapa R. Fiscal'!L352="","",'Mapa R. Fiscal'!L352)</f>
        <v/>
      </c>
      <c r="H349" s="866"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0" t="str">
        <f>IF('Mapa R. Fiscal'!Y352="","",'Mapa R. Fiscal'!Y352)</f>
        <v/>
      </c>
      <c r="J349" s="400" t="str">
        <f>IF('Mapa R. Fiscal'!AA352="","",'Mapa R. Fiscal'!AA352)</f>
        <v/>
      </c>
      <c r="K349" s="436" t="str">
        <f t="shared" si="59"/>
        <v/>
      </c>
      <c r="L349" s="400" t="str">
        <f>IF('Mapa R. Fiscal'!AD352="","",'Mapa R. Fiscal'!AD352)</f>
        <v/>
      </c>
      <c r="M349" s="339" t="str">
        <f>IF('Mapa R. Fiscal'!P352="","",'Mapa R. Fiscal'!P352)</f>
        <v/>
      </c>
      <c r="N349" s="70"/>
      <c r="O349" s="70"/>
      <c r="P349" s="70"/>
      <c r="Q349" s="186"/>
    </row>
    <row r="350" spans="1:17" x14ac:dyDescent="0.25">
      <c r="A350" s="115" t="s">
        <v>582</v>
      </c>
      <c r="B350" s="857"/>
      <c r="C350" s="863"/>
      <c r="D350" s="861"/>
      <c r="E350" s="863"/>
      <c r="F350" s="865"/>
      <c r="G350" s="865"/>
      <c r="H350" s="867"/>
      <c r="I350" s="400" t="str">
        <f>IF('Mapa R. Fiscal'!Y353="","",'Mapa R. Fiscal'!Y353)</f>
        <v/>
      </c>
      <c r="J350" s="400" t="str">
        <f>IF('Mapa R. Fiscal'!AA353="","",'Mapa R. Fiscal'!AA353)</f>
        <v/>
      </c>
      <c r="K350" s="436" t="str">
        <f t="shared" si="59"/>
        <v/>
      </c>
      <c r="L350" s="400" t="str">
        <f>IF('Mapa R. Fiscal'!AD353="","",'Mapa R. Fiscal'!AD353)</f>
        <v/>
      </c>
      <c r="M350" s="339" t="str">
        <f>IF('Mapa R. Fiscal'!P353="","",'Mapa R. Fiscal'!P353)</f>
        <v/>
      </c>
      <c r="N350" s="70"/>
      <c r="O350" s="70"/>
      <c r="P350" s="70"/>
      <c r="Q350" s="186"/>
    </row>
    <row r="351" spans="1:17" x14ac:dyDescent="0.25">
      <c r="A351" s="115" t="s">
        <v>583</v>
      </c>
      <c r="B351" s="857"/>
      <c r="C351" s="863"/>
      <c r="D351" s="861"/>
      <c r="E351" s="863"/>
      <c r="F351" s="865"/>
      <c r="G351" s="865"/>
      <c r="H351" s="867"/>
      <c r="I351" s="400" t="str">
        <f>IF('Mapa R. Fiscal'!Y354="","",'Mapa R. Fiscal'!Y354)</f>
        <v/>
      </c>
      <c r="J351" s="400" t="str">
        <f>IF('Mapa R. Fiscal'!AA354="","",'Mapa R. Fiscal'!AA354)</f>
        <v/>
      </c>
      <c r="K351" s="436" t="str">
        <f t="shared" si="59"/>
        <v/>
      </c>
      <c r="L351" s="400" t="str">
        <f>IF('Mapa R. Fiscal'!AD354="","",'Mapa R. Fiscal'!AD354)</f>
        <v/>
      </c>
      <c r="M351" s="339" t="str">
        <f>IF('Mapa R. Fiscal'!P354="","",'Mapa R. Fiscal'!P354)</f>
        <v/>
      </c>
      <c r="N351" s="70"/>
      <c r="O351" s="70"/>
      <c r="P351" s="70"/>
      <c r="Q351" s="186"/>
    </row>
    <row r="352" spans="1:17" x14ac:dyDescent="0.25">
      <c r="A352" s="115" t="s">
        <v>584</v>
      </c>
      <c r="B352" s="857"/>
      <c r="C352" s="863"/>
      <c r="D352" s="861"/>
      <c r="E352" s="863"/>
      <c r="F352" s="865"/>
      <c r="G352" s="865"/>
      <c r="H352" s="867"/>
      <c r="I352" s="400" t="str">
        <f>IF('Mapa R. Fiscal'!Y355="","",'Mapa R. Fiscal'!Y355)</f>
        <v/>
      </c>
      <c r="J352" s="400" t="str">
        <f>IF('Mapa R. Fiscal'!AA355="","",'Mapa R. Fiscal'!AA355)</f>
        <v/>
      </c>
      <c r="K352" s="436" t="str">
        <f t="shared" si="59"/>
        <v/>
      </c>
      <c r="L352" s="400" t="str">
        <f>IF('Mapa R. Fiscal'!AD355="","",'Mapa R. Fiscal'!AD355)</f>
        <v/>
      </c>
      <c r="M352" s="339" t="str">
        <f>IF('Mapa R. Fiscal'!P355="","",'Mapa R. Fiscal'!P355)</f>
        <v/>
      </c>
      <c r="N352" s="70"/>
      <c r="O352" s="70"/>
      <c r="P352" s="70"/>
      <c r="Q352" s="186"/>
    </row>
    <row r="353" spans="1:17" x14ac:dyDescent="0.25">
      <c r="A353" s="115" t="s">
        <v>585</v>
      </c>
      <c r="B353" s="857"/>
      <c r="C353" s="863"/>
      <c r="D353" s="861"/>
      <c r="E353" s="863"/>
      <c r="F353" s="865"/>
      <c r="G353" s="865"/>
      <c r="H353" s="867"/>
      <c r="I353" s="400" t="str">
        <f>IF('Mapa R. Fiscal'!Y356="","",'Mapa R. Fiscal'!Y356)</f>
        <v/>
      </c>
      <c r="J353" s="400" t="str">
        <f>IF('Mapa R. Fiscal'!AA356="","",'Mapa R. Fiscal'!AA356)</f>
        <v/>
      </c>
      <c r="K353" s="436" t="str">
        <f t="shared" si="59"/>
        <v/>
      </c>
      <c r="L353" s="400" t="str">
        <f>IF('Mapa R. Fiscal'!AD356="","",'Mapa R. Fiscal'!AD356)</f>
        <v/>
      </c>
      <c r="M353" s="339" t="str">
        <f>IF('Mapa R. Fiscal'!P356="","",'Mapa R. Fiscal'!P356)</f>
        <v/>
      </c>
      <c r="N353" s="70"/>
      <c r="O353" s="70"/>
      <c r="P353" s="70"/>
      <c r="Q353" s="186"/>
    </row>
    <row r="354" spans="1:17" x14ac:dyDescent="0.25">
      <c r="A354" s="115" t="s">
        <v>586</v>
      </c>
      <c r="B354" s="857"/>
      <c r="C354" s="863"/>
      <c r="D354" s="861"/>
      <c r="E354" s="863"/>
      <c r="F354" s="865"/>
      <c r="G354" s="865"/>
      <c r="H354" s="867"/>
      <c r="I354" s="400" t="str">
        <f>IF('Mapa R. Fiscal'!Y357="","",'Mapa R. Fiscal'!Y357)</f>
        <v/>
      </c>
      <c r="J354" s="400" t="str">
        <f>IF('Mapa R. Fiscal'!AA357="","",'Mapa R. Fiscal'!AA357)</f>
        <v/>
      </c>
      <c r="K354" s="436" t="str">
        <f t="shared" si="59"/>
        <v/>
      </c>
      <c r="L354" s="400" t="str">
        <f>IF('Mapa R. Fiscal'!AD357="","",'Mapa R. Fiscal'!AD357)</f>
        <v/>
      </c>
      <c r="M354" s="339" t="str">
        <f>IF('Mapa R. Fiscal'!P357="","",'Mapa R. Fiscal'!P357)</f>
        <v/>
      </c>
      <c r="N354" s="70"/>
      <c r="O354" s="70"/>
      <c r="P354" s="70"/>
      <c r="Q354" s="186"/>
    </row>
    <row r="355" spans="1:17" x14ac:dyDescent="0.25">
      <c r="A355" s="115" t="s">
        <v>587</v>
      </c>
      <c r="B355" s="856"/>
      <c r="C355" s="862" t="str">
        <f>IF('[2]Mapa R. Fiscal '!E358="","",'[2]Mapa R. Fiscal '!E358)</f>
        <v/>
      </c>
      <c r="D355" s="860"/>
      <c r="E355" s="862" t="str">
        <f>IF('[2]Mapa R. Fiscal '!D358="","",'[2]Mapa R. Fiscal '!D358)</f>
        <v/>
      </c>
      <c r="F355" s="864" t="str">
        <f>IF('Mapa R. Fiscal'!H358="","",'Mapa R. Fiscal'!H358)</f>
        <v/>
      </c>
      <c r="G355" s="864" t="str">
        <f>IF('Mapa R. Fiscal'!L358="","",'Mapa R. Fiscal'!L358)</f>
        <v/>
      </c>
      <c r="H355" s="866"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0" t="str">
        <f>IF('Mapa R. Fiscal'!Y358="","",'Mapa R. Fiscal'!Y358)</f>
        <v/>
      </c>
      <c r="J355" s="400" t="str">
        <f>IF('Mapa R. Fiscal'!AA358="","",'Mapa R. Fiscal'!AA358)</f>
        <v/>
      </c>
      <c r="K355" s="436" t="str">
        <f t="shared" si="59"/>
        <v/>
      </c>
      <c r="L355" s="400" t="str">
        <f>IF('Mapa R. Fiscal'!AD358="","",'Mapa R. Fiscal'!AD358)</f>
        <v/>
      </c>
      <c r="M355" s="339" t="str">
        <f>IF('Mapa R. Fiscal'!P358="","",'Mapa R. Fiscal'!P358)</f>
        <v/>
      </c>
      <c r="N355" s="70"/>
      <c r="O355" s="70"/>
      <c r="P355" s="70"/>
      <c r="Q355" s="186"/>
    </row>
    <row r="356" spans="1:17" x14ac:dyDescent="0.25">
      <c r="A356" s="115" t="s">
        <v>588</v>
      </c>
      <c r="B356" s="857"/>
      <c r="C356" s="863"/>
      <c r="D356" s="861"/>
      <c r="E356" s="863"/>
      <c r="F356" s="865"/>
      <c r="G356" s="865"/>
      <c r="H356" s="867"/>
      <c r="I356" s="400" t="str">
        <f>IF('Mapa R. Fiscal'!Y359="","",'Mapa R. Fiscal'!Y359)</f>
        <v/>
      </c>
      <c r="J356" s="400" t="str">
        <f>IF('Mapa R. Fiscal'!AA359="","",'Mapa R. Fiscal'!AA359)</f>
        <v/>
      </c>
      <c r="K356" s="436" t="str">
        <f t="shared" si="59"/>
        <v/>
      </c>
      <c r="L356" s="400" t="str">
        <f>IF('Mapa R. Fiscal'!AD359="","",'Mapa R. Fiscal'!AD359)</f>
        <v/>
      </c>
      <c r="M356" s="339" t="str">
        <f>IF('Mapa R. Fiscal'!P359="","",'Mapa R. Fiscal'!P359)</f>
        <v/>
      </c>
      <c r="N356" s="70"/>
      <c r="O356" s="70"/>
      <c r="P356" s="70"/>
      <c r="Q356" s="186"/>
    </row>
    <row r="357" spans="1:17" x14ac:dyDescent="0.25">
      <c r="A357" s="115" t="s">
        <v>589</v>
      </c>
      <c r="B357" s="857"/>
      <c r="C357" s="863"/>
      <c r="D357" s="861"/>
      <c r="E357" s="863"/>
      <c r="F357" s="865"/>
      <c r="G357" s="865"/>
      <c r="H357" s="867"/>
      <c r="I357" s="400" t="str">
        <f>IF('Mapa R. Fiscal'!Y360="","",'Mapa R. Fiscal'!Y360)</f>
        <v/>
      </c>
      <c r="J357" s="400" t="str">
        <f>IF('Mapa R. Fiscal'!AA360="","",'Mapa R. Fiscal'!AA360)</f>
        <v/>
      </c>
      <c r="K357" s="436" t="str">
        <f t="shared" si="59"/>
        <v/>
      </c>
      <c r="L357" s="400" t="str">
        <f>IF('Mapa R. Fiscal'!AD360="","",'Mapa R. Fiscal'!AD360)</f>
        <v/>
      </c>
      <c r="M357" s="339" t="str">
        <f>IF('Mapa R. Fiscal'!P360="","",'Mapa R. Fiscal'!P360)</f>
        <v/>
      </c>
      <c r="N357" s="70"/>
      <c r="O357" s="70"/>
      <c r="P357" s="70"/>
      <c r="Q357" s="186"/>
    </row>
    <row r="358" spans="1:17" x14ac:dyDescent="0.25">
      <c r="A358" s="115" t="s">
        <v>590</v>
      </c>
      <c r="B358" s="857"/>
      <c r="C358" s="863"/>
      <c r="D358" s="861"/>
      <c r="E358" s="863"/>
      <c r="F358" s="865"/>
      <c r="G358" s="865"/>
      <c r="H358" s="867"/>
      <c r="I358" s="400" t="str">
        <f>IF('Mapa R. Fiscal'!Y361="","",'Mapa R. Fiscal'!Y361)</f>
        <v/>
      </c>
      <c r="J358" s="400" t="str">
        <f>IF('Mapa R. Fiscal'!AA361="","",'Mapa R. Fiscal'!AA361)</f>
        <v/>
      </c>
      <c r="K358" s="436" t="str">
        <f t="shared" si="59"/>
        <v/>
      </c>
      <c r="L358" s="400" t="str">
        <f>IF('Mapa R. Fiscal'!AD361="","",'Mapa R. Fiscal'!AD361)</f>
        <v/>
      </c>
      <c r="M358" s="339" t="str">
        <f>IF('Mapa R. Fiscal'!P361="","",'Mapa R. Fiscal'!P361)</f>
        <v/>
      </c>
      <c r="N358" s="70"/>
      <c r="O358" s="70"/>
      <c r="P358" s="70"/>
      <c r="Q358" s="186"/>
    </row>
    <row r="359" spans="1:17" x14ac:dyDescent="0.25">
      <c r="A359" s="115" t="s">
        <v>591</v>
      </c>
      <c r="B359" s="857"/>
      <c r="C359" s="863"/>
      <c r="D359" s="861"/>
      <c r="E359" s="863"/>
      <c r="F359" s="865"/>
      <c r="G359" s="865"/>
      <c r="H359" s="867"/>
      <c r="I359" s="400" t="str">
        <f>IF('Mapa R. Fiscal'!Y362="","",'Mapa R. Fiscal'!Y362)</f>
        <v/>
      </c>
      <c r="J359" s="400" t="str">
        <f>IF('Mapa R. Fiscal'!AA362="","",'Mapa R. Fiscal'!AA362)</f>
        <v/>
      </c>
      <c r="K359" s="436" t="str">
        <f t="shared" si="59"/>
        <v/>
      </c>
      <c r="L359" s="400" t="str">
        <f>IF('Mapa R. Fiscal'!AD362="","",'Mapa R. Fiscal'!AD362)</f>
        <v/>
      </c>
      <c r="M359" s="339" t="str">
        <f>IF('Mapa R. Fiscal'!P362="","",'Mapa R. Fiscal'!P362)</f>
        <v/>
      </c>
      <c r="N359" s="70"/>
      <c r="O359" s="70"/>
      <c r="P359" s="70"/>
      <c r="Q359" s="186"/>
    </row>
    <row r="360" spans="1:17" x14ac:dyDescent="0.25">
      <c r="A360" s="115" t="s">
        <v>592</v>
      </c>
      <c r="B360" s="857"/>
      <c r="C360" s="863"/>
      <c r="D360" s="861"/>
      <c r="E360" s="863"/>
      <c r="F360" s="865"/>
      <c r="G360" s="865"/>
      <c r="H360" s="867"/>
      <c r="I360" s="400" t="str">
        <f>IF('Mapa R. Fiscal'!Y363="","",'Mapa R. Fiscal'!Y363)</f>
        <v/>
      </c>
      <c r="J360" s="400" t="str">
        <f>IF('Mapa R. Fiscal'!AA363="","",'Mapa R. Fiscal'!AA363)</f>
        <v/>
      </c>
      <c r="K360" s="436" t="str">
        <f t="shared" si="59"/>
        <v/>
      </c>
      <c r="L360" s="400" t="str">
        <f>IF('Mapa R. Fiscal'!AD363="","",'Mapa R. Fiscal'!AD363)</f>
        <v/>
      </c>
      <c r="M360" s="339" t="str">
        <f>IF('Mapa R. Fiscal'!P363="","",'Mapa R. Fiscal'!P363)</f>
        <v/>
      </c>
      <c r="N360" s="70"/>
      <c r="O360" s="70"/>
      <c r="P360" s="70"/>
      <c r="Q360" s="186"/>
    </row>
    <row r="361" spans="1:17" x14ac:dyDescent="0.25">
      <c r="A361" s="115" t="s">
        <v>593</v>
      </c>
      <c r="B361" s="856"/>
      <c r="C361" s="862" t="str">
        <f>IF('[2]Mapa R. Fiscal '!E364="","",'[2]Mapa R. Fiscal '!E364)</f>
        <v/>
      </c>
      <c r="D361" s="860"/>
      <c r="E361" s="862" t="str">
        <f>IF('[2]Mapa R. Fiscal '!D364="","",'[2]Mapa R. Fiscal '!D364)</f>
        <v/>
      </c>
      <c r="F361" s="864" t="str">
        <f>IF('Mapa R. Fiscal'!H364="","",'Mapa R. Fiscal'!H364)</f>
        <v/>
      </c>
      <c r="G361" s="864" t="str">
        <f>IF('Mapa R. Fiscal'!L364="","",'Mapa R. Fiscal'!L364)</f>
        <v/>
      </c>
      <c r="H361" s="866"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0" t="str">
        <f>IF('Mapa R. Fiscal'!Y364="","",'Mapa R. Fiscal'!Y364)</f>
        <v/>
      </c>
      <c r="J361" s="400" t="str">
        <f>IF('Mapa R. Fiscal'!AA364="","",'Mapa R. Fiscal'!AA364)</f>
        <v/>
      </c>
      <c r="K361" s="436" t="str">
        <f t="shared" si="59"/>
        <v/>
      </c>
      <c r="L361" s="400" t="str">
        <f>IF('Mapa R. Fiscal'!AD364="","",'Mapa R. Fiscal'!AD364)</f>
        <v/>
      </c>
      <c r="M361" s="339" t="str">
        <f>IF('Mapa R. Fiscal'!P364="","",'Mapa R. Fiscal'!P364)</f>
        <v/>
      </c>
      <c r="N361" s="70"/>
      <c r="O361" s="70"/>
      <c r="P361" s="70"/>
      <c r="Q361" s="186"/>
    </row>
    <row r="362" spans="1:17" x14ac:dyDescent="0.25">
      <c r="A362" s="115" t="s">
        <v>594</v>
      </c>
      <c r="B362" s="857"/>
      <c r="C362" s="863"/>
      <c r="D362" s="861"/>
      <c r="E362" s="863"/>
      <c r="F362" s="865"/>
      <c r="G362" s="865"/>
      <c r="H362" s="867"/>
      <c r="I362" s="400" t="str">
        <f>IF('Mapa R. Fiscal'!Y365="","",'Mapa R. Fiscal'!Y365)</f>
        <v/>
      </c>
      <c r="J362" s="400" t="str">
        <f>IF('Mapa R. Fiscal'!AA365="","",'Mapa R. Fiscal'!AA365)</f>
        <v/>
      </c>
      <c r="K362" s="436" t="str">
        <f t="shared" si="59"/>
        <v/>
      </c>
      <c r="L362" s="400" t="str">
        <f>IF('Mapa R. Fiscal'!AD365="","",'Mapa R. Fiscal'!AD365)</f>
        <v/>
      </c>
      <c r="M362" s="339" t="str">
        <f>IF('Mapa R. Fiscal'!P365="","",'Mapa R. Fiscal'!P365)</f>
        <v/>
      </c>
      <c r="N362" s="70"/>
      <c r="O362" s="70"/>
      <c r="P362" s="70"/>
      <c r="Q362" s="186"/>
    </row>
    <row r="363" spans="1:17" x14ac:dyDescent="0.25">
      <c r="A363" s="115" t="s">
        <v>595</v>
      </c>
      <c r="B363" s="857"/>
      <c r="C363" s="863"/>
      <c r="D363" s="861"/>
      <c r="E363" s="863"/>
      <c r="F363" s="865"/>
      <c r="G363" s="865"/>
      <c r="H363" s="867"/>
      <c r="I363" s="400" t="str">
        <f>IF('Mapa R. Fiscal'!Y366="","",'Mapa R. Fiscal'!Y366)</f>
        <v/>
      </c>
      <c r="J363" s="400" t="str">
        <f>IF('Mapa R. Fiscal'!AA366="","",'Mapa R. Fiscal'!AA366)</f>
        <v/>
      </c>
      <c r="K363" s="436" t="str">
        <f t="shared" si="59"/>
        <v/>
      </c>
      <c r="L363" s="400" t="str">
        <f>IF('Mapa R. Fiscal'!AD366="","",'Mapa R. Fiscal'!AD366)</f>
        <v/>
      </c>
      <c r="M363" s="339" t="str">
        <f>IF('Mapa R. Fiscal'!P366="","",'Mapa R. Fiscal'!P366)</f>
        <v/>
      </c>
      <c r="N363" s="70"/>
      <c r="O363" s="70"/>
      <c r="P363" s="70"/>
      <c r="Q363" s="186"/>
    </row>
    <row r="364" spans="1:17" x14ac:dyDescent="0.25">
      <c r="A364" s="115" t="s">
        <v>596</v>
      </c>
      <c r="B364" s="857"/>
      <c r="C364" s="863"/>
      <c r="D364" s="861"/>
      <c r="E364" s="863"/>
      <c r="F364" s="865"/>
      <c r="G364" s="865"/>
      <c r="H364" s="867"/>
      <c r="I364" s="400" t="str">
        <f>IF('Mapa R. Fiscal'!Y367="","",'Mapa R. Fiscal'!Y367)</f>
        <v/>
      </c>
      <c r="J364" s="400" t="str">
        <f>IF('Mapa R. Fiscal'!AA367="","",'Mapa R. Fiscal'!AA367)</f>
        <v/>
      </c>
      <c r="K364" s="436" t="str">
        <f t="shared" si="59"/>
        <v/>
      </c>
      <c r="L364" s="400" t="str">
        <f>IF('Mapa R. Fiscal'!AD367="","",'Mapa R. Fiscal'!AD367)</f>
        <v/>
      </c>
      <c r="M364" s="339" t="str">
        <f>IF('Mapa R. Fiscal'!P367="","",'Mapa R. Fiscal'!P367)</f>
        <v/>
      </c>
      <c r="N364" s="70"/>
      <c r="O364" s="70"/>
      <c r="P364" s="70"/>
      <c r="Q364" s="186"/>
    </row>
    <row r="365" spans="1:17" x14ac:dyDescent="0.25">
      <c r="A365" s="115" t="s">
        <v>597</v>
      </c>
      <c r="B365" s="857"/>
      <c r="C365" s="863"/>
      <c r="D365" s="861"/>
      <c r="E365" s="863"/>
      <c r="F365" s="865"/>
      <c r="G365" s="865"/>
      <c r="H365" s="867"/>
      <c r="I365" s="400" t="str">
        <f>IF('Mapa R. Fiscal'!Y368="","",'Mapa R. Fiscal'!Y368)</f>
        <v/>
      </c>
      <c r="J365" s="400" t="str">
        <f>IF('Mapa R. Fiscal'!AA368="","",'Mapa R. Fiscal'!AA368)</f>
        <v/>
      </c>
      <c r="K365" s="436" t="str">
        <f t="shared" si="59"/>
        <v/>
      </c>
      <c r="L365" s="400" t="str">
        <f>IF('Mapa R. Fiscal'!AD368="","",'Mapa R. Fiscal'!AD368)</f>
        <v/>
      </c>
      <c r="M365" s="339" t="str">
        <f>IF('Mapa R. Fiscal'!P368="","",'Mapa R. Fiscal'!P368)</f>
        <v/>
      </c>
      <c r="N365" s="70"/>
      <c r="O365" s="70"/>
      <c r="P365" s="70"/>
      <c r="Q365" s="186"/>
    </row>
    <row r="366" spans="1:17" x14ac:dyDescent="0.25">
      <c r="A366" s="115" t="s">
        <v>598</v>
      </c>
      <c r="B366" s="857"/>
      <c r="C366" s="863"/>
      <c r="D366" s="861"/>
      <c r="E366" s="863"/>
      <c r="F366" s="865"/>
      <c r="G366" s="865"/>
      <c r="H366" s="867"/>
      <c r="I366" s="400" t="str">
        <f>IF('Mapa R. Fiscal'!Y369="","",'Mapa R. Fiscal'!Y369)</f>
        <v/>
      </c>
      <c r="J366" s="400" t="str">
        <f>IF('Mapa R. Fiscal'!AA369="","",'Mapa R. Fiscal'!AA369)</f>
        <v/>
      </c>
      <c r="K366" s="436" t="str">
        <f t="shared" si="59"/>
        <v/>
      </c>
      <c r="L366" s="400" t="str">
        <f>IF('Mapa R. Fiscal'!AD369="","",'Mapa R. Fiscal'!AD369)</f>
        <v/>
      </c>
      <c r="M366" s="339" t="str">
        <f>IF('Mapa R. Fiscal'!P369="","",'Mapa R. Fiscal'!P369)</f>
        <v/>
      </c>
      <c r="N366" s="70"/>
      <c r="O366" s="70"/>
      <c r="P366" s="70"/>
      <c r="Q366" s="186"/>
    </row>
    <row r="367" spans="1:17" x14ac:dyDescent="0.25">
      <c r="A367" s="115" t="s">
        <v>599</v>
      </c>
      <c r="B367" s="856"/>
      <c r="C367" s="862" t="str">
        <f>IF('[2]Mapa R. Fiscal '!E370="","",'[2]Mapa R. Fiscal '!E370)</f>
        <v/>
      </c>
      <c r="D367" s="860"/>
      <c r="E367" s="862" t="str">
        <f>IF('[2]Mapa R. Fiscal '!D370="","",'[2]Mapa R. Fiscal '!D370)</f>
        <v/>
      </c>
      <c r="F367" s="864" t="str">
        <f>IF('Mapa R. Fiscal'!H370="","",'Mapa R. Fiscal'!H370)</f>
        <v/>
      </c>
      <c r="G367" s="864" t="str">
        <f>IF('Mapa R. Fiscal'!L370="","",'Mapa R. Fiscal'!L370)</f>
        <v/>
      </c>
      <c r="H367" s="866"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0" t="str">
        <f>IF('Mapa R. Fiscal'!Y370="","",'Mapa R. Fiscal'!Y370)</f>
        <v/>
      </c>
      <c r="J367" s="400" t="str">
        <f>IF('Mapa R. Fiscal'!AA370="","",'Mapa R. Fiscal'!AA370)</f>
        <v/>
      </c>
      <c r="K367" s="436" t="str">
        <f t="shared" si="59"/>
        <v/>
      </c>
      <c r="L367" s="400" t="str">
        <f>IF('Mapa R. Fiscal'!AD370="","",'Mapa R. Fiscal'!AD370)</f>
        <v/>
      </c>
      <c r="M367" s="339" t="str">
        <f>IF('Mapa R. Fiscal'!P370="","",'Mapa R. Fiscal'!P370)</f>
        <v/>
      </c>
      <c r="N367" s="70"/>
      <c r="O367" s="70"/>
      <c r="P367" s="70"/>
      <c r="Q367" s="186"/>
    </row>
    <row r="368" spans="1:17" x14ac:dyDescent="0.25">
      <c r="A368" s="115" t="s">
        <v>600</v>
      </c>
      <c r="B368" s="857"/>
      <c r="C368" s="863"/>
      <c r="D368" s="861"/>
      <c r="E368" s="863"/>
      <c r="F368" s="865"/>
      <c r="G368" s="865"/>
      <c r="H368" s="867"/>
      <c r="I368" s="400" t="str">
        <f>IF('Mapa R. Fiscal'!Y371="","",'Mapa R. Fiscal'!Y371)</f>
        <v/>
      </c>
      <c r="J368" s="400" t="str">
        <f>IF('Mapa R. Fiscal'!AA371="","",'Mapa R. Fiscal'!AA371)</f>
        <v/>
      </c>
      <c r="K368" s="436" t="str">
        <f t="shared" si="59"/>
        <v/>
      </c>
      <c r="L368" s="400" t="str">
        <f>IF('Mapa R. Fiscal'!AD371="","",'Mapa R. Fiscal'!AD371)</f>
        <v/>
      </c>
      <c r="M368" s="339" t="str">
        <f>IF('Mapa R. Fiscal'!P371="","",'Mapa R. Fiscal'!P371)</f>
        <v/>
      </c>
      <c r="N368" s="70"/>
      <c r="O368" s="70"/>
      <c r="P368" s="70"/>
      <c r="Q368" s="186"/>
    </row>
    <row r="369" spans="1:17" x14ac:dyDescent="0.25">
      <c r="A369" s="115" t="s">
        <v>601</v>
      </c>
      <c r="B369" s="857"/>
      <c r="C369" s="863"/>
      <c r="D369" s="861"/>
      <c r="E369" s="863"/>
      <c r="F369" s="865"/>
      <c r="G369" s="865"/>
      <c r="H369" s="867"/>
      <c r="I369" s="400" t="str">
        <f>IF('Mapa R. Fiscal'!Y372="","",'Mapa R. Fiscal'!Y372)</f>
        <v/>
      </c>
      <c r="J369" s="400" t="str">
        <f>IF('Mapa R. Fiscal'!AA372="","",'Mapa R. Fiscal'!AA372)</f>
        <v/>
      </c>
      <c r="K369" s="436" t="str">
        <f t="shared" si="59"/>
        <v/>
      </c>
      <c r="L369" s="400" t="str">
        <f>IF('Mapa R. Fiscal'!AD372="","",'Mapa R. Fiscal'!AD372)</f>
        <v/>
      </c>
      <c r="M369" s="339" t="str">
        <f>IF('Mapa R. Fiscal'!P372="","",'Mapa R. Fiscal'!P372)</f>
        <v/>
      </c>
      <c r="N369" s="70"/>
      <c r="O369" s="70"/>
      <c r="P369" s="70"/>
      <c r="Q369" s="186"/>
    </row>
    <row r="370" spans="1:17" x14ac:dyDescent="0.25">
      <c r="A370" s="115" t="s">
        <v>602</v>
      </c>
      <c r="B370" s="857"/>
      <c r="C370" s="863"/>
      <c r="D370" s="861"/>
      <c r="E370" s="863"/>
      <c r="F370" s="865"/>
      <c r="G370" s="865"/>
      <c r="H370" s="867"/>
      <c r="I370" s="400" t="str">
        <f>IF('Mapa R. Fiscal'!Y373="","",'Mapa R. Fiscal'!Y373)</f>
        <v/>
      </c>
      <c r="J370" s="400" t="str">
        <f>IF('Mapa R. Fiscal'!AA373="","",'Mapa R. Fiscal'!AA373)</f>
        <v/>
      </c>
      <c r="K370" s="436" t="str">
        <f t="shared" si="59"/>
        <v/>
      </c>
      <c r="L370" s="400" t="str">
        <f>IF('Mapa R. Fiscal'!AD373="","",'Mapa R. Fiscal'!AD373)</f>
        <v/>
      </c>
      <c r="M370" s="339" t="str">
        <f>IF('Mapa R. Fiscal'!P373="","",'Mapa R. Fiscal'!P373)</f>
        <v/>
      </c>
      <c r="N370" s="70"/>
      <c r="O370" s="70"/>
      <c r="P370" s="70"/>
      <c r="Q370" s="186"/>
    </row>
    <row r="371" spans="1:17" x14ac:dyDescent="0.25">
      <c r="A371" s="115" t="s">
        <v>603</v>
      </c>
      <c r="B371" s="857"/>
      <c r="C371" s="863"/>
      <c r="D371" s="861"/>
      <c r="E371" s="863"/>
      <c r="F371" s="865"/>
      <c r="G371" s="865"/>
      <c r="H371" s="867"/>
      <c r="I371" s="400" t="str">
        <f>IF('Mapa R. Fiscal'!Y374="","",'Mapa R. Fiscal'!Y374)</f>
        <v/>
      </c>
      <c r="J371" s="400" t="str">
        <f>IF('Mapa R. Fiscal'!AA374="","",'Mapa R. Fiscal'!AA374)</f>
        <v/>
      </c>
      <c r="K371" s="436" t="str">
        <f t="shared" si="59"/>
        <v/>
      </c>
      <c r="L371" s="400" t="str">
        <f>IF('Mapa R. Fiscal'!AD374="","",'Mapa R. Fiscal'!AD374)</f>
        <v/>
      </c>
      <c r="M371" s="339" t="str">
        <f>IF('Mapa R. Fiscal'!P374="","",'Mapa R. Fiscal'!P374)</f>
        <v/>
      </c>
      <c r="N371" s="70"/>
      <c r="O371" s="70"/>
      <c r="P371" s="70"/>
      <c r="Q371" s="186"/>
    </row>
    <row r="372" spans="1:17" x14ac:dyDescent="0.25">
      <c r="A372" s="115" t="s">
        <v>604</v>
      </c>
      <c r="B372" s="857"/>
      <c r="C372" s="863"/>
      <c r="D372" s="861"/>
      <c r="E372" s="863"/>
      <c r="F372" s="865"/>
      <c r="G372" s="865"/>
      <c r="H372" s="867"/>
      <c r="I372" s="400" t="str">
        <f>IF('Mapa R. Fiscal'!Y375="","",'Mapa R. Fiscal'!Y375)</f>
        <v/>
      </c>
      <c r="J372" s="400" t="str">
        <f>IF('Mapa R. Fiscal'!AA375="","",'Mapa R. Fiscal'!AA375)</f>
        <v/>
      </c>
      <c r="K372" s="436" t="str">
        <f t="shared" si="59"/>
        <v/>
      </c>
      <c r="L372" s="400" t="str">
        <f>IF('Mapa R. Fiscal'!AD375="","",'Mapa R. Fiscal'!AD375)</f>
        <v/>
      </c>
      <c r="M372" s="339" t="str">
        <f>IF('Mapa R. Fiscal'!P375="","",'Mapa R. Fiscal'!P375)</f>
        <v/>
      </c>
      <c r="N372" s="70"/>
      <c r="O372" s="70"/>
      <c r="P372" s="70"/>
      <c r="Q372" s="186"/>
    </row>
    <row r="373" spans="1:17" x14ac:dyDescent="0.25">
      <c r="A373" s="115" t="s">
        <v>605</v>
      </c>
      <c r="B373" s="856"/>
      <c r="C373" s="862" t="str">
        <f>IF('[2]Mapa R. Fiscal '!E376="","",'[2]Mapa R. Fiscal '!E376)</f>
        <v/>
      </c>
      <c r="D373" s="860"/>
      <c r="E373" s="862" t="str">
        <f>IF('[2]Mapa R. Fiscal '!D376="","",'[2]Mapa R. Fiscal '!D376)</f>
        <v/>
      </c>
      <c r="F373" s="864" t="str">
        <f>IF('Mapa R. Fiscal'!H376="","",'Mapa R. Fiscal'!H376)</f>
        <v/>
      </c>
      <c r="G373" s="864" t="str">
        <f>IF('Mapa R. Fiscal'!L376="","",'Mapa R. Fiscal'!L376)</f>
        <v/>
      </c>
      <c r="H373" s="866"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0" t="str">
        <f>IF('Mapa R. Fiscal'!Y376="","",'Mapa R. Fiscal'!Y376)</f>
        <v/>
      </c>
      <c r="J373" s="400" t="str">
        <f>IF('Mapa R. Fiscal'!AA376="","",'Mapa R. Fiscal'!AA376)</f>
        <v/>
      </c>
      <c r="K373" s="436" t="str">
        <f t="shared" si="59"/>
        <v/>
      </c>
      <c r="L373" s="400" t="str">
        <f>IF('Mapa R. Fiscal'!AD376="","",'Mapa R. Fiscal'!AD376)</f>
        <v/>
      </c>
      <c r="M373" s="339" t="str">
        <f>IF('Mapa R. Fiscal'!P376="","",'Mapa R. Fiscal'!P376)</f>
        <v/>
      </c>
      <c r="N373" s="70"/>
      <c r="O373" s="70"/>
      <c r="P373" s="70"/>
      <c r="Q373" s="186"/>
    </row>
    <row r="374" spans="1:17" x14ac:dyDescent="0.25">
      <c r="A374" s="115" t="s">
        <v>606</v>
      </c>
      <c r="B374" s="857"/>
      <c r="C374" s="863"/>
      <c r="D374" s="861"/>
      <c r="E374" s="863"/>
      <c r="F374" s="865"/>
      <c r="G374" s="865"/>
      <c r="H374" s="867"/>
      <c r="I374" s="400" t="str">
        <f>IF('Mapa R. Fiscal'!Y377="","",'Mapa R. Fiscal'!Y377)</f>
        <v/>
      </c>
      <c r="J374" s="400" t="str">
        <f>IF('Mapa R. Fiscal'!AA377="","",'Mapa R. Fiscal'!AA377)</f>
        <v/>
      </c>
      <c r="K374" s="436" t="str">
        <f t="shared" si="59"/>
        <v/>
      </c>
      <c r="L374" s="400" t="str">
        <f>IF('Mapa R. Fiscal'!AD377="","",'Mapa R. Fiscal'!AD377)</f>
        <v/>
      </c>
      <c r="M374" s="339" t="str">
        <f>IF('Mapa R. Fiscal'!P377="","",'Mapa R. Fiscal'!P377)</f>
        <v/>
      </c>
      <c r="N374" s="70"/>
      <c r="O374" s="70"/>
      <c r="P374" s="70"/>
      <c r="Q374" s="186"/>
    </row>
    <row r="375" spans="1:17" x14ac:dyDescent="0.25">
      <c r="A375" s="115" t="s">
        <v>607</v>
      </c>
      <c r="B375" s="857"/>
      <c r="C375" s="863"/>
      <c r="D375" s="861"/>
      <c r="E375" s="863"/>
      <c r="F375" s="865"/>
      <c r="G375" s="865"/>
      <c r="H375" s="867"/>
      <c r="I375" s="400" t="str">
        <f>IF('Mapa R. Fiscal'!Y378="","",'Mapa R. Fiscal'!Y378)</f>
        <v/>
      </c>
      <c r="J375" s="400" t="str">
        <f>IF('Mapa R. Fiscal'!AA378="","",'Mapa R. Fiscal'!AA378)</f>
        <v/>
      </c>
      <c r="K375" s="436" t="str">
        <f t="shared" si="59"/>
        <v/>
      </c>
      <c r="L375" s="400" t="str">
        <f>IF('Mapa R. Fiscal'!AD378="","",'Mapa R. Fiscal'!AD378)</f>
        <v/>
      </c>
      <c r="M375" s="339" t="str">
        <f>IF('Mapa R. Fiscal'!P378="","",'Mapa R. Fiscal'!P378)</f>
        <v/>
      </c>
      <c r="N375" s="70"/>
      <c r="O375" s="70"/>
      <c r="P375" s="70"/>
      <c r="Q375" s="186"/>
    </row>
    <row r="376" spans="1:17" x14ac:dyDescent="0.25">
      <c r="A376" s="115" t="s">
        <v>608</v>
      </c>
      <c r="B376" s="857"/>
      <c r="C376" s="863"/>
      <c r="D376" s="861"/>
      <c r="E376" s="863"/>
      <c r="F376" s="865"/>
      <c r="G376" s="865"/>
      <c r="H376" s="867"/>
      <c r="I376" s="400" t="str">
        <f>IF('Mapa R. Fiscal'!Y379="","",'Mapa R. Fiscal'!Y379)</f>
        <v/>
      </c>
      <c r="J376" s="400" t="str">
        <f>IF('Mapa R. Fiscal'!AA379="","",'Mapa R. Fiscal'!AA379)</f>
        <v/>
      </c>
      <c r="K376" s="436" t="str">
        <f t="shared" si="59"/>
        <v/>
      </c>
      <c r="L376" s="400" t="str">
        <f>IF('Mapa R. Fiscal'!AD379="","",'Mapa R. Fiscal'!AD379)</f>
        <v/>
      </c>
      <c r="M376" s="339" t="str">
        <f>IF('Mapa R. Fiscal'!P379="","",'Mapa R. Fiscal'!P379)</f>
        <v/>
      </c>
      <c r="N376" s="70"/>
      <c r="O376" s="70"/>
      <c r="P376" s="70"/>
      <c r="Q376" s="186"/>
    </row>
    <row r="377" spans="1:17" x14ac:dyDescent="0.25">
      <c r="A377" s="115" t="s">
        <v>609</v>
      </c>
      <c r="B377" s="857"/>
      <c r="C377" s="863"/>
      <c r="D377" s="861"/>
      <c r="E377" s="863"/>
      <c r="F377" s="865"/>
      <c r="G377" s="865"/>
      <c r="H377" s="867"/>
      <c r="I377" s="400" t="str">
        <f>IF('Mapa R. Fiscal'!Y380="","",'Mapa R. Fiscal'!Y380)</f>
        <v/>
      </c>
      <c r="J377" s="400" t="str">
        <f>IF('Mapa R. Fiscal'!AA380="","",'Mapa R. Fiscal'!AA380)</f>
        <v/>
      </c>
      <c r="K377" s="436" t="str">
        <f t="shared" si="59"/>
        <v/>
      </c>
      <c r="L377" s="400" t="str">
        <f>IF('Mapa R. Fiscal'!AD380="","",'Mapa R. Fiscal'!AD380)</f>
        <v/>
      </c>
      <c r="M377" s="339" t="str">
        <f>IF('Mapa R. Fiscal'!P380="","",'Mapa R. Fiscal'!P380)</f>
        <v/>
      </c>
      <c r="N377" s="70"/>
      <c r="O377" s="70"/>
      <c r="P377" s="70"/>
      <c r="Q377" s="186"/>
    </row>
    <row r="378" spans="1:17" x14ac:dyDescent="0.25">
      <c r="A378" s="115" t="s">
        <v>610</v>
      </c>
      <c r="B378" s="857"/>
      <c r="C378" s="863"/>
      <c r="D378" s="861"/>
      <c r="E378" s="863"/>
      <c r="F378" s="865"/>
      <c r="G378" s="865"/>
      <c r="H378" s="867"/>
      <c r="I378" s="400" t="str">
        <f>IF('Mapa R. Fiscal'!Y381="","",'Mapa R. Fiscal'!Y381)</f>
        <v/>
      </c>
      <c r="J378" s="400" t="str">
        <f>IF('Mapa R. Fiscal'!AA381="","",'Mapa R. Fiscal'!AA381)</f>
        <v/>
      </c>
      <c r="K378" s="436" t="str">
        <f t="shared" si="59"/>
        <v/>
      </c>
      <c r="L378" s="400" t="str">
        <f>IF('Mapa R. Fiscal'!AD381="","",'Mapa R. Fiscal'!AD381)</f>
        <v/>
      </c>
      <c r="M378" s="339" t="str">
        <f>IF('Mapa R. Fiscal'!P381="","",'Mapa R. Fiscal'!P381)</f>
        <v/>
      </c>
      <c r="N378" s="70"/>
      <c r="O378" s="70"/>
      <c r="P378" s="70"/>
      <c r="Q378" s="186"/>
    </row>
    <row r="379" spans="1:17" x14ac:dyDescent="0.25">
      <c r="A379" s="115" t="s">
        <v>611</v>
      </c>
      <c r="B379" s="856"/>
      <c r="C379" s="862" t="str">
        <f>IF('[2]Mapa R. Fiscal '!E382="","",'[2]Mapa R. Fiscal '!E382)</f>
        <v/>
      </c>
      <c r="D379" s="860"/>
      <c r="E379" s="862" t="str">
        <f>IF('[2]Mapa R. Fiscal '!D382="","",'[2]Mapa R. Fiscal '!D382)</f>
        <v/>
      </c>
      <c r="F379" s="864" t="str">
        <f>IF('Mapa R. Fiscal'!H382="","",'Mapa R. Fiscal'!H382)</f>
        <v/>
      </c>
      <c r="G379" s="864" t="str">
        <f>IF('Mapa R. Fiscal'!L382="","",'Mapa R. Fiscal'!L382)</f>
        <v/>
      </c>
      <c r="H379" s="866"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0" t="str">
        <f>IF('Mapa R. Fiscal'!Y382="","",'Mapa R. Fiscal'!Y382)</f>
        <v/>
      </c>
      <c r="J379" s="400" t="str">
        <f>IF('Mapa R. Fiscal'!AA382="","",'Mapa R. Fiscal'!AA382)</f>
        <v/>
      </c>
      <c r="K379" s="436" t="str">
        <f t="shared" si="59"/>
        <v/>
      </c>
      <c r="L379" s="400" t="str">
        <f>IF('Mapa R. Fiscal'!AD382="","",'Mapa R. Fiscal'!AD382)</f>
        <v/>
      </c>
      <c r="M379" s="339" t="str">
        <f>IF('Mapa R. Fiscal'!P382="","",'Mapa R. Fiscal'!P382)</f>
        <v/>
      </c>
      <c r="N379" s="70"/>
      <c r="O379" s="70"/>
      <c r="P379" s="70"/>
      <c r="Q379" s="186"/>
    </row>
    <row r="380" spans="1:17" x14ac:dyDescent="0.25">
      <c r="A380" s="115" t="s">
        <v>612</v>
      </c>
      <c r="B380" s="857"/>
      <c r="C380" s="863"/>
      <c r="D380" s="861"/>
      <c r="E380" s="863"/>
      <c r="F380" s="865"/>
      <c r="G380" s="865"/>
      <c r="H380" s="867"/>
      <c r="I380" s="400" t="str">
        <f>IF('Mapa R. Fiscal'!Y383="","",'Mapa R. Fiscal'!Y383)</f>
        <v/>
      </c>
      <c r="J380" s="400" t="str">
        <f>IF('Mapa R. Fiscal'!AA383="","",'Mapa R. Fiscal'!AA383)</f>
        <v/>
      </c>
      <c r="K380" s="436" t="str">
        <f t="shared" si="59"/>
        <v/>
      </c>
      <c r="L380" s="400" t="str">
        <f>IF('Mapa R. Fiscal'!AD383="","",'Mapa R. Fiscal'!AD383)</f>
        <v/>
      </c>
      <c r="M380" s="339" t="str">
        <f>IF('Mapa R. Fiscal'!P383="","",'Mapa R. Fiscal'!P383)</f>
        <v/>
      </c>
      <c r="N380" s="70"/>
      <c r="O380" s="70"/>
      <c r="P380" s="70"/>
      <c r="Q380" s="186"/>
    </row>
    <row r="381" spans="1:17" x14ac:dyDescent="0.25">
      <c r="A381" s="115" t="s">
        <v>613</v>
      </c>
      <c r="B381" s="857"/>
      <c r="C381" s="863"/>
      <c r="D381" s="861"/>
      <c r="E381" s="863"/>
      <c r="F381" s="865"/>
      <c r="G381" s="865"/>
      <c r="H381" s="867"/>
      <c r="I381" s="400" t="str">
        <f>IF('Mapa R. Fiscal'!Y384="","",'Mapa R. Fiscal'!Y384)</f>
        <v/>
      </c>
      <c r="J381" s="400" t="str">
        <f>IF('Mapa R. Fiscal'!AA384="","",'Mapa R. Fiscal'!AA384)</f>
        <v/>
      </c>
      <c r="K381" s="436" t="str">
        <f t="shared" si="59"/>
        <v/>
      </c>
      <c r="L381" s="400" t="str">
        <f>IF('Mapa R. Fiscal'!AD384="","",'Mapa R. Fiscal'!AD384)</f>
        <v/>
      </c>
      <c r="M381" s="339" t="str">
        <f>IF('Mapa R. Fiscal'!P384="","",'Mapa R. Fiscal'!P384)</f>
        <v/>
      </c>
      <c r="N381" s="70"/>
      <c r="O381" s="70"/>
      <c r="P381" s="70"/>
      <c r="Q381" s="186"/>
    </row>
    <row r="382" spans="1:17" x14ac:dyDescent="0.25">
      <c r="A382" s="115" t="s">
        <v>614</v>
      </c>
      <c r="B382" s="857"/>
      <c r="C382" s="863"/>
      <c r="D382" s="861"/>
      <c r="E382" s="863"/>
      <c r="F382" s="865"/>
      <c r="G382" s="865"/>
      <c r="H382" s="867"/>
      <c r="I382" s="400" t="str">
        <f>IF('Mapa R. Fiscal'!Y385="","",'Mapa R. Fiscal'!Y385)</f>
        <v/>
      </c>
      <c r="J382" s="400" t="str">
        <f>IF('Mapa R. Fiscal'!AA385="","",'Mapa R. Fiscal'!AA385)</f>
        <v/>
      </c>
      <c r="K382" s="436" t="str">
        <f t="shared" si="59"/>
        <v/>
      </c>
      <c r="L382" s="400" t="str">
        <f>IF('Mapa R. Fiscal'!AD385="","",'Mapa R. Fiscal'!AD385)</f>
        <v/>
      </c>
      <c r="M382" s="339" t="str">
        <f>IF('Mapa R. Fiscal'!P385="","",'Mapa R. Fiscal'!P385)</f>
        <v/>
      </c>
      <c r="N382" s="70"/>
      <c r="O382" s="70"/>
      <c r="P382" s="70"/>
      <c r="Q382" s="186"/>
    </row>
    <row r="383" spans="1:17" x14ac:dyDescent="0.25">
      <c r="A383" s="115" t="s">
        <v>615</v>
      </c>
      <c r="B383" s="857"/>
      <c r="C383" s="863"/>
      <c r="D383" s="861"/>
      <c r="E383" s="863"/>
      <c r="F383" s="865"/>
      <c r="G383" s="865"/>
      <c r="H383" s="867"/>
      <c r="I383" s="400" t="str">
        <f>IF('Mapa R. Fiscal'!Y386="","",'Mapa R. Fiscal'!Y386)</f>
        <v/>
      </c>
      <c r="J383" s="400" t="str">
        <f>IF('Mapa R. Fiscal'!AA386="","",'Mapa R. Fiscal'!AA386)</f>
        <v/>
      </c>
      <c r="K383" s="436" t="str">
        <f t="shared" si="59"/>
        <v/>
      </c>
      <c r="L383" s="400" t="str">
        <f>IF('Mapa R. Fiscal'!AD386="","",'Mapa R. Fiscal'!AD386)</f>
        <v/>
      </c>
      <c r="M383" s="339" t="str">
        <f>IF('Mapa R. Fiscal'!P386="","",'Mapa R. Fiscal'!P386)</f>
        <v/>
      </c>
      <c r="N383" s="70"/>
      <c r="O383" s="70"/>
      <c r="P383" s="70"/>
      <c r="Q383" s="186"/>
    </row>
    <row r="384" spans="1:17" x14ac:dyDescent="0.25">
      <c r="A384" s="115" t="s">
        <v>616</v>
      </c>
      <c r="B384" s="857"/>
      <c r="C384" s="863"/>
      <c r="D384" s="861"/>
      <c r="E384" s="863"/>
      <c r="F384" s="865"/>
      <c r="G384" s="865"/>
      <c r="H384" s="867"/>
      <c r="I384" s="400" t="str">
        <f>IF('Mapa R. Fiscal'!Y387="","",'Mapa R. Fiscal'!Y387)</f>
        <v/>
      </c>
      <c r="J384" s="400" t="str">
        <f>IF('Mapa R. Fiscal'!AA387="","",'Mapa R. Fiscal'!AA387)</f>
        <v/>
      </c>
      <c r="K384" s="436" t="str">
        <f t="shared" si="59"/>
        <v/>
      </c>
      <c r="L384" s="400" t="str">
        <f>IF('Mapa R. Fiscal'!AD387="","",'Mapa R. Fiscal'!AD387)</f>
        <v/>
      </c>
      <c r="M384" s="339" t="str">
        <f>IF('Mapa R. Fiscal'!P387="","",'Mapa R. Fiscal'!P387)</f>
        <v/>
      </c>
      <c r="N384" s="70"/>
      <c r="O384" s="70"/>
      <c r="P384" s="70"/>
      <c r="Q384" s="186"/>
    </row>
    <row r="385" spans="1:17" x14ac:dyDescent="0.25">
      <c r="A385" s="115" t="s">
        <v>617</v>
      </c>
      <c r="B385" s="856"/>
      <c r="C385" s="862" t="str">
        <f>IF('[2]Mapa R. Fiscal '!E388="","",'[2]Mapa R. Fiscal '!E388)</f>
        <v/>
      </c>
      <c r="D385" s="860"/>
      <c r="E385" s="862" t="str">
        <f>IF('[2]Mapa R. Fiscal '!D388="","",'[2]Mapa R. Fiscal '!D388)</f>
        <v/>
      </c>
      <c r="F385" s="864" t="str">
        <f>IF('Mapa R. Fiscal'!H388="","",'Mapa R. Fiscal'!H388)</f>
        <v/>
      </c>
      <c r="G385" s="864" t="str">
        <f>IF('Mapa R. Fiscal'!L388="","",'Mapa R. Fiscal'!L388)</f>
        <v/>
      </c>
      <c r="H385" s="866"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0" t="str">
        <f>IF('Mapa R. Fiscal'!Y388="","",'Mapa R. Fiscal'!Y388)</f>
        <v/>
      </c>
      <c r="J385" s="400" t="str">
        <f>IF('Mapa R. Fiscal'!AA388="","",'Mapa R. Fiscal'!AA388)</f>
        <v/>
      </c>
      <c r="K385" s="436" t="str">
        <f t="shared" si="59"/>
        <v/>
      </c>
      <c r="L385" s="400" t="str">
        <f>IF('Mapa R. Fiscal'!AD388="","",'Mapa R. Fiscal'!AD388)</f>
        <v/>
      </c>
      <c r="M385" s="339" t="str">
        <f>IF('Mapa R. Fiscal'!P388="","",'Mapa R. Fiscal'!P388)</f>
        <v/>
      </c>
      <c r="N385" s="70"/>
      <c r="O385" s="70"/>
      <c r="P385" s="70"/>
      <c r="Q385" s="186"/>
    </row>
    <row r="386" spans="1:17" x14ac:dyDescent="0.25">
      <c r="A386" s="115" t="s">
        <v>618</v>
      </c>
      <c r="B386" s="857"/>
      <c r="C386" s="863"/>
      <c r="D386" s="861"/>
      <c r="E386" s="863"/>
      <c r="F386" s="865"/>
      <c r="G386" s="865"/>
      <c r="H386" s="867"/>
      <c r="I386" s="400" t="str">
        <f>IF('Mapa R. Fiscal'!Y389="","",'Mapa R. Fiscal'!Y389)</f>
        <v/>
      </c>
      <c r="J386" s="400" t="str">
        <f>IF('Mapa R. Fiscal'!AA389="","",'Mapa R. Fiscal'!AA389)</f>
        <v/>
      </c>
      <c r="K386" s="436" t="str">
        <f t="shared" si="59"/>
        <v/>
      </c>
      <c r="L386" s="400" t="str">
        <f>IF('Mapa R. Fiscal'!AD389="","",'Mapa R. Fiscal'!AD389)</f>
        <v/>
      </c>
      <c r="M386" s="339" t="str">
        <f>IF('Mapa R. Fiscal'!P389="","",'Mapa R. Fiscal'!P389)</f>
        <v/>
      </c>
      <c r="N386" s="70"/>
      <c r="O386" s="70"/>
      <c r="P386" s="70"/>
      <c r="Q386" s="186"/>
    </row>
    <row r="387" spans="1:17" x14ac:dyDescent="0.25">
      <c r="A387" s="115" t="s">
        <v>619</v>
      </c>
      <c r="B387" s="857"/>
      <c r="C387" s="863"/>
      <c r="D387" s="861"/>
      <c r="E387" s="863"/>
      <c r="F387" s="865"/>
      <c r="G387" s="865"/>
      <c r="H387" s="867"/>
      <c r="I387" s="400" t="str">
        <f>IF('Mapa R. Fiscal'!Y390="","",'Mapa R. Fiscal'!Y390)</f>
        <v/>
      </c>
      <c r="J387" s="400" t="str">
        <f>IF('Mapa R. Fiscal'!AA390="","",'Mapa R. Fiscal'!AA390)</f>
        <v/>
      </c>
      <c r="K387" s="436" t="str">
        <f t="shared" si="59"/>
        <v/>
      </c>
      <c r="L387" s="400" t="str">
        <f>IF('Mapa R. Fiscal'!AD390="","",'Mapa R. Fiscal'!AD390)</f>
        <v/>
      </c>
      <c r="M387" s="339" t="str">
        <f>IF('Mapa R. Fiscal'!P390="","",'Mapa R. Fiscal'!P390)</f>
        <v/>
      </c>
      <c r="N387" s="70"/>
      <c r="O387" s="70"/>
      <c r="P387" s="70"/>
      <c r="Q387" s="186"/>
    </row>
    <row r="388" spans="1:17" x14ac:dyDescent="0.25">
      <c r="A388" s="115" t="s">
        <v>620</v>
      </c>
      <c r="B388" s="857"/>
      <c r="C388" s="863"/>
      <c r="D388" s="861"/>
      <c r="E388" s="863"/>
      <c r="F388" s="865"/>
      <c r="G388" s="865"/>
      <c r="H388" s="867"/>
      <c r="I388" s="400" t="str">
        <f>IF('Mapa R. Fiscal'!Y391="","",'Mapa R. Fiscal'!Y391)</f>
        <v/>
      </c>
      <c r="J388" s="400" t="str">
        <f>IF('Mapa R. Fiscal'!AA391="","",'Mapa R. Fiscal'!AA391)</f>
        <v/>
      </c>
      <c r="K388" s="436" t="str">
        <f t="shared" si="59"/>
        <v/>
      </c>
      <c r="L388" s="400" t="str">
        <f>IF('Mapa R. Fiscal'!AD391="","",'Mapa R. Fiscal'!AD391)</f>
        <v/>
      </c>
      <c r="M388" s="339" t="str">
        <f>IF('Mapa R. Fiscal'!P391="","",'Mapa R. Fiscal'!P391)</f>
        <v/>
      </c>
      <c r="N388" s="70"/>
      <c r="O388" s="70"/>
      <c r="P388" s="70"/>
      <c r="Q388" s="186"/>
    </row>
    <row r="389" spans="1:17" x14ac:dyDescent="0.25">
      <c r="A389" s="115" t="s">
        <v>621</v>
      </c>
      <c r="B389" s="857"/>
      <c r="C389" s="863"/>
      <c r="D389" s="861"/>
      <c r="E389" s="863"/>
      <c r="F389" s="865"/>
      <c r="G389" s="865"/>
      <c r="H389" s="867"/>
      <c r="I389" s="400" t="str">
        <f>IF('Mapa R. Fiscal'!Y392="","",'Mapa R. Fiscal'!Y392)</f>
        <v/>
      </c>
      <c r="J389" s="400" t="str">
        <f>IF('Mapa R. Fiscal'!AA392="","",'Mapa R. Fiscal'!AA392)</f>
        <v/>
      </c>
      <c r="K389" s="436" t="str">
        <f t="shared" si="59"/>
        <v/>
      </c>
      <c r="L389" s="400" t="str">
        <f>IF('Mapa R. Fiscal'!AD392="","",'Mapa R. Fiscal'!AD392)</f>
        <v/>
      </c>
      <c r="M389" s="339" t="str">
        <f>IF('Mapa R. Fiscal'!P392="","",'Mapa R. Fiscal'!P392)</f>
        <v/>
      </c>
      <c r="N389" s="70"/>
      <c r="O389" s="70"/>
      <c r="P389" s="70"/>
      <c r="Q389" s="186"/>
    </row>
    <row r="390" spans="1:17" x14ac:dyDescent="0.25">
      <c r="A390" s="115" t="s">
        <v>622</v>
      </c>
      <c r="B390" s="857"/>
      <c r="C390" s="863"/>
      <c r="D390" s="861"/>
      <c r="E390" s="863"/>
      <c r="F390" s="865"/>
      <c r="G390" s="865"/>
      <c r="H390" s="867"/>
      <c r="I390" s="400" t="str">
        <f>IF('Mapa R. Fiscal'!Y393="","",'Mapa R. Fiscal'!Y393)</f>
        <v/>
      </c>
      <c r="J390" s="400" t="str">
        <f>IF('Mapa R. Fiscal'!AA393="","",'Mapa R. Fiscal'!AA393)</f>
        <v/>
      </c>
      <c r="K390" s="436" t="str">
        <f t="shared" si="59"/>
        <v/>
      </c>
      <c r="L390" s="400" t="str">
        <f>IF('Mapa R. Fiscal'!AD393="","",'Mapa R. Fiscal'!AD393)</f>
        <v/>
      </c>
      <c r="M390" s="339" t="str">
        <f>IF('Mapa R. Fiscal'!P393="","",'Mapa R. Fiscal'!P393)</f>
        <v/>
      </c>
      <c r="N390" s="70"/>
      <c r="O390" s="70"/>
      <c r="P390" s="70"/>
      <c r="Q390" s="186"/>
    </row>
    <row r="391" spans="1:17" x14ac:dyDescent="0.25">
      <c r="A391" s="115" t="s">
        <v>623</v>
      </c>
      <c r="B391" s="856"/>
      <c r="C391" s="862" t="str">
        <f>IF('[2]Mapa R. Fiscal '!E394="","",'[2]Mapa R. Fiscal '!E394)</f>
        <v/>
      </c>
      <c r="D391" s="860"/>
      <c r="E391" s="862" t="str">
        <f>IF('[2]Mapa R. Fiscal '!D394="","",'[2]Mapa R. Fiscal '!D394)</f>
        <v/>
      </c>
      <c r="F391" s="864" t="str">
        <f>IF('Mapa R. Fiscal'!H394="","",'Mapa R. Fiscal'!H394)</f>
        <v/>
      </c>
      <c r="G391" s="864" t="str">
        <f>IF('Mapa R. Fiscal'!L394="","",'Mapa R. Fiscal'!L394)</f>
        <v/>
      </c>
      <c r="H391" s="866"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0" t="str">
        <f>IF('Mapa R. Fiscal'!Y394="","",'Mapa R. Fiscal'!Y394)</f>
        <v/>
      </c>
      <c r="J391" s="400" t="str">
        <f>IF('Mapa R. Fiscal'!AA394="","",'Mapa R. Fiscal'!AA394)</f>
        <v/>
      </c>
      <c r="K391" s="436"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0" t="str">
        <f>IF('Mapa R. Fiscal'!AD394="","",'Mapa R. Fiscal'!AD394)</f>
        <v/>
      </c>
      <c r="M391" s="339" t="str">
        <f>IF('Mapa R. Fiscal'!P394="","",'Mapa R. Fiscal'!P394)</f>
        <v/>
      </c>
      <c r="N391" s="70"/>
      <c r="O391" s="70"/>
      <c r="P391" s="70"/>
      <c r="Q391" s="186"/>
    </row>
    <row r="392" spans="1:17" x14ac:dyDescent="0.25">
      <c r="A392" s="115" t="s">
        <v>624</v>
      </c>
      <c r="B392" s="857"/>
      <c r="C392" s="863"/>
      <c r="D392" s="861"/>
      <c r="E392" s="863"/>
      <c r="F392" s="865"/>
      <c r="G392" s="865"/>
      <c r="H392" s="867"/>
      <c r="I392" s="400" t="str">
        <f>IF('Mapa R. Fiscal'!Y395="","",'Mapa R. Fiscal'!Y395)</f>
        <v/>
      </c>
      <c r="J392" s="400" t="str">
        <f>IF('Mapa R. Fiscal'!AA395="","",'Mapa R. Fiscal'!AA395)</f>
        <v/>
      </c>
      <c r="K392" s="436" t="str">
        <f t="shared" si="71"/>
        <v/>
      </c>
      <c r="L392" s="400" t="str">
        <f>IF('Mapa R. Fiscal'!AD395="","",'Mapa R. Fiscal'!AD395)</f>
        <v/>
      </c>
      <c r="M392" s="339" t="str">
        <f>IF('Mapa R. Fiscal'!P395="","",'Mapa R. Fiscal'!P395)</f>
        <v/>
      </c>
      <c r="N392" s="70"/>
      <c r="O392" s="70"/>
      <c r="P392" s="70"/>
      <c r="Q392" s="186"/>
    </row>
    <row r="393" spans="1:17" x14ac:dyDescent="0.25">
      <c r="A393" s="115" t="s">
        <v>625</v>
      </c>
      <c r="B393" s="857"/>
      <c r="C393" s="863"/>
      <c r="D393" s="861"/>
      <c r="E393" s="863"/>
      <c r="F393" s="865"/>
      <c r="G393" s="865"/>
      <c r="H393" s="867"/>
      <c r="I393" s="400" t="str">
        <f>IF('Mapa R. Fiscal'!Y396="","",'Mapa R. Fiscal'!Y396)</f>
        <v/>
      </c>
      <c r="J393" s="400" t="str">
        <f>IF('Mapa R. Fiscal'!AA396="","",'Mapa R. Fiscal'!AA396)</f>
        <v/>
      </c>
      <c r="K393" s="436" t="str">
        <f t="shared" si="71"/>
        <v/>
      </c>
      <c r="L393" s="400" t="str">
        <f>IF('Mapa R. Fiscal'!AD396="","",'Mapa R. Fiscal'!AD396)</f>
        <v/>
      </c>
      <c r="M393" s="339" t="str">
        <f>IF('Mapa R. Fiscal'!P396="","",'Mapa R. Fiscal'!P396)</f>
        <v/>
      </c>
      <c r="N393" s="70"/>
      <c r="O393" s="70"/>
      <c r="P393" s="70"/>
      <c r="Q393" s="186"/>
    </row>
    <row r="394" spans="1:17" x14ac:dyDescent="0.25">
      <c r="A394" s="115" t="s">
        <v>626</v>
      </c>
      <c r="B394" s="857"/>
      <c r="C394" s="863"/>
      <c r="D394" s="861"/>
      <c r="E394" s="863"/>
      <c r="F394" s="865"/>
      <c r="G394" s="865"/>
      <c r="H394" s="867"/>
      <c r="I394" s="400" t="str">
        <f>IF('Mapa R. Fiscal'!Y397="","",'Mapa R. Fiscal'!Y397)</f>
        <v/>
      </c>
      <c r="J394" s="400" t="str">
        <f>IF('Mapa R. Fiscal'!AA397="","",'Mapa R. Fiscal'!AA397)</f>
        <v/>
      </c>
      <c r="K394" s="436" t="str">
        <f t="shared" si="71"/>
        <v/>
      </c>
      <c r="L394" s="400" t="str">
        <f>IF('Mapa R. Fiscal'!AD397="","",'Mapa R. Fiscal'!AD397)</f>
        <v/>
      </c>
      <c r="M394" s="339" t="str">
        <f>IF('Mapa R. Fiscal'!P397="","",'Mapa R. Fiscal'!P397)</f>
        <v/>
      </c>
      <c r="N394" s="70"/>
      <c r="O394" s="70"/>
      <c r="P394" s="70"/>
      <c r="Q394" s="186"/>
    </row>
    <row r="395" spans="1:17" x14ac:dyDescent="0.25">
      <c r="A395" s="115" t="s">
        <v>627</v>
      </c>
      <c r="B395" s="857"/>
      <c r="C395" s="863"/>
      <c r="D395" s="861"/>
      <c r="E395" s="863"/>
      <c r="F395" s="865"/>
      <c r="G395" s="865"/>
      <c r="H395" s="867"/>
      <c r="I395" s="400" t="str">
        <f>IF('Mapa R. Fiscal'!Y398="","",'Mapa R. Fiscal'!Y398)</f>
        <v/>
      </c>
      <c r="J395" s="400" t="str">
        <f>IF('Mapa R. Fiscal'!AA398="","",'Mapa R. Fiscal'!AA398)</f>
        <v/>
      </c>
      <c r="K395" s="436" t="str">
        <f t="shared" si="71"/>
        <v/>
      </c>
      <c r="L395" s="400" t="str">
        <f>IF('Mapa R. Fiscal'!AD398="","",'Mapa R. Fiscal'!AD398)</f>
        <v/>
      </c>
      <c r="M395" s="339" t="str">
        <f>IF('Mapa R. Fiscal'!P398="","",'Mapa R. Fiscal'!P398)</f>
        <v/>
      </c>
      <c r="N395" s="70"/>
      <c r="O395" s="70"/>
      <c r="P395" s="70"/>
      <c r="Q395" s="186"/>
    </row>
    <row r="396" spans="1:17" x14ac:dyDescent="0.25">
      <c r="A396" s="115" t="s">
        <v>628</v>
      </c>
      <c r="B396" s="857"/>
      <c r="C396" s="863"/>
      <c r="D396" s="861"/>
      <c r="E396" s="863"/>
      <c r="F396" s="865"/>
      <c r="G396" s="865"/>
      <c r="H396" s="867"/>
      <c r="I396" s="400" t="str">
        <f>IF('Mapa R. Fiscal'!Y399="","",'Mapa R. Fiscal'!Y399)</f>
        <v/>
      </c>
      <c r="J396" s="400" t="str">
        <f>IF('Mapa R. Fiscal'!AA399="","",'Mapa R. Fiscal'!AA399)</f>
        <v/>
      </c>
      <c r="K396" s="436" t="str">
        <f t="shared" si="71"/>
        <v/>
      </c>
      <c r="L396" s="400" t="str">
        <f>IF('Mapa R. Fiscal'!AD399="","",'Mapa R. Fiscal'!AD399)</f>
        <v/>
      </c>
      <c r="M396" s="339" t="str">
        <f>IF('Mapa R. Fiscal'!P399="","",'Mapa R. Fiscal'!P399)</f>
        <v/>
      </c>
      <c r="N396" s="70"/>
      <c r="O396" s="70"/>
      <c r="P396" s="70"/>
      <c r="Q396" s="186"/>
    </row>
    <row r="397" spans="1:17" x14ac:dyDescent="0.25">
      <c r="A397" s="115" t="s">
        <v>629</v>
      </c>
      <c r="B397" s="856"/>
      <c r="C397" s="862" t="str">
        <f>IF('[2]Mapa R. Fiscal '!E400="","",'[2]Mapa R. Fiscal '!E400)</f>
        <v/>
      </c>
      <c r="D397" s="860"/>
      <c r="E397" s="862" t="str">
        <f>IF('[2]Mapa R. Fiscal '!D400="","",'[2]Mapa R. Fiscal '!D400)</f>
        <v/>
      </c>
      <c r="F397" s="864" t="str">
        <f>IF('Mapa R. Fiscal'!H400="","",'Mapa R. Fiscal'!H400)</f>
        <v/>
      </c>
      <c r="G397" s="864" t="str">
        <f>IF('Mapa R. Fiscal'!L400="","",'Mapa R. Fiscal'!L400)</f>
        <v/>
      </c>
      <c r="H397" s="866"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0" t="str">
        <f>IF('Mapa R. Fiscal'!Y400="","",'Mapa R. Fiscal'!Y400)</f>
        <v/>
      </c>
      <c r="J397" s="400" t="str">
        <f>IF('Mapa R. Fiscal'!AA400="","",'Mapa R. Fiscal'!AA400)</f>
        <v/>
      </c>
      <c r="K397" s="436" t="str">
        <f t="shared" si="71"/>
        <v/>
      </c>
      <c r="L397" s="400" t="str">
        <f>IF('Mapa R. Fiscal'!AD400="","",'Mapa R. Fiscal'!AD400)</f>
        <v/>
      </c>
      <c r="M397" s="339" t="str">
        <f>IF('Mapa R. Fiscal'!P400="","",'Mapa R. Fiscal'!P400)</f>
        <v/>
      </c>
      <c r="N397" s="70"/>
      <c r="O397" s="70"/>
      <c r="P397" s="70"/>
      <c r="Q397" s="186"/>
    </row>
    <row r="398" spans="1:17" x14ac:dyDescent="0.25">
      <c r="A398" s="115" t="s">
        <v>630</v>
      </c>
      <c r="B398" s="857"/>
      <c r="C398" s="863"/>
      <c r="D398" s="861"/>
      <c r="E398" s="863"/>
      <c r="F398" s="865"/>
      <c r="G398" s="865"/>
      <c r="H398" s="867"/>
      <c r="I398" s="400" t="str">
        <f>IF('Mapa R. Fiscal'!Y401="","",'Mapa R. Fiscal'!Y401)</f>
        <v/>
      </c>
      <c r="J398" s="400" t="str">
        <f>IF('Mapa R. Fiscal'!AA401="","",'Mapa R. Fiscal'!AA401)</f>
        <v/>
      </c>
      <c r="K398" s="436" t="str">
        <f t="shared" si="71"/>
        <v/>
      </c>
      <c r="L398" s="400" t="str">
        <f>IF('Mapa R. Fiscal'!AD401="","",'Mapa R. Fiscal'!AD401)</f>
        <v/>
      </c>
      <c r="M398" s="339" t="str">
        <f>IF('Mapa R. Fiscal'!P401="","",'Mapa R. Fiscal'!P401)</f>
        <v/>
      </c>
      <c r="N398" s="70"/>
      <c r="O398" s="70"/>
      <c r="P398" s="70"/>
      <c r="Q398" s="186"/>
    </row>
    <row r="399" spans="1:17" x14ac:dyDescent="0.25">
      <c r="A399" s="115" t="s">
        <v>631</v>
      </c>
      <c r="B399" s="857"/>
      <c r="C399" s="863"/>
      <c r="D399" s="861"/>
      <c r="E399" s="863"/>
      <c r="F399" s="865"/>
      <c r="G399" s="865"/>
      <c r="H399" s="867"/>
      <c r="I399" s="400" t="str">
        <f>IF('Mapa R. Fiscal'!Y402="","",'Mapa R. Fiscal'!Y402)</f>
        <v/>
      </c>
      <c r="J399" s="400" t="str">
        <f>IF('Mapa R. Fiscal'!AA402="","",'Mapa R. Fiscal'!AA402)</f>
        <v/>
      </c>
      <c r="K399" s="436" t="str">
        <f t="shared" si="71"/>
        <v/>
      </c>
      <c r="L399" s="400" t="str">
        <f>IF('Mapa R. Fiscal'!AD402="","",'Mapa R. Fiscal'!AD402)</f>
        <v/>
      </c>
      <c r="M399" s="339" t="str">
        <f>IF('Mapa R. Fiscal'!P402="","",'Mapa R. Fiscal'!P402)</f>
        <v/>
      </c>
      <c r="N399" s="70"/>
      <c r="O399" s="70"/>
      <c r="P399" s="70"/>
      <c r="Q399" s="186"/>
    </row>
    <row r="400" spans="1:17" x14ac:dyDescent="0.25">
      <c r="A400" s="115" t="s">
        <v>632</v>
      </c>
      <c r="B400" s="857"/>
      <c r="C400" s="863"/>
      <c r="D400" s="861"/>
      <c r="E400" s="863"/>
      <c r="F400" s="865"/>
      <c r="G400" s="865"/>
      <c r="H400" s="867"/>
      <c r="I400" s="400" t="str">
        <f>IF('Mapa R. Fiscal'!Y403="","",'Mapa R. Fiscal'!Y403)</f>
        <v/>
      </c>
      <c r="J400" s="400" t="str">
        <f>IF('Mapa R. Fiscal'!AA403="","",'Mapa R. Fiscal'!AA403)</f>
        <v/>
      </c>
      <c r="K400" s="436" t="str">
        <f t="shared" si="71"/>
        <v/>
      </c>
      <c r="L400" s="400" t="str">
        <f>IF('Mapa R. Fiscal'!AD403="","",'Mapa R. Fiscal'!AD403)</f>
        <v/>
      </c>
      <c r="M400" s="339" t="str">
        <f>IF('Mapa R. Fiscal'!P403="","",'Mapa R. Fiscal'!P403)</f>
        <v/>
      </c>
      <c r="N400" s="70"/>
      <c r="O400" s="70"/>
      <c r="P400" s="70"/>
      <c r="Q400" s="186"/>
    </row>
    <row r="401" spans="1:17" x14ac:dyDescent="0.25">
      <c r="A401" s="115" t="s">
        <v>633</v>
      </c>
      <c r="B401" s="857"/>
      <c r="C401" s="863"/>
      <c r="D401" s="861"/>
      <c r="E401" s="863"/>
      <c r="F401" s="865"/>
      <c r="G401" s="865"/>
      <c r="H401" s="867"/>
      <c r="I401" s="400" t="str">
        <f>IF('Mapa R. Fiscal'!Y404="","",'Mapa R. Fiscal'!Y404)</f>
        <v/>
      </c>
      <c r="J401" s="400" t="str">
        <f>IF('Mapa R. Fiscal'!AA404="","",'Mapa R. Fiscal'!AA404)</f>
        <v/>
      </c>
      <c r="K401" s="436" t="str">
        <f t="shared" si="71"/>
        <v/>
      </c>
      <c r="L401" s="400" t="str">
        <f>IF('Mapa R. Fiscal'!AD404="","",'Mapa R. Fiscal'!AD404)</f>
        <v/>
      </c>
      <c r="M401" s="339" t="str">
        <f>IF('Mapa R. Fiscal'!P404="","",'Mapa R. Fiscal'!P404)</f>
        <v/>
      </c>
      <c r="N401" s="70"/>
      <c r="O401" s="70"/>
      <c r="P401" s="70"/>
      <c r="Q401" s="186"/>
    </row>
    <row r="402" spans="1:17" x14ac:dyDescent="0.25">
      <c r="A402" s="115" t="s">
        <v>634</v>
      </c>
      <c r="B402" s="857"/>
      <c r="C402" s="863"/>
      <c r="D402" s="861"/>
      <c r="E402" s="863"/>
      <c r="F402" s="865"/>
      <c r="G402" s="865"/>
      <c r="H402" s="867"/>
      <c r="I402" s="400" t="str">
        <f>IF('Mapa R. Fiscal'!Y405="","",'Mapa R. Fiscal'!Y405)</f>
        <v/>
      </c>
      <c r="J402" s="400" t="str">
        <f>IF('Mapa R. Fiscal'!AA405="","",'Mapa R. Fiscal'!AA405)</f>
        <v/>
      </c>
      <c r="K402" s="436" t="str">
        <f t="shared" si="71"/>
        <v/>
      </c>
      <c r="L402" s="400" t="str">
        <f>IF('Mapa R. Fiscal'!AD405="","",'Mapa R. Fiscal'!AD405)</f>
        <v/>
      </c>
      <c r="M402" s="339" t="str">
        <f>IF('Mapa R. Fiscal'!P405="","",'Mapa R. Fiscal'!P405)</f>
        <v/>
      </c>
      <c r="N402" s="70"/>
      <c r="O402" s="70"/>
      <c r="P402" s="70"/>
      <c r="Q402" s="186"/>
    </row>
    <row r="403" spans="1:17" x14ac:dyDescent="0.25">
      <c r="A403" s="115" t="s">
        <v>635</v>
      </c>
      <c r="B403" s="856"/>
      <c r="C403" s="862" t="str">
        <f>IF('Mapa final'!E406="","",'Mapa final'!E406)</f>
        <v/>
      </c>
      <c r="D403" s="860"/>
      <c r="E403" s="862" t="str">
        <f>IF('[2]Mapa R. Fiscal '!D406="","",'[2]Mapa R. Fiscal '!D406)</f>
        <v/>
      </c>
      <c r="F403" s="864" t="str">
        <f>IF('Mapa R. Fiscal'!H406="","",'Mapa R. Fiscal'!H406)</f>
        <v/>
      </c>
      <c r="G403" s="864" t="str">
        <f>IF('Mapa R. Fiscal'!L406="","",'Mapa R. Fiscal'!L406)</f>
        <v/>
      </c>
      <c r="H403" s="866"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0" t="str">
        <f>IF('Mapa R. Fiscal'!Y406="","",'Mapa R. Fiscal'!Y406)</f>
        <v/>
      </c>
      <c r="J403" s="400" t="str">
        <f>IF('Mapa R. Fiscal'!AA406="","",'Mapa R. Fiscal'!AA406)</f>
        <v/>
      </c>
      <c r="K403" s="436" t="str">
        <f t="shared" si="71"/>
        <v/>
      </c>
      <c r="L403" s="400" t="str">
        <f>IF('Mapa R. Fiscal'!AD406="","",'Mapa R. Fiscal'!AD406)</f>
        <v/>
      </c>
      <c r="M403" s="339" t="str">
        <f>IF('Mapa R. Fiscal'!P406="","",'Mapa R. Fiscal'!P406)</f>
        <v/>
      </c>
      <c r="N403" s="70"/>
      <c r="O403" s="70"/>
      <c r="P403" s="70"/>
      <c r="Q403" s="186"/>
    </row>
    <row r="404" spans="1:17" x14ac:dyDescent="0.25">
      <c r="A404" s="115" t="s">
        <v>636</v>
      </c>
      <c r="B404" s="857"/>
      <c r="C404" s="863"/>
      <c r="D404" s="861"/>
      <c r="E404" s="863"/>
      <c r="F404" s="865"/>
      <c r="G404" s="865"/>
      <c r="H404" s="867"/>
      <c r="I404" s="400" t="str">
        <f>IF('Mapa R. Fiscal'!Y407="","",'Mapa R. Fiscal'!Y407)</f>
        <v/>
      </c>
      <c r="J404" s="400" t="str">
        <f>IF('Mapa R. Fiscal'!AA407="","",'Mapa R. Fiscal'!AA407)</f>
        <v/>
      </c>
      <c r="K404" s="436" t="str">
        <f t="shared" si="71"/>
        <v/>
      </c>
      <c r="L404" s="400" t="str">
        <f>IF('Mapa R. Fiscal'!AD407="","",'Mapa R. Fiscal'!AD407)</f>
        <v/>
      </c>
      <c r="M404" s="339" t="str">
        <f>IF('Mapa R. Fiscal'!P407="","",'Mapa R. Fiscal'!P407)</f>
        <v/>
      </c>
      <c r="N404" s="70"/>
      <c r="O404" s="70"/>
      <c r="P404" s="70"/>
      <c r="Q404" s="186"/>
    </row>
    <row r="405" spans="1:17" x14ac:dyDescent="0.25">
      <c r="A405" s="115" t="s">
        <v>637</v>
      </c>
      <c r="B405" s="857"/>
      <c r="C405" s="863"/>
      <c r="D405" s="861"/>
      <c r="E405" s="863"/>
      <c r="F405" s="865"/>
      <c r="G405" s="865"/>
      <c r="H405" s="867"/>
      <c r="I405" s="400" t="str">
        <f>IF('Mapa R. Fiscal'!Y408="","",'Mapa R. Fiscal'!Y408)</f>
        <v/>
      </c>
      <c r="J405" s="400" t="str">
        <f>IF('Mapa R. Fiscal'!AA408="","",'Mapa R. Fiscal'!AA408)</f>
        <v/>
      </c>
      <c r="K405" s="436" t="str">
        <f t="shared" si="71"/>
        <v/>
      </c>
      <c r="L405" s="400" t="str">
        <f>IF('Mapa R. Fiscal'!AD408="","",'Mapa R. Fiscal'!AD408)</f>
        <v/>
      </c>
      <c r="M405" s="339" t="str">
        <f>IF('Mapa R. Fiscal'!P408="","",'Mapa R. Fiscal'!P408)</f>
        <v/>
      </c>
      <c r="N405" s="70"/>
      <c r="O405" s="70"/>
      <c r="P405" s="70"/>
      <c r="Q405" s="186"/>
    </row>
    <row r="406" spans="1:17" x14ac:dyDescent="0.25">
      <c r="A406" s="115" t="s">
        <v>638</v>
      </c>
      <c r="B406" s="857"/>
      <c r="C406" s="863"/>
      <c r="D406" s="861"/>
      <c r="E406" s="863"/>
      <c r="F406" s="865"/>
      <c r="G406" s="865"/>
      <c r="H406" s="867"/>
      <c r="I406" s="400" t="str">
        <f>IF('Mapa R. Fiscal'!Y409="","",'Mapa R. Fiscal'!Y409)</f>
        <v/>
      </c>
      <c r="J406" s="400" t="str">
        <f>IF('Mapa R. Fiscal'!AA409="","",'Mapa R. Fiscal'!AA409)</f>
        <v/>
      </c>
      <c r="K406" s="436" t="str">
        <f t="shared" si="71"/>
        <v/>
      </c>
      <c r="L406" s="400" t="str">
        <f>IF('Mapa R. Fiscal'!AD409="","",'Mapa R. Fiscal'!AD409)</f>
        <v/>
      </c>
      <c r="M406" s="339" t="str">
        <f>IF('Mapa R. Fiscal'!P409="","",'Mapa R. Fiscal'!P409)</f>
        <v/>
      </c>
      <c r="N406" s="70"/>
      <c r="O406" s="70"/>
      <c r="P406" s="70"/>
      <c r="Q406" s="186"/>
    </row>
    <row r="407" spans="1:17" x14ac:dyDescent="0.25">
      <c r="A407" s="115" t="s">
        <v>639</v>
      </c>
      <c r="B407" s="857"/>
      <c r="C407" s="863"/>
      <c r="D407" s="861"/>
      <c r="E407" s="863"/>
      <c r="F407" s="865"/>
      <c r="G407" s="865"/>
      <c r="H407" s="867"/>
      <c r="I407" s="400" t="str">
        <f>IF('Mapa R. Fiscal'!Y410="","",'Mapa R. Fiscal'!Y410)</f>
        <v/>
      </c>
      <c r="J407" s="400" t="str">
        <f>IF('Mapa R. Fiscal'!AA410="","",'Mapa R. Fiscal'!AA410)</f>
        <v/>
      </c>
      <c r="K407" s="436" t="str">
        <f t="shared" si="71"/>
        <v/>
      </c>
      <c r="L407" s="400" t="str">
        <f>IF('Mapa R. Fiscal'!AD410="","",'Mapa R. Fiscal'!AD410)</f>
        <v/>
      </c>
      <c r="M407" s="339" t="str">
        <f>IF('Mapa R. Fiscal'!P410="","",'Mapa R. Fiscal'!P410)</f>
        <v/>
      </c>
      <c r="N407" s="70"/>
      <c r="O407" s="70"/>
      <c r="P407" s="70"/>
      <c r="Q407" s="186"/>
    </row>
    <row r="408" spans="1:17" x14ac:dyDescent="0.25">
      <c r="A408" s="115" t="s">
        <v>640</v>
      </c>
      <c r="B408" s="857"/>
      <c r="C408" s="863"/>
      <c r="D408" s="861"/>
      <c r="E408" s="863"/>
      <c r="F408" s="865"/>
      <c r="G408" s="865"/>
      <c r="H408" s="867"/>
      <c r="I408" s="400" t="str">
        <f>IF('Mapa R. Fiscal'!Y411="","",'Mapa R. Fiscal'!Y411)</f>
        <v/>
      </c>
      <c r="J408" s="400" t="str">
        <f>IF('Mapa R. Fiscal'!AA411="","",'Mapa R. Fiscal'!AA411)</f>
        <v/>
      </c>
      <c r="K408" s="436" t="str">
        <f t="shared" si="71"/>
        <v/>
      </c>
      <c r="L408" s="400" t="str">
        <f>IF('Mapa R. Fiscal'!AD411="","",'Mapa R. Fiscal'!AD411)</f>
        <v/>
      </c>
      <c r="M408" s="339" t="str">
        <f>IF('Mapa R. Fiscal'!P411="","",'Mapa R. Fiscal'!P411)</f>
        <v/>
      </c>
      <c r="N408" s="70"/>
      <c r="O408" s="70"/>
      <c r="P408" s="70"/>
      <c r="Q408" s="186"/>
    </row>
    <row r="409" spans="1:17" x14ac:dyDescent="0.25">
      <c r="A409" s="115" t="s">
        <v>641</v>
      </c>
      <c r="B409" s="856"/>
      <c r="C409" s="862" t="str">
        <f>IF('Mapa final'!E412="","",'Mapa final'!E412)</f>
        <v/>
      </c>
      <c r="D409" s="860"/>
      <c r="E409" s="862" t="str">
        <f>IF('Mapa final'!D412="","",'Mapa final'!D412)</f>
        <v/>
      </c>
      <c r="F409" s="864" t="str">
        <f>IF('Mapa R. Fiscal'!H412="","",'Mapa R. Fiscal'!H412)</f>
        <v/>
      </c>
      <c r="G409" s="864" t="str">
        <f>IF('Mapa R. Fiscal'!L412="","",'Mapa R. Fiscal'!L412)</f>
        <v/>
      </c>
      <c r="H409" s="866"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0" t="str">
        <f>IF('Mapa R. Fiscal'!Y412="","",'Mapa R. Fiscal'!Y412)</f>
        <v/>
      </c>
      <c r="J409" s="400" t="str">
        <f>IF('Mapa R. Fiscal'!AA412="","",'Mapa R. Fiscal'!AA412)</f>
        <v/>
      </c>
      <c r="K409" s="436" t="str">
        <f t="shared" si="71"/>
        <v/>
      </c>
      <c r="L409" s="400" t="str">
        <f>IF('Mapa R. Fiscal'!AD412="","",'Mapa R. Fiscal'!AD412)</f>
        <v/>
      </c>
      <c r="M409" s="339" t="str">
        <f>IF('Mapa R. Fiscal'!P412="","",'Mapa R. Fiscal'!P412)</f>
        <v/>
      </c>
      <c r="N409" s="70"/>
      <c r="O409" s="70"/>
      <c r="P409" s="70"/>
      <c r="Q409" s="186"/>
    </row>
    <row r="410" spans="1:17" x14ac:dyDescent="0.25">
      <c r="A410" s="115" t="s">
        <v>642</v>
      </c>
      <c r="B410" s="857"/>
      <c r="C410" s="863"/>
      <c r="D410" s="861"/>
      <c r="E410" s="863"/>
      <c r="F410" s="865"/>
      <c r="G410" s="865"/>
      <c r="H410" s="867"/>
      <c r="I410" s="400" t="str">
        <f>IF('Mapa R. Fiscal'!Y413="","",'Mapa R. Fiscal'!Y413)</f>
        <v/>
      </c>
      <c r="J410" s="400" t="str">
        <f>IF('Mapa R. Fiscal'!AA413="","",'Mapa R. Fiscal'!AA413)</f>
        <v/>
      </c>
      <c r="K410" s="436" t="str">
        <f t="shared" si="71"/>
        <v/>
      </c>
      <c r="L410" s="400" t="str">
        <f>IF('Mapa R. Fiscal'!AD413="","",'Mapa R. Fiscal'!AD413)</f>
        <v/>
      </c>
      <c r="M410" s="339" t="str">
        <f>IF('Mapa R. Fiscal'!P413="","",'Mapa R. Fiscal'!P413)</f>
        <v/>
      </c>
      <c r="N410" s="70"/>
      <c r="O410" s="70"/>
      <c r="P410" s="70"/>
      <c r="Q410" s="186"/>
    </row>
    <row r="411" spans="1:17" x14ac:dyDescent="0.25">
      <c r="A411" s="115" t="s">
        <v>643</v>
      </c>
      <c r="B411" s="857"/>
      <c r="C411" s="863"/>
      <c r="D411" s="861"/>
      <c r="E411" s="863"/>
      <c r="F411" s="865"/>
      <c r="G411" s="865"/>
      <c r="H411" s="867"/>
      <c r="I411" s="400" t="str">
        <f>IF('Mapa R. Fiscal'!Y414="","",'Mapa R. Fiscal'!Y414)</f>
        <v/>
      </c>
      <c r="J411" s="400" t="str">
        <f>IF('Mapa R. Fiscal'!AA414="","",'Mapa R. Fiscal'!AA414)</f>
        <v/>
      </c>
      <c r="K411" s="436" t="str">
        <f t="shared" si="71"/>
        <v/>
      </c>
      <c r="L411" s="400" t="str">
        <f>IF('Mapa R. Fiscal'!AD414="","",'Mapa R. Fiscal'!AD414)</f>
        <v/>
      </c>
      <c r="M411" s="339" t="str">
        <f>IF('Mapa R. Fiscal'!P414="","",'Mapa R. Fiscal'!P414)</f>
        <v/>
      </c>
      <c r="N411" s="70"/>
      <c r="O411" s="70"/>
      <c r="P411" s="70"/>
      <c r="Q411" s="186"/>
    </row>
    <row r="412" spans="1:17" x14ac:dyDescent="0.25">
      <c r="A412" s="115" t="s">
        <v>644</v>
      </c>
      <c r="B412" s="857"/>
      <c r="C412" s="863"/>
      <c r="D412" s="861"/>
      <c r="E412" s="863"/>
      <c r="F412" s="865"/>
      <c r="G412" s="865"/>
      <c r="H412" s="867"/>
      <c r="I412" s="400" t="str">
        <f>IF('Mapa R. Fiscal'!Y415="","",'Mapa R. Fiscal'!Y415)</f>
        <v/>
      </c>
      <c r="J412" s="400" t="str">
        <f>IF('Mapa R. Fiscal'!AA415="","",'Mapa R. Fiscal'!AA415)</f>
        <v/>
      </c>
      <c r="K412" s="436" t="str">
        <f t="shared" si="71"/>
        <v/>
      </c>
      <c r="L412" s="400" t="str">
        <f>IF('Mapa R. Fiscal'!AD415="","",'Mapa R. Fiscal'!AD415)</f>
        <v/>
      </c>
      <c r="M412" s="339" t="str">
        <f>IF('Mapa R. Fiscal'!P415="","",'Mapa R. Fiscal'!P415)</f>
        <v/>
      </c>
      <c r="N412" s="70"/>
      <c r="O412" s="70"/>
      <c r="P412" s="70"/>
      <c r="Q412" s="186"/>
    </row>
    <row r="413" spans="1:17" x14ac:dyDescent="0.25">
      <c r="A413" s="115" t="s">
        <v>645</v>
      </c>
      <c r="B413" s="857"/>
      <c r="C413" s="863"/>
      <c r="D413" s="861"/>
      <c r="E413" s="863"/>
      <c r="F413" s="865"/>
      <c r="G413" s="865"/>
      <c r="H413" s="867"/>
      <c r="I413" s="400" t="str">
        <f>IF('Mapa R. Fiscal'!Y416="","",'Mapa R. Fiscal'!Y416)</f>
        <v/>
      </c>
      <c r="J413" s="400" t="str">
        <f>IF('Mapa R. Fiscal'!AA416="","",'Mapa R. Fiscal'!AA416)</f>
        <v/>
      </c>
      <c r="K413" s="436" t="str">
        <f t="shared" si="71"/>
        <v/>
      </c>
      <c r="L413" s="400" t="str">
        <f>IF('Mapa R. Fiscal'!AD416="","",'Mapa R. Fiscal'!AD416)</f>
        <v/>
      </c>
      <c r="M413" s="339" t="str">
        <f>IF('Mapa R. Fiscal'!P416="","",'Mapa R. Fiscal'!P416)</f>
        <v/>
      </c>
      <c r="N413" s="70"/>
      <c r="O413" s="70"/>
      <c r="P413" s="70"/>
      <c r="Q413" s="186"/>
    </row>
    <row r="414" spans="1:17" x14ac:dyDescent="0.25">
      <c r="A414" s="115" t="s">
        <v>646</v>
      </c>
      <c r="B414" s="857"/>
      <c r="C414" s="863"/>
      <c r="D414" s="861"/>
      <c r="E414" s="863"/>
      <c r="F414" s="865"/>
      <c r="G414" s="865"/>
      <c r="H414" s="867"/>
      <c r="I414" s="400" t="str">
        <f>IF('Mapa R. Fiscal'!Y417="","",'Mapa R. Fiscal'!Y417)</f>
        <v/>
      </c>
      <c r="J414" s="400" t="str">
        <f>IF('Mapa R. Fiscal'!AA417="","",'Mapa R. Fiscal'!AA417)</f>
        <v/>
      </c>
      <c r="K414" s="436" t="str">
        <f t="shared" si="71"/>
        <v/>
      </c>
      <c r="L414" s="400" t="str">
        <f>IF('Mapa R. Fiscal'!AD417="","",'Mapa R. Fiscal'!AD417)</f>
        <v/>
      </c>
      <c r="M414" s="339" t="str">
        <f>IF('Mapa R. Fiscal'!P417="","",'Mapa R. Fiscal'!P417)</f>
        <v/>
      </c>
      <c r="N414" s="70"/>
      <c r="O414" s="70"/>
      <c r="P414" s="70"/>
      <c r="Q414" s="186"/>
    </row>
    <row r="415" spans="1:17" x14ac:dyDescent="0.25">
      <c r="A415" s="115" t="s">
        <v>647</v>
      </c>
      <c r="B415" s="856"/>
      <c r="C415" s="862" t="str">
        <f>IF('Mapa final'!E418="","",'Mapa final'!E418)</f>
        <v/>
      </c>
      <c r="D415" s="860"/>
      <c r="E415" s="862" t="str">
        <f>IF('Mapa final'!D418="","",'Mapa final'!D418)</f>
        <v/>
      </c>
      <c r="F415" s="864" t="str">
        <f>IF('Mapa R. Fiscal'!H418="","",'Mapa R. Fiscal'!H418)</f>
        <v/>
      </c>
      <c r="G415" s="864" t="str">
        <f>IF('Mapa R. Fiscal'!L418="","",'Mapa R. Fiscal'!L418)</f>
        <v/>
      </c>
      <c r="H415" s="866"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0" t="str">
        <f>IF('Mapa R. Fiscal'!Y418="","",'Mapa R. Fiscal'!Y418)</f>
        <v/>
      </c>
      <c r="J415" s="400" t="str">
        <f>IF('Mapa R. Fiscal'!AA418="","",'Mapa R. Fiscal'!AA418)</f>
        <v/>
      </c>
      <c r="K415" s="436" t="str">
        <f t="shared" si="71"/>
        <v/>
      </c>
      <c r="L415" s="400" t="str">
        <f>IF('Mapa R. Fiscal'!AD418="","",'Mapa R. Fiscal'!AD418)</f>
        <v/>
      </c>
      <c r="M415" s="339" t="str">
        <f>IF('Mapa R. Fiscal'!P418="","",'Mapa R. Fiscal'!P418)</f>
        <v/>
      </c>
      <c r="N415" s="70"/>
      <c r="O415" s="70"/>
      <c r="P415" s="70"/>
      <c r="Q415" s="186"/>
    </row>
    <row r="416" spans="1:17" x14ac:dyDescent="0.25">
      <c r="A416" s="115" t="s">
        <v>648</v>
      </c>
      <c r="B416" s="857"/>
      <c r="C416" s="863"/>
      <c r="D416" s="861"/>
      <c r="E416" s="863"/>
      <c r="F416" s="865"/>
      <c r="G416" s="865"/>
      <c r="H416" s="867"/>
      <c r="I416" s="400" t="str">
        <f>IF('Mapa R. Fiscal'!Y419="","",'Mapa R. Fiscal'!Y419)</f>
        <v/>
      </c>
      <c r="J416" s="400" t="str">
        <f>IF('Mapa R. Fiscal'!AA419="","",'Mapa R. Fiscal'!AA419)</f>
        <v/>
      </c>
      <c r="K416" s="436" t="str">
        <f t="shared" si="71"/>
        <v/>
      </c>
      <c r="L416" s="400" t="str">
        <f>IF('Mapa R. Fiscal'!AD419="","",'Mapa R. Fiscal'!AD419)</f>
        <v/>
      </c>
      <c r="M416" s="339" t="str">
        <f>IF('Mapa R. Fiscal'!P419="","",'Mapa R. Fiscal'!P419)</f>
        <v/>
      </c>
      <c r="N416" s="70"/>
      <c r="O416" s="70"/>
      <c r="P416" s="70"/>
      <c r="Q416" s="186"/>
    </row>
    <row r="417" spans="1:18" x14ac:dyDescent="0.25">
      <c r="A417" s="115" t="s">
        <v>649</v>
      </c>
      <c r="B417" s="857"/>
      <c r="C417" s="863"/>
      <c r="D417" s="861"/>
      <c r="E417" s="863"/>
      <c r="F417" s="865"/>
      <c r="G417" s="865"/>
      <c r="H417" s="867"/>
      <c r="I417" s="400" t="str">
        <f>IF('Mapa R. Fiscal'!Y420="","",'Mapa R. Fiscal'!Y420)</f>
        <v/>
      </c>
      <c r="J417" s="400" t="str">
        <f>IF('Mapa R. Fiscal'!AA420="","",'Mapa R. Fiscal'!AA420)</f>
        <v/>
      </c>
      <c r="K417" s="436" t="str">
        <f t="shared" si="71"/>
        <v/>
      </c>
      <c r="L417" s="400" t="str">
        <f>IF('Mapa R. Fiscal'!AD420="","",'Mapa R. Fiscal'!AD420)</f>
        <v/>
      </c>
      <c r="M417" s="339" t="str">
        <f>IF('Mapa R. Fiscal'!P420="","",'Mapa R. Fiscal'!P420)</f>
        <v/>
      </c>
      <c r="N417" s="70"/>
      <c r="O417" s="70"/>
      <c r="P417" s="70"/>
      <c r="Q417" s="186"/>
    </row>
    <row r="418" spans="1:18" x14ac:dyDescent="0.25">
      <c r="A418" s="115" t="s">
        <v>650</v>
      </c>
      <c r="B418" s="857"/>
      <c r="C418" s="863"/>
      <c r="D418" s="861"/>
      <c r="E418" s="863"/>
      <c r="F418" s="865"/>
      <c r="G418" s="865"/>
      <c r="H418" s="867"/>
      <c r="I418" s="400" t="str">
        <f>IF('Mapa R. Fiscal'!Y421="","",'Mapa R. Fiscal'!Y421)</f>
        <v/>
      </c>
      <c r="J418" s="400" t="str">
        <f>IF('Mapa R. Fiscal'!AA421="","",'Mapa R. Fiscal'!AA421)</f>
        <v/>
      </c>
      <c r="K418" s="436" t="str">
        <f t="shared" si="71"/>
        <v/>
      </c>
      <c r="L418" s="400" t="str">
        <f>IF('Mapa R. Fiscal'!AD421="","",'Mapa R. Fiscal'!AD421)</f>
        <v/>
      </c>
      <c r="M418" s="339" t="str">
        <f>IF('Mapa R. Fiscal'!P421="","",'Mapa R. Fiscal'!P421)</f>
        <v/>
      </c>
      <c r="N418" s="70"/>
      <c r="O418" s="70"/>
      <c r="P418" s="70"/>
      <c r="Q418" s="186"/>
    </row>
    <row r="419" spans="1:18" x14ac:dyDescent="0.25">
      <c r="A419" s="115" t="s">
        <v>651</v>
      </c>
      <c r="B419" s="857"/>
      <c r="C419" s="863"/>
      <c r="D419" s="861"/>
      <c r="E419" s="863"/>
      <c r="F419" s="865"/>
      <c r="G419" s="865"/>
      <c r="H419" s="867"/>
      <c r="I419" s="400" t="str">
        <f>IF('Mapa R. Fiscal'!Y422="","",'Mapa R. Fiscal'!Y422)</f>
        <v/>
      </c>
      <c r="J419" s="400" t="str">
        <f>IF('Mapa R. Fiscal'!AA422="","",'Mapa R. Fiscal'!AA422)</f>
        <v/>
      </c>
      <c r="K419" s="436" t="str">
        <f t="shared" si="71"/>
        <v/>
      </c>
      <c r="L419" s="400" t="str">
        <f>IF('Mapa R. Fiscal'!AD422="","",'Mapa R. Fiscal'!AD422)</f>
        <v/>
      </c>
      <c r="M419" s="339" t="str">
        <f>IF('Mapa R. Fiscal'!P422="","",'Mapa R. Fiscal'!P422)</f>
        <v/>
      </c>
      <c r="N419" s="70"/>
      <c r="O419" s="70"/>
      <c r="P419" s="70"/>
      <c r="Q419" s="186"/>
    </row>
    <row r="420" spans="1:18" x14ac:dyDescent="0.25">
      <c r="A420" s="115" t="s">
        <v>652</v>
      </c>
      <c r="B420" s="857"/>
      <c r="C420" s="863"/>
      <c r="D420" s="861"/>
      <c r="E420" s="863"/>
      <c r="F420" s="865"/>
      <c r="G420" s="865"/>
      <c r="H420" s="867"/>
      <c r="I420" s="400" t="str">
        <f>IF('Mapa R. Fiscal'!Y423="","",'Mapa R. Fiscal'!Y423)</f>
        <v/>
      </c>
      <c r="J420" s="400" t="str">
        <f>IF('Mapa R. Fiscal'!AA423="","",'Mapa R. Fiscal'!AA423)</f>
        <v/>
      </c>
      <c r="K420" s="436" t="str">
        <f t="shared" si="71"/>
        <v/>
      </c>
      <c r="L420" s="400" t="str">
        <f>IF('Mapa R. Fiscal'!AD423="","",'Mapa R. Fiscal'!AD423)</f>
        <v/>
      </c>
      <c r="M420" s="339" t="str">
        <f>IF('Mapa R. Fiscal'!P423="","",'Mapa R. Fiscal'!P423)</f>
        <v/>
      </c>
      <c r="N420" s="70"/>
      <c r="O420" s="70"/>
      <c r="P420" s="70"/>
      <c r="Q420" s="186"/>
    </row>
    <row r="421" spans="1:18" x14ac:dyDescent="0.25">
      <c r="A421" s="115" t="s">
        <v>653</v>
      </c>
      <c r="B421" s="856"/>
      <c r="C421" s="862" t="str">
        <f>IF('Mapa final'!E424="","",'Mapa final'!E424)</f>
        <v/>
      </c>
      <c r="D421" s="860"/>
      <c r="E421" s="862" t="str">
        <f>IF('Mapa final'!D424="","",'Mapa final'!D424)</f>
        <v/>
      </c>
      <c r="F421" s="864" t="str">
        <f>IF('Mapa R. Fiscal'!H424="","",'Mapa R. Fiscal'!H424)</f>
        <v/>
      </c>
      <c r="G421" s="864" t="str">
        <f>IF('Mapa R. Fiscal'!L424="","",'Mapa R. Fiscal'!L424)</f>
        <v/>
      </c>
      <c r="H421" s="866"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0" t="str">
        <f>IF('Mapa R. Fiscal'!Y424="","",'Mapa R. Fiscal'!Y424)</f>
        <v/>
      </c>
      <c r="J421" s="400" t="str">
        <f>IF('Mapa R. Fiscal'!AA424="","",'Mapa R. Fiscal'!AA424)</f>
        <v/>
      </c>
      <c r="K421" s="436" t="str">
        <f t="shared" si="71"/>
        <v/>
      </c>
      <c r="L421" s="400" t="str">
        <f>IF('Mapa R. Fiscal'!AD424="","",'Mapa R. Fiscal'!AD424)</f>
        <v/>
      </c>
      <c r="M421" s="339" t="str">
        <f>IF('Mapa R. Fiscal'!P424="","",'Mapa R. Fiscal'!P424)</f>
        <v/>
      </c>
      <c r="N421" s="70"/>
      <c r="O421" s="70"/>
      <c r="P421" s="70"/>
      <c r="Q421" s="186"/>
    </row>
    <row r="422" spans="1:18" x14ac:dyDescent="0.25">
      <c r="A422" s="115" t="s">
        <v>654</v>
      </c>
      <c r="B422" s="857"/>
      <c r="C422" s="863"/>
      <c r="D422" s="861"/>
      <c r="E422" s="863"/>
      <c r="F422" s="865"/>
      <c r="G422" s="865"/>
      <c r="H422" s="867"/>
      <c r="I422" s="400" t="str">
        <f>IF('Mapa R. Fiscal'!Y425="","",'Mapa R. Fiscal'!Y425)</f>
        <v/>
      </c>
      <c r="J422" s="400" t="str">
        <f>IF('Mapa R. Fiscal'!AA425="","",'Mapa R. Fiscal'!AA425)</f>
        <v/>
      </c>
      <c r="K422" s="436" t="str">
        <f t="shared" si="71"/>
        <v/>
      </c>
      <c r="L422" s="400" t="str">
        <f>IF('Mapa R. Fiscal'!AD425="","",'Mapa R. Fiscal'!AD425)</f>
        <v/>
      </c>
      <c r="M422" s="339" t="str">
        <f>IF('Mapa R. Fiscal'!P425="","",'Mapa R. Fiscal'!P425)</f>
        <v/>
      </c>
      <c r="N422" s="70"/>
      <c r="O422" s="70"/>
      <c r="P422" s="70"/>
      <c r="Q422" s="186"/>
    </row>
    <row r="423" spans="1:18" x14ac:dyDescent="0.25">
      <c r="A423" s="115" t="s">
        <v>655</v>
      </c>
      <c r="B423" s="857"/>
      <c r="C423" s="863"/>
      <c r="D423" s="861"/>
      <c r="E423" s="863"/>
      <c r="F423" s="865"/>
      <c r="G423" s="865"/>
      <c r="H423" s="867"/>
      <c r="I423" s="400" t="str">
        <f>IF('Mapa R. Fiscal'!Y426="","",'Mapa R. Fiscal'!Y426)</f>
        <v/>
      </c>
      <c r="J423" s="400" t="str">
        <f>IF('Mapa R. Fiscal'!AA426="","",'Mapa R. Fiscal'!AA426)</f>
        <v/>
      </c>
      <c r="K423" s="436" t="str">
        <f t="shared" si="71"/>
        <v/>
      </c>
      <c r="L423" s="400" t="str">
        <f>IF('Mapa R. Fiscal'!AD426="","",'Mapa R. Fiscal'!AD426)</f>
        <v/>
      </c>
      <c r="M423" s="339" t="str">
        <f>IF('Mapa R. Fiscal'!P426="","",'Mapa R. Fiscal'!P426)</f>
        <v/>
      </c>
      <c r="N423" s="70"/>
      <c r="O423" s="70"/>
      <c r="P423" s="70"/>
      <c r="Q423" s="186"/>
    </row>
    <row r="424" spans="1:18" x14ac:dyDescent="0.25">
      <c r="A424" s="115" t="s">
        <v>656</v>
      </c>
      <c r="B424" s="857"/>
      <c r="C424" s="863"/>
      <c r="D424" s="861"/>
      <c r="E424" s="863"/>
      <c r="F424" s="865"/>
      <c r="G424" s="865"/>
      <c r="H424" s="867"/>
      <c r="I424" s="400" t="str">
        <f>IF('Mapa R. Fiscal'!Y427="","",'Mapa R. Fiscal'!Y427)</f>
        <v/>
      </c>
      <c r="J424" s="400" t="str">
        <f>IF('Mapa R. Fiscal'!AA427="","",'Mapa R. Fiscal'!AA427)</f>
        <v/>
      </c>
      <c r="K424" s="436" t="str">
        <f t="shared" si="71"/>
        <v/>
      </c>
      <c r="L424" s="400" t="str">
        <f>IF('Mapa R. Fiscal'!AD427="","",'Mapa R. Fiscal'!AD427)</f>
        <v/>
      </c>
      <c r="M424" s="339" t="str">
        <f>IF('Mapa R. Fiscal'!P427="","",'Mapa R. Fiscal'!P427)</f>
        <v/>
      </c>
      <c r="N424" s="70"/>
      <c r="O424" s="70"/>
      <c r="P424" s="70"/>
      <c r="Q424" s="186"/>
    </row>
    <row r="425" spans="1:18" x14ac:dyDescent="0.25">
      <c r="A425" s="115" t="s">
        <v>657</v>
      </c>
      <c r="B425" s="857"/>
      <c r="C425" s="863"/>
      <c r="D425" s="861"/>
      <c r="E425" s="863"/>
      <c r="F425" s="865"/>
      <c r="G425" s="865"/>
      <c r="H425" s="867"/>
      <c r="I425" s="400" t="str">
        <f>IF('Mapa R. Fiscal'!Y428="","",'Mapa R. Fiscal'!Y428)</f>
        <v/>
      </c>
      <c r="J425" s="400" t="str">
        <f>IF('Mapa R. Fiscal'!AA428="","",'Mapa R. Fiscal'!AA428)</f>
        <v/>
      </c>
      <c r="K425" s="436" t="str">
        <f t="shared" si="71"/>
        <v/>
      </c>
      <c r="L425" s="400" t="str">
        <f>IF('Mapa R. Fiscal'!AD428="","",'Mapa R. Fiscal'!AD428)</f>
        <v/>
      </c>
      <c r="M425" s="339" t="str">
        <f>IF('Mapa R. Fiscal'!P428="","",'Mapa R. Fiscal'!P428)</f>
        <v/>
      </c>
      <c r="N425" s="70"/>
      <c r="O425" s="70"/>
      <c r="P425" s="70"/>
      <c r="Q425" s="186"/>
    </row>
    <row r="426" spans="1:18" x14ac:dyDescent="0.25">
      <c r="A426" s="115" t="s">
        <v>658</v>
      </c>
      <c r="B426" s="857"/>
      <c r="C426" s="863"/>
      <c r="D426" s="861"/>
      <c r="E426" s="863"/>
      <c r="F426" s="865"/>
      <c r="G426" s="865"/>
      <c r="H426" s="867"/>
      <c r="I426" s="400" t="str">
        <f>IF('Mapa R. Fiscal'!Y429="","",'Mapa R. Fiscal'!Y429)</f>
        <v/>
      </c>
      <c r="J426" s="400" t="str">
        <f>IF('Mapa R. Fiscal'!AA429="","",'Mapa R. Fiscal'!AA429)</f>
        <v/>
      </c>
      <c r="K426" s="436" t="str">
        <f t="shared" si="71"/>
        <v/>
      </c>
      <c r="L426" s="400" t="str">
        <f>IF('Mapa R. Fiscal'!AD429="","",'Mapa R. Fiscal'!AD429)</f>
        <v/>
      </c>
      <c r="M426" s="339" t="str">
        <f>IF('Mapa R. Fiscal'!P429="","",'Mapa R. Fiscal'!P429)</f>
        <v/>
      </c>
      <c r="N426" s="70"/>
      <c r="O426" s="70"/>
      <c r="P426" s="70"/>
      <c r="Q426" s="186"/>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72" t="s">
        <v>671</v>
      </c>
      <c r="C1" s="872"/>
      <c r="D1" s="87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7"/>
      <c r="C3" s="298" t="s">
        <v>672</v>
      </c>
      <c r="D3" s="298" t="s">
        <v>673</v>
      </c>
      <c r="E3" s="15"/>
      <c r="F3" s="15"/>
      <c r="G3" s="15"/>
      <c r="H3" s="15"/>
      <c r="I3" s="15"/>
      <c r="J3" s="15"/>
      <c r="K3" s="15"/>
      <c r="L3" s="15"/>
      <c r="M3" s="15"/>
      <c r="N3" s="15"/>
      <c r="O3" s="15"/>
      <c r="P3" s="15"/>
      <c r="Q3" s="15"/>
      <c r="R3" s="15"/>
      <c r="S3" s="15"/>
      <c r="T3" s="15"/>
      <c r="U3" s="15"/>
    </row>
    <row r="4" spans="1:21" ht="33.75" x14ac:dyDescent="0.25">
      <c r="A4" s="299" t="s">
        <v>674</v>
      </c>
      <c r="B4" s="300" t="s">
        <v>675</v>
      </c>
      <c r="C4" s="301" t="s">
        <v>676</v>
      </c>
      <c r="D4" s="302" t="s">
        <v>677</v>
      </c>
      <c r="E4" s="15"/>
      <c r="F4" s="15"/>
      <c r="G4" s="15"/>
      <c r="H4" s="15"/>
      <c r="I4" s="15"/>
      <c r="J4" s="15"/>
      <c r="K4" s="15"/>
      <c r="L4" s="15"/>
      <c r="M4" s="15"/>
      <c r="N4" s="15"/>
      <c r="O4" s="15"/>
      <c r="P4" s="15"/>
      <c r="Q4" s="15"/>
      <c r="R4" s="15"/>
      <c r="S4" s="15"/>
      <c r="T4" s="15"/>
      <c r="U4" s="15"/>
    </row>
    <row r="5" spans="1:21" ht="101.25" x14ac:dyDescent="0.25">
      <c r="A5" s="299" t="s">
        <v>678</v>
      </c>
      <c r="B5" s="303" t="s">
        <v>679</v>
      </c>
      <c r="C5" s="304" t="s">
        <v>680</v>
      </c>
      <c r="D5" s="305" t="s">
        <v>681</v>
      </c>
      <c r="E5" s="15"/>
      <c r="F5" s="15"/>
      <c r="G5" s="15"/>
      <c r="H5" s="15"/>
      <c r="I5" s="15"/>
      <c r="J5" s="15"/>
      <c r="K5" s="15"/>
      <c r="L5" s="15"/>
      <c r="M5" s="15"/>
      <c r="N5" s="15"/>
      <c r="O5" s="15"/>
      <c r="P5" s="15"/>
      <c r="Q5" s="15"/>
      <c r="R5" s="15"/>
      <c r="S5" s="15"/>
      <c r="T5" s="15"/>
      <c r="U5" s="15"/>
    </row>
    <row r="6" spans="1:21" ht="67.5" x14ac:dyDescent="0.25">
      <c r="A6" s="299" t="s">
        <v>194</v>
      </c>
      <c r="B6" s="306" t="s">
        <v>682</v>
      </c>
      <c r="C6" s="304" t="s">
        <v>683</v>
      </c>
      <c r="D6" s="305" t="s">
        <v>684</v>
      </c>
      <c r="E6" s="15"/>
      <c r="F6" s="15"/>
      <c r="G6" s="15"/>
      <c r="H6" s="15"/>
      <c r="I6" s="15"/>
      <c r="J6" s="15"/>
      <c r="K6" s="15"/>
      <c r="L6" s="15"/>
      <c r="M6" s="15"/>
      <c r="N6" s="15"/>
      <c r="O6" s="15"/>
      <c r="P6" s="15"/>
      <c r="Q6" s="15"/>
      <c r="R6" s="15"/>
      <c r="S6" s="15"/>
      <c r="T6" s="15"/>
      <c r="U6" s="15"/>
    </row>
    <row r="7" spans="1:21" ht="101.25" x14ac:dyDescent="0.25">
      <c r="A7" s="299" t="s">
        <v>685</v>
      </c>
      <c r="B7" s="307" t="s">
        <v>686</v>
      </c>
      <c r="C7" s="304" t="s">
        <v>687</v>
      </c>
      <c r="D7" s="305" t="s">
        <v>688</v>
      </c>
      <c r="E7" s="15"/>
      <c r="F7" s="15"/>
      <c r="G7" s="15"/>
      <c r="H7" s="15"/>
      <c r="I7" s="15"/>
      <c r="J7" s="15"/>
      <c r="K7" s="15"/>
      <c r="L7" s="15"/>
      <c r="M7" s="15"/>
      <c r="N7" s="15"/>
      <c r="O7" s="15"/>
      <c r="P7" s="15"/>
      <c r="Q7" s="15"/>
      <c r="R7" s="15"/>
      <c r="S7" s="15"/>
      <c r="T7" s="15"/>
      <c r="U7" s="15"/>
    </row>
    <row r="8" spans="1:21" ht="67.5" x14ac:dyDescent="0.25">
      <c r="A8" s="299" t="s">
        <v>689</v>
      </c>
      <c r="B8" s="308" t="s">
        <v>690</v>
      </c>
      <c r="C8" s="304" t="s">
        <v>691</v>
      </c>
      <c r="D8" s="305" t="s">
        <v>692</v>
      </c>
      <c r="E8" s="15"/>
      <c r="F8" s="15"/>
      <c r="G8" s="15"/>
      <c r="H8" s="15"/>
      <c r="I8" s="15"/>
      <c r="J8" s="15"/>
      <c r="K8" s="15"/>
      <c r="L8" s="15"/>
      <c r="M8" s="15"/>
      <c r="N8" s="15"/>
      <c r="O8" s="15"/>
      <c r="P8" s="15"/>
      <c r="Q8" s="15"/>
      <c r="R8" s="15"/>
      <c r="S8" s="15"/>
      <c r="T8" s="15"/>
      <c r="U8" s="15"/>
    </row>
    <row r="9" spans="1:21" ht="20.25" x14ac:dyDescent="0.25">
      <c r="A9" s="299"/>
      <c r="B9" s="299"/>
      <c r="C9" s="309"/>
      <c r="D9" s="309"/>
      <c r="E9" s="15"/>
      <c r="F9" s="15"/>
      <c r="G9" s="15"/>
      <c r="H9" s="15"/>
      <c r="I9" s="15"/>
      <c r="J9" s="15"/>
      <c r="K9" s="15"/>
      <c r="L9" s="15"/>
      <c r="M9" s="15"/>
      <c r="N9" s="15"/>
      <c r="O9" s="15"/>
      <c r="P9" s="15"/>
      <c r="Q9" s="15"/>
      <c r="R9" s="15"/>
      <c r="S9" s="15"/>
      <c r="T9" s="15"/>
      <c r="U9" s="15"/>
    </row>
    <row r="10" spans="1:21" ht="16.5" x14ac:dyDescent="0.25">
      <c r="A10" s="299"/>
      <c r="B10" s="341"/>
      <c r="C10" s="341"/>
      <c r="D10" s="341"/>
      <c r="E10" s="299"/>
      <c r="F10" s="15"/>
      <c r="G10" s="15"/>
      <c r="H10" s="15"/>
      <c r="I10" s="15"/>
      <c r="J10" s="15"/>
      <c r="K10" s="15"/>
      <c r="L10" s="15"/>
      <c r="M10" s="15"/>
      <c r="N10" s="15"/>
      <c r="O10" s="15"/>
      <c r="P10" s="15"/>
      <c r="Q10" s="15"/>
      <c r="R10" s="15"/>
      <c r="S10" s="15"/>
      <c r="T10" s="15"/>
      <c r="U10" s="15"/>
    </row>
    <row r="11" spans="1:21" x14ac:dyDescent="0.25">
      <c r="A11" s="299"/>
      <c r="B11" s="299" t="s">
        <v>693</v>
      </c>
      <c r="C11" s="299" t="s">
        <v>694</v>
      </c>
      <c r="D11" s="299" t="s">
        <v>695</v>
      </c>
      <c r="E11" s="299"/>
      <c r="F11" s="15"/>
      <c r="G11" s="15"/>
      <c r="H11" s="15"/>
      <c r="I11" s="15"/>
      <c r="J11" s="15"/>
      <c r="K11" s="15"/>
      <c r="L11" s="15"/>
      <c r="M11" s="15"/>
      <c r="N11" s="15"/>
      <c r="O11" s="15"/>
      <c r="P11" s="15"/>
      <c r="Q11" s="15"/>
      <c r="R11" s="15"/>
      <c r="S11" s="15"/>
      <c r="T11" s="15"/>
      <c r="U11" s="15"/>
    </row>
    <row r="12" spans="1:21" x14ac:dyDescent="0.25">
      <c r="A12" s="299"/>
      <c r="B12" s="299" t="s">
        <v>696</v>
      </c>
      <c r="C12" s="299" t="s">
        <v>697</v>
      </c>
      <c r="D12" s="299" t="s">
        <v>698</v>
      </c>
      <c r="E12" s="299"/>
      <c r="F12" s="15"/>
      <c r="G12" s="15"/>
      <c r="H12" s="15"/>
      <c r="I12" s="15"/>
      <c r="J12" s="15"/>
      <c r="K12" s="15"/>
      <c r="L12" s="15"/>
      <c r="M12" s="15"/>
      <c r="N12" s="15"/>
      <c r="O12" s="15"/>
      <c r="P12" s="15"/>
      <c r="Q12" s="15"/>
      <c r="R12" s="15"/>
      <c r="S12" s="15"/>
      <c r="T12" s="15"/>
      <c r="U12" s="15"/>
    </row>
    <row r="13" spans="1:21" x14ac:dyDescent="0.25">
      <c r="A13" s="299"/>
      <c r="B13" s="299"/>
      <c r="C13" s="299" t="s">
        <v>699</v>
      </c>
      <c r="D13" s="299" t="s">
        <v>700</v>
      </c>
      <c r="E13" s="299"/>
      <c r="F13" s="15"/>
      <c r="G13" s="15"/>
      <c r="H13" s="15"/>
      <c r="I13" s="15"/>
      <c r="J13" s="15"/>
      <c r="K13" s="15"/>
      <c r="L13" s="15"/>
      <c r="M13" s="15"/>
      <c r="N13" s="15"/>
      <c r="O13" s="15"/>
      <c r="P13" s="15"/>
      <c r="Q13" s="15"/>
      <c r="R13" s="15"/>
      <c r="S13" s="15"/>
      <c r="T13" s="15"/>
      <c r="U13" s="15"/>
    </row>
    <row r="14" spans="1:21" x14ac:dyDescent="0.25">
      <c r="A14" s="299"/>
      <c r="B14" s="299"/>
      <c r="C14" s="299" t="s">
        <v>701</v>
      </c>
      <c r="D14" s="299" t="s">
        <v>702</v>
      </c>
      <c r="E14" s="299"/>
      <c r="F14" s="15"/>
      <c r="G14" s="15"/>
      <c r="H14" s="15"/>
      <c r="I14" s="15"/>
      <c r="J14" s="15"/>
      <c r="K14" s="15"/>
      <c r="L14" s="15"/>
      <c r="M14" s="15"/>
      <c r="N14" s="15"/>
      <c r="O14" s="15"/>
      <c r="P14" s="15"/>
      <c r="Q14" s="15"/>
      <c r="R14" s="15"/>
      <c r="S14" s="15"/>
      <c r="T14" s="15"/>
      <c r="U14" s="15"/>
    </row>
    <row r="15" spans="1:21" x14ac:dyDescent="0.25">
      <c r="A15" s="299"/>
      <c r="B15" s="299"/>
      <c r="C15" s="299" t="s">
        <v>703</v>
      </c>
      <c r="D15" s="299" t="s">
        <v>164</v>
      </c>
      <c r="E15" s="299"/>
      <c r="F15" s="15"/>
      <c r="G15" s="15"/>
      <c r="H15" s="15"/>
      <c r="I15" s="15"/>
      <c r="J15" s="15"/>
      <c r="K15" s="15"/>
      <c r="L15" s="15"/>
      <c r="M15" s="15"/>
      <c r="N15" s="15"/>
      <c r="O15" s="15"/>
      <c r="P15" s="15"/>
      <c r="Q15" s="15"/>
      <c r="R15" s="15"/>
      <c r="S15" s="15"/>
      <c r="T15" s="15"/>
      <c r="U15" s="15"/>
    </row>
    <row r="16" spans="1:21" x14ac:dyDescent="0.25">
      <c r="A16" s="299"/>
      <c r="B16" s="299"/>
      <c r="C16" s="299"/>
      <c r="D16" s="299"/>
      <c r="E16" s="299"/>
      <c r="F16" s="15"/>
      <c r="G16" s="15"/>
      <c r="H16" s="15"/>
      <c r="I16" s="15"/>
      <c r="J16" s="15"/>
      <c r="K16" s="15"/>
      <c r="L16" s="15"/>
      <c r="M16" s="15"/>
      <c r="N16" s="15"/>
      <c r="O16" s="15"/>
    </row>
    <row r="17" spans="1:15" x14ac:dyDescent="0.25">
      <c r="A17" s="299"/>
      <c r="B17" s="299"/>
      <c r="C17" s="299"/>
      <c r="D17" s="299"/>
      <c r="E17" s="299"/>
      <c r="F17" s="15"/>
      <c r="G17" s="15"/>
      <c r="H17" s="15"/>
      <c r="I17" s="15"/>
      <c r="J17" s="15"/>
      <c r="K17" s="15"/>
      <c r="L17" s="15"/>
      <c r="M17" s="15"/>
      <c r="N17" s="15"/>
      <c r="O17" s="15"/>
    </row>
    <row r="18" spans="1:15" x14ac:dyDescent="0.25">
      <c r="A18" s="299"/>
      <c r="B18" s="299"/>
      <c r="C18" s="299"/>
      <c r="D18" s="299"/>
      <c r="E18" s="299"/>
      <c r="F18" s="15"/>
      <c r="G18" s="15"/>
      <c r="H18" s="15"/>
      <c r="I18" s="15"/>
      <c r="J18" s="15"/>
      <c r="K18" s="15"/>
      <c r="L18" s="15"/>
      <c r="M18" s="15"/>
      <c r="N18" s="15"/>
      <c r="O18" s="15"/>
    </row>
    <row r="19" spans="1:15" x14ac:dyDescent="0.25">
      <c r="A19" s="299"/>
      <c r="B19" s="299"/>
      <c r="C19" s="299"/>
      <c r="D19" s="299"/>
      <c r="E19" s="299"/>
      <c r="F19" s="15"/>
      <c r="G19" s="15"/>
      <c r="H19" s="15"/>
      <c r="I19" s="15"/>
      <c r="J19" s="15"/>
      <c r="K19" s="15"/>
      <c r="L19" s="15"/>
      <c r="M19" s="15"/>
      <c r="N19" s="15"/>
      <c r="O19" s="15"/>
    </row>
    <row r="20" spans="1:15" x14ac:dyDescent="0.25">
      <c r="A20" s="299"/>
      <c r="B20" s="334"/>
      <c r="C20" s="334"/>
      <c r="D20" s="334"/>
      <c r="E20" s="334"/>
      <c r="F20" s="15"/>
      <c r="G20" s="15"/>
      <c r="H20" s="15"/>
      <c r="I20" s="15"/>
      <c r="J20" s="15"/>
      <c r="K20" s="15"/>
      <c r="L20" s="15"/>
      <c r="M20" s="15"/>
      <c r="N20" s="15"/>
      <c r="O20" s="15"/>
    </row>
    <row r="21" spans="1:15" x14ac:dyDescent="0.25">
      <c r="A21" s="299"/>
      <c r="B21" s="334"/>
      <c r="C21" s="334"/>
      <c r="D21" s="334"/>
      <c r="E21" s="334"/>
      <c r="F21" s="15"/>
      <c r="G21" s="15"/>
      <c r="H21" s="15"/>
      <c r="I21" s="15"/>
      <c r="J21" s="15"/>
      <c r="K21" s="15"/>
      <c r="L21" s="15"/>
      <c r="M21" s="15"/>
      <c r="N21" s="15"/>
      <c r="O21" s="15"/>
    </row>
    <row r="22" spans="1:15" ht="20.25" x14ac:dyDescent="0.25">
      <c r="A22" s="299"/>
      <c r="B22" s="334"/>
      <c r="C22" s="336"/>
      <c r="D22" s="336"/>
      <c r="E22" s="334"/>
      <c r="F22" s="15"/>
      <c r="G22" s="15"/>
      <c r="H22" s="15"/>
      <c r="I22" s="15"/>
      <c r="J22" s="15"/>
      <c r="K22" s="15"/>
      <c r="L22" s="15"/>
      <c r="M22" s="15"/>
      <c r="N22" s="15"/>
      <c r="O22" s="15"/>
    </row>
    <row r="23" spans="1:15" ht="20.25" x14ac:dyDescent="0.25">
      <c r="A23" s="299"/>
      <c r="B23" s="334"/>
      <c r="C23" s="336"/>
      <c r="D23" s="336"/>
      <c r="E23" s="334"/>
      <c r="F23" s="15"/>
      <c r="G23" s="15"/>
      <c r="H23" s="15"/>
      <c r="I23" s="15"/>
      <c r="J23" s="15"/>
      <c r="K23" s="15"/>
      <c r="L23" s="15"/>
      <c r="M23" s="15"/>
      <c r="N23" s="15"/>
      <c r="O23" s="15"/>
    </row>
    <row r="24" spans="1:15" ht="20.25" x14ac:dyDescent="0.25">
      <c r="A24" s="299"/>
      <c r="B24" s="334"/>
      <c r="C24" s="336"/>
      <c r="D24" s="336"/>
      <c r="E24" s="334"/>
      <c r="F24" s="15"/>
      <c r="G24" s="15"/>
      <c r="H24" s="15"/>
      <c r="I24" s="15"/>
      <c r="J24" s="15"/>
      <c r="K24" s="15"/>
      <c r="L24" s="15"/>
      <c r="M24" s="15"/>
      <c r="N24" s="15"/>
      <c r="O24" s="15"/>
    </row>
    <row r="25" spans="1:15" ht="20.25" x14ac:dyDescent="0.25">
      <c r="A25" s="299"/>
      <c r="B25" s="334"/>
      <c r="C25" s="336"/>
      <c r="D25" s="336"/>
      <c r="E25" s="334"/>
      <c r="F25" s="15"/>
      <c r="G25" s="15"/>
      <c r="H25" s="15"/>
      <c r="I25" s="15"/>
      <c r="J25" s="15"/>
      <c r="K25" s="15"/>
      <c r="L25" s="15"/>
      <c r="M25" s="15"/>
      <c r="N25" s="15"/>
      <c r="O25" s="15"/>
    </row>
    <row r="26" spans="1:15" ht="20.25" x14ac:dyDescent="0.25">
      <c r="A26" s="299"/>
      <c r="B26" s="334"/>
      <c r="C26" s="336"/>
      <c r="D26" s="336"/>
      <c r="E26" s="334"/>
      <c r="F26" s="15"/>
      <c r="G26" s="15"/>
      <c r="H26" s="15"/>
      <c r="I26" s="15"/>
      <c r="J26" s="15"/>
      <c r="K26" s="15"/>
      <c r="L26" s="15"/>
      <c r="M26" s="15"/>
      <c r="N26" s="15"/>
      <c r="O26" s="15"/>
    </row>
    <row r="27" spans="1:15" ht="20.25" x14ac:dyDescent="0.25">
      <c r="A27" s="299"/>
      <c r="B27" s="334"/>
      <c r="C27" s="336"/>
      <c r="D27" s="336"/>
      <c r="E27" s="334"/>
      <c r="F27" s="15"/>
      <c r="G27" s="15"/>
      <c r="H27" s="15"/>
      <c r="I27" s="15"/>
      <c r="J27" s="15"/>
      <c r="K27" s="15"/>
      <c r="L27" s="15"/>
      <c r="M27" s="15"/>
      <c r="N27" s="15"/>
      <c r="O27" s="15"/>
    </row>
    <row r="28" spans="1:15" ht="20.25" x14ac:dyDescent="0.25">
      <c r="A28" s="299"/>
      <c r="B28" s="334"/>
      <c r="C28" s="336"/>
      <c r="D28" s="336"/>
      <c r="E28" s="334"/>
      <c r="F28" s="15"/>
      <c r="G28" s="15"/>
      <c r="H28" s="15"/>
      <c r="I28" s="15"/>
      <c r="J28" s="15"/>
      <c r="K28" s="15"/>
      <c r="L28" s="15"/>
      <c r="M28" s="15"/>
      <c r="N28" s="15"/>
      <c r="O28" s="15"/>
    </row>
    <row r="29" spans="1:15" ht="20.25" x14ac:dyDescent="0.25">
      <c r="A29" s="299"/>
      <c r="B29" s="334"/>
      <c r="C29" s="336"/>
      <c r="D29" s="336"/>
      <c r="E29" s="334"/>
      <c r="F29" s="15"/>
      <c r="G29" s="15"/>
      <c r="H29" s="15"/>
      <c r="I29" s="15"/>
      <c r="J29" s="15"/>
      <c r="K29" s="15"/>
      <c r="L29" s="15"/>
      <c r="M29" s="15"/>
      <c r="N29" s="15"/>
      <c r="O29" s="15"/>
    </row>
    <row r="30" spans="1:15" ht="20.25" x14ac:dyDescent="0.25">
      <c r="A30" s="299"/>
      <c r="B30" s="334"/>
      <c r="C30" s="336"/>
      <c r="D30" s="336"/>
      <c r="E30" s="334"/>
      <c r="F30" s="15"/>
      <c r="G30" s="15"/>
      <c r="H30" s="15"/>
      <c r="I30" s="15"/>
      <c r="J30" s="15"/>
      <c r="K30" s="15"/>
      <c r="L30" s="15"/>
      <c r="M30" s="15"/>
      <c r="N30" s="15"/>
      <c r="O30" s="15"/>
    </row>
    <row r="31" spans="1:15" ht="20.25" x14ac:dyDescent="0.25">
      <c r="A31" s="299"/>
      <c r="B31" s="334"/>
      <c r="C31" s="336"/>
      <c r="D31" s="336"/>
      <c r="E31" s="334"/>
      <c r="F31" s="15"/>
      <c r="G31" s="15"/>
      <c r="H31" s="15"/>
      <c r="I31" s="15"/>
      <c r="J31" s="15"/>
      <c r="K31" s="15"/>
      <c r="L31" s="15"/>
      <c r="M31" s="15"/>
      <c r="N31" s="15"/>
      <c r="O31" s="15"/>
    </row>
    <row r="32" spans="1:15" ht="20.25" x14ac:dyDescent="0.25">
      <c r="A32" s="299"/>
      <c r="B32" s="334"/>
      <c r="C32" s="336"/>
      <c r="D32" s="336"/>
      <c r="E32" s="334"/>
      <c r="F32" s="15"/>
      <c r="G32" s="15"/>
      <c r="H32" s="15"/>
      <c r="I32" s="15"/>
      <c r="J32" s="15"/>
      <c r="K32" s="15"/>
      <c r="L32" s="15"/>
      <c r="M32" s="15"/>
      <c r="N32" s="15"/>
      <c r="O32" s="15"/>
    </row>
    <row r="33" spans="1:15" ht="20.25" x14ac:dyDescent="0.25">
      <c r="A33" s="299"/>
      <c r="B33" s="334"/>
      <c r="C33" s="336"/>
      <c r="D33" s="336"/>
      <c r="E33" s="334"/>
      <c r="F33" s="15"/>
      <c r="G33" s="15"/>
      <c r="H33" s="15"/>
      <c r="I33" s="15"/>
      <c r="J33" s="15"/>
      <c r="K33" s="15"/>
      <c r="L33" s="15"/>
      <c r="M33" s="15"/>
      <c r="N33" s="15"/>
      <c r="O33" s="15"/>
    </row>
    <row r="34" spans="1:15" ht="20.25" x14ac:dyDescent="0.25">
      <c r="A34" s="299"/>
      <c r="B34" s="334"/>
      <c r="C34" s="336"/>
      <c r="D34" s="336"/>
      <c r="E34" s="334"/>
      <c r="F34" s="15"/>
      <c r="G34" s="15"/>
      <c r="H34" s="15"/>
      <c r="I34" s="15"/>
      <c r="J34" s="15"/>
      <c r="K34" s="15"/>
      <c r="L34" s="15"/>
      <c r="M34" s="15"/>
      <c r="N34" s="15"/>
      <c r="O34" s="15"/>
    </row>
    <row r="35" spans="1:15" ht="20.25" x14ac:dyDescent="0.25">
      <c r="A35" s="299"/>
      <c r="B35" s="334"/>
      <c r="C35" s="336"/>
      <c r="D35" s="336"/>
      <c r="E35" s="334"/>
      <c r="F35" s="15"/>
      <c r="G35" s="15"/>
      <c r="H35" s="15"/>
      <c r="I35" s="15"/>
      <c r="J35" s="15"/>
      <c r="K35" s="15"/>
      <c r="L35" s="15"/>
      <c r="M35" s="15"/>
      <c r="N35" s="15"/>
      <c r="O35" s="15"/>
    </row>
    <row r="36" spans="1:15" ht="20.25" x14ac:dyDescent="0.25">
      <c r="A36" s="299"/>
      <c r="B36" s="334"/>
      <c r="C36" s="336"/>
      <c r="D36" s="336"/>
      <c r="E36" s="334"/>
      <c r="F36" s="15"/>
      <c r="G36" s="15"/>
      <c r="H36" s="15"/>
      <c r="I36" s="15"/>
      <c r="J36" s="15"/>
      <c r="K36" s="15"/>
      <c r="L36" s="15"/>
      <c r="M36" s="15"/>
      <c r="N36" s="15"/>
      <c r="O36" s="15"/>
    </row>
    <row r="37" spans="1:15" ht="20.25" x14ac:dyDescent="0.25">
      <c r="A37" s="299"/>
      <c r="B37" s="299"/>
      <c r="C37" s="309"/>
      <c r="D37" s="309"/>
      <c r="E37" s="15"/>
      <c r="F37" s="15"/>
      <c r="G37" s="15"/>
      <c r="H37" s="15"/>
      <c r="I37" s="15"/>
      <c r="J37" s="15"/>
      <c r="K37" s="15"/>
      <c r="L37" s="15"/>
      <c r="M37" s="15"/>
      <c r="N37" s="15"/>
      <c r="O37" s="15"/>
    </row>
    <row r="38" spans="1:15" ht="20.25" x14ac:dyDescent="0.25">
      <c r="A38" s="299"/>
      <c r="B38" s="299"/>
      <c r="C38" s="309"/>
      <c r="D38" s="309"/>
      <c r="E38" s="15"/>
      <c r="F38" s="15"/>
      <c r="G38" s="15"/>
      <c r="H38" s="15"/>
      <c r="I38" s="15"/>
      <c r="J38" s="15"/>
      <c r="K38" s="15"/>
      <c r="L38" s="15"/>
      <c r="M38" s="15"/>
      <c r="N38" s="15"/>
      <c r="O38" s="15"/>
    </row>
    <row r="39" spans="1:15" ht="20.25" x14ac:dyDescent="0.25">
      <c r="A39" s="299"/>
      <c r="B39" s="299"/>
      <c r="C39" s="309"/>
      <c r="D39" s="309"/>
      <c r="E39" s="15"/>
      <c r="F39" s="15"/>
      <c r="G39" s="15"/>
      <c r="H39" s="15"/>
      <c r="I39" s="15"/>
      <c r="J39" s="15"/>
      <c r="K39" s="15"/>
      <c r="L39" s="15"/>
      <c r="M39" s="15"/>
      <c r="N39" s="15"/>
      <c r="O39" s="15"/>
    </row>
    <row r="40" spans="1:15" ht="20.25" x14ac:dyDescent="0.25">
      <c r="A40" s="299"/>
      <c r="B40" s="299"/>
      <c r="C40" s="309"/>
      <c r="D40" s="309"/>
      <c r="E40" s="15"/>
      <c r="F40" s="15"/>
      <c r="G40" s="15"/>
      <c r="H40" s="15"/>
      <c r="I40" s="15"/>
      <c r="J40" s="15"/>
      <c r="K40" s="15"/>
      <c r="L40" s="15"/>
      <c r="M40" s="15"/>
      <c r="N40" s="15"/>
      <c r="O40" s="15"/>
    </row>
    <row r="41" spans="1:15" ht="20.25" x14ac:dyDescent="0.25">
      <c r="A41" s="299"/>
      <c r="B41" s="299"/>
      <c r="C41" s="309"/>
      <c r="D41" s="309"/>
      <c r="E41" s="15"/>
      <c r="F41" s="15"/>
      <c r="G41" s="15"/>
      <c r="H41" s="15"/>
      <c r="I41" s="15"/>
      <c r="J41" s="15"/>
      <c r="K41" s="15"/>
      <c r="L41" s="15"/>
      <c r="M41" s="15"/>
      <c r="N41" s="15"/>
      <c r="O41" s="15"/>
    </row>
    <row r="42" spans="1:15" ht="20.25" x14ac:dyDescent="0.25">
      <c r="A42" s="299"/>
      <c r="B42" s="299"/>
      <c r="C42" s="309"/>
      <c r="D42" s="309"/>
      <c r="E42" s="15"/>
      <c r="F42" s="15"/>
      <c r="G42" s="15"/>
      <c r="H42" s="15"/>
      <c r="I42" s="15"/>
      <c r="J42" s="15"/>
      <c r="K42" s="15"/>
      <c r="L42" s="15"/>
      <c r="M42" s="15"/>
      <c r="N42" s="15"/>
      <c r="O42" s="15"/>
    </row>
    <row r="43" spans="1:15" ht="20.25" x14ac:dyDescent="0.25">
      <c r="A43" s="299"/>
      <c r="B43" s="299"/>
      <c r="C43" s="309"/>
      <c r="D43" s="309"/>
      <c r="E43" s="15"/>
      <c r="F43" s="15"/>
      <c r="G43" s="15"/>
      <c r="H43" s="15"/>
      <c r="I43" s="15"/>
      <c r="J43" s="15"/>
      <c r="K43" s="15"/>
      <c r="L43" s="15"/>
      <c r="M43" s="15"/>
      <c r="N43" s="15"/>
      <c r="O43" s="15"/>
    </row>
    <row r="44" spans="1:15" ht="20.25" x14ac:dyDescent="0.25">
      <c r="A44" s="299"/>
      <c r="B44" s="299"/>
      <c r="C44" s="309"/>
      <c r="D44" s="309"/>
      <c r="E44" s="15"/>
      <c r="F44" s="15"/>
      <c r="G44" s="15"/>
      <c r="H44" s="15"/>
      <c r="I44" s="15"/>
      <c r="J44" s="15"/>
      <c r="K44" s="15"/>
      <c r="L44" s="15"/>
      <c r="M44" s="15"/>
      <c r="N44" s="15"/>
      <c r="O44" s="15"/>
    </row>
    <row r="45" spans="1:15" ht="20.25" x14ac:dyDescent="0.25">
      <c r="A45" s="299"/>
      <c r="B45" s="299"/>
      <c r="C45" s="309"/>
      <c r="D45" s="309"/>
      <c r="E45" s="15"/>
      <c r="F45" s="15"/>
      <c r="G45" s="15"/>
      <c r="H45" s="15"/>
      <c r="I45" s="15"/>
      <c r="J45" s="15"/>
      <c r="K45" s="15"/>
      <c r="L45" s="15"/>
      <c r="M45" s="15"/>
      <c r="N45" s="15"/>
      <c r="O45" s="15"/>
    </row>
    <row r="46" spans="1:15" ht="20.25" x14ac:dyDescent="0.25">
      <c r="A46" s="299"/>
      <c r="B46" s="299"/>
      <c r="C46" s="309"/>
      <c r="D46" s="309"/>
      <c r="E46" s="15"/>
      <c r="F46" s="15"/>
      <c r="G46" s="15"/>
      <c r="H46" s="15"/>
      <c r="I46" s="15"/>
      <c r="J46" s="15"/>
      <c r="K46" s="15"/>
      <c r="L46" s="15"/>
      <c r="M46" s="15"/>
      <c r="N46" s="15"/>
      <c r="O46" s="15"/>
    </row>
    <row r="47" spans="1:15" ht="20.25" x14ac:dyDescent="0.25">
      <c r="A47" s="299"/>
      <c r="B47" s="299"/>
      <c r="C47" s="309"/>
      <c r="D47" s="309"/>
      <c r="E47" s="15"/>
      <c r="F47" s="15"/>
      <c r="G47" s="15"/>
      <c r="H47" s="15"/>
      <c r="I47" s="15"/>
      <c r="J47" s="15"/>
      <c r="K47" s="15"/>
      <c r="L47" s="15"/>
      <c r="M47" s="15"/>
      <c r="N47" s="15"/>
      <c r="O47" s="15"/>
    </row>
    <row r="48" spans="1:15" ht="20.25" x14ac:dyDescent="0.25">
      <c r="A48" s="299"/>
      <c r="B48" s="299"/>
      <c r="C48" s="309"/>
      <c r="D48" s="309"/>
      <c r="E48" s="15"/>
      <c r="F48" s="15"/>
      <c r="G48" s="15"/>
      <c r="H48" s="15"/>
      <c r="I48" s="15"/>
      <c r="J48" s="15"/>
      <c r="K48" s="15"/>
      <c r="L48" s="15"/>
      <c r="M48" s="15"/>
      <c r="N48" s="15"/>
      <c r="O48" s="15"/>
    </row>
    <row r="49" spans="1:15" ht="20.25" x14ac:dyDescent="0.25">
      <c r="A49" s="299"/>
      <c r="B49" s="299"/>
      <c r="C49" s="309"/>
      <c r="D49" s="309"/>
      <c r="E49" s="15"/>
      <c r="F49" s="15"/>
      <c r="G49" s="15"/>
      <c r="H49" s="15"/>
      <c r="I49" s="15"/>
      <c r="J49" s="15"/>
      <c r="K49" s="15"/>
      <c r="L49" s="15"/>
      <c r="M49" s="15"/>
      <c r="N49" s="15"/>
      <c r="O49" s="15"/>
    </row>
    <row r="50" spans="1:15" ht="20.25" x14ac:dyDescent="0.25">
      <c r="A50" s="299"/>
      <c r="B50" s="299"/>
      <c r="C50" s="309"/>
      <c r="D50" s="309"/>
      <c r="E50" s="15"/>
      <c r="F50" s="15"/>
      <c r="G50" s="15"/>
      <c r="H50" s="15"/>
      <c r="I50" s="15"/>
      <c r="J50" s="15"/>
      <c r="K50" s="15"/>
      <c r="L50" s="15"/>
      <c r="M50" s="15"/>
      <c r="N50" s="15"/>
      <c r="O50" s="15"/>
    </row>
    <row r="51" spans="1:15" ht="20.25" x14ac:dyDescent="0.25">
      <c r="A51" s="299"/>
      <c r="B51" s="299"/>
      <c r="C51" s="309"/>
      <c r="D51" s="309"/>
      <c r="E51" s="15"/>
      <c r="F51" s="15"/>
      <c r="G51" s="15"/>
      <c r="H51" s="15"/>
      <c r="I51" s="15"/>
      <c r="J51" s="15"/>
      <c r="K51" s="15"/>
      <c r="L51" s="15"/>
      <c r="M51" s="15"/>
      <c r="N51" s="15"/>
      <c r="O51" s="15"/>
    </row>
    <row r="52" spans="1:15" ht="20.25" x14ac:dyDescent="0.25">
      <c r="A52" s="299"/>
      <c r="B52" s="310"/>
      <c r="C52" s="311"/>
      <c r="D52" s="311"/>
    </row>
    <row r="53" spans="1:15" ht="20.25" x14ac:dyDescent="0.25">
      <c r="A53" s="299"/>
      <c r="B53" s="310"/>
      <c r="C53" s="311"/>
      <c r="D53" s="311"/>
    </row>
    <row r="54" spans="1:15" ht="20.25" x14ac:dyDescent="0.25">
      <c r="A54" s="299"/>
      <c r="B54" s="310"/>
      <c r="C54" s="311"/>
      <c r="D54" s="311"/>
    </row>
    <row r="55" spans="1:15" ht="20.25" x14ac:dyDescent="0.25">
      <c r="A55" s="299"/>
      <c r="B55" s="310"/>
      <c r="C55" s="311"/>
      <c r="D55" s="311"/>
    </row>
    <row r="56" spans="1:15" ht="20.25" x14ac:dyDescent="0.25">
      <c r="A56" s="299"/>
      <c r="B56" s="310"/>
      <c r="C56" s="311"/>
      <c r="D56" s="311"/>
    </row>
    <row r="57" spans="1:15" ht="20.25" x14ac:dyDescent="0.25">
      <c r="A57" s="299"/>
      <c r="B57" s="310"/>
      <c r="C57" s="311"/>
      <c r="D57" s="311"/>
    </row>
    <row r="58" spans="1:15" ht="20.25" x14ac:dyDescent="0.25">
      <c r="A58" s="299"/>
      <c r="B58" s="310"/>
      <c r="C58" s="311"/>
      <c r="D58" s="311"/>
    </row>
    <row r="59" spans="1:15" ht="20.25" x14ac:dyDescent="0.25">
      <c r="A59" s="299"/>
      <c r="B59" s="310"/>
      <c r="C59" s="311"/>
      <c r="D59" s="311"/>
    </row>
    <row r="60" spans="1:15" ht="20.25" x14ac:dyDescent="0.25">
      <c r="A60" s="299"/>
      <c r="B60" s="310"/>
      <c r="C60" s="311"/>
      <c r="D60" s="311"/>
    </row>
    <row r="61" spans="1:15" ht="20.25" x14ac:dyDescent="0.25">
      <c r="A61" s="299"/>
      <c r="B61" s="310"/>
      <c r="C61" s="311"/>
      <c r="D61" s="311"/>
    </row>
    <row r="62" spans="1:15" ht="20.25" x14ac:dyDescent="0.25">
      <c r="A62" s="299"/>
      <c r="B62" s="310"/>
      <c r="C62" s="311"/>
      <c r="D62" s="311"/>
    </row>
    <row r="63" spans="1:15" ht="20.25" x14ac:dyDescent="0.25">
      <c r="A63" s="299"/>
      <c r="B63" s="310"/>
      <c r="C63" s="311"/>
      <c r="D63" s="311"/>
    </row>
    <row r="64" spans="1:15" ht="20.25" x14ac:dyDescent="0.25">
      <c r="A64" s="299"/>
      <c r="B64" s="310"/>
      <c r="C64" s="311"/>
      <c r="D64" s="311"/>
    </row>
    <row r="65" spans="1:4" ht="20.25" x14ac:dyDescent="0.25">
      <c r="A65" s="299"/>
      <c r="B65" s="310"/>
      <c r="C65" s="311"/>
      <c r="D65" s="311"/>
    </row>
    <row r="66" spans="1:4" ht="20.25" x14ac:dyDescent="0.25">
      <c r="A66" s="299"/>
      <c r="B66" s="310"/>
      <c r="C66" s="311"/>
      <c r="D66" s="311"/>
    </row>
    <row r="67" spans="1:4" ht="20.25" x14ac:dyDescent="0.25">
      <c r="A67" s="299"/>
      <c r="B67" s="310"/>
      <c r="C67" s="311"/>
      <c r="D67" s="311"/>
    </row>
    <row r="68" spans="1:4" ht="20.25" x14ac:dyDescent="0.25">
      <c r="A68" s="299"/>
      <c r="B68" s="310"/>
      <c r="C68" s="311"/>
      <c r="D68" s="311"/>
    </row>
    <row r="69" spans="1:4" ht="20.25" x14ac:dyDescent="0.25">
      <c r="A69" s="299"/>
      <c r="B69" s="310"/>
      <c r="C69" s="311"/>
      <c r="D69" s="311"/>
    </row>
    <row r="70" spans="1:4" ht="20.25" x14ac:dyDescent="0.25">
      <c r="A70" s="299"/>
      <c r="B70" s="310"/>
      <c r="C70" s="311"/>
      <c r="D70" s="311"/>
    </row>
    <row r="71" spans="1:4" ht="20.25" x14ac:dyDescent="0.25">
      <c r="A71" s="299"/>
      <c r="B71" s="310"/>
      <c r="C71" s="311"/>
      <c r="D71" s="311"/>
    </row>
    <row r="72" spans="1:4" ht="20.25" x14ac:dyDescent="0.25">
      <c r="A72" s="299"/>
      <c r="B72" s="310"/>
      <c r="C72" s="311"/>
      <c r="D72" s="311"/>
    </row>
    <row r="73" spans="1:4" ht="20.25" x14ac:dyDescent="0.25">
      <c r="A73" s="299"/>
      <c r="B73" s="310"/>
      <c r="C73" s="311"/>
      <c r="D73" s="311"/>
    </row>
    <row r="74" spans="1:4" ht="20.25" x14ac:dyDescent="0.25">
      <c r="A74" s="299"/>
      <c r="B74" s="310"/>
      <c r="C74" s="311"/>
      <c r="D74" s="311"/>
    </row>
    <row r="75" spans="1:4" ht="20.25" x14ac:dyDescent="0.25">
      <c r="A75" s="299"/>
      <c r="B75" s="310"/>
      <c r="C75" s="311"/>
      <c r="D75" s="311"/>
    </row>
    <row r="76" spans="1:4" ht="20.25" x14ac:dyDescent="0.25">
      <c r="A76" s="299"/>
      <c r="B76" s="310"/>
      <c r="C76" s="311"/>
      <c r="D76" s="311"/>
    </row>
    <row r="77" spans="1:4" ht="20.25" x14ac:dyDescent="0.25">
      <c r="A77" s="299"/>
      <c r="B77" s="310"/>
      <c r="C77" s="311"/>
      <c r="D77" s="311"/>
    </row>
    <row r="78" spans="1:4" ht="20.25" x14ac:dyDescent="0.25">
      <c r="A78" s="299"/>
      <c r="B78" s="310"/>
      <c r="C78" s="311"/>
      <c r="D78" s="311"/>
    </row>
    <row r="79" spans="1:4" ht="20.25" x14ac:dyDescent="0.25">
      <c r="A79" s="299"/>
      <c r="B79" s="310"/>
      <c r="C79" s="311"/>
      <c r="D79" s="311"/>
    </row>
    <row r="80" spans="1:4" ht="20.25" x14ac:dyDescent="0.25">
      <c r="A80" s="299"/>
      <c r="B80" s="310"/>
      <c r="C80" s="311"/>
      <c r="D80" s="311"/>
    </row>
    <row r="81" spans="1:4" ht="20.25" x14ac:dyDescent="0.25">
      <c r="A81" s="299"/>
      <c r="B81" s="310"/>
      <c r="C81" s="311"/>
      <c r="D81" s="311"/>
    </row>
    <row r="82" spans="1:4" ht="20.25" x14ac:dyDescent="0.25">
      <c r="A82" s="299"/>
      <c r="B82" s="310"/>
      <c r="C82" s="311"/>
      <c r="D82" s="311"/>
    </row>
    <row r="83" spans="1:4" ht="20.25" x14ac:dyDescent="0.25">
      <c r="A83" s="299"/>
      <c r="B83" s="310"/>
      <c r="C83" s="311"/>
      <c r="D83" s="311"/>
    </row>
    <row r="84" spans="1:4" ht="20.25" x14ac:dyDescent="0.25">
      <c r="A84" s="299"/>
      <c r="B84" s="310"/>
      <c r="C84" s="311"/>
      <c r="D84" s="311"/>
    </row>
    <row r="85" spans="1:4" ht="20.25" x14ac:dyDescent="0.25">
      <c r="A85" s="299"/>
      <c r="B85" s="310"/>
      <c r="C85" s="311"/>
      <c r="D85" s="311"/>
    </row>
    <row r="86" spans="1:4" ht="20.25" x14ac:dyDescent="0.25">
      <c r="A86" s="299"/>
      <c r="B86" s="310"/>
      <c r="C86" s="311"/>
      <c r="D86" s="311"/>
    </row>
    <row r="87" spans="1:4" ht="20.25" x14ac:dyDescent="0.25">
      <c r="A87" s="299"/>
      <c r="B87" s="310"/>
      <c r="C87" s="311"/>
      <c r="D87" s="311"/>
    </row>
    <row r="88" spans="1:4" ht="20.25" x14ac:dyDescent="0.25">
      <c r="A88" s="299"/>
      <c r="B88" s="310"/>
      <c r="C88" s="311"/>
      <c r="D88" s="311"/>
    </row>
    <row r="89" spans="1:4" ht="20.25" x14ac:dyDescent="0.25">
      <c r="A89" s="299"/>
      <c r="B89" s="310"/>
      <c r="C89" s="311"/>
      <c r="D89" s="311"/>
    </row>
    <row r="90" spans="1:4" ht="20.25" x14ac:dyDescent="0.25">
      <c r="A90" s="299"/>
      <c r="B90" s="310"/>
      <c r="C90" s="311"/>
      <c r="D90" s="311"/>
    </row>
    <row r="91" spans="1:4" ht="20.25" x14ac:dyDescent="0.25">
      <c r="A91" s="299"/>
      <c r="B91" s="310"/>
      <c r="C91" s="311"/>
      <c r="D91" s="311"/>
    </row>
    <row r="92" spans="1:4" ht="20.25" x14ac:dyDescent="0.25">
      <c r="A92" s="299"/>
      <c r="B92" s="310"/>
      <c r="C92" s="311"/>
      <c r="D92" s="311"/>
    </row>
    <row r="93" spans="1:4" ht="20.25" x14ac:dyDescent="0.25">
      <c r="A93" s="299"/>
      <c r="B93" s="310"/>
      <c r="C93" s="311"/>
      <c r="D93" s="311"/>
    </row>
    <row r="94" spans="1:4" ht="20.25" x14ac:dyDescent="0.25">
      <c r="A94" s="299"/>
      <c r="B94" s="310"/>
      <c r="C94" s="311"/>
      <c r="D94" s="311"/>
    </row>
    <row r="95" spans="1:4" ht="20.25" x14ac:dyDescent="0.25">
      <c r="A95" s="299"/>
      <c r="B95" s="310"/>
      <c r="C95" s="311"/>
      <c r="D95" s="311"/>
    </row>
    <row r="96" spans="1:4" ht="20.25" x14ac:dyDescent="0.25">
      <c r="A96" s="299"/>
      <c r="B96" s="310"/>
      <c r="C96" s="311"/>
      <c r="D96" s="311"/>
    </row>
    <row r="97" spans="1:4" ht="20.25" x14ac:dyDescent="0.25">
      <c r="A97" s="299"/>
      <c r="B97" s="310"/>
      <c r="C97" s="311"/>
      <c r="D97" s="311"/>
    </row>
    <row r="98" spans="1:4" ht="20.25" x14ac:dyDescent="0.25">
      <c r="A98" s="299"/>
      <c r="B98" s="310"/>
      <c r="C98" s="311"/>
      <c r="D98" s="311"/>
    </row>
    <row r="99" spans="1:4" ht="20.25" x14ac:dyDescent="0.25">
      <c r="A99" s="299"/>
      <c r="B99" s="310"/>
      <c r="C99" s="311"/>
      <c r="D99" s="311"/>
    </row>
    <row r="100" spans="1:4" ht="20.25" x14ac:dyDescent="0.25">
      <c r="A100" s="299"/>
      <c r="B100" s="310"/>
      <c r="C100" s="311"/>
      <c r="D100" s="311"/>
    </row>
    <row r="101" spans="1:4" ht="20.25" x14ac:dyDescent="0.25">
      <c r="A101" s="299"/>
      <c r="B101" s="310"/>
      <c r="C101" s="311"/>
      <c r="D101" s="311"/>
    </row>
    <row r="102" spans="1:4" ht="20.25" x14ac:dyDescent="0.25">
      <c r="A102" s="299"/>
      <c r="B102" s="310"/>
      <c r="C102" s="311"/>
      <c r="D102" s="311"/>
    </row>
    <row r="103" spans="1:4" ht="20.25" x14ac:dyDescent="0.25">
      <c r="A103" s="299"/>
      <c r="B103" s="310"/>
      <c r="C103" s="311"/>
      <c r="D103" s="311"/>
    </row>
    <row r="104" spans="1:4" ht="20.25" x14ac:dyDescent="0.25">
      <c r="A104" s="299"/>
      <c r="B104" s="310"/>
      <c r="C104" s="311"/>
      <c r="D104" s="311"/>
    </row>
    <row r="105" spans="1:4" ht="20.25" x14ac:dyDescent="0.25">
      <c r="A105" s="299"/>
      <c r="B105" s="310"/>
      <c r="C105" s="311"/>
      <c r="D105" s="311"/>
    </row>
    <row r="106" spans="1:4" ht="20.25" x14ac:dyDescent="0.25">
      <c r="A106" s="299"/>
      <c r="B106" s="310"/>
      <c r="C106" s="311"/>
      <c r="D106" s="311"/>
    </row>
    <row r="107" spans="1:4" ht="20.25" x14ac:dyDescent="0.25">
      <c r="A107" s="299"/>
      <c r="B107" s="310"/>
      <c r="C107" s="311"/>
      <c r="D107" s="311"/>
    </row>
    <row r="108" spans="1:4" ht="20.25" x14ac:dyDescent="0.25">
      <c r="A108" s="299"/>
      <c r="B108" s="310"/>
      <c r="C108" s="311"/>
      <c r="D108" s="311"/>
    </row>
    <row r="109" spans="1:4" ht="20.25" x14ac:dyDescent="0.25">
      <c r="A109" s="299"/>
      <c r="B109" s="310"/>
      <c r="C109" s="311"/>
      <c r="D109" s="311"/>
    </row>
    <row r="110" spans="1:4" ht="20.25" x14ac:dyDescent="0.25">
      <c r="A110" s="299"/>
      <c r="B110" s="310"/>
      <c r="C110" s="311"/>
      <c r="D110" s="311"/>
    </row>
    <row r="111" spans="1:4" ht="20.25" x14ac:dyDescent="0.25">
      <c r="A111" s="299"/>
      <c r="B111" s="310"/>
      <c r="C111" s="311"/>
      <c r="D111" s="311"/>
    </row>
    <row r="112" spans="1:4" ht="20.25" x14ac:dyDescent="0.25">
      <c r="A112" s="299"/>
      <c r="B112" s="310"/>
      <c r="C112" s="311"/>
      <c r="D112" s="311"/>
    </row>
    <row r="113" spans="1:4" ht="20.25" x14ac:dyDescent="0.25">
      <c r="A113" s="299"/>
      <c r="B113" s="310"/>
      <c r="C113" s="311"/>
      <c r="D113" s="311"/>
    </row>
    <row r="114" spans="1:4" ht="20.25" x14ac:dyDescent="0.25">
      <c r="A114" s="299"/>
      <c r="B114" s="310"/>
      <c r="C114" s="311"/>
      <c r="D114" s="311"/>
    </row>
    <row r="115" spans="1:4" ht="20.25" x14ac:dyDescent="0.25">
      <c r="A115" s="299"/>
      <c r="B115" s="310"/>
      <c r="C115" s="311"/>
      <c r="D115" s="311"/>
    </row>
    <row r="116" spans="1:4" ht="20.25" x14ac:dyDescent="0.25">
      <c r="A116" s="299"/>
      <c r="B116" s="310"/>
      <c r="C116" s="311"/>
      <c r="D116" s="311"/>
    </row>
    <row r="117" spans="1:4" ht="20.25" x14ac:dyDescent="0.25">
      <c r="A117" s="299"/>
      <c r="B117" s="310"/>
      <c r="C117" s="311"/>
      <c r="D117" s="311"/>
    </row>
    <row r="118" spans="1:4" ht="20.25" x14ac:dyDescent="0.25">
      <c r="A118" s="299"/>
      <c r="B118" s="310"/>
      <c r="C118" s="311"/>
      <c r="D118" s="311"/>
    </row>
    <row r="119" spans="1:4" ht="20.25" x14ac:dyDescent="0.25">
      <c r="A119" s="299"/>
      <c r="B119" s="310"/>
      <c r="C119" s="311"/>
      <c r="D119" s="311"/>
    </row>
    <row r="120" spans="1:4" ht="20.25" x14ac:dyDescent="0.25">
      <c r="A120" s="299"/>
      <c r="B120" s="310"/>
      <c r="C120" s="311"/>
      <c r="D120" s="311"/>
    </row>
    <row r="121" spans="1:4" ht="20.25" x14ac:dyDescent="0.25">
      <c r="A121" s="299"/>
      <c r="B121" s="310"/>
      <c r="C121" s="311"/>
      <c r="D121" s="311"/>
    </row>
    <row r="122" spans="1:4" ht="20.25" x14ac:dyDescent="0.25">
      <c r="A122" s="299"/>
      <c r="B122" s="310"/>
      <c r="C122" s="311"/>
      <c r="D122" s="311"/>
    </row>
    <row r="123" spans="1:4" ht="20.25" x14ac:dyDescent="0.25">
      <c r="A123" s="299"/>
      <c r="B123" s="310"/>
      <c r="C123" s="311"/>
      <c r="D123" s="311"/>
    </row>
    <row r="124" spans="1:4" ht="20.25" x14ac:dyDescent="0.25">
      <c r="A124" s="299"/>
      <c r="B124" s="310"/>
      <c r="C124" s="311"/>
      <c r="D124" s="311"/>
    </row>
    <row r="125" spans="1:4" ht="20.25" x14ac:dyDescent="0.25">
      <c r="A125" s="299"/>
      <c r="B125" s="310"/>
      <c r="C125" s="311"/>
      <c r="D125" s="311"/>
    </row>
    <row r="126" spans="1:4" ht="20.25" x14ac:dyDescent="0.25">
      <c r="A126" s="299"/>
      <c r="B126" s="310"/>
      <c r="C126" s="311"/>
      <c r="D126" s="311"/>
    </row>
    <row r="127" spans="1:4" ht="20.25" x14ac:dyDescent="0.25">
      <c r="A127" s="299"/>
      <c r="B127" s="310"/>
      <c r="C127" s="311"/>
      <c r="D127" s="311"/>
    </row>
    <row r="128" spans="1:4" ht="20.25" x14ac:dyDescent="0.25">
      <c r="A128" s="299"/>
      <c r="B128" s="310"/>
      <c r="C128" s="311"/>
      <c r="D128" s="311"/>
    </row>
    <row r="129" spans="1:4" ht="20.25" x14ac:dyDescent="0.25">
      <c r="A129" s="299"/>
      <c r="B129" s="310"/>
      <c r="C129" s="311"/>
      <c r="D129" s="311"/>
    </row>
    <row r="130" spans="1:4" ht="20.25" x14ac:dyDescent="0.25">
      <c r="A130" s="299"/>
      <c r="B130" s="310"/>
      <c r="C130" s="311"/>
      <c r="D130" s="311"/>
    </row>
    <row r="131" spans="1:4" ht="20.25" x14ac:dyDescent="0.25">
      <c r="A131" s="299"/>
      <c r="B131" s="310"/>
      <c r="C131" s="311"/>
      <c r="D131" s="311"/>
    </row>
    <row r="132" spans="1:4" ht="20.25" x14ac:dyDescent="0.25">
      <c r="A132" s="299"/>
      <c r="B132" s="310"/>
      <c r="C132" s="311"/>
      <c r="D132" s="311"/>
    </row>
    <row r="133" spans="1:4" ht="20.25" x14ac:dyDescent="0.25">
      <c r="A133" s="299"/>
      <c r="B133" s="310"/>
      <c r="C133" s="311"/>
      <c r="D133" s="311"/>
    </row>
    <row r="134" spans="1:4" ht="20.25" x14ac:dyDescent="0.25">
      <c r="A134" s="299"/>
      <c r="B134" s="310"/>
      <c r="C134" s="311"/>
      <c r="D134" s="311"/>
    </row>
    <row r="135" spans="1:4" ht="20.25" x14ac:dyDescent="0.25">
      <c r="A135" s="299"/>
      <c r="B135" s="310"/>
      <c r="C135" s="311"/>
      <c r="D135" s="311"/>
    </row>
    <row r="136" spans="1:4" ht="20.25" x14ac:dyDescent="0.25">
      <c r="A136" s="299"/>
      <c r="B136" s="310"/>
      <c r="C136" s="311"/>
      <c r="D136" s="311"/>
    </row>
    <row r="137" spans="1:4" ht="20.25" x14ac:dyDescent="0.25">
      <c r="A137" s="299"/>
      <c r="B137" s="310"/>
      <c r="C137" s="311"/>
      <c r="D137" s="311"/>
    </row>
    <row r="138" spans="1:4" ht="20.25" x14ac:dyDescent="0.25">
      <c r="A138" s="299"/>
      <c r="B138" s="310"/>
      <c r="C138" s="311"/>
      <c r="D138" s="311"/>
    </row>
    <row r="139" spans="1:4" ht="20.25" x14ac:dyDescent="0.25">
      <c r="A139" s="299"/>
      <c r="B139" s="310"/>
      <c r="C139" s="311"/>
      <c r="D139" s="311"/>
    </row>
    <row r="140" spans="1:4" ht="20.25" x14ac:dyDescent="0.25">
      <c r="A140" s="299"/>
      <c r="B140" s="310"/>
      <c r="C140" s="311"/>
      <c r="D140" s="311"/>
    </row>
    <row r="141" spans="1:4" ht="20.25" x14ac:dyDescent="0.25">
      <c r="A141" s="299"/>
      <c r="B141" s="310"/>
      <c r="C141" s="311"/>
      <c r="D141" s="311"/>
    </row>
    <row r="142" spans="1:4" ht="20.25" x14ac:dyDescent="0.25">
      <c r="A142" s="299"/>
      <c r="B142" s="310"/>
      <c r="C142" s="311"/>
      <c r="D142" s="311"/>
    </row>
    <row r="143" spans="1:4" ht="20.25" x14ac:dyDescent="0.25">
      <c r="A143" s="299"/>
      <c r="B143" s="310"/>
      <c r="C143" s="311"/>
      <c r="D143" s="311"/>
    </row>
    <row r="144" spans="1:4" ht="20.25" x14ac:dyDescent="0.25">
      <c r="A144" s="299"/>
      <c r="B144" s="310"/>
      <c r="C144" s="311"/>
      <c r="D144" s="311"/>
    </row>
    <row r="145" spans="1:4" ht="20.25" x14ac:dyDescent="0.25">
      <c r="A145" s="299"/>
      <c r="B145" s="310"/>
      <c r="C145" s="311"/>
      <c r="D145" s="311"/>
    </row>
    <row r="146" spans="1:4" ht="20.25" x14ac:dyDescent="0.25">
      <c r="A146" s="299"/>
      <c r="B146" s="310"/>
      <c r="C146" s="311"/>
      <c r="D146" s="311"/>
    </row>
    <row r="147" spans="1:4" ht="20.25" x14ac:dyDescent="0.25">
      <c r="A147" s="299"/>
      <c r="B147" s="310"/>
      <c r="C147" s="311"/>
      <c r="D147" s="311"/>
    </row>
    <row r="148" spans="1:4" ht="20.25" x14ac:dyDescent="0.25">
      <c r="A148" s="299"/>
      <c r="B148" s="310"/>
      <c r="C148" s="311"/>
      <c r="D148" s="311"/>
    </row>
    <row r="149" spans="1:4" ht="20.25" x14ac:dyDescent="0.25">
      <c r="A149" s="299"/>
      <c r="B149" s="310"/>
      <c r="C149" s="311"/>
      <c r="D149" s="311"/>
    </row>
    <row r="150" spans="1:4" ht="20.25" x14ac:dyDescent="0.25">
      <c r="A150" s="299"/>
      <c r="B150" s="310"/>
      <c r="C150" s="311"/>
      <c r="D150" s="311"/>
    </row>
    <row r="151" spans="1:4" ht="20.25" x14ac:dyDescent="0.25">
      <c r="A151" s="299"/>
      <c r="B151" s="310"/>
      <c r="C151" s="311"/>
      <c r="D151" s="311"/>
    </row>
    <row r="152" spans="1:4" ht="20.25" x14ac:dyDescent="0.25">
      <c r="A152" s="299"/>
      <c r="B152" s="310"/>
      <c r="C152" s="311"/>
      <c r="D152" s="311"/>
    </row>
    <row r="153" spans="1:4" ht="20.25" x14ac:dyDescent="0.25">
      <c r="A153" s="299"/>
      <c r="B153" s="310"/>
      <c r="C153" s="311"/>
      <c r="D153" s="311"/>
    </row>
    <row r="154" spans="1:4" ht="20.25" x14ac:dyDescent="0.25">
      <c r="A154" s="299"/>
      <c r="B154" s="310"/>
      <c r="C154" s="311"/>
      <c r="D154" s="311"/>
    </row>
    <row r="155" spans="1:4" ht="20.25" x14ac:dyDescent="0.25">
      <c r="A155" s="299"/>
      <c r="B155" s="310"/>
      <c r="C155" s="311"/>
      <c r="D155" s="311"/>
    </row>
    <row r="156" spans="1:4" ht="20.25" x14ac:dyDescent="0.25">
      <c r="A156" s="299"/>
      <c r="B156" s="310"/>
      <c r="C156" s="311"/>
      <c r="D156" s="311"/>
    </row>
    <row r="157" spans="1:4" ht="20.25" x14ac:dyDescent="0.25">
      <c r="A157" s="299"/>
      <c r="B157" s="310"/>
      <c r="C157" s="311"/>
      <c r="D157" s="311"/>
    </row>
    <row r="158" spans="1:4" ht="20.25" x14ac:dyDescent="0.25">
      <c r="A158" s="299"/>
      <c r="B158" s="310"/>
      <c r="C158" s="311"/>
      <c r="D158" s="311"/>
    </row>
    <row r="159" spans="1:4" ht="20.25" x14ac:dyDescent="0.25">
      <c r="A159" s="299"/>
      <c r="B159" s="310"/>
      <c r="C159" s="311"/>
      <c r="D159" s="311"/>
    </row>
    <row r="160" spans="1:4" ht="20.25" x14ac:dyDescent="0.25">
      <c r="A160" s="299"/>
      <c r="B160" s="310"/>
      <c r="C160" s="311"/>
      <c r="D160" s="311"/>
    </row>
    <row r="161" spans="1:4" ht="20.25" x14ac:dyDescent="0.25">
      <c r="A161" s="299"/>
      <c r="B161" s="310"/>
      <c r="C161" s="311"/>
      <c r="D161" s="311"/>
    </row>
    <row r="162" spans="1:4" ht="20.25" x14ac:dyDescent="0.25">
      <c r="A162" s="299"/>
      <c r="B162" s="310"/>
      <c r="C162" s="311"/>
      <c r="D162" s="311"/>
    </row>
    <row r="163" spans="1:4" ht="20.25" x14ac:dyDescent="0.25">
      <c r="A163" s="299"/>
      <c r="B163" s="310"/>
      <c r="C163" s="311"/>
      <c r="D163" s="311"/>
    </row>
    <row r="164" spans="1:4" ht="20.25" x14ac:dyDescent="0.25">
      <c r="A164" s="299"/>
      <c r="B164" s="310"/>
      <c r="C164" s="311"/>
      <c r="D164" s="311"/>
    </row>
    <row r="165" spans="1:4" ht="20.25" x14ac:dyDescent="0.25">
      <c r="A165" s="299"/>
      <c r="B165" s="310"/>
      <c r="C165" s="311"/>
      <c r="D165" s="311"/>
    </row>
    <row r="166" spans="1:4" ht="20.25" x14ac:dyDescent="0.25">
      <c r="A166" s="299"/>
      <c r="B166" s="310"/>
      <c r="C166" s="311"/>
      <c r="D166" s="311"/>
    </row>
    <row r="167" spans="1:4" ht="20.25" x14ac:dyDescent="0.25">
      <c r="A167" s="299"/>
      <c r="B167" s="310"/>
      <c r="C167" s="311"/>
      <c r="D167" s="311"/>
    </row>
    <row r="168" spans="1:4" ht="20.25" x14ac:dyDescent="0.25">
      <c r="A168" s="299"/>
      <c r="B168" s="310"/>
      <c r="C168" s="311"/>
      <c r="D168" s="311"/>
    </row>
    <row r="169" spans="1:4" ht="20.25" x14ac:dyDescent="0.25">
      <c r="A169" s="299"/>
      <c r="B169" s="310"/>
      <c r="C169" s="311"/>
      <c r="D169" s="311"/>
    </row>
    <row r="170" spans="1:4" ht="20.25" x14ac:dyDescent="0.25">
      <c r="A170" s="299"/>
      <c r="B170" s="310"/>
      <c r="C170" s="311"/>
      <c r="D170" s="311"/>
    </row>
    <row r="171" spans="1:4" ht="20.25" x14ac:dyDescent="0.25">
      <c r="A171" s="299"/>
      <c r="B171" s="310"/>
      <c r="C171" s="311"/>
      <c r="D171" s="311"/>
    </row>
    <row r="172" spans="1:4" ht="20.25" x14ac:dyDescent="0.25">
      <c r="A172" s="299"/>
      <c r="B172" s="310"/>
      <c r="C172" s="311"/>
      <c r="D172" s="311"/>
    </row>
    <row r="173" spans="1:4" ht="20.25" x14ac:dyDescent="0.25">
      <c r="A173" s="299"/>
      <c r="B173" s="310"/>
      <c r="C173" s="311"/>
      <c r="D173" s="311"/>
    </row>
    <row r="174" spans="1:4" ht="20.25" x14ac:dyDescent="0.25">
      <c r="A174" s="299"/>
      <c r="B174" s="310"/>
      <c r="C174" s="311"/>
      <c r="D174" s="311"/>
    </row>
    <row r="175" spans="1:4" ht="20.25" x14ac:dyDescent="0.25">
      <c r="A175" s="299"/>
      <c r="B175" s="310"/>
      <c r="C175" s="311"/>
      <c r="D175" s="311"/>
    </row>
    <row r="176" spans="1:4" ht="20.25" x14ac:dyDescent="0.25">
      <c r="A176" s="299"/>
      <c r="B176" s="310"/>
      <c r="C176" s="311"/>
      <c r="D176" s="311"/>
    </row>
    <row r="177" spans="1:4" ht="20.25" x14ac:dyDescent="0.25">
      <c r="A177" s="299"/>
      <c r="B177" s="310"/>
      <c r="C177" s="311"/>
      <c r="D177" s="311"/>
    </row>
    <row r="178" spans="1:4" ht="20.25" x14ac:dyDescent="0.25">
      <c r="A178" s="299"/>
      <c r="B178" s="310"/>
      <c r="C178" s="311"/>
      <c r="D178" s="311"/>
    </row>
    <row r="179" spans="1:4" ht="20.25" x14ac:dyDescent="0.25">
      <c r="A179" s="299"/>
      <c r="B179" s="310"/>
      <c r="C179" s="311"/>
      <c r="D179" s="311"/>
    </row>
    <row r="180" spans="1:4" ht="20.25" x14ac:dyDescent="0.25">
      <c r="A180" s="299"/>
      <c r="B180" s="310"/>
      <c r="C180" s="311"/>
      <c r="D180" s="311"/>
    </row>
    <row r="181" spans="1:4" ht="20.25" x14ac:dyDescent="0.25">
      <c r="A181" s="299"/>
      <c r="B181" s="310"/>
      <c r="C181" s="311"/>
      <c r="D181" s="311"/>
    </row>
    <row r="182" spans="1:4" ht="20.25" x14ac:dyDescent="0.25">
      <c r="A182" s="299"/>
      <c r="B182" s="310"/>
      <c r="C182" s="311"/>
      <c r="D182" s="311"/>
    </row>
    <row r="183" spans="1:4" ht="20.25" x14ac:dyDescent="0.25">
      <c r="A183" s="299"/>
      <c r="B183" s="310"/>
      <c r="C183" s="311"/>
      <c r="D183" s="311"/>
    </row>
    <row r="184" spans="1:4" ht="20.25" x14ac:dyDescent="0.25">
      <c r="A184" s="299"/>
      <c r="B184" s="310"/>
      <c r="C184" s="311"/>
      <c r="D184" s="311"/>
    </row>
    <row r="185" spans="1:4" ht="20.25" x14ac:dyDescent="0.25">
      <c r="A185" s="299"/>
      <c r="B185" s="310"/>
      <c r="C185" s="311"/>
      <c r="D185" s="311"/>
    </row>
    <row r="186" spans="1:4" ht="20.25" x14ac:dyDescent="0.25">
      <c r="A186" s="299"/>
      <c r="B186" s="310"/>
      <c r="C186" s="311"/>
      <c r="D186" s="311"/>
    </row>
    <row r="187" spans="1:4" ht="20.25" x14ac:dyDescent="0.25">
      <c r="A187" s="299"/>
      <c r="B187" s="310"/>
      <c r="C187" s="311"/>
      <c r="D187" s="311"/>
    </row>
    <row r="188" spans="1:4" ht="20.25" x14ac:dyDescent="0.25">
      <c r="A188" s="299"/>
      <c r="B188" s="310"/>
      <c r="C188" s="311"/>
      <c r="D188" s="311"/>
    </row>
    <row r="189" spans="1:4" ht="20.25" x14ac:dyDescent="0.25">
      <c r="A189" s="299"/>
      <c r="B189" s="310"/>
      <c r="C189" s="311"/>
      <c r="D189" s="311"/>
    </row>
    <row r="190" spans="1:4" ht="20.25" x14ac:dyDescent="0.25">
      <c r="A190" s="299"/>
      <c r="B190" s="310"/>
      <c r="C190" s="311"/>
      <c r="D190" s="311"/>
    </row>
    <row r="191" spans="1:4" ht="20.25" x14ac:dyDescent="0.25">
      <c r="A191" s="299"/>
      <c r="B191" s="310"/>
      <c r="C191" s="311"/>
      <c r="D191" s="311"/>
    </row>
    <row r="192" spans="1:4" ht="20.25" x14ac:dyDescent="0.25">
      <c r="A192" s="299"/>
      <c r="B192" s="310"/>
      <c r="C192" s="311"/>
      <c r="D192" s="311"/>
    </row>
    <row r="193" spans="1:4" ht="20.25" x14ac:dyDescent="0.25">
      <c r="A193" s="299"/>
      <c r="B193" s="310"/>
      <c r="C193" s="311"/>
      <c r="D193" s="311"/>
    </row>
    <row r="194" spans="1:4" ht="20.25" x14ac:dyDescent="0.25">
      <c r="A194" s="299"/>
      <c r="B194" s="310"/>
      <c r="C194" s="311"/>
      <c r="D194" s="311"/>
    </row>
    <row r="195" spans="1:4" ht="20.25" x14ac:dyDescent="0.25">
      <c r="A195" s="299"/>
      <c r="B195" s="310"/>
      <c r="C195" s="311"/>
      <c r="D195" s="311"/>
    </row>
    <row r="196" spans="1:4" ht="20.25" x14ac:dyDescent="0.25">
      <c r="A196" s="299"/>
      <c r="B196" s="310"/>
      <c r="C196" s="311"/>
      <c r="D196" s="311"/>
    </row>
    <row r="197" spans="1:4" ht="20.25" x14ac:dyDescent="0.25">
      <c r="A197" s="299"/>
      <c r="B197" s="310"/>
      <c r="C197" s="311"/>
      <c r="D197" s="311"/>
    </row>
    <row r="198" spans="1:4" ht="20.25" x14ac:dyDescent="0.25">
      <c r="A198" s="299"/>
      <c r="B198" s="310"/>
      <c r="C198" s="311"/>
      <c r="D198" s="311"/>
    </row>
    <row r="199" spans="1:4" ht="20.25" x14ac:dyDescent="0.25">
      <c r="A199" s="299"/>
      <c r="B199" s="310"/>
      <c r="C199" s="311"/>
      <c r="D199" s="311"/>
    </row>
    <row r="200" spans="1:4" ht="20.25" x14ac:dyDescent="0.25">
      <c r="A200" s="299"/>
      <c r="B200" s="310"/>
      <c r="C200" s="311"/>
      <c r="D200" s="311"/>
    </row>
    <row r="201" spans="1:4" ht="20.25" x14ac:dyDescent="0.25">
      <c r="A201" s="299"/>
      <c r="B201" s="310"/>
      <c r="C201" s="311"/>
      <c r="D201" s="311"/>
    </row>
    <row r="202" spans="1:4" ht="20.25" x14ac:dyDescent="0.25">
      <c r="A202" s="299"/>
      <c r="B202" s="310"/>
      <c r="C202" s="311"/>
      <c r="D202" s="311"/>
    </row>
    <row r="203" spans="1:4" ht="20.25" x14ac:dyDescent="0.25">
      <c r="A203" s="299"/>
      <c r="B203" s="310"/>
      <c r="C203" s="311"/>
      <c r="D203" s="311"/>
    </row>
    <row r="204" spans="1:4" ht="20.25" x14ac:dyDescent="0.25">
      <c r="A204" s="299"/>
      <c r="B204" s="310"/>
      <c r="C204" s="311"/>
      <c r="D204" s="311"/>
    </row>
    <row r="205" spans="1:4" ht="20.25" x14ac:dyDescent="0.25">
      <c r="A205" s="299"/>
      <c r="B205" s="310"/>
      <c r="C205" s="311"/>
      <c r="D205" s="311"/>
    </row>
    <row r="206" spans="1:4" ht="20.25" x14ac:dyDescent="0.25">
      <c r="A206" s="299"/>
      <c r="B206" s="310"/>
      <c r="C206" s="311"/>
      <c r="D206" s="311"/>
    </row>
    <row r="207" spans="1:4" ht="20.25" x14ac:dyDescent="0.25">
      <c r="A207" s="299"/>
      <c r="B207" s="310"/>
      <c r="C207" s="311"/>
      <c r="D207" s="311"/>
    </row>
    <row r="208" spans="1:4" x14ac:dyDescent="0.25">
      <c r="A208" s="15"/>
      <c r="B208" s="310"/>
      <c r="C208" s="310"/>
      <c r="D208" s="310"/>
    </row>
    <row r="209" spans="1:8" ht="20.25" x14ac:dyDescent="0.25">
      <c r="A209" s="15"/>
      <c r="B209" s="312" t="s">
        <v>704</v>
      </c>
      <c r="C209" s="312" t="s">
        <v>705</v>
      </c>
      <c r="D209" t="s">
        <v>704</v>
      </c>
      <c r="E209" t="s">
        <v>705</v>
      </c>
    </row>
    <row r="210" spans="1:8" ht="21" x14ac:dyDescent="0.35">
      <c r="A210" s="15"/>
      <c r="B210" s="313" t="s">
        <v>706</v>
      </c>
      <c r="C210" s="313" t="s">
        <v>707</v>
      </c>
      <c r="D210" t="s">
        <v>706</v>
      </c>
      <c r="F210" t="str">
        <f>IF(NOT(ISBLANK(D210)),D210,IF(NOT(ISBLANK(E210)),"     "&amp;E210,FALSE))</f>
        <v>Afectación Económica o presupuestal</v>
      </c>
      <c r="G210" t="s">
        <v>706</v>
      </c>
      <c r="H210" t="str">
        <f>IF(NOT(ISERROR(MATCH(G210,_xlfn.ANCHORARRAY(B221),0))),F223&amp;"Por favor no seleccionar los criterios de impacto",G210)</f>
        <v>❌Por favor no seleccionar los criterios de impacto</v>
      </c>
    </row>
    <row r="211" spans="1:8" ht="21" x14ac:dyDescent="0.35">
      <c r="A211" s="15"/>
      <c r="B211" s="313" t="s">
        <v>706</v>
      </c>
      <c r="C211" s="313" t="s">
        <v>680</v>
      </c>
      <c r="E211" t="s">
        <v>707</v>
      </c>
      <c r="F211" t="str">
        <f t="shared" ref="F211:F221" si="0">IF(NOT(ISBLANK(D211)),D211,IF(NOT(ISBLANK(E211)),"     "&amp;E211,FALSE))</f>
        <v xml:space="preserve">     Afectación menor a 10 SMLMV .</v>
      </c>
    </row>
    <row r="212" spans="1:8" ht="21" x14ac:dyDescent="0.35">
      <c r="A212" s="15"/>
      <c r="B212" s="313" t="s">
        <v>706</v>
      </c>
      <c r="C212" s="313" t="s">
        <v>708</v>
      </c>
      <c r="E212" t="s">
        <v>680</v>
      </c>
      <c r="F212" t="str">
        <f t="shared" si="0"/>
        <v xml:space="preserve">     Entre 10 y 50 SMLMV </v>
      </c>
    </row>
    <row r="213" spans="1:8" ht="21" x14ac:dyDescent="0.35">
      <c r="A213" s="15"/>
      <c r="B213" s="313" t="s">
        <v>706</v>
      </c>
      <c r="C213" s="313" t="s">
        <v>709</v>
      </c>
      <c r="E213" t="s">
        <v>683</v>
      </c>
      <c r="F213" t="str">
        <f t="shared" si="0"/>
        <v xml:space="preserve">     Entre 51 y 100 SMLMV </v>
      </c>
    </row>
    <row r="214" spans="1:8" ht="21" x14ac:dyDescent="0.35">
      <c r="A214" s="15"/>
      <c r="B214" s="313" t="s">
        <v>706</v>
      </c>
      <c r="C214" s="313" t="s">
        <v>710</v>
      </c>
      <c r="E214" t="s">
        <v>687</v>
      </c>
      <c r="F214" t="str">
        <f t="shared" si="0"/>
        <v xml:space="preserve">     Entre 101 y 500 SMLMV </v>
      </c>
    </row>
    <row r="215" spans="1:8" ht="21" x14ac:dyDescent="0.35">
      <c r="A215" s="15"/>
      <c r="B215" s="313" t="s">
        <v>673</v>
      </c>
      <c r="C215" s="313" t="s">
        <v>677</v>
      </c>
      <c r="E215" t="s">
        <v>691</v>
      </c>
      <c r="F215" t="str">
        <f t="shared" si="0"/>
        <v xml:space="preserve">     Mayor a 501 SMLMV </v>
      </c>
    </row>
    <row r="216" spans="1:8" ht="21" x14ac:dyDescent="0.35">
      <c r="A216" s="15"/>
      <c r="B216" s="313" t="s">
        <v>673</v>
      </c>
      <c r="C216" s="313" t="s">
        <v>681</v>
      </c>
      <c r="D216" t="s">
        <v>673</v>
      </c>
      <c r="F216" t="str">
        <f t="shared" si="0"/>
        <v>Pérdida Reputacional</v>
      </c>
    </row>
    <row r="217" spans="1:8" ht="21" x14ac:dyDescent="0.35">
      <c r="A217" s="15"/>
      <c r="B217" s="313" t="s">
        <v>673</v>
      </c>
      <c r="C217" s="313" t="s">
        <v>684</v>
      </c>
      <c r="E217" t="s">
        <v>677</v>
      </c>
      <c r="F217" t="str">
        <f t="shared" si="0"/>
        <v xml:space="preserve">     El riesgo afecta la imagen de alguna área de la organización</v>
      </c>
    </row>
    <row r="218" spans="1:8" ht="21" x14ac:dyDescent="0.35">
      <c r="A218" s="15"/>
      <c r="B218" s="313" t="s">
        <v>673</v>
      </c>
      <c r="C218" s="313" t="s">
        <v>688</v>
      </c>
      <c r="E218" t="s">
        <v>681</v>
      </c>
      <c r="F218" t="str">
        <f t="shared" si="0"/>
        <v xml:space="preserve">     El riesgo afecta la imagen de la entidad internamente, de conocimiento general, nivel interno, de junta dircetiva y accionistas y/o de provedores</v>
      </c>
    </row>
    <row r="219" spans="1:8" ht="21" x14ac:dyDescent="0.35">
      <c r="A219" s="15"/>
      <c r="B219" s="313" t="s">
        <v>673</v>
      </c>
      <c r="C219" s="313" t="s">
        <v>692</v>
      </c>
      <c r="E219" t="s">
        <v>684</v>
      </c>
      <c r="F219" t="str">
        <f t="shared" si="0"/>
        <v xml:space="preserve">     El riesgo afecta la imagen de la entidad con algunos usuarios de relevancia frente al logro de los objetivos</v>
      </c>
    </row>
    <row r="220" spans="1:8" x14ac:dyDescent="0.25">
      <c r="A220" s="15"/>
      <c r="B220" s="314"/>
      <c r="C220" s="314"/>
      <c r="E220" t="s">
        <v>688</v>
      </c>
      <c r="F220" t="str">
        <f t="shared" si="0"/>
        <v xml:space="preserve">     El riesgo afecta la imagen de de la entidad con efecto publicitario sostenido a nivel de sector administrativo, nivel departamental o municipal</v>
      </c>
    </row>
    <row r="221" spans="1:8" x14ac:dyDescent="0.25">
      <c r="A221" s="15"/>
      <c r="B221" s="314" t="str">
        <f t="array" ref="B221:B223">_xlfn.UNIQUE(Tabla11214[[#All],[Criterios]])</f>
        <v>Criterios</v>
      </c>
      <c r="C221" s="314"/>
      <c r="E221" t="s">
        <v>692</v>
      </c>
      <c r="F221" t="str">
        <f t="shared" si="0"/>
        <v xml:space="preserve">     El riesgo afecta la imagen de la entidad a nivel nacional, con efecto publicitarios sostenible a nivel país</v>
      </c>
    </row>
    <row r="222" spans="1:8" x14ac:dyDescent="0.25">
      <c r="A222" s="15"/>
      <c r="B222" s="314" t="str">
        <v>Afectación Económica o presupuestal</v>
      </c>
      <c r="C222" s="314"/>
    </row>
    <row r="223" spans="1:8" x14ac:dyDescent="0.25">
      <c r="B223" s="314" t="str">
        <v>Pérdida Reputacional</v>
      </c>
      <c r="C223" s="314"/>
      <c r="F223" s="315" t="s">
        <v>711</v>
      </c>
    </row>
    <row r="224" spans="1:8" x14ac:dyDescent="0.25">
      <c r="B224" s="316"/>
      <c r="C224" s="316"/>
      <c r="F224" s="315" t="s">
        <v>712</v>
      </c>
    </row>
    <row r="225" spans="2:4" x14ac:dyDescent="0.25">
      <c r="B225" s="316"/>
      <c r="C225" s="316"/>
    </row>
    <row r="226" spans="2:4" x14ac:dyDescent="0.25">
      <c r="B226" s="316"/>
      <c r="C226" s="316"/>
    </row>
    <row r="227" spans="2:4" x14ac:dyDescent="0.25">
      <c r="B227" s="316"/>
      <c r="C227" s="316"/>
      <c r="D227" s="316"/>
    </row>
    <row r="228" spans="2:4" x14ac:dyDescent="0.25">
      <c r="B228" s="316"/>
      <c r="C228" s="316"/>
      <c r="D228" s="316"/>
    </row>
    <row r="229" spans="2:4" x14ac:dyDescent="0.25">
      <c r="B229" s="316"/>
      <c r="C229" s="316"/>
      <c r="D229" s="316"/>
    </row>
    <row r="230" spans="2:4" x14ac:dyDescent="0.25">
      <c r="B230" s="316"/>
      <c r="C230" s="316"/>
      <c r="D230" s="316"/>
    </row>
    <row r="231" spans="2:4" x14ac:dyDescent="0.25">
      <c r="B231" s="316"/>
      <c r="C231" s="316"/>
      <c r="D231" s="316"/>
    </row>
    <row r="232" spans="2:4" x14ac:dyDescent="0.25">
      <c r="B232" s="316"/>
      <c r="C232" s="316"/>
      <c r="D232" s="31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71" t="s">
        <v>659</v>
      </c>
      <c r="C1" s="871"/>
      <c r="D1" s="87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5"/>
      <c r="C3" s="286" t="s">
        <v>660</v>
      </c>
      <c r="D3" s="286" t="s">
        <v>188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7" t="s">
        <v>661</v>
      </c>
      <c r="C4" s="288" t="s">
        <v>662</v>
      </c>
      <c r="D4" s="28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0" t="s">
        <v>663</v>
      </c>
      <c r="C5" s="291" t="s">
        <v>664</v>
      </c>
      <c r="D5" s="29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3" t="s">
        <v>665</v>
      </c>
      <c r="C6" s="291" t="s">
        <v>666</v>
      </c>
      <c r="D6" s="29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4" t="s">
        <v>667</v>
      </c>
      <c r="C7" s="291" t="s">
        <v>668</v>
      </c>
      <c r="D7" s="29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5" t="s">
        <v>669</v>
      </c>
      <c r="C8" s="291" t="s">
        <v>670</v>
      </c>
      <c r="D8" s="29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6"/>
      <c r="C9" s="296"/>
      <c r="D9" s="29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4"/>
      <c r="B10" s="335"/>
      <c r="C10" s="334"/>
      <c r="D10" s="334"/>
      <c r="E10" s="334"/>
      <c r="F10" s="334"/>
      <c r="G10" s="334"/>
      <c r="H10" s="334"/>
      <c r="I10" s="334"/>
      <c r="J10" s="334"/>
      <c r="K10" s="334"/>
      <c r="L10" s="334"/>
      <c r="M10" s="334"/>
      <c r="N10" s="334"/>
      <c r="O10" s="334"/>
      <c r="P10" s="33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4"/>
      <c r="B11" s="334"/>
      <c r="C11" s="334"/>
      <c r="D11" s="334"/>
      <c r="E11" s="334"/>
      <c r="F11" s="334"/>
      <c r="G11" s="334"/>
      <c r="H11" s="334"/>
      <c r="I11" s="334"/>
      <c r="J11" s="334"/>
      <c r="K11" s="334"/>
      <c r="L11" s="334"/>
      <c r="M11" s="334"/>
      <c r="N11" s="334"/>
      <c r="O11" s="334"/>
      <c r="P11" s="33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4"/>
      <c r="B12" s="334"/>
      <c r="C12" s="334"/>
      <c r="D12" s="334"/>
      <c r="E12" s="334"/>
      <c r="F12" s="334"/>
      <c r="G12" s="334"/>
      <c r="H12" s="334"/>
      <c r="I12" s="334"/>
      <c r="J12" s="334"/>
      <c r="K12" s="334"/>
      <c r="L12" s="334"/>
      <c r="M12" s="334"/>
      <c r="N12" s="334"/>
      <c r="O12" s="334"/>
      <c r="P12" s="33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4"/>
      <c r="B13" s="334"/>
      <c r="C13" s="334"/>
      <c r="D13" s="334"/>
      <c r="E13" s="334"/>
      <c r="F13" s="334"/>
      <c r="G13" s="334"/>
      <c r="H13" s="334"/>
      <c r="I13" s="334"/>
      <c r="J13" s="334"/>
      <c r="K13" s="334"/>
      <c r="L13" s="334"/>
      <c r="M13" s="334"/>
      <c r="N13" s="334"/>
      <c r="O13" s="334"/>
      <c r="P13" s="33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4"/>
      <c r="B14" s="334"/>
      <c r="C14" s="334"/>
      <c r="D14" s="334"/>
      <c r="E14" s="334"/>
      <c r="F14" s="334"/>
      <c r="G14" s="334"/>
      <c r="H14" s="334"/>
      <c r="I14" s="334"/>
      <c r="J14" s="334"/>
      <c r="K14" s="334"/>
      <c r="L14" s="334"/>
      <c r="M14" s="334"/>
      <c r="N14" s="334"/>
      <c r="O14" s="334"/>
      <c r="P14" s="33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4"/>
      <c r="B15" s="334"/>
      <c r="C15" s="334"/>
      <c r="D15" s="334"/>
      <c r="E15" s="334"/>
      <c r="F15" s="334"/>
      <c r="G15" s="334"/>
      <c r="H15" s="334"/>
      <c r="I15" s="334"/>
      <c r="J15" s="334"/>
      <c r="K15" s="334"/>
      <c r="L15" s="334"/>
      <c r="M15" s="334"/>
      <c r="N15" s="334"/>
      <c r="O15" s="334"/>
      <c r="P15" s="33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4"/>
      <c r="B16" s="334"/>
      <c r="C16" s="334"/>
      <c r="D16" s="334"/>
      <c r="E16" s="334"/>
      <c r="F16" s="334"/>
      <c r="G16" s="334"/>
      <c r="H16" s="334"/>
      <c r="I16" s="334"/>
      <c r="J16" s="334"/>
      <c r="K16" s="334"/>
      <c r="L16" s="334"/>
      <c r="M16" s="334"/>
      <c r="N16" s="334"/>
      <c r="O16" s="334"/>
      <c r="P16" s="33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4"/>
      <c r="B17" s="334"/>
      <c r="C17" s="334"/>
      <c r="D17" s="334"/>
      <c r="E17" s="334"/>
      <c r="F17" s="334"/>
      <c r="G17" s="334"/>
      <c r="H17" s="334"/>
      <c r="I17" s="334"/>
      <c r="J17" s="334"/>
      <c r="K17" s="334"/>
      <c r="L17" s="334"/>
      <c r="M17" s="334"/>
      <c r="N17" s="334"/>
      <c r="O17" s="334"/>
      <c r="P17" s="33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4"/>
      <c r="B18" s="334"/>
      <c r="C18" s="334"/>
      <c r="D18" s="334"/>
      <c r="E18" s="334"/>
      <c r="F18" s="334"/>
      <c r="G18" s="334"/>
      <c r="H18" s="334"/>
      <c r="I18" s="334"/>
      <c r="J18" s="334"/>
      <c r="K18" s="334"/>
      <c r="L18" s="334"/>
      <c r="M18" s="334"/>
      <c r="N18" s="334"/>
      <c r="O18" s="334"/>
      <c r="P18" s="33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4"/>
      <c r="B19" s="334"/>
      <c r="C19" s="334"/>
      <c r="D19" s="334"/>
      <c r="E19" s="334"/>
      <c r="F19" s="334"/>
      <c r="G19" s="334"/>
      <c r="H19" s="334"/>
      <c r="I19" s="334"/>
      <c r="J19" s="334"/>
      <c r="K19" s="334"/>
      <c r="L19" s="334"/>
      <c r="M19" s="334"/>
      <c r="N19" s="334"/>
      <c r="O19" s="334"/>
      <c r="P19" s="33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4"/>
      <c r="B20" s="334"/>
      <c r="C20" s="334"/>
      <c r="D20" s="334"/>
      <c r="E20" s="334"/>
      <c r="F20" s="334"/>
      <c r="G20" s="334"/>
      <c r="H20" s="334"/>
      <c r="I20" s="334"/>
      <c r="J20" s="334"/>
      <c r="K20" s="334"/>
      <c r="L20" s="334"/>
      <c r="M20" s="334"/>
      <c r="N20" s="334"/>
      <c r="O20" s="334"/>
      <c r="P20" s="33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4"/>
      <c r="B21" s="334"/>
      <c r="C21" s="334"/>
      <c r="D21" s="334"/>
      <c r="E21" s="334"/>
      <c r="F21" s="334"/>
      <c r="G21" s="334"/>
      <c r="H21" s="334"/>
      <c r="I21" s="334"/>
      <c r="J21" s="334"/>
      <c r="K21" s="334"/>
      <c r="L21" s="334"/>
      <c r="M21" s="334"/>
      <c r="N21" s="334"/>
      <c r="O21" s="334"/>
      <c r="P21" s="33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4"/>
      <c r="B22" s="334"/>
      <c r="C22" s="334"/>
      <c r="D22" s="334"/>
      <c r="E22" s="334"/>
      <c r="F22" s="334"/>
      <c r="G22" s="334"/>
      <c r="H22" s="334"/>
      <c r="I22" s="334"/>
      <c r="J22" s="334"/>
      <c r="K22" s="334"/>
      <c r="L22" s="334"/>
      <c r="M22" s="334"/>
      <c r="N22" s="334"/>
      <c r="O22" s="334"/>
      <c r="P22" s="33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4"/>
      <c r="B23" s="334"/>
      <c r="C23" s="334"/>
      <c r="D23" s="334"/>
      <c r="E23" s="334"/>
      <c r="F23" s="334"/>
      <c r="G23" s="334"/>
      <c r="H23" s="334"/>
      <c r="I23" s="334"/>
      <c r="J23" s="334"/>
      <c r="K23" s="334"/>
      <c r="L23" s="334"/>
      <c r="M23" s="334"/>
      <c r="N23" s="334"/>
      <c r="O23" s="334"/>
      <c r="P23" s="33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4"/>
      <c r="B24" s="334"/>
      <c r="C24" s="334"/>
      <c r="D24" s="334"/>
      <c r="E24" s="334"/>
      <c r="F24" s="334"/>
      <c r="G24" s="334"/>
      <c r="H24" s="334"/>
      <c r="I24" s="334"/>
      <c r="J24" s="334"/>
      <c r="K24" s="334"/>
      <c r="L24" s="334"/>
      <c r="M24" s="334"/>
      <c r="N24" s="334"/>
      <c r="O24" s="334"/>
      <c r="P24" s="33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4"/>
      <c r="B25" s="334"/>
      <c r="C25" s="334"/>
      <c r="D25" s="334"/>
      <c r="E25" s="334"/>
      <c r="F25" s="334"/>
      <c r="G25" s="334"/>
      <c r="H25" s="334"/>
      <c r="I25" s="334"/>
      <c r="J25" s="334"/>
      <c r="K25" s="334"/>
      <c r="L25" s="334"/>
      <c r="M25" s="334"/>
      <c r="N25" s="334"/>
      <c r="O25" s="334"/>
      <c r="P25" s="33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4"/>
      <c r="B26" s="334"/>
      <c r="C26" s="334"/>
      <c r="D26" s="334"/>
      <c r="E26" s="334"/>
      <c r="F26" s="334"/>
      <c r="G26" s="334"/>
      <c r="H26" s="334"/>
      <c r="I26" s="334"/>
      <c r="J26" s="334"/>
      <c r="K26" s="334"/>
      <c r="L26" s="334"/>
      <c r="M26" s="334"/>
      <c r="N26" s="334"/>
      <c r="O26" s="334"/>
      <c r="P26" s="33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4"/>
      <c r="B27" s="334"/>
      <c r="C27" s="334"/>
      <c r="D27" s="334"/>
      <c r="E27" s="334"/>
      <c r="F27" s="334"/>
      <c r="G27" s="334"/>
      <c r="H27" s="334"/>
      <c r="I27" s="334"/>
      <c r="J27" s="334"/>
      <c r="K27" s="334"/>
      <c r="L27" s="334"/>
      <c r="M27" s="334"/>
      <c r="N27" s="334"/>
      <c r="O27" s="334"/>
      <c r="P27" s="33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4"/>
      <c r="B28" s="334"/>
      <c r="C28" s="334"/>
      <c r="D28" s="334"/>
      <c r="E28" s="334"/>
      <c r="F28" s="334"/>
      <c r="G28" s="334"/>
      <c r="H28" s="334"/>
      <c r="I28" s="334"/>
      <c r="J28" s="334"/>
      <c r="K28" s="334"/>
      <c r="L28" s="334"/>
      <c r="M28" s="334"/>
      <c r="N28" s="334"/>
      <c r="O28" s="334"/>
      <c r="P28" s="33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4"/>
      <c r="B29" s="334"/>
      <c r="C29" s="334"/>
      <c r="D29" s="334"/>
      <c r="E29" s="334"/>
      <c r="F29" s="334"/>
      <c r="G29" s="334"/>
      <c r="H29" s="334"/>
      <c r="I29" s="334"/>
      <c r="J29" s="334"/>
      <c r="K29" s="334"/>
      <c r="L29" s="334"/>
      <c r="M29" s="334"/>
      <c r="N29" s="334"/>
      <c r="O29" s="334"/>
      <c r="P29" s="33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4"/>
      <c r="B30" s="334"/>
      <c r="C30" s="334"/>
      <c r="D30" s="334"/>
      <c r="E30" s="334"/>
      <c r="F30" s="334"/>
      <c r="G30" s="334"/>
      <c r="H30" s="334"/>
      <c r="I30" s="334"/>
      <c r="J30" s="334"/>
      <c r="K30" s="334"/>
      <c r="L30" s="334"/>
      <c r="M30" s="334"/>
      <c r="N30" s="334"/>
      <c r="O30" s="334"/>
      <c r="P30" s="33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4"/>
      <c r="B31" s="334"/>
      <c r="C31" s="334"/>
      <c r="D31" s="334"/>
      <c r="E31" s="334"/>
      <c r="F31" s="334"/>
      <c r="G31" s="334"/>
      <c r="H31" s="334"/>
      <c r="I31" s="334"/>
      <c r="J31" s="334"/>
      <c r="K31" s="334"/>
      <c r="L31" s="334"/>
      <c r="M31" s="334"/>
      <c r="N31" s="334"/>
      <c r="O31" s="334"/>
      <c r="P31" s="33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4"/>
      <c r="B32" s="334"/>
      <c r="C32" s="334"/>
      <c r="D32" s="334"/>
      <c r="E32" s="334"/>
      <c r="F32" s="334"/>
      <c r="G32" s="334"/>
      <c r="H32" s="334"/>
      <c r="I32" s="334"/>
      <c r="J32" s="334"/>
      <c r="K32" s="334"/>
      <c r="L32" s="334"/>
      <c r="M32" s="334"/>
      <c r="N32" s="334"/>
      <c r="O32" s="334"/>
      <c r="P32" s="33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4"/>
      <c r="B33" s="314"/>
      <c r="C33" s="314"/>
      <c r="D33" s="314"/>
      <c r="E33" s="334"/>
      <c r="F33" s="334"/>
      <c r="G33" s="334"/>
      <c r="H33" s="334"/>
      <c r="I33" s="334"/>
      <c r="J33" s="334"/>
      <c r="K33" s="334"/>
      <c r="L33" s="334"/>
      <c r="M33" s="334"/>
      <c r="N33" s="334"/>
      <c r="O33" s="334"/>
      <c r="P33" s="334"/>
      <c r="Q33" s="15"/>
      <c r="R33" s="15"/>
      <c r="S33" s="15"/>
      <c r="T33" s="15"/>
      <c r="U33" s="15"/>
      <c r="V33" s="15"/>
      <c r="W33" s="15"/>
      <c r="X33" s="15"/>
      <c r="Y33" s="15"/>
      <c r="Z33" s="15"/>
      <c r="AA33" s="15"/>
      <c r="AB33" s="15"/>
      <c r="AC33" s="15"/>
      <c r="AD33" s="15"/>
      <c r="AE33" s="15"/>
    </row>
    <row r="34" spans="1:31" x14ac:dyDescent="0.25">
      <c r="A34" s="334"/>
      <c r="B34" s="314"/>
      <c r="C34" s="314"/>
      <c r="D34" s="314"/>
      <c r="E34" s="334"/>
      <c r="F34" s="334"/>
      <c r="G34" s="334"/>
      <c r="H34" s="334"/>
      <c r="I34" s="334"/>
      <c r="J34" s="334"/>
      <c r="K34" s="334"/>
      <c r="L34" s="334"/>
      <c r="M34" s="334"/>
      <c r="N34" s="334"/>
      <c r="O34" s="334"/>
      <c r="P34" s="334"/>
      <c r="Q34" s="15"/>
      <c r="R34" s="15"/>
      <c r="S34" s="15"/>
      <c r="T34" s="15"/>
      <c r="U34" s="15"/>
      <c r="V34" s="15"/>
      <c r="W34" s="15"/>
      <c r="X34" s="15"/>
      <c r="Y34" s="15"/>
      <c r="Z34" s="15"/>
      <c r="AA34" s="15"/>
      <c r="AB34" s="15"/>
      <c r="AC34" s="15"/>
      <c r="AD34" s="15"/>
      <c r="AE34" s="15"/>
    </row>
    <row r="35" spans="1:31" x14ac:dyDescent="0.25">
      <c r="A35" s="334"/>
      <c r="B35" s="314"/>
      <c r="C35" s="314"/>
      <c r="D35" s="314"/>
      <c r="E35" s="314"/>
      <c r="F35" s="314"/>
      <c r="G35" s="314"/>
      <c r="H35" s="314"/>
      <c r="I35" s="314"/>
      <c r="J35" s="314"/>
      <c r="K35" s="314"/>
      <c r="L35" s="314"/>
      <c r="M35" s="314"/>
      <c r="N35" s="314"/>
      <c r="O35" s="314"/>
      <c r="P35" s="31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64" t="s">
        <v>47</v>
      </c>
      <c r="B1" s="56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F7" sqref="F7:F12"/>
    </sheetView>
  </sheetViews>
  <sheetFormatPr baseColWidth="10" defaultColWidth="14.28515625" defaultRowHeight="12.75" x14ac:dyDescent="0.2"/>
  <cols>
    <col min="1" max="2" width="14.28515625" style="317"/>
    <col min="3" max="3" width="17" style="317" customWidth="1"/>
    <col min="4" max="4" width="14.28515625" style="317"/>
    <col min="5" max="5" width="46" style="317" customWidth="1"/>
    <col min="6" max="16384" width="14.28515625" style="317"/>
  </cols>
  <sheetData>
    <row r="1" spans="2:6" ht="24" customHeight="1" thickBot="1" x14ac:dyDescent="0.25">
      <c r="B1" s="874" t="s">
        <v>713</v>
      </c>
      <c r="C1" s="875"/>
      <c r="D1" s="875"/>
      <c r="E1" s="875"/>
      <c r="F1" s="876"/>
    </row>
    <row r="2" spans="2:6" ht="16.5" thickBot="1" x14ac:dyDescent="0.3">
      <c r="B2" s="318"/>
      <c r="C2" s="318"/>
      <c r="D2" s="318"/>
      <c r="E2" s="318"/>
      <c r="F2" s="318"/>
    </row>
    <row r="3" spans="2:6" ht="16.5" thickBot="1" x14ac:dyDescent="0.25">
      <c r="B3" s="877" t="s">
        <v>714</v>
      </c>
      <c r="C3" s="878"/>
      <c r="D3" s="878"/>
      <c r="E3" s="319" t="s">
        <v>715</v>
      </c>
      <c r="F3" s="320" t="s">
        <v>716</v>
      </c>
    </row>
    <row r="4" spans="2:6" ht="31.5" x14ac:dyDescent="0.2">
      <c r="B4" s="879" t="s">
        <v>717</v>
      </c>
      <c r="C4" s="881" t="s">
        <v>154</v>
      </c>
      <c r="D4" s="321" t="s">
        <v>166</v>
      </c>
      <c r="E4" s="322" t="s">
        <v>718</v>
      </c>
      <c r="F4" s="323">
        <v>0.25</v>
      </c>
    </row>
    <row r="5" spans="2:6" ht="47.25" x14ac:dyDescent="0.2">
      <c r="B5" s="880"/>
      <c r="C5" s="882"/>
      <c r="D5" s="324" t="s">
        <v>719</v>
      </c>
      <c r="E5" s="325" t="s">
        <v>720</v>
      </c>
      <c r="F5" s="326">
        <v>0.15</v>
      </c>
    </row>
    <row r="6" spans="2:6" ht="47.25" x14ac:dyDescent="0.2">
      <c r="B6" s="880"/>
      <c r="C6" s="882"/>
      <c r="D6" s="324" t="s">
        <v>721</v>
      </c>
      <c r="E6" s="325" t="s">
        <v>722</v>
      </c>
      <c r="F6" s="326">
        <v>0.1</v>
      </c>
    </row>
    <row r="7" spans="2:6" ht="63" x14ac:dyDescent="0.2">
      <c r="B7" s="880"/>
      <c r="C7" s="882" t="s">
        <v>155</v>
      </c>
      <c r="D7" s="324" t="s">
        <v>723</v>
      </c>
      <c r="E7" s="325" t="s">
        <v>724</v>
      </c>
      <c r="F7" s="326">
        <v>0.25</v>
      </c>
    </row>
    <row r="8" spans="2:6" ht="31.5" x14ac:dyDescent="0.2">
      <c r="B8" s="880"/>
      <c r="C8" s="882"/>
      <c r="D8" s="324" t="s">
        <v>167</v>
      </c>
      <c r="E8" s="325" t="s">
        <v>725</v>
      </c>
      <c r="F8" s="326">
        <v>0.15</v>
      </c>
    </row>
    <row r="9" spans="2:6" ht="47.25" x14ac:dyDescent="0.2">
      <c r="B9" s="880" t="s">
        <v>726</v>
      </c>
      <c r="C9" s="882" t="s">
        <v>157</v>
      </c>
      <c r="D9" s="324" t="s">
        <v>174</v>
      </c>
      <c r="E9" s="325" t="s">
        <v>727</v>
      </c>
      <c r="F9" s="327" t="s">
        <v>728</v>
      </c>
    </row>
    <row r="10" spans="2:6" ht="63" x14ac:dyDescent="0.2">
      <c r="B10" s="880"/>
      <c r="C10" s="882"/>
      <c r="D10" s="324" t="s">
        <v>168</v>
      </c>
      <c r="E10" s="325" t="s">
        <v>729</v>
      </c>
      <c r="F10" s="327" t="s">
        <v>728</v>
      </c>
    </row>
    <row r="11" spans="2:6" ht="47.25" x14ac:dyDescent="0.2">
      <c r="B11" s="880"/>
      <c r="C11" s="882" t="s">
        <v>158</v>
      </c>
      <c r="D11" s="324" t="s">
        <v>169</v>
      </c>
      <c r="E11" s="325" t="s">
        <v>730</v>
      </c>
      <c r="F11" s="327" t="s">
        <v>728</v>
      </c>
    </row>
    <row r="12" spans="2:6" ht="47.25" x14ac:dyDescent="0.2">
      <c r="B12" s="880"/>
      <c r="C12" s="882"/>
      <c r="D12" s="324" t="s">
        <v>731</v>
      </c>
      <c r="E12" s="325" t="s">
        <v>732</v>
      </c>
      <c r="F12" s="327" t="s">
        <v>728</v>
      </c>
    </row>
    <row r="13" spans="2:6" ht="31.5" x14ac:dyDescent="0.2">
      <c r="B13" s="880"/>
      <c r="C13" s="882" t="s">
        <v>159</v>
      </c>
      <c r="D13" s="324" t="s">
        <v>170</v>
      </c>
      <c r="E13" s="325" t="s">
        <v>733</v>
      </c>
      <c r="F13" s="327" t="s">
        <v>728</v>
      </c>
    </row>
    <row r="14" spans="2:6" ht="32.25" thickBot="1" x14ac:dyDescent="0.25">
      <c r="B14" s="883"/>
      <c r="C14" s="884"/>
      <c r="D14" s="328" t="s">
        <v>734</v>
      </c>
      <c r="E14" s="329" t="s">
        <v>735</v>
      </c>
      <c r="F14" s="330" t="s">
        <v>728</v>
      </c>
    </row>
    <row r="15" spans="2:6" ht="49.5" customHeight="1" x14ac:dyDescent="0.2">
      <c r="B15" s="873" t="s">
        <v>736</v>
      </c>
      <c r="C15" s="873"/>
      <c r="D15" s="873"/>
      <c r="E15" s="873"/>
      <c r="F15" s="873"/>
    </row>
    <row r="16" spans="2:6" ht="27" customHeight="1" x14ac:dyDescent="0.25">
      <c r="B16" s="33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50" zoomScaleNormal="50" workbookViewId="0">
      <selection activeCell="AP12" sqref="AP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2"/>
      <c r="C1" s="176"/>
      <c r="D1" s="935" t="s">
        <v>204</v>
      </c>
      <c r="E1" s="939" t="s">
        <v>205</v>
      </c>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939"/>
      <c r="AO1" s="939"/>
      <c r="AP1" s="939"/>
      <c r="AQ1" s="939"/>
      <c r="AR1" s="939"/>
      <c r="AS1" s="939"/>
      <c r="AT1" s="939"/>
      <c r="AU1" s="939"/>
      <c r="AV1" s="939"/>
      <c r="AW1" s="939"/>
      <c r="AX1" s="939"/>
      <c r="AY1" s="939"/>
      <c r="AZ1" s="939"/>
      <c r="BA1" s="939"/>
      <c r="BB1" s="939"/>
      <c r="BC1" s="939"/>
      <c r="BD1" s="939"/>
      <c r="BE1" s="939"/>
      <c r="BF1" s="939"/>
      <c r="BG1" s="939"/>
      <c r="BH1" s="939"/>
      <c r="BI1" s="939"/>
      <c r="BJ1" s="939"/>
      <c r="BK1" s="939"/>
      <c r="BL1" s="940"/>
      <c r="BM1" s="160" t="s">
        <v>206</v>
      </c>
      <c r="BN1" s="161">
        <v>9</v>
      </c>
    </row>
    <row r="2" spans="1:300" ht="26.45" customHeight="1" x14ac:dyDescent="0.3">
      <c r="A2" s="52"/>
      <c r="B2" s="133"/>
      <c r="C2" s="177"/>
      <c r="D2" s="856"/>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941"/>
      <c r="AT2" s="941"/>
      <c r="AU2" s="941"/>
      <c r="AV2" s="941"/>
      <c r="AW2" s="941"/>
      <c r="AX2" s="941"/>
      <c r="AY2" s="941"/>
      <c r="AZ2" s="941"/>
      <c r="BA2" s="941"/>
      <c r="BB2" s="941"/>
      <c r="BC2" s="941"/>
      <c r="BD2" s="941"/>
      <c r="BE2" s="941"/>
      <c r="BF2" s="941"/>
      <c r="BG2" s="941"/>
      <c r="BH2" s="941"/>
      <c r="BI2" s="941"/>
      <c r="BJ2" s="941"/>
      <c r="BK2" s="941"/>
      <c r="BL2" s="856"/>
      <c r="BM2" s="160" t="s">
        <v>209</v>
      </c>
      <c r="BN2" s="162" t="s">
        <v>785</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48"/>
      <c r="DL2" s="948"/>
    </row>
    <row r="3" spans="1:300" ht="18.75" customHeight="1" x14ac:dyDescent="0.3">
      <c r="A3" s="52"/>
      <c r="B3" s="133"/>
      <c r="C3" s="177"/>
      <c r="D3" s="936" t="s">
        <v>212</v>
      </c>
      <c r="E3" s="942" t="s">
        <v>786</v>
      </c>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36"/>
      <c r="BM3" s="937" t="s">
        <v>214</v>
      </c>
      <c r="BN3" s="943">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49"/>
      <c r="DL3" s="949"/>
    </row>
    <row r="4" spans="1:300" s="44" customFormat="1" ht="14.25" customHeight="1" x14ac:dyDescent="0.3">
      <c r="A4" s="52"/>
      <c r="B4" s="134"/>
      <c r="C4" s="178"/>
      <c r="D4" s="856"/>
      <c r="E4" s="941"/>
      <c r="F4" s="941"/>
      <c r="G4" s="941"/>
      <c r="H4" s="941"/>
      <c r="I4" s="941"/>
      <c r="J4" s="941"/>
      <c r="K4" s="941"/>
      <c r="L4" s="941"/>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41"/>
      <c r="BD4" s="941"/>
      <c r="BE4" s="941"/>
      <c r="BF4" s="941"/>
      <c r="BG4" s="941"/>
      <c r="BH4" s="941"/>
      <c r="BI4" s="941"/>
      <c r="BJ4" s="941"/>
      <c r="BK4" s="941"/>
      <c r="BL4" s="856"/>
      <c r="BM4" s="938"/>
      <c r="BN4" s="94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37"/>
      <c r="C5" s="138"/>
      <c r="D5" s="138"/>
      <c r="E5" s="950" t="s">
        <v>216</v>
      </c>
      <c r="F5" s="950"/>
      <c r="G5" s="950"/>
      <c r="H5" s="950"/>
      <c r="I5" s="950"/>
      <c r="J5" s="950"/>
      <c r="K5" s="950"/>
      <c r="L5" s="950"/>
      <c r="M5" s="950"/>
      <c r="N5" s="950"/>
      <c r="O5" s="950"/>
      <c r="P5" s="950"/>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c r="AT5" s="950"/>
      <c r="AU5" s="950"/>
      <c r="AV5" s="950"/>
      <c r="AW5" s="950"/>
      <c r="AX5" s="950"/>
      <c r="AY5" s="950"/>
      <c r="AZ5" s="950"/>
      <c r="BA5" s="950"/>
      <c r="BB5" s="950"/>
      <c r="BC5" s="950"/>
      <c r="BD5" s="950"/>
      <c r="BE5" s="950"/>
      <c r="BF5" s="950"/>
      <c r="BG5" s="950"/>
      <c r="BH5" s="950"/>
      <c r="BI5" s="950"/>
      <c r="BJ5" s="950"/>
      <c r="BK5" s="950"/>
      <c r="BL5" s="951"/>
      <c r="BM5" s="154"/>
      <c r="BN5" s="155"/>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787</v>
      </c>
      <c r="C6" s="126" t="s">
        <v>127</v>
      </c>
      <c r="D6" s="68"/>
      <c r="E6" s="67" t="s">
        <v>788</v>
      </c>
      <c r="F6" s="952"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953"/>
      <c r="H6" s="953"/>
      <c r="I6" s="953"/>
      <c r="J6" s="953"/>
      <c r="K6" s="953"/>
      <c r="L6" s="953"/>
      <c r="M6" s="953"/>
      <c r="N6" s="953"/>
      <c r="O6" s="953"/>
      <c r="P6" s="953"/>
      <c r="Q6" s="953"/>
      <c r="R6" s="953"/>
      <c r="S6" s="95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3"/>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5" customFormat="1" ht="16.5" customHeight="1" x14ac:dyDescent="0.5">
      <c r="B8" s="929" t="s">
        <v>789</v>
      </c>
      <c r="C8" s="930"/>
      <c r="D8" s="930"/>
      <c r="E8" s="356"/>
      <c r="F8" s="356"/>
      <c r="G8" s="357"/>
      <c r="H8" s="358"/>
      <c r="I8" s="359"/>
      <c r="J8" s="359"/>
      <c r="K8" s="359"/>
      <c r="L8" s="359"/>
      <c r="M8" s="359"/>
      <c r="N8" s="359"/>
      <c r="O8" s="359"/>
      <c r="P8" s="359"/>
      <c r="Q8" s="359"/>
      <c r="R8" s="933" t="s">
        <v>790</v>
      </c>
      <c r="S8" s="933"/>
      <c r="T8" s="933"/>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c r="AT8" s="933"/>
      <c r="AU8" s="933"/>
      <c r="AV8" s="933"/>
      <c r="AW8" s="933"/>
      <c r="AX8" s="933"/>
      <c r="AY8" s="933"/>
      <c r="AZ8" s="933"/>
      <c r="BA8" s="933"/>
      <c r="BB8" s="933"/>
      <c r="BC8" s="933"/>
      <c r="BD8" s="933"/>
      <c r="BE8" s="933"/>
      <c r="BF8" s="933"/>
      <c r="BG8" s="359"/>
      <c r="BH8" s="359"/>
      <c r="BI8" s="359"/>
      <c r="BJ8" s="359"/>
      <c r="BK8" s="359"/>
      <c r="BL8" s="359"/>
      <c r="BM8" s="359"/>
      <c r="BN8" s="36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5" customFormat="1" ht="17.45" customHeight="1" thickBot="1" x14ac:dyDescent="0.3">
      <c r="B9" s="931"/>
      <c r="C9" s="932"/>
      <c r="D9" s="932"/>
      <c r="E9" s="361"/>
      <c r="F9" s="361"/>
      <c r="G9" s="362"/>
      <c r="H9" s="363"/>
      <c r="I9" s="364"/>
      <c r="J9" s="945" t="s">
        <v>791</v>
      </c>
      <c r="K9" s="946"/>
      <c r="L9" s="946"/>
      <c r="M9" s="946"/>
      <c r="N9" s="946"/>
      <c r="O9" s="946"/>
      <c r="P9" s="947"/>
      <c r="Q9" s="365"/>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366"/>
      <c r="BH9" s="366"/>
      <c r="BI9" s="366"/>
      <c r="BJ9" s="366"/>
      <c r="BK9" s="366"/>
      <c r="BL9" s="366"/>
      <c r="BM9" s="366"/>
      <c r="BN9" s="36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7" customFormat="1" ht="87.75" customHeight="1" thickBot="1" x14ac:dyDescent="0.3">
      <c r="B10" s="28" t="s">
        <v>219</v>
      </c>
      <c r="C10" s="28" t="s">
        <v>220</v>
      </c>
      <c r="D10" s="368" t="s">
        <v>87</v>
      </c>
      <c r="E10" s="28" t="s">
        <v>792</v>
      </c>
      <c r="F10" s="28" t="s">
        <v>221</v>
      </c>
      <c r="G10" s="28" t="s">
        <v>793</v>
      </c>
      <c r="H10" s="28" t="s">
        <v>158</v>
      </c>
      <c r="I10" s="369" t="s">
        <v>794</v>
      </c>
      <c r="J10" s="28" t="s">
        <v>795</v>
      </c>
      <c r="K10" s="370"/>
      <c r="L10" s="28" t="s">
        <v>796</v>
      </c>
      <c r="M10" s="371"/>
      <c r="N10" s="28" t="s">
        <v>797</v>
      </c>
      <c r="O10" s="371"/>
      <c r="P10" s="28" t="s">
        <v>798</v>
      </c>
      <c r="Q10" s="372"/>
      <c r="R10" s="369" t="s">
        <v>799</v>
      </c>
      <c r="S10" s="373" t="s">
        <v>800</v>
      </c>
      <c r="T10" s="28" t="s">
        <v>801</v>
      </c>
      <c r="U10" s="369" t="s">
        <v>802</v>
      </c>
      <c r="V10" s="28" t="s">
        <v>803</v>
      </c>
      <c r="W10" s="369"/>
      <c r="X10" s="28" t="s">
        <v>804</v>
      </c>
      <c r="Y10" s="369"/>
      <c r="Z10" s="28" t="s">
        <v>805</v>
      </c>
      <c r="AA10" s="369"/>
      <c r="AB10" s="28" t="s">
        <v>806</v>
      </c>
      <c r="AC10" s="369"/>
      <c r="AD10" s="28" t="s">
        <v>807</v>
      </c>
      <c r="AE10" s="369"/>
      <c r="AF10" s="28" t="s">
        <v>808</v>
      </c>
      <c r="AG10" s="369"/>
      <c r="AH10" s="28" t="s">
        <v>809</v>
      </c>
      <c r="AI10" s="369"/>
      <c r="AJ10" s="28" t="s">
        <v>810</v>
      </c>
      <c r="AK10" s="369"/>
      <c r="AL10" s="28" t="s">
        <v>811</v>
      </c>
      <c r="AM10" s="369"/>
      <c r="AN10" s="28" t="s">
        <v>812</v>
      </c>
      <c r="AO10" s="369"/>
      <c r="AP10" s="28" t="s">
        <v>813</v>
      </c>
      <c r="AQ10" s="369"/>
      <c r="AR10" s="28" t="s">
        <v>814</v>
      </c>
      <c r="AS10" s="369"/>
      <c r="AT10" s="28" t="s">
        <v>815</v>
      </c>
      <c r="AU10" s="369"/>
      <c r="AV10" s="28" t="s">
        <v>816</v>
      </c>
      <c r="AW10" s="369"/>
      <c r="AX10" s="28" t="s">
        <v>817</v>
      </c>
      <c r="AY10" s="369"/>
      <c r="AZ10" s="28" t="s">
        <v>818</v>
      </c>
      <c r="BA10" s="369"/>
      <c r="BB10" s="28" t="s">
        <v>819</v>
      </c>
      <c r="BC10" s="369"/>
      <c r="BD10" s="28" t="s">
        <v>820</v>
      </c>
      <c r="BE10" s="369"/>
      <c r="BF10" s="28" t="s">
        <v>821</v>
      </c>
      <c r="BG10" s="369"/>
      <c r="BH10" s="369" t="s">
        <v>822</v>
      </c>
      <c r="BI10" s="374" t="s">
        <v>823</v>
      </c>
      <c r="BJ10" s="369" t="s">
        <v>824</v>
      </c>
      <c r="BK10" s="369" t="s">
        <v>825</v>
      </c>
      <c r="BL10" s="369" t="s">
        <v>826</v>
      </c>
      <c r="BM10" s="369" t="s">
        <v>95</v>
      </c>
      <c r="BN10" s="28" t="s">
        <v>827</v>
      </c>
      <c r="BO10" s="28" t="s">
        <v>828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66" t="s">
        <v>230</v>
      </c>
      <c r="C11" s="476" t="s">
        <v>829</v>
      </c>
      <c r="D11" s="477" t="s">
        <v>830</v>
      </c>
      <c r="E11" s="37" t="s">
        <v>831</v>
      </c>
      <c r="F11" s="182" t="s">
        <v>832</v>
      </c>
      <c r="G11" s="182" t="s">
        <v>833</v>
      </c>
      <c r="H11" s="23"/>
      <c r="I11" s="19" t="b">
        <f>IF(H11="Posible",3,IF(H11="Rara vez",1,IF(H11="Improbable",2,IF(H11="Probable",4,IF(H11="Casi seguro",5)))))</f>
        <v>0</v>
      </c>
      <c r="J11" s="24" t="s">
        <v>773</v>
      </c>
      <c r="K11" s="19"/>
      <c r="L11" s="24" t="s">
        <v>773</v>
      </c>
      <c r="M11" s="19"/>
      <c r="N11" s="24" t="s">
        <v>773</v>
      </c>
      <c r="O11" s="19"/>
      <c r="P11" s="24" t="s">
        <v>773</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834</v>
      </c>
      <c r="W11" s="22">
        <f t="shared" ref="W11:W75" si="0">IF(V11="SI",1,IF(V11="NO",0))</f>
        <v>1</v>
      </c>
      <c r="X11" s="24" t="s">
        <v>834</v>
      </c>
      <c r="Y11" s="22">
        <f t="shared" ref="Y11:Y75" si="1">IF(X11="SI",1,IF(X11="NO",0))</f>
        <v>1</v>
      </c>
      <c r="Z11" s="24" t="s">
        <v>834</v>
      </c>
      <c r="AA11" s="22">
        <f t="shared" ref="AA11:AA75" si="2">IF(Z11="SI",1,IF(Z11="NO",0))</f>
        <v>1</v>
      </c>
      <c r="AB11" s="24" t="s">
        <v>834</v>
      </c>
      <c r="AC11" s="22">
        <f t="shared" ref="AC11:AC75" si="3">IF(AB11="SI",1,IF(AB11="NO",0))</f>
        <v>1</v>
      </c>
      <c r="AD11" s="24" t="s">
        <v>834</v>
      </c>
      <c r="AE11" s="22">
        <f t="shared" ref="AE11:AE75" si="4">IF(AD11="SI",1,IF(AD11="NO",0))</f>
        <v>1</v>
      </c>
      <c r="AF11" s="24" t="s">
        <v>834</v>
      </c>
      <c r="AG11" s="22">
        <f t="shared" ref="AG11:AG75" si="5">IF(AF11="SI",1,IF(AF11="NO",0))</f>
        <v>1</v>
      </c>
      <c r="AH11" s="24" t="s">
        <v>834</v>
      </c>
      <c r="AI11" s="22">
        <f t="shared" ref="AI11:AI75" si="6">IF(AH11="SI",1,IF(AH11="NO",0))</f>
        <v>1</v>
      </c>
      <c r="AJ11" s="24" t="s">
        <v>835</v>
      </c>
      <c r="AK11" s="22">
        <f t="shared" ref="AK11:AK75" si="7">IF(AJ11="SI",1,IF(AJ11="NO",0))</f>
        <v>0</v>
      </c>
      <c r="AL11" s="24" t="s">
        <v>835</v>
      </c>
      <c r="AM11" s="22">
        <f t="shared" ref="AM11:AM75" si="8">IF(AL11="SI",1,IF(AL11="NO",0))</f>
        <v>0</v>
      </c>
      <c r="AN11" s="24" t="s">
        <v>834</v>
      </c>
      <c r="AO11" s="22">
        <f t="shared" ref="AO11:AO75" si="9">IF(AN11="SI",1,IF(AN11="NO",0))</f>
        <v>1</v>
      </c>
      <c r="AP11" s="24" t="s">
        <v>834</v>
      </c>
      <c r="AQ11" s="22">
        <f t="shared" ref="AQ11:AQ75" si="10">IF(AP11="SI",1,IF(AP11="NO",0))</f>
        <v>1</v>
      </c>
      <c r="AR11" s="24" t="s">
        <v>834</v>
      </c>
      <c r="AS11" s="22">
        <f t="shared" ref="AS11:AS75" si="11">IF(AR11="SI",1,IF(AR11="NO",0))</f>
        <v>1</v>
      </c>
      <c r="AT11" s="24" t="s">
        <v>834</v>
      </c>
      <c r="AU11" s="22">
        <f t="shared" ref="AU11:AU75" si="12">IF(AT11="SI",1,IF(AT11="NO",0))</f>
        <v>1</v>
      </c>
      <c r="AV11" s="24" t="s">
        <v>834</v>
      </c>
      <c r="AW11" s="22">
        <f t="shared" ref="AW11:AW75" si="13">IF(AV11="SI",1,IF(AV11="NO",0))</f>
        <v>1</v>
      </c>
      <c r="AX11" s="24" t="s">
        <v>835</v>
      </c>
      <c r="AY11" s="22">
        <f t="shared" ref="AY11:AY75" si="14">IF(AX11="SI",1,IF(AX11="NO",0))</f>
        <v>0</v>
      </c>
      <c r="AZ11" s="24" t="s">
        <v>835</v>
      </c>
      <c r="BA11" s="22">
        <f t="shared" ref="BA11:BA75" si="15">IF(AZ11="SI",1,IF(AZ11="NO",0))</f>
        <v>0</v>
      </c>
      <c r="BB11" s="24" t="s">
        <v>835</v>
      </c>
      <c r="BC11" s="22">
        <f t="shared" ref="BC11:BC75" si="16">IF(BB11="SI",1,IF(BB11="NO",0))</f>
        <v>0</v>
      </c>
      <c r="BD11" s="24" t="s">
        <v>834</v>
      </c>
      <c r="BE11" s="22">
        <f t="shared" ref="BE11:BE75" si="17">IF(BD11="SI",1,IF(BD11="NO",0))</f>
        <v>1</v>
      </c>
      <c r="BF11" s="24" t="s">
        <v>835</v>
      </c>
      <c r="BG11" s="22">
        <f t="shared" ref="BG11:BG75" si="18">IF(BF11="SI",1,IF(BF11="NO",0))</f>
        <v>0</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13</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836</v>
      </c>
      <c r="BO11" s="170">
        <v>102</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66"/>
      <c r="C12" s="175"/>
      <c r="D12" s="174"/>
      <c r="E12" s="199"/>
      <c r="F12" s="167"/>
      <c r="G12" s="167"/>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6"/>
      <c r="C13" s="175"/>
      <c r="D13" s="174"/>
      <c r="E13" s="38"/>
      <c r="F13" s="193"/>
      <c r="G13" s="194"/>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6"/>
      <c r="C14" s="191"/>
      <c r="D14" s="192"/>
      <c r="E14" s="38"/>
      <c r="F14" s="187"/>
      <c r="G14" s="167"/>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6"/>
      <c r="C15" s="168"/>
      <c r="D15" s="174"/>
      <c r="E15" s="38"/>
      <c r="F15" s="167"/>
      <c r="G15" s="167"/>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6"/>
      <c r="C16" s="168"/>
      <c r="D16" s="174"/>
      <c r="E16" s="38"/>
      <c r="F16" s="187"/>
      <c r="G16" s="167"/>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6"/>
      <c r="C17" s="195"/>
      <c r="D17" s="192"/>
      <c r="E17" s="38"/>
      <c r="F17" s="167"/>
      <c r="G17" s="167"/>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6"/>
      <c r="C18" s="168"/>
      <c r="D18" s="198"/>
      <c r="E18" s="38"/>
      <c r="F18" s="167"/>
      <c r="G18" s="167"/>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66"/>
      <c r="C19" s="127"/>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6"/>
      <c r="C20" s="127"/>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6"/>
      <c r="C21" s="127"/>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x14ac:dyDescent="0.3">
      <c r="B22" s="166"/>
      <c r="C22" s="127"/>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x14ac:dyDescent="0.3">
      <c r="B23" s="166"/>
      <c r="C23" s="127"/>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x14ac:dyDescent="0.3">
      <c r="B24" s="166"/>
      <c r="C24" s="127"/>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x14ac:dyDescent="0.3">
      <c r="B25" s="27"/>
      <c r="C25" s="127"/>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x14ac:dyDescent="0.3">
      <c r="B26" s="27"/>
      <c r="C26" s="127"/>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x14ac:dyDescent="0.3">
      <c r="B27" s="27"/>
      <c r="C27" s="127"/>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x14ac:dyDescent="0.3">
      <c r="B28" s="27"/>
      <c r="C28" s="127"/>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x14ac:dyDescent="0.3">
      <c r="B29" s="27"/>
      <c r="C29" s="127"/>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x14ac:dyDescent="0.3">
      <c r="B30" s="27"/>
      <c r="C30" s="127"/>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x14ac:dyDescent="0.3">
      <c r="B31" s="27"/>
      <c r="C31" s="127"/>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x14ac:dyDescent="0.3">
      <c r="B32" s="27"/>
      <c r="C32" s="127"/>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x14ac:dyDescent="0.3">
      <c r="B33" s="27"/>
      <c r="C33" s="127"/>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x14ac:dyDescent="0.3">
      <c r="B34" s="27"/>
      <c r="C34" s="127"/>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x14ac:dyDescent="0.3">
      <c r="B35" s="27"/>
      <c r="C35" s="127"/>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x14ac:dyDescent="0.3">
      <c r="B36" s="27"/>
      <c r="C36" s="127"/>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x14ac:dyDescent="0.3">
      <c r="B37" s="27"/>
      <c r="C37" s="127"/>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x14ac:dyDescent="0.3">
      <c r="B38" s="27"/>
      <c r="C38" s="127"/>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x14ac:dyDescent="0.3">
      <c r="B39" s="27"/>
      <c r="C39" s="127"/>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x14ac:dyDescent="0.3">
      <c r="B40" s="27"/>
      <c r="C40" s="127"/>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x14ac:dyDescent="0.3">
      <c r="B41" s="27"/>
      <c r="C41" s="127"/>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x14ac:dyDescent="0.3">
      <c r="B42" s="27"/>
      <c r="C42" s="127"/>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x14ac:dyDescent="0.3">
      <c r="B43" s="27"/>
      <c r="C43" s="127"/>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x14ac:dyDescent="0.3">
      <c r="B44" s="27"/>
      <c r="C44" s="127"/>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x14ac:dyDescent="0.3">
      <c r="B45" s="27"/>
      <c r="C45" s="127"/>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x14ac:dyDescent="0.3">
      <c r="B46" s="27"/>
      <c r="C46" s="127"/>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x14ac:dyDescent="0.3">
      <c r="B47" s="27"/>
      <c r="C47" s="127"/>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x14ac:dyDescent="0.3">
      <c r="B48" s="27"/>
      <c r="C48" s="127"/>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x14ac:dyDescent="0.3">
      <c r="B49" s="27"/>
      <c r="C49" s="127"/>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x14ac:dyDescent="0.3">
      <c r="B50" s="27"/>
      <c r="C50" s="127"/>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x14ac:dyDescent="0.3">
      <c r="B51" s="27"/>
      <c r="C51" s="127"/>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x14ac:dyDescent="0.3">
      <c r="B52" s="27"/>
      <c r="C52" s="127"/>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x14ac:dyDescent="0.3">
      <c r="B53" s="27"/>
      <c r="C53" s="127"/>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x14ac:dyDescent="0.3">
      <c r="B54" s="27"/>
      <c r="C54" s="127"/>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x14ac:dyDescent="0.3">
      <c r="B55" s="27"/>
      <c r="C55" s="127"/>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x14ac:dyDescent="0.3">
      <c r="B56" s="27"/>
      <c r="C56" s="127"/>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x14ac:dyDescent="0.3">
      <c r="B57" s="27"/>
      <c r="C57" s="127"/>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x14ac:dyDescent="0.3">
      <c r="B58" s="27"/>
      <c r="C58" s="127"/>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x14ac:dyDescent="0.3">
      <c r="B59" s="27"/>
      <c r="C59" s="127"/>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x14ac:dyDescent="0.3">
      <c r="B60" s="27"/>
      <c r="C60" s="127"/>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x14ac:dyDescent="0.3">
      <c r="B61" s="27"/>
      <c r="C61" s="127"/>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x14ac:dyDescent="0.3">
      <c r="B62" s="27"/>
      <c r="C62" s="127"/>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x14ac:dyDescent="0.3">
      <c r="B63" s="27"/>
      <c r="C63" s="127"/>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x14ac:dyDescent="0.3">
      <c r="B64" s="27"/>
      <c r="C64" s="127"/>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x14ac:dyDescent="0.3">
      <c r="B65" s="27"/>
      <c r="C65" s="127"/>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x14ac:dyDescent="0.3">
      <c r="B66" s="27"/>
      <c r="C66" s="127"/>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x14ac:dyDescent="0.3">
      <c r="B67" s="27"/>
      <c r="C67" s="127"/>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x14ac:dyDescent="0.3">
      <c r="B68" s="27"/>
      <c r="C68" s="127"/>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x14ac:dyDescent="0.3">
      <c r="B69" s="27"/>
      <c r="C69" s="127"/>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x14ac:dyDescent="0.3">
      <c r="B70" s="27"/>
      <c r="C70" s="127"/>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x14ac:dyDescent="0.3">
      <c r="B71" s="27"/>
      <c r="C71" s="127"/>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x14ac:dyDescent="0.3">
      <c r="B72" s="27"/>
      <c r="C72" s="127"/>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x14ac:dyDescent="0.3">
      <c r="B73" s="27"/>
      <c r="C73" s="127"/>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x14ac:dyDescent="0.3">
      <c r="B74" s="27"/>
      <c r="C74" s="127"/>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x14ac:dyDescent="0.3">
      <c r="B75" s="27"/>
      <c r="C75" s="127"/>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x14ac:dyDescent="0.3">
      <c r="B76" s="27"/>
      <c r="C76" s="127"/>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x14ac:dyDescent="0.3">
      <c r="B77" s="27"/>
      <c r="C77" s="127"/>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x14ac:dyDescent="0.3">
      <c r="B78" s="27"/>
      <c r="C78" s="127"/>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x14ac:dyDescent="0.3">
      <c r="B79" s="27"/>
      <c r="C79" s="127"/>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x14ac:dyDescent="0.3">
      <c r="B80" s="27"/>
      <c r="C80" s="127"/>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x14ac:dyDescent="0.3">
      <c r="B81" s="27"/>
      <c r="C81" s="127"/>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x14ac:dyDescent="0.3">
      <c r="B82" s="27"/>
      <c r="C82" s="127"/>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x14ac:dyDescent="0.3">
      <c r="B83" s="27"/>
      <c r="C83" s="127"/>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x14ac:dyDescent="0.3">
      <c r="B84" s="27"/>
      <c r="C84" s="127"/>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x14ac:dyDescent="0.3">
      <c r="B85" s="27"/>
      <c r="C85" s="127"/>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x14ac:dyDescent="0.3">
      <c r="B86" s="27"/>
      <c r="C86" s="127"/>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x14ac:dyDescent="0.3">
      <c r="B87" s="27"/>
      <c r="C87" s="127"/>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x14ac:dyDescent="0.3">
      <c r="B88" s="27"/>
      <c r="C88" s="127"/>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x14ac:dyDescent="0.3">
      <c r="B89" s="27"/>
      <c r="C89" s="127"/>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x14ac:dyDescent="0.3">
      <c r="B90" s="27"/>
      <c r="C90" s="127"/>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x14ac:dyDescent="0.3">
      <c r="B91" s="27"/>
      <c r="C91" s="127"/>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x14ac:dyDescent="0.3">
      <c r="B92" s="27"/>
      <c r="C92" s="127"/>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x14ac:dyDescent="0.3">
      <c r="B93" s="27"/>
      <c r="C93" s="127"/>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x14ac:dyDescent="0.3">
      <c r="B94" s="27"/>
      <c r="C94" s="127"/>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x14ac:dyDescent="0.3">
      <c r="B95" s="27"/>
      <c r="C95" s="127"/>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x14ac:dyDescent="0.3">
      <c r="B96" s="27"/>
      <c r="C96" s="127"/>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x14ac:dyDescent="0.3">
      <c r="B97" s="27"/>
      <c r="C97" s="127"/>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x14ac:dyDescent="0.3">
      <c r="B98" s="27"/>
      <c r="C98" s="127"/>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x14ac:dyDescent="0.3">
      <c r="B99" s="27"/>
      <c r="C99" s="127"/>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x14ac:dyDescent="0.3">
      <c r="B100" s="27"/>
      <c r="C100" s="127"/>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algorithmName="SHA-512" hashValue="KFwwxxWnFEMbheOIxEug5vYbPpoNmtHO8gw4Wryz1R3+GV4d086OAzqN6spp7izUxA8X+7pj2T2Qqm0t7yCmlA==" saltValue="/2LXO/HRlQZ4AMpq4nHWXA==" spinCount="100000" sheet="1"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837</v>
      </c>
      <c r="E1" s="9" t="s">
        <v>838</v>
      </c>
      <c r="F1" s="9"/>
      <c r="G1" s="9" t="s">
        <v>839</v>
      </c>
      <c r="H1" s="9"/>
      <c r="I1" s="9" t="s">
        <v>840</v>
      </c>
      <c r="K1" s="9" t="s">
        <v>841</v>
      </c>
      <c r="M1" s="16" t="s">
        <v>841</v>
      </c>
      <c r="O1" s="11" t="s">
        <v>842</v>
      </c>
      <c r="Q1" t="s">
        <v>843</v>
      </c>
    </row>
    <row r="2" spans="3:25" x14ac:dyDescent="0.25">
      <c r="C2">
        <v>9000</v>
      </c>
      <c r="E2" s="14" t="s">
        <v>230</v>
      </c>
      <c r="F2" s="14"/>
      <c r="G2" s="14" t="s">
        <v>844</v>
      </c>
      <c r="H2" s="14"/>
      <c r="I2" s="14" t="s">
        <v>845</v>
      </c>
      <c r="K2" s="15" t="s">
        <v>846</v>
      </c>
      <c r="M2" s="17" t="s">
        <v>846</v>
      </c>
      <c r="O2" s="11" t="s">
        <v>674</v>
      </c>
      <c r="Q2" t="s">
        <v>773</v>
      </c>
    </row>
    <row r="3" spans="3:25" x14ac:dyDescent="0.25">
      <c r="C3">
        <v>9001</v>
      </c>
      <c r="E3" s="14" t="s">
        <v>847</v>
      </c>
      <c r="F3" s="14"/>
      <c r="G3" s="14" t="s">
        <v>848</v>
      </c>
      <c r="H3" s="14"/>
      <c r="I3" s="14" t="s">
        <v>849</v>
      </c>
      <c r="K3" s="15" t="s">
        <v>850</v>
      </c>
      <c r="M3" s="17" t="s">
        <v>850</v>
      </c>
      <c r="O3" s="11" t="s">
        <v>678</v>
      </c>
      <c r="Q3" t="s">
        <v>771</v>
      </c>
    </row>
    <row r="4" spans="3:25" x14ac:dyDescent="0.25">
      <c r="C4">
        <v>9002</v>
      </c>
      <c r="E4" s="14" t="s">
        <v>851</v>
      </c>
      <c r="F4" s="14"/>
      <c r="G4" s="14" t="s">
        <v>852</v>
      </c>
      <c r="H4" s="14"/>
      <c r="I4" s="14" t="s">
        <v>853</v>
      </c>
      <c r="K4" s="15" t="s">
        <v>854</v>
      </c>
      <c r="M4" s="17" t="s">
        <v>855</v>
      </c>
      <c r="O4" s="11" t="s">
        <v>194</v>
      </c>
      <c r="Q4" t="s">
        <v>769</v>
      </c>
      <c r="S4" t="s">
        <v>856</v>
      </c>
    </row>
    <row r="5" spans="3:25" x14ac:dyDescent="0.25">
      <c r="C5">
        <v>9003</v>
      </c>
      <c r="E5" s="14" t="s">
        <v>857</v>
      </c>
      <c r="F5" s="14"/>
      <c r="G5" s="14" t="s">
        <v>858</v>
      </c>
      <c r="H5" s="14"/>
      <c r="I5" s="14" t="s">
        <v>859</v>
      </c>
      <c r="K5" s="15" t="s">
        <v>780</v>
      </c>
      <c r="M5" s="17" t="s">
        <v>780</v>
      </c>
      <c r="O5" s="11" t="s">
        <v>685</v>
      </c>
      <c r="Q5" t="s">
        <v>767</v>
      </c>
      <c r="S5" t="s">
        <v>860</v>
      </c>
    </row>
    <row r="6" spans="3:25" ht="17.25" x14ac:dyDescent="0.25">
      <c r="C6">
        <v>9004</v>
      </c>
      <c r="E6" s="14" t="s">
        <v>861</v>
      </c>
      <c r="F6" s="14"/>
      <c r="G6" s="14" t="s">
        <v>862</v>
      </c>
      <c r="H6" s="14"/>
      <c r="I6" s="14" t="s">
        <v>863</v>
      </c>
      <c r="K6" s="15" t="s">
        <v>776</v>
      </c>
      <c r="M6" s="17" t="s">
        <v>776</v>
      </c>
      <c r="O6" s="11" t="s">
        <v>689</v>
      </c>
      <c r="Q6" t="s">
        <v>765</v>
      </c>
      <c r="S6" t="s">
        <v>864</v>
      </c>
      <c r="V6" s="30" t="s">
        <v>865</v>
      </c>
      <c r="W6" t="s">
        <v>866</v>
      </c>
    </row>
    <row r="7" spans="3:25" ht="15.75" customHeight="1" x14ac:dyDescent="0.25">
      <c r="C7">
        <v>9005</v>
      </c>
      <c r="E7" s="14" t="s">
        <v>867</v>
      </c>
      <c r="F7" s="14"/>
      <c r="G7" s="14" t="s">
        <v>868</v>
      </c>
      <c r="H7" s="14"/>
      <c r="I7" s="14" t="s">
        <v>869</v>
      </c>
      <c r="K7" s="15" t="s">
        <v>870</v>
      </c>
      <c r="M7" s="17" t="s">
        <v>870</v>
      </c>
      <c r="S7" t="s">
        <v>871</v>
      </c>
      <c r="V7" s="18" t="s">
        <v>230</v>
      </c>
      <c r="W7">
        <v>0</v>
      </c>
      <c r="Y7">
        <f>SUMIFS($W$7:$W$15,$V$7:$V$15,V7)</f>
        <v>2</v>
      </c>
    </row>
    <row r="8" spans="3:25" x14ac:dyDescent="0.25">
      <c r="C8">
        <v>9006</v>
      </c>
      <c r="E8" s="14" t="s">
        <v>872</v>
      </c>
      <c r="F8" s="14"/>
      <c r="G8" s="14" t="s">
        <v>873</v>
      </c>
      <c r="H8" s="14"/>
      <c r="I8" s="14" t="s">
        <v>874</v>
      </c>
      <c r="K8" s="15" t="s">
        <v>768</v>
      </c>
      <c r="M8" s="17" t="s">
        <v>875</v>
      </c>
      <c r="S8" t="s">
        <v>876</v>
      </c>
      <c r="V8" s="18" t="s">
        <v>230</v>
      </c>
      <c r="W8">
        <v>0</v>
      </c>
      <c r="Y8">
        <f t="shared" ref="Y8:Y13" si="0">SUMIFS($W$7:$W$15,$V$7:$V$15,V8)</f>
        <v>2</v>
      </c>
    </row>
    <row r="9" spans="3:25" x14ac:dyDescent="0.25">
      <c r="C9">
        <v>9007</v>
      </c>
      <c r="E9" s="14" t="s">
        <v>877</v>
      </c>
      <c r="F9" s="14"/>
      <c r="G9" s="14" t="s">
        <v>878</v>
      </c>
      <c r="H9" s="14"/>
      <c r="I9" s="14" t="s">
        <v>879</v>
      </c>
      <c r="K9" s="15" t="s">
        <v>779</v>
      </c>
      <c r="M9" s="17" t="s">
        <v>880</v>
      </c>
      <c r="O9" s="14" t="s">
        <v>881</v>
      </c>
      <c r="S9" t="s">
        <v>882</v>
      </c>
      <c r="V9" s="18" t="s">
        <v>230</v>
      </c>
      <c r="W9">
        <v>1</v>
      </c>
      <c r="Y9">
        <f t="shared" si="0"/>
        <v>2</v>
      </c>
    </row>
    <row r="10" spans="3:25" x14ac:dyDescent="0.25">
      <c r="C10">
        <v>9008</v>
      </c>
      <c r="E10" s="14" t="s">
        <v>883</v>
      </c>
      <c r="F10" s="14"/>
      <c r="G10" s="14" t="s">
        <v>884</v>
      </c>
      <c r="H10" s="14"/>
      <c r="I10" s="14" t="s">
        <v>885</v>
      </c>
      <c r="K10" s="15" t="s">
        <v>775</v>
      </c>
      <c r="M10" s="17" t="s">
        <v>775</v>
      </c>
      <c r="O10" s="14" t="s">
        <v>831</v>
      </c>
      <c r="S10" t="s">
        <v>886</v>
      </c>
      <c r="V10" s="18" t="s">
        <v>230</v>
      </c>
      <c r="W10">
        <v>0</v>
      </c>
      <c r="Y10">
        <f t="shared" si="0"/>
        <v>2</v>
      </c>
    </row>
    <row r="11" spans="3:25" x14ac:dyDescent="0.25">
      <c r="C11">
        <v>9009</v>
      </c>
      <c r="E11" s="14" t="s">
        <v>887</v>
      </c>
      <c r="F11" s="14"/>
      <c r="G11" s="14" t="s">
        <v>888</v>
      </c>
      <c r="H11" s="14"/>
      <c r="I11" s="14" t="s">
        <v>889</v>
      </c>
      <c r="K11" s="15" t="s">
        <v>890</v>
      </c>
      <c r="M11" s="17" t="s">
        <v>890</v>
      </c>
      <c r="O11" s="14" t="s">
        <v>891</v>
      </c>
      <c r="S11" t="s">
        <v>892</v>
      </c>
      <c r="V11" s="18" t="s">
        <v>230</v>
      </c>
      <c r="W11">
        <v>0</v>
      </c>
      <c r="Y11">
        <f t="shared" si="0"/>
        <v>2</v>
      </c>
    </row>
    <row r="12" spans="3:25" ht="15.75" customHeight="1" x14ac:dyDescent="0.25">
      <c r="C12">
        <v>9010</v>
      </c>
      <c r="E12" s="14" t="s">
        <v>893</v>
      </c>
      <c r="F12" s="14"/>
      <c r="G12" s="14" t="s">
        <v>894</v>
      </c>
      <c r="H12" s="14"/>
      <c r="I12" s="14" t="s">
        <v>895</v>
      </c>
      <c r="K12" s="15" t="s">
        <v>764</v>
      </c>
      <c r="M12" s="17" t="s">
        <v>896</v>
      </c>
      <c r="O12" s="14" t="s">
        <v>231</v>
      </c>
      <c r="S12" t="s">
        <v>897</v>
      </c>
      <c r="V12" s="18" t="s">
        <v>230</v>
      </c>
      <c r="W12">
        <v>1</v>
      </c>
      <c r="Y12">
        <f t="shared" si="0"/>
        <v>2</v>
      </c>
    </row>
    <row r="13" spans="3:25" ht="17.45" customHeight="1" x14ac:dyDescent="0.25">
      <c r="C13">
        <v>9011</v>
      </c>
      <c r="E13" s="14" t="s">
        <v>898</v>
      </c>
      <c r="F13" s="14"/>
      <c r="G13" s="14" t="s">
        <v>899</v>
      </c>
      <c r="H13" s="14"/>
      <c r="I13" s="14" t="s">
        <v>900</v>
      </c>
      <c r="K13" s="15" t="s">
        <v>778</v>
      </c>
      <c r="M13" s="17" t="s">
        <v>778</v>
      </c>
      <c r="O13" s="14" t="s">
        <v>901</v>
      </c>
      <c r="S13" t="s">
        <v>902</v>
      </c>
      <c r="V13" s="18" t="s">
        <v>847</v>
      </c>
      <c r="W13">
        <v>2</v>
      </c>
      <c r="Y13">
        <f t="shared" si="0"/>
        <v>10</v>
      </c>
    </row>
    <row r="14" spans="3:25" x14ac:dyDescent="0.25">
      <c r="C14">
        <v>9012</v>
      </c>
      <c r="E14" s="14" t="s">
        <v>903</v>
      </c>
      <c r="F14" s="14"/>
      <c r="G14" s="14" t="s">
        <v>904</v>
      </c>
      <c r="H14" s="14"/>
      <c r="I14" s="14" t="s">
        <v>905</v>
      </c>
      <c r="K14" s="15"/>
      <c r="O14" s="14"/>
      <c r="S14" t="s">
        <v>906</v>
      </c>
      <c r="V14" s="18" t="s">
        <v>847</v>
      </c>
      <c r="W14">
        <v>8</v>
      </c>
      <c r="Y14">
        <v>7</v>
      </c>
    </row>
    <row r="15" spans="3:25" x14ac:dyDescent="0.25">
      <c r="C15">
        <v>9013</v>
      </c>
      <c r="E15" s="14" t="s">
        <v>907</v>
      </c>
      <c r="F15" s="14"/>
      <c r="G15" s="14" t="s">
        <v>908</v>
      </c>
      <c r="H15" s="14"/>
      <c r="I15" s="14" t="s">
        <v>909</v>
      </c>
      <c r="O15" s="14"/>
      <c r="S15" t="s">
        <v>910</v>
      </c>
      <c r="V15" s="18" t="s">
        <v>847</v>
      </c>
    </row>
    <row r="16" spans="3:25" x14ac:dyDescent="0.25">
      <c r="C16">
        <v>9014</v>
      </c>
      <c r="E16" s="14" t="s">
        <v>911</v>
      </c>
      <c r="F16" s="14"/>
      <c r="G16" s="14" t="s">
        <v>912</v>
      </c>
      <c r="H16" s="14"/>
      <c r="I16" s="14" t="s">
        <v>913</v>
      </c>
      <c r="O16" s="14"/>
      <c r="S16" t="s">
        <v>914</v>
      </c>
    </row>
    <row r="17" spans="3:30" x14ac:dyDescent="0.25">
      <c r="C17">
        <v>9015</v>
      </c>
      <c r="E17" s="14" t="s">
        <v>915</v>
      </c>
      <c r="F17" s="14"/>
      <c r="G17" s="14" t="s">
        <v>916</v>
      </c>
      <c r="H17" s="14"/>
      <c r="I17" s="14" t="s">
        <v>917</v>
      </c>
      <c r="O17" s="14"/>
      <c r="S17" t="s">
        <v>918</v>
      </c>
    </row>
    <row r="18" spans="3:30" ht="15.75" customHeight="1" x14ac:dyDescent="0.25">
      <c r="C18">
        <v>9016</v>
      </c>
      <c r="E18" s="14" t="s">
        <v>919</v>
      </c>
      <c r="F18" s="14"/>
      <c r="G18" s="14" t="s">
        <v>920</v>
      </c>
      <c r="H18" s="14"/>
      <c r="I18" s="14" t="s">
        <v>921</v>
      </c>
      <c r="O18" s="14"/>
      <c r="S18" t="s">
        <v>922</v>
      </c>
      <c r="U18" s="2"/>
      <c r="W18" t="b">
        <f>IF((W14&lt;Y14),"ESCRITORIO")</f>
        <v>0</v>
      </c>
    </row>
    <row r="19" spans="3:30" x14ac:dyDescent="0.25">
      <c r="C19">
        <v>9017</v>
      </c>
      <c r="E19" s="14" t="s">
        <v>923</v>
      </c>
      <c r="F19" s="14"/>
      <c r="G19" s="14" t="s">
        <v>924</v>
      </c>
      <c r="H19" s="14"/>
      <c r="I19" s="14" t="s">
        <v>925</v>
      </c>
      <c r="O19" s="14"/>
      <c r="S19" t="s">
        <v>926</v>
      </c>
    </row>
    <row r="20" spans="3:30" ht="21" x14ac:dyDescent="0.25">
      <c r="C20">
        <v>9018</v>
      </c>
      <c r="E20" s="14" t="s">
        <v>927</v>
      </c>
      <c r="F20" s="14"/>
      <c r="G20" s="14" t="s">
        <v>928</v>
      </c>
      <c r="H20" s="14"/>
      <c r="I20" s="14" t="s">
        <v>929</v>
      </c>
      <c r="K20" s="11" t="s">
        <v>930</v>
      </c>
      <c r="O20" s="14"/>
      <c r="S20" t="s">
        <v>931</v>
      </c>
      <c r="X20">
        <f>ABS(W15-Y15)</f>
        <v>0</v>
      </c>
      <c r="AB20" s="173">
        <v>1</v>
      </c>
      <c r="AC20" s="173">
        <v>2</v>
      </c>
    </row>
    <row r="21" spans="3:30" x14ac:dyDescent="0.25">
      <c r="C21">
        <v>9019</v>
      </c>
      <c r="E21" s="14" t="s">
        <v>932</v>
      </c>
      <c r="F21" s="14"/>
      <c r="G21" s="14" t="s">
        <v>933</v>
      </c>
      <c r="H21" s="14"/>
      <c r="I21" s="14" t="s">
        <v>934</v>
      </c>
      <c r="K21" t="s">
        <v>935</v>
      </c>
      <c r="O21" s="14"/>
      <c r="S21" t="s">
        <v>936</v>
      </c>
      <c r="AB21" s="172" t="s">
        <v>841</v>
      </c>
      <c r="AC21" s="172" t="s">
        <v>937</v>
      </c>
      <c r="AD21" s="172" t="s">
        <v>938</v>
      </c>
    </row>
    <row r="22" spans="3:30" ht="57" x14ac:dyDescent="0.25">
      <c r="C22">
        <v>9020</v>
      </c>
      <c r="E22" s="14" t="s">
        <v>939</v>
      </c>
      <c r="G22" s="14" t="s">
        <v>940</v>
      </c>
      <c r="H22" s="14"/>
      <c r="I22" s="14" t="s">
        <v>941</v>
      </c>
      <c r="K22" t="s">
        <v>942</v>
      </c>
      <c r="O22" s="14"/>
      <c r="S22" t="s">
        <v>943</v>
      </c>
      <c r="AA22" s="173">
        <v>1</v>
      </c>
      <c r="AB22" s="349" t="s">
        <v>764</v>
      </c>
      <c r="AC22" s="344" t="s">
        <v>944</v>
      </c>
      <c r="AD22" s="353" t="s">
        <v>945</v>
      </c>
    </row>
    <row r="23" spans="3:30" ht="71.25" x14ac:dyDescent="0.25">
      <c r="C23">
        <v>9021</v>
      </c>
      <c r="E23" s="14" t="s">
        <v>946</v>
      </c>
      <c r="G23" s="14" t="s">
        <v>947</v>
      </c>
      <c r="H23" s="14"/>
      <c r="I23" s="14" t="s">
        <v>948</v>
      </c>
      <c r="K23" t="s">
        <v>949</v>
      </c>
      <c r="S23" t="s">
        <v>950</v>
      </c>
      <c r="AA23" s="173">
        <v>2</v>
      </c>
      <c r="AB23" s="349" t="s">
        <v>766</v>
      </c>
      <c r="AC23" s="344" t="s">
        <v>951</v>
      </c>
      <c r="AD23" s="353" t="s">
        <v>952</v>
      </c>
    </row>
    <row r="24" spans="3:30" ht="85.5" x14ac:dyDescent="0.25">
      <c r="C24">
        <v>9022</v>
      </c>
      <c r="E24" s="14" t="s">
        <v>953</v>
      </c>
      <c r="G24" s="14" t="s">
        <v>954</v>
      </c>
      <c r="H24" s="14"/>
      <c r="I24" s="14" t="s">
        <v>955</v>
      </c>
      <c r="S24" t="s">
        <v>956</v>
      </c>
      <c r="AA24" s="173">
        <v>3</v>
      </c>
      <c r="AB24" s="350" t="s">
        <v>768</v>
      </c>
      <c r="AC24" s="344" t="s">
        <v>957</v>
      </c>
      <c r="AD24" s="353" t="s">
        <v>958</v>
      </c>
    </row>
    <row r="25" spans="3:30" ht="42.75" x14ac:dyDescent="0.25">
      <c r="C25">
        <v>9023</v>
      </c>
      <c r="E25" s="14" t="s">
        <v>959</v>
      </c>
      <c r="G25" s="14" t="s">
        <v>960</v>
      </c>
      <c r="H25" s="14"/>
      <c r="I25" s="14" t="s">
        <v>961</v>
      </c>
      <c r="S25" t="s">
        <v>962</v>
      </c>
      <c r="AA25" s="173">
        <v>4</v>
      </c>
      <c r="AB25" s="350" t="s">
        <v>770</v>
      </c>
      <c r="AC25" s="344" t="s">
        <v>963</v>
      </c>
      <c r="AD25" s="353" t="s">
        <v>964</v>
      </c>
    </row>
    <row r="26" spans="3:30" ht="71.25" x14ac:dyDescent="0.25">
      <c r="C26">
        <v>9024</v>
      </c>
      <c r="E26" s="14" t="s">
        <v>965</v>
      </c>
      <c r="G26" s="14" t="s">
        <v>966</v>
      </c>
      <c r="H26" s="14"/>
      <c r="I26" s="14" t="s">
        <v>967</v>
      </c>
      <c r="K26" t="s">
        <v>968</v>
      </c>
      <c r="S26" t="s">
        <v>969</v>
      </c>
      <c r="AA26" s="173">
        <v>5</v>
      </c>
      <c r="AB26" s="349" t="s">
        <v>772</v>
      </c>
      <c r="AC26" s="344" t="s">
        <v>970</v>
      </c>
      <c r="AD26" s="353" t="s">
        <v>971</v>
      </c>
    </row>
    <row r="27" spans="3:30" ht="42.75" x14ac:dyDescent="0.25">
      <c r="C27">
        <v>9025</v>
      </c>
      <c r="E27" s="14" t="s">
        <v>972</v>
      </c>
      <c r="G27" s="14" t="s">
        <v>973</v>
      </c>
      <c r="H27" s="14"/>
      <c r="I27" s="14" t="s">
        <v>974</v>
      </c>
      <c r="K27" t="s">
        <v>975</v>
      </c>
      <c r="S27" t="s">
        <v>976</v>
      </c>
      <c r="AA27" s="173">
        <v>6</v>
      </c>
      <c r="AB27" s="349" t="s">
        <v>774</v>
      </c>
      <c r="AC27" s="344" t="s">
        <v>977</v>
      </c>
      <c r="AD27" s="353" t="s">
        <v>978</v>
      </c>
    </row>
    <row r="28" spans="3:30" ht="28.5" x14ac:dyDescent="0.25">
      <c r="C28">
        <v>9026</v>
      </c>
      <c r="E28" s="14" t="s">
        <v>979</v>
      </c>
      <c r="G28" s="14" t="s">
        <v>980</v>
      </c>
      <c r="H28" s="14"/>
      <c r="I28" s="14" t="s">
        <v>981</v>
      </c>
      <c r="K28" t="s">
        <v>982</v>
      </c>
      <c r="S28" t="s">
        <v>983</v>
      </c>
      <c r="AA28" s="173">
        <v>7</v>
      </c>
      <c r="AB28" s="350" t="s">
        <v>775</v>
      </c>
      <c r="AC28" s="344" t="s">
        <v>984</v>
      </c>
      <c r="AD28" s="353" t="s">
        <v>985</v>
      </c>
    </row>
    <row r="29" spans="3:30" ht="42.75" x14ac:dyDescent="0.25">
      <c r="C29">
        <v>9027</v>
      </c>
      <c r="E29" s="14" t="s">
        <v>986</v>
      </c>
      <c r="G29" s="14" t="s">
        <v>987</v>
      </c>
      <c r="H29" s="14"/>
      <c r="I29" s="14" t="s">
        <v>988</v>
      </c>
      <c r="K29" t="s">
        <v>989</v>
      </c>
      <c r="AA29" s="173">
        <v>8</v>
      </c>
      <c r="AB29" s="350" t="s">
        <v>776</v>
      </c>
      <c r="AC29" s="344" t="s">
        <v>990</v>
      </c>
      <c r="AD29" s="353" t="s">
        <v>991</v>
      </c>
    </row>
    <row r="30" spans="3:30" ht="29.25" thickBot="1" x14ac:dyDescent="0.3">
      <c r="C30">
        <v>9028</v>
      </c>
      <c r="E30" s="14" t="s">
        <v>992</v>
      </c>
      <c r="G30" s="14" t="s">
        <v>993</v>
      </c>
      <c r="H30" s="14"/>
      <c r="I30" s="14" t="s">
        <v>994</v>
      </c>
      <c r="Q30" s="14">
        <v>1</v>
      </c>
      <c r="R30" s="14">
        <v>2</v>
      </c>
      <c r="AA30" s="173">
        <v>9</v>
      </c>
      <c r="AB30" s="350" t="s">
        <v>777</v>
      </c>
      <c r="AC30" s="344" t="s">
        <v>995</v>
      </c>
      <c r="AD30" s="353" t="s">
        <v>996</v>
      </c>
    </row>
    <row r="31" spans="3:30" ht="43.5" thickBot="1" x14ac:dyDescent="0.3">
      <c r="C31">
        <v>9029</v>
      </c>
      <c r="E31" s="14" t="s">
        <v>997</v>
      </c>
      <c r="G31" s="14" t="s">
        <v>998</v>
      </c>
      <c r="H31" s="14"/>
      <c r="I31" s="14" t="s">
        <v>999</v>
      </c>
      <c r="Q31" s="28" t="s">
        <v>219</v>
      </c>
      <c r="R31" s="28" t="s">
        <v>220</v>
      </c>
      <c r="AA31" s="173">
        <v>10</v>
      </c>
      <c r="AB31" s="350" t="s">
        <v>778</v>
      </c>
      <c r="AC31" s="345" t="s">
        <v>1000</v>
      </c>
      <c r="AD31" s="353" t="s">
        <v>1001</v>
      </c>
    </row>
    <row r="32" spans="3:30" ht="42.75" x14ac:dyDescent="0.25">
      <c r="C32">
        <v>9030</v>
      </c>
      <c r="E32" s="14" t="s">
        <v>1002</v>
      </c>
      <c r="P32" s="11">
        <v>1</v>
      </c>
      <c r="Q32" s="27" t="s">
        <v>857</v>
      </c>
      <c r="R32" s="24" t="s">
        <v>1003</v>
      </c>
      <c r="AA32" s="173">
        <v>11</v>
      </c>
      <c r="AB32" s="351" t="s">
        <v>127</v>
      </c>
      <c r="AC32" s="346" t="s">
        <v>1004</v>
      </c>
      <c r="AD32" s="353" t="s">
        <v>1005</v>
      </c>
    </row>
    <row r="33" spans="3:30" ht="28.5" x14ac:dyDescent="0.25">
      <c r="C33">
        <v>9031</v>
      </c>
      <c r="E33" s="14" t="s">
        <v>1006</v>
      </c>
      <c r="P33" s="11">
        <v>2</v>
      </c>
      <c r="Q33" s="27" t="s">
        <v>847</v>
      </c>
      <c r="R33" s="24" t="s">
        <v>1007</v>
      </c>
      <c r="AA33" s="173">
        <v>12</v>
      </c>
      <c r="AB33" s="352" t="s">
        <v>779</v>
      </c>
      <c r="AC33" s="347" t="s">
        <v>1008</v>
      </c>
      <c r="AD33" s="353" t="s">
        <v>1009</v>
      </c>
    </row>
    <row r="34" spans="3:30" ht="42.75" x14ac:dyDescent="0.25">
      <c r="C34">
        <v>9032</v>
      </c>
      <c r="E34" s="14" t="s">
        <v>1010</v>
      </c>
      <c r="P34" s="11">
        <v>3</v>
      </c>
      <c r="Q34" s="27" t="s">
        <v>851</v>
      </c>
      <c r="R34" s="24" t="s">
        <v>1011</v>
      </c>
      <c r="AA34" s="173">
        <v>13</v>
      </c>
      <c r="AB34" s="349" t="s">
        <v>780</v>
      </c>
      <c r="AC34" s="348" t="s">
        <v>1012</v>
      </c>
      <c r="AD34" s="353" t="s">
        <v>1013</v>
      </c>
    </row>
    <row r="35" spans="3:30" ht="85.5" x14ac:dyDescent="0.25">
      <c r="C35">
        <v>9033</v>
      </c>
      <c r="E35" s="14" t="s">
        <v>1014</v>
      </c>
      <c r="P35" s="11">
        <v>4</v>
      </c>
      <c r="Q35" s="27" t="s">
        <v>857</v>
      </c>
      <c r="R35" s="24" t="s">
        <v>1015</v>
      </c>
      <c r="AA35" s="173">
        <v>13</v>
      </c>
      <c r="AB35" s="352" t="s">
        <v>781</v>
      </c>
      <c r="AC35" s="346" t="s">
        <v>1016</v>
      </c>
      <c r="AD35" s="345" t="s">
        <v>1017</v>
      </c>
    </row>
    <row r="36" spans="3:30" x14ac:dyDescent="0.25">
      <c r="C36">
        <v>9034</v>
      </c>
      <c r="E36" s="14" t="s">
        <v>1018</v>
      </c>
      <c r="P36" s="11">
        <v>5</v>
      </c>
      <c r="Q36" s="27" t="s">
        <v>861</v>
      </c>
      <c r="R36" s="24" t="s">
        <v>1019</v>
      </c>
      <c r="AD36" s="354"/>
    </row>
    <row r="37" spans="3:30" x14ac:dyDescent="0.25">
      <c r="C37">
        <v>9035</v>
      </c>
      <c r="E37" s="14" t="s">
        <v>1020</v>
      </c>
    </row>
    <row r="38" spans="3:30" x14ac:dyDescent="0.25">
      <c r="C38">
        <v>9036</v>
      </c>
      <c r="E38" s="14" t="s">
        <v>1021</v>
      </c>
    </row>
    <row r="39" spans="3:30" x14ac:dyDescent="0.25">
      <c r="C39">
        <v>9037</v>
      </c>
      <c r="E39" s="14" t="s">
        <v>1022</v>
      </c>
      <c r="P39" t="s">
        <v>1023</v>
      </c>
      <c r="Q39">
        <v>5</v>
      </c>
    </row>
    <row r="40" spans="3:30" x14ac:dyDescent="0.25">
      <c r="C40">
        <v>9038</v>
      </c>
      <c r="E40" s="14" t="s">
        <v>1024</v>
      </c>
      <c r="P40" t="s">
        <v>1025</v>
      </c>
      <c r="Q40">
        <v>2</v>
      </c>
    </row>
    <row r="41" spans="3:30" x14ac:dyDescent="0.25">
      <c r="C41">
        <v>9039</v>
      </c>
      <c r="E41" s="14" t="s">
        <v>1026</v>
      </c>
    </row>
    <row r="42" spans="3:30" x14ac:dyDescent="0.25">
      <c r="C42">
        <v>9040</v>
      </c>
      <c r="E42" s="14" t="s">
        <v>1027</v>
      </c>
      <c r="P42" t="s">
        <v>1028</v>
      </c>
      <c r="Q42" t="str">
        <f>INDEX(Q31:R36,Q39,Q40)</f>
        <v>TIO</v>
      </c>
    </row>
    <row r="43" spans="3:30" x14ac:dyDescent="0.25">
      <c r="C43">
        <v>9041</v>
      </c>
      <c r="E43" s="14" t="s">
        <v>1029</v>
      </c>
    </row>
    <row r="44" spans="3:30" ht="15.75" thickBot="1" x14ac:dyDescent="0.3">
      <c r="C44">
        <v>9042</v>
      </c>
      <c r="E44" s="14" t="s">
        <v>1030</v>
      </c>
    </row>
    <row r="45" spans="3:30" ht="15.75" thickBot="1" x14ac:dyDescent="0.3">
      <c r="C45">
        <v>9043</v>
      </c>
      <c r="E45" s="14" t="s">
        <v>1031</v>
      </c>
      <c r="P45" t="s">
        <v>1032</v>
      </c>
      <c r="Q45" s="31" t="s">
        <v>230</v>
      </c>
      <c r="R45" t="e">
        <f t="shared" ref="R45:R50" si="1">INDEX($Q$32:$R$36,MATCH(Q45,$Q$32:$Q$36,0),2)</f>
        <v>#N/A</v>
      </c>
    </row>
    <row r="46" spans="3:30" ht="15.75" thickBot="1" x14ac:dyDescent="0.3">
      <c r="C46">
        <v>9044</v>
      </c>
      <c r="E46" s="14" t="s">
        <v>1033</v>
      </c>
      <c r="Q46" s="31" t="s">
        <v>230</v>
      </c>
      <c r="R46" t="e">
        <f t="shared" si="1"/>
        <v>#N/A</v>
      </c>
    </row>
    <row r="47" spans="3:30" ht="15.75" thickBot="1" x14ac:dyDescent="0.3">
      <c r="C47">
        <v>9045</v>
      </c>
      <c r="E47" s="14" t="s">
        <v>1034</v>
      </c>
      <c r="Q47" s="31" t="s">
        <v>230</v>
      </c>
      <c r="R47" t="e">
        <f t="shared" si="1"/>
        <v>#N/A</v>
      </c>
    </row>
    <row r="48" spans="3:30" ht="15.75" thickBot="1" x14ac:dyDescent="0.3">
      <c r="C48">
        <v>9046</v>
      </c>
      <c r="E48" s="14" t="s">
        <v>1035</v>
      </c>
      <c r="Q48" s="31" t="s">
        <v>857</v>
      </c>
      <c r="R48" t="str">
        <f t="shared" si="1"/>
        <v>MAMA</v>
      </c>
    </row>
    <row r="49" spans="3:18" ht="15.75" thickBot="1" x14ac:dyDescent="0.3">
      <c r="C49">
        <v>9047</v>
      </c>
      <c r="E49" s="14" t="s">
        <v>1036</v>
      </c>
      <c r="Q49" s="31" t="s">
        <v>861</v>
      </c>
      <c r="R49" t="str">
        <f t="shared" si="1"/>
        <v>CAMI</v>
      </c>
    </row>
    <row r="50" spans="3:18" ht="15.75" thickBot="1" x14ac:dyDescent="0.3">
      <c r="C50">
        <v>9048</v>
      </c>
      <c r="E50" s="14" t="s">
        <v>1037</v>
      </c>
      <c r="Q50" s="31" t="s">
        <v>867</v>
      </c>
      <c r="R50" t="e">
        <f t="shared" si="1"/>
        <v>#N/A</v>
      </c>
    </row>
    <row r="51" spans="3:18" x14ac:dyDescent="0.25">
      <c r="C51">
        <v>9049</v>
      </c>
      <c r="E51" s="14" t="s">
        <v>1038</v>
      </c>
    </row>
    <row r="52" spans="3:18" x14ac:dyDescent="0.25">
      <c r="C52">
        <v>9050</v>
      </c>
      <c r="E52" s="14" t="s">
        <v>1039</v>
      </c>
    </row>
    <row r="53" spans="3:18" x14ac:dyDescent="0.25">
      <c r="C53">
        <v>9051</v>
      </c>
      <c r="E53" s="14" t="s">
        <v>1040</v>
      </c>
    </row>
    <row r="54" spans="3:18" x14ac:dyDescent="0.25">
      <c r="C54">
        <v>9052</v>
      </c>
      <c r="E54" s="14" t="s">
        <v>1041</v>
      </c>
    </row>
    <row r="55" spans="3:18" x14ac:dyDescent="0.25">
      <c r="C55">
        <v>9053</v>
      </c>
      <c r="E55" s="14" t="s">
        <v>1042</v>
      </c>
    </row>
    <row r="56" spans="3:18" x14ac:dyDescent="0.25">
      <c r="C56">
        <v>9054</v>
      </c>
      <c r="E56" s="14" t="s">
        <v>1043</v>
      </c>
    </row>
    <row r="57" spans="3:18" x14ac:dyDescent="0.25">
      <c r="C57">
        <v>9055</v>
      </c>
      <c r="E57" s="14" t="s">
        <v>1044</v>
      </c>
    </row>
    <row r="58" spans="3:18" x14ac:dyDescent="0.25">
      <c r="C58">
        <v>9056</v>
      </c>
      <c r="E58" s="14" t="s">
        <v>1045</v>
      </c>
    </row>
    <row r="59" spans="3:18" x14ac:dyDescent="0.25">
      <c r="C59">
        <v>9057</v>
      </c>
      <c r="E59" s="14" t="s">
        <v>1046</v>
      </c>
    </row>
    <row r="60" spans="3:18" x14ac:dyDescent="0.25">
      <c r="C60">
        <v>9058</v>
      </c>
      <c r="E60" s="14" t="s">
        <v>1047</v>
      </c>
    </row>
    <row r="61" spans="3:18" x14ac:dyDescent="0.25">
      <c r="C61">
        <v>9059</v>
      </c>
      <c r="E61" s="14" t="s">
        <v>1048</v>
      </c>
    </row>
    <row r="62" spans="3:18" x14ac:dyDescent="0.25">
      <c r="C62">
        <v>9060</v>
      </c>
      <c r="E62" s="14" t="s">
        <v>1049</v>
      </c>
    </row>
    <row r="63" spans="3:18" x14ac:dyDescent="0.25">
      <c r="C63">
        <v>9061</v>
      </c>
      <c r="E63" s="14" t="s">
        <v>1050</v>
      </c>
    </row>
    <row r="64" spans="3:18" x14ac:dyDescent="0.25">
      <c r="C64">
        <v>9062</v>
      </c>
      <c r="E64" s="14" t="s">
        <v>1051</v>
      </c>
    </row>
    <row r="65" spans="3:5" x14ac:dyDescent="0.25">
      <c r="C65">
        <v>9063</v>
      </c>
      <c r="E65" s="14" t="s">
        <v>1052</v>
      </c>
    </row>
    <row r="66" spans="3:5" x14ac:dyDescent="0.25">
      <c r="C66">
        <v>9064</v>
      </c>
      <c r="E66" s="14" t="s">
        <v>1053</v>
      </c>
    </row>
    <row r="67" spans="3:5" x14ac:dyDescent="0.25">
      <c r="C67">
        <v>9065</v>
      </c>
      <c r="E67" s="14" t="s">
        <v>1054</v>
      </c>
    </row>
    <row r="68" spans="3:5" x14ac:dyDescent="0.25">
      <c r="C68">
        <v>9066</v>
      </c>
      <c r="E68" s="14" t="s">
        <v>1055</v>
      </c>
    </row>
    <row r="69" spans="3:5" x14ac:dyDescent="0.25">
      <c r="C69">
        <v>9067</v>
      </c>
      <c r="E69" s="14" t="s">
        <v>1056</v>
      </c>
    </row>
    <row r="70" spans="3:5" x14ac:dyDescent="0.25">
      <c r="C70">
        <v>9068</v>
      </c>
      <c r="E70" s="14" t="s">
        <v>1057</v>
      </c>
    </row>
    <row r="71" spans="3:5" x14ac:dyDescent="0.25">
      <c r="C71">
        <v>9069</v>
      </c>
      <c r="E71" s="14" t="s">
        <v>1058</v>
      </c>
    </row>
    <row r="72" spans="3:5" x14ac:dyDescent="0.25">
      <c r="C72">
        <v>9070</v>
      </c>
      <c r="E72" s="14" t="s">
        <v>1059</v>
      </c>
    </row>
    <row r="73" spans="3:5" x14ac:dyDescent="0.25">
      <c r="C73">
        <v>9071</v>
      </c>
      <c r="E73" s="14" t="s">
        <v>1060</v>
      </c>
    </row>
    <row r="74" spans="3:5" x14ac:dyDescent="0.25">
      <c r="C74">
        <v>9072</v>
      </c>
      <c r="E74" s="14" t="s">
        <v>1061</v>
      </c>
    </row>
    <row r="75" spans="3:5" x14ac:dyDescent="0.25">
      <c r="C75">
        <v>9073</v>
      </c>
      <c r="E75" s="14" t="s">
        <v>1062</v>
      </c>
    </row>
    <row r="76" spans="3:5" x14ac:dyDescent="0.25">
      <c r="C76">
        <v>9074</v>
      </c>
      <c r="E76" s="14" t="s">
        <v>1063</v>
      </c>
    </row>
    <row r="77" spans="3:5" x14ac:dyDescent="0.25">
      <c r="C77">
        <v>9075</v>
      </c>
      <c r="E77" s="14" t="s">
        <v>1064</v>
      </c>
    </row>
    <row r="78" spans="3:5" x14ac:dyDescent="0.25">
      <c r="C78">
        <v>9076</v>
      </c>
      <c r="E78" s="14" t="s">
        <v>1065</v>
      </c>
    </row>
    <row r="79" spans="3:5" x14ac:dyDescent="0.25">
      <c r="C79">
        <v>9077</v>
      </c>
      <c r="E79" s="14" t="s">
        <v>1066</v>
      </c>
    </row>
    <row r="80" spans="3:5" x14ac:dyDescent="0.25">
      <c r="C80">
        <v>9078</v>
      </c>
      <c r="E80" s="14" t="s">
        <v>1067</v>
      </c>
    </row>
    <row r="81" spans="3:5" x14ac:dyDescent="0.25">
      <c r="C81">
        <v>9079</v>
      </c>
      <c r="E81" s="14" t="s">
        <v>1068</v>
      </c>
    </row>
    <row r="82" spans="3:5" x14ac:dyDescent="0.25">
      <c r="C82">
        <v>9080</v>
      </c>
      <c r="E82" s="14" t="s">
        <v>1069</v>
      </c>
    </row>
    <row r="83" spans="3:5" x14ac:dyDescent="0.25">
      <c r="C83">
        <v>9081</v>
      </c>
      <c r="E83" s="14" t="s">
        <v>1070</v>
      </c>
    </row>
    <row r="84" spans="3:5" x14ac:dyDescent="0.25">
      <c r="C84">
        <v>9082</v>
      </c>
      <c r="E84" s="14" t="s">
        <v>1071</v>
      </c>
    </row>
    <row r="85" spans="3:5" x14ac:dyDescent="0.25">
      <c r="C85">
        <v>9083</v>
      </c>
      <c r="E85" s="14" t="s">
        <v>1072</v>
      </c>
    </row>
    <row r="86" spans="3:5" x14ac:dyDescent="0.25">
      <c r="C86">
        <v>9084</v>
      </c>
      <c r="E86" s="14" t="s">
        <v>1073</v>
      </c>
    </row>
    <row r="87" spans="3:5" x14ac:dyDescent="0.25">
      <c r="C87">
        <v>9085</v>
      </c>
      <c r="E87" s="14" t="s">
        <v>1074</v>
      </c>
    </row>
    <row r="88" spans="3:5" x14ac:dyDescent="0.25">
      <c r="C88">
        <v>9086</v>
      </c>
      <c r="E88" s="14" t="s">
        <v>1075</v>
      </c>
    </row>
    <row r="89" spans="3:5" x14ac:dyDescent="0.25">
      <c r="C89">
        <v>9087</v>
      </c>
      <c r="E89" s="14" t="s">
        <v>1076</v>
      </c>
    </row>
    <row r="90" spans="3:5" x14ac:dyDescent="0.25">
      <c r="C90">
        <v>9088</v>
      </c>
      <c r="E90" s="14" t="s">
        <v>1077</v>
      </c>
    </row>
    <row r="91" spans="3:5" x14ac:dyDescent="0.25">
      <c r="C91">
        <v>9089</v>
      </c>
      <c r="E91" s="14" t="s">
        <v>1078</v>
      </c>
    </row>
    <row r="92" spans="3:5" x14ac:dyDescent="0.25">
      <c r="C92">
        <v>9090</v>
      </c>
      <c r="E92" s="14" t="s">
        <v>1079</v>
      </c>
    </row>
    <row r="93" spans="3:5" x14ac:dyDescent="0.25">
      <c r="C93">
        <v>9091</v>
      </c>
      <c r="E93" s="14" t="s">
        <v>1080</v>
      </c>
    </row>
    <row r="94" spans="3:5" x14ac:dyDescent="0.25">
      <c r="C94">
        <v>9092</v>
      </c>
      <c r="E94" s="14" t="s">
        <v>1081</v>
      </c>
    </row>
    <row r="95" spans="3:5" x14ac:dyDescent="0.25">
      <c r="C95">
        <v>9093</v>
      </c>
      <c r="E95" s="14" t="s">
        <v>1082</v>
      </c>
    </row>
    <row r="96" spans="3:5" x14ac:dyDescent="0.25">
      <c r="C96">
        <v>9094</v>
      </c>
      <c r="E96" s="14" t="s">
        <v>1083</v>
      </c>
    </row>
    <row r="97" spans="3:5" x14ac:dyDescent="0.25">
      <c r="C97">
        <v>9095</v>
      </c>
      <c r="E97" s="14" t="s">
        <v>1084</v>
      </c>
    </row>
    <row r="98" spans="3:5" x14ac:dyDescent="0.25">
      <c r="C98">
        <v>9096</v>
      </c>
      <c r="E98" s="14" t="s">
        <v>1085</v>
      </c>
    </row>
    <row r="99" spans="3:5" x14ac:dyDescent="0.25">
      <c r="C99">
        <v>9097</v>
      </c>
      <c r="E99" s="14" t="s">
        <v>1086</v>
      </c>
    </row>
    <row r="100" spans="3:5" x14ac:dyDescent="0.25">
      <c r="C100">
        <v>9098</v>
      </c>
      <c r="E100" s="14" t="s">
        <v>1087</v>
      </c>
    </row>
    <row r="101" spans="3:5" x14ac:dyDescent="0.25">
      <c r="C101">
        <v>9099</v>
      </c>
      <c r="E101" s="14" t="s">
        <v>1088</v>
      </c>
    </row>
    <row r="102" spans="3:5" x14ac:dyDescent="0.25">
      <c r="C102">
        <v>9100</v>
      </c>
      <c r="E102" s="14" t="s">
        <v>1089</v>
      </c>
    </row>
    <row r="103" spans="3:5" x14ac:dyDescent="0.25">
      <c r="E103" s="14" t="s">
        <v>1090</v>
      </c>
    </row>
    <row r="104" spans="3:5" x14ac:dyDescent="0.25">
      <c r="E104" s="14" t="s">
        <v>1091</v>
      </c>
    </row>
    <row r="105" spans="3:5" x14ac:dyDescent="0.25">
      <c r="E105" s="14" t="s">
        <v>1092</v>
      </c>
    </row>
    <row r="106" spans="3:5" x14ac:dyDescent="0.25">
      <c r="E106" s="14" t="s">
        <v>1093</v>
      </c>
    </row>
    <row r="107" spans="3:5" x14ac:dyDescent="0.25">
      <c r="E107" s="14" t="s">
        <v>1094</v>
      </c>
    </row>
    <row r="108" spans="3:5" x14ac:dyDescent="0.25">
      <c r="E108" s="14" t="s">
        <v>1095</v>
      </c>
    </row>
    <row r="109" spans="3:5" x14ac:dyDescent="0.25">
      <c r="E109" s="14" t="s">
        <v>1096</v>
      </c>
    </row>
    <row r="110" spans="3:5" x14ac:dyDescent="0.25">
      <c r="E110" s="14" t="s">
        <v>1097</v>
      </c>
    </row>
    <row r="111" spans="3:5" x14ac:dyDescent="0.25">
      <c r="E111" s="14" t="s">
        <v>1098</v>
      </c>
    </row>
    <row r="112" spans="3:5" x14ac:dyDescent="0.25">
      <c r="E112" s="14" t="s">
        <v>1099</v>
      </c>
    </row>
    <row r="113" spans="5:5" x14ac:dyDescent="0.25">
      <c r="E113" s="14" t="s">
        <v>1100</v>
      </c>
    </row>
    <row r="114" spans="5:5" x14ac:dyDescent="0.25">
      <c r="E114" s="14" t="s">
        <v>1101</v>
      </c>
    </row>
    <row r="115" spans="5:5" x14ac:dyDescent="0.25">
      <c r="E115" s="14" t="s">
        <v>1102</v>
      </c>
    </row>
    <row r="116" spans="5:5" x14ac:dyDescent="0.25">
      <c r="E116" s="14" t="s">
        <v>1103</v>
      </c>
    </row>
    <row r="117" spans="5:5" x14ac:dyDescent="0.25">
      <c r="E117" s="14" t="s">
        <v>1104</v>
      </c>
    </row>
    <row r="118" spans="5:5" x14ac:dyDescent="0.25">
      <c r="E118" s="14" t="s">
        <v>1105</v>
      </c>
    </row>
    <row r="119" spans="5:5" x14ac:dyDescent="0.25">
      <c r="E119" s="14" t="s">
        <v>1106</v>
      </c>
    </row>
    <row r="120" spans="5:5" x14ac:dyDescent="0.25">
      <c r="E120" s="14" t="s">
        <v>1107</v>
      </c>
    </row>
    <row r="121" spans="5:5" x14ac:dyDescent="0.25">
      <c r="E121" s="14" t="s">
        <v>1108</v>
      </c>
    </row>
    <row r="122" spans="5:5" x14ac:dyDescent="0.25">
      <c r="E122" s="14" t="s">
        <v>1109</v>
      </c>
    </row>
    <row r="123" spans="5:5" x14ac:dyDescent="0.25">
      <c r="E123" s="14" t="s">
        <v>1110</v>
      </c>
    </row>
    <row r="124" spans="5:5" x14ac:dyDescent="0.25">
      <c r="E124" s="14" t="s">
        <v>1111</v>
      </c>
    </row>
    <row r="125" spans="5:5" x14ac:dyDescent="0.25">
      <c r="E125" s="14" t="s">
        <v>1112</v>
      </c>
    </row>
    <row r="126" spans="5:5" x14ac:dyDescent="0.25">
      <c r="E126" s="14" t="s">
        <v>1113</v>
      </c>
    </row>
    <row r="127" spans="5:5" x14ac:dyDescent="0.25">
      <c r="E127" s="14" t="s">
        <v>1114</v>
      </c>
    </row>
    <row r="128" spans="5:5" x14ac:dyDescent="0.25">
      <c r="E128" s="14" t="s">
        <v>1115</v>
      </c>
    </row>
    <row r="129" spans="5:15" x14ac:dyDescent="0.25">
      <c r="E129" s="14" t="s">
        <v>1116</v>
      </c>
    </row>
    <row r="130" spans="5:15" x14ac:dyDescent="0.25">
      <c r="E130" s="14" t="s">
        <v>1117</v>
      </c>
    </row>
    <row r="131" spans="5:15" x14ac:dyDescent="0.25">
      <c r="E131" s="14" t="s">
        <v>1118</v>
      </c>
    </row>
    <row r="132" spans="5:15" x14ac:dyDescent="0.25">
      <c r="E132" s="14" t="s">
        <v>1119</v>
      </c>
    </row>
    <row r="133" spans="5:15" x14ac:dyDescent="0.25">
      <c r="E133" s="14" t="s">
        <v>1120</v>
      </c>
    </row>
    <row r="134" spans="5:15" x14ac:dyDescent="0.25">
      <c r="E134" s="14" t="s">
        <v>1121</v>
      </c>
    </row>
    <row r="135" spans="5:15" x14ac:dyDescent="0.25">
      <c r="E135" s="14" t="s">
        <v>1122</v>
      </c>
    </row>
    <row r="136" spans="5:15" x14ac:dyDescent="0.25">
      <c r="E136" s="14" t="s">
        <v>1123</v>
      </c>
    </row>
    <row r="137" spans="5:15" x14ac:dyDescent="0.25">
      <c r="E137" s="14" t="s">
        <v>1124</v>
      </c>
    </row>
    <row r="138" spans="5:15" x14ac:dyDescent="0.25">
      <c r="E138" s="14" t="s">
        <v>1125</v>
      </c>
    </row>
    <row r="139" spans="5:15" x14ac:dyDescent="0.25">
      <c r="E139" s="14" t="s">
        <v>1126</v>
      </c>
    </row>
    <row r="140" spans="5:15" ht="31.5" x14ac:dyDescent="0.25">
      <c r="E140" s="14" t="s">
        <v>1127</v>
      </c>
      <c r="O140" s="12" t="s">
        <v>896</v>
      </c>
    </row>
    <row r="141" spans="5:15" ht="31.5" x14ac:dyDescent="0.25">
      <c r="E141" s="14" t="s">
        <v>1128</v>
      </c>
      <c r="O141" s="12" t="s">
        <v>896</v>
      </c>
    </row>
    <row r="142" spans="5:15" ht="31.5" x14ac:dyDescent="0.25">
      <c r="E142" s="14" t="s">
        <v>1129</v>
      </c>
      <c r="O142" s="12" t="s">
        <v>896</v>
      </c>
    </row>
    <row r="143" spans="5:15" ht="31.5" x14ac:dyDescent="0.25">
      <c r="E143" s="14" t="s">
        <v>1130</v>
      </c>
      <c r="O143" s="12" t="s">
        <v>896</v>
      </c>
    </row>
    <row r="144" spans="5:15" ht="31.5" x14ac:dyDescent="0.25">
      <c r="E144" s="14" t="s">
        <v>1131</v>
      </c>
      <c r="O144" s="12" t="s">
        <v>896</v>
      </c>
    </row>
    <row r="145" spans="5:15" ht="31.5" x14ac:dyDescent="0.25">
      <c r="E145" s="14" t="s">
        <v>1132</v>
      </c>
      <c r="O145" s="12" t="s">
        <v>896</v>
      </c>
    </row>
    <row r="146" spans="5:15" ht="31.5" x14ac:dyDescent="0.25">
      <c r="E146" s="14" t="s">
        <v>1133</v>
      </c>
      <c r="O146" s="12" t="s">
        <v>896</v>
      </c>
    </row>
    <row r="147" spans="5:15" ht="31.5" x14ac:dyDescent="0.25">
      <c r="E147" s="14" t="s">
        <v>1134</v>
      </c>
      <c r="O147" s="12" t="s">
        <v>896</v>
      </c>
    </row>
    <row r="148" spans="5:15" ht="15.75" x14ac:dyDescent="0.25">
      <c r="E148" s="14" t="s">
        <v>1135</v>
      </c>
      <c r="O148" s="13" t="s">
        <v>1136</v>
      </c>
    </row>
    <row r="149" spans="5:15" ht="15.75" x14ac:dyDescent="0.25">
      <c r="E149" s="14" t="s">
        <v>1137</v>
      </c>
      <c r="O149" s="13" t="s">
        <v>1136</v>
      </c>
    </row>
    <row r="150" spans="5:15" ht="15.75" x14ac:dyDescent="0.25">
      <c r="E150" s="14" t="s">
        <v>1138</v>
      </c>
      <c r="O150" s="13" t="s">
        <v>1136</v>
      </c>
    </row>
    <row r="151" spans="5:15" ht="15.75" x14ac:dyDescent="0.25">
      <c r="E151" s="14" t="s">
        <v>1139</v>
      </c>
      <c r="O151" s="10" t="s">
        <v>1136</v>
      </c>
    </row>
    <row r="152" spans="5:15" ht="15.75" x14ac:dyDescent="0.25">
      <c r="E152" s="14" t="s">
        <v>1140</v>
      </c>
      <c r="O152" s="10" t="s">
        <v>1136</v>
      </c>
    </row>
    <row r="153" spans="5:15" x14ac:dyDescent="0.25">
      <c r="E153" s="14" t="s">
        <v>1141</v>
      </c>
    </row>
    <row r="154" spans="5:15" x14ac:dyDescent="0.25">
      <c r="E154" s="14" t="s">
        <v>1142</v>
      </c>
    </row>
    <row r="155" spans="5:15" x14ac:dyDescent="0.25">
      <c r="E155" s="14" t="s">
        <v>1143</v>
      </c>
    </row>
    <row r="156" spans="5:15" x14ac:dyDescent="0.25">
      <c r="E156" s="14" t="s">
        <v>1144</v>
      </c>
    </row>
    <row r="157" spans="5:15" x14ac:dyDescent="0.25">
      <c r="E157" s="14" t="s">
        <v>1145</v>
      </c>
    </row>
    <row r="158" spans="5:15" x14ac:dyDescent="0.25">
      <c r="E158" s="14" t="s">
        <v>1146</v>
      </c>
    </row>
    <row r="159" spans="5:15" x14ac:dyDescent="0.25">
      <c r="E159" s="14" t="s">
        <v>1147</v>
      </c>
    </row>
    <row r="160" spans="5:15" x14ac:dyDescent="0.25">
      <c r="E160" s="14" t="s">
        <v>1148</v>
      </c>
    </row>
    <row r="161" spans="5:5" x14ac:dyDescent="0.25">
      <c r="E161" s="14" t="s">
        <v>1149</v>
      </c>
    </row>
    <row r="162" spans="5:5" x14ac:dyDescent="0.25">
      <c r="E162" s="14" t="s">
        <v>1150</v>
      </c>
    </row>
    <row r="163" spans="5:5" x14ac:dyDescent="0.25">
      <c r="E163" s="14" t="s">
        <v>1151</v>
      </c>
    </row>
    <row r="164" spans="5:5" x14ac:dyDescent="0.25">
      <c r="E164" s="14" t="s">
        <v>1152</v>
      </c>
    </row>
    <row r="165" spans="5:5" x14ac:dyDescent="0.25">
      <c r="E165" s="14" t="s">
        <v>1153</v>
      </c>
    </row>
    <row r="166" spans="5:5" x14ac:dyDescent="0.25">
      <c r="E166" s="14" t="s">
        <v>1154</v>
      </c>
    </row>
    <row r="167" spans="5:5" x14ac:dyDescent="0.25">
      <c r="E167" s="14" t="s">
        <v>1155</v>
      </c>
    </row>
    <row r="168" spans="5:5" x14ac:dyDescent="0.25">
      <c r="E168" s="14" t="s">
        <v>1156</v>
      </c>
    </row>
    <row r="169" spans="5:5" x14ac:dyDescent="0.25">
      <c r="E169" s="14" t="s">
        <v>1157</v>
      </c>
    </row>
    <row r="170" spans="5:5" x14ac:dyDescent="0.25">
      <c r="E170" s="14" t="s">
        <v>1158</v>
      </c>
    </row>
    <row r="171" spans="5:5" x14ac:dyDescent="0.25">
      <c r="E171" s="14" t="s">
        <v>1159</v>
      </c>
    </row>
    <row r="172" spans="5:5" x14ac:dyDescent="0.25">
      <c r="E172" s="14" t="s">
        <v>1160</v>
      </c>
    </row>
    <row r="173" spans="5:5" x14ac:dyDescent="0.25">
      <c r="E173" s="14" t="s">
        <v>1161</v>
      </c>
    </row>
    <row r="174" spans="5:5" x14ac:dyDescent="0.25">
      <c r="E174" s="14" t="s">
        <v>1162</v>
      </c>
    </row>
    <row r="175" spans="5:5" x14ac:dyDescent="0.25">
      <c r="E175" s="14" t="s">
        <v>1163</v>
      </c>
    </row>
    <row r="176" spans="5:5" x14ac:dyDescent="0.25">
      <c r="E176" s="14" t="s">
        <v>1164</v>
      </c>
    </row>
    <row r="177" spans="5:5" x14ac:dyDescent="0.25">
      <c r="E177" s="14" t="s">
        <v>1165</v>
      </c>
    </row>
    <row r="178" spans="5:5" x14ac:dyDescent="0.25">
      <c r="E178" s="14" t="s">
        <v>1166</v>
      </c>
    </row>
    <row r="179" spans="5:5" x14ac:dyDescent="0.25">
      <c r="E179" s="14" t="s">
        <v>1167</v>
      </c>
    </row>
    <row r="180" spans="5:5" x14ac:dyDescent="0.25">
      <c r="E180" s="14" t="s">
        <v>1168</v>
      </c>
    </row>
    <row r="181" spans="5:5" x14ac:dyDescent="0.25">
      <c r="E181" s="14" t="s">
        <v>1169</v>
      </c>
    </row>
    <row r="182" spans="5:5" x14ac:dyDescent="0.25">
      <c r="E182" s="14" t="s">
        <v>1170</v>
      </c>
    </row>
    <row r="183" spans="5:5" x14ac:dyDescent="0.25">
      <c r="E183" s="14" t="s">
        <v>1171</v>
      </c>
    </row>
    <row r="184" spans="5:5" x14ac:dyDescent="0.25">
      <c r="E184" s="14" t="s">
        <v>1172</v>
      </c>
    </row>
    <row r="185" spans="5:5" x14ac:dyDescent="0.25">
      <c r="E185" s="14" t="s">
        <v>1173</v>
      </c>
    </row>
    <row r="186" spans="5:5" x14ac:dyDescent="0.25">
      <c r="E186" s="14" t="s">
        <v>1174</v>
      </c>
    </row>
    <row r="187" spans="5:5" x14ac:dyDescent="0.25">
      <c r="E187" s="14" t="s">
        <v>1175</v>
      </c>
    </row>
    <row r="188" spans="5:5" x14ac:dyDescent="0.25">
      <c r="E188" s="14" t="s">
        <v>1176</v>
      </c>
    </row>
    <row r="189" spans="5:5" x14ac:dyDescent="0.25">
      <c r="E189" s="14" t="s">
        <v>1177</v>
      </c>
    </row>
    <row r="190" spans="5:5" x14ac:dyDescent="0.25">
      <c r="E190" s="14" t="s">
        <v>1178</v>
      </c>
    </row>
    <row r="191" spans="5:5" x14ac:dyDescent="0.25">
      <c r="E191" s="14" t="s">
        <v>1179</v>
      </c>
    </row>
    <row r="192" spans="5:5" x14ac:dyDescent="0.25">
      <c r="E192" s="14" t="s">
        <v>1180</v>
      </c>
    </row>
    <row r="193" spans="5:5" x14ac:dyDescent="0.25">
      <c r="E193" s="14" t="s">
        <v>1181</v>
      </c>
    </row>
    <row r="194" spans="5:5" x14ac:dyDescent="0.25">
      <c r="E194" s="14" t="s">
        <v>1182</v>
      </c>
    </row>
    <row r="195" spans="5:5" x14ac:dyDescent="0.25">
      <c r="E195" s="14" t="s">
        <v>1183</v>
      </c>
    </row>
    <row r="196" spans="5:5" x14ac:dyDescent="0.25">
      <c r="E196" s="14" t="s">
        <v>1184</v>
      </c>
    </row>
    <row r="197" spans="5:5" x14ac:dyDescent="0.25">
      <c r="E197" s="14" t="s">
        <v>1185</v>
      </c>
    </row>
    <row r="198" spans="5:5" x14ac:dyDescent="0.25">
      <c r="E198" s="14" t="s">
        <v>1186</v>
      </c>
    </row>
    <row r="199" spans="5:5" x14ac:dyDescent="0.25">
      <c r="E199" s="14" t="s">
        <v>1187</v>
      </c>
    </row>
    <row r="200" spans="5:5" x14ac:dyDescent="0.25">
      <c r="E200" s="14" t="s">
        <v>1188</v>
      </c>
    </row>
    <row r="201" spans="5:5" x14ac:dyDescent="0.25">
      <c r="E201" s="14" t="s">
        <v>1189</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Y65540"/>
  <sheetViews>
    <sheetView showGridLines="0" topLeftCell="B1" zoomScale="80" zoomScaleNormal="80" workbookViewId="0">
      <selection activeCell="AZ11" sqref="AZ11"/>
    </sheetView>
  </sheetViews>
  <sheetFormatPr baseColWidth="10" defaultColWidth="11.42578125" defaultRowHeight="15" x14ac:dyDescent="0.3"/>
  <cols>
    <col min="1" max="1" width="9" style="39" hidden="1" customWidth="1"/>
    <col min="2" max="2" width="1.85546875" style="118" customWidth="1"/>
    <col min="3" max="3" width="24.85546875" style="39" customWidth="1"/>
    <col min="4" max="4" width="29.28515625" style="39" customWidth="1"/>
    <col min="5" max="5" width="31.5703125" style="39" customWidth="1"/>
    <col min="6" max="6" width="82"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6.42578125" style="39" bestFit="1"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26.42578125" style="39" customWidth="1"/>
    <col min="51" max="51" width="119.140625" style="39" customWidth="1"/>
    <col min="52" max="52" width="80.5703125" style="39" customWidth="1"/>
    <col min="53" max="16384" width="11.42578125" style="39"/>
  </cols>
  <sheetData>
    <row r="1" spans="1:233" ht="30" customHeight="1" x14ac:dyDescent="0.3">
      <c r="B1" s="116"/>
      <c r="C1" s="132"/>
      <c r="D1" s="139"/>
      <c r="E1" s="179"/>
      <c r="F1" s="958" t="s">
        <v>204</v>
      </c>
      <c r="G1" s="857" t="s">
        <v>205</v>
      </c>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162" t="s">
        <v>206</v>
      </c>
      <c r="AZ1" s="161">
        <v>9</v>
      </c>
    </row>
    <row r="2" spans="1:233" ht="29.25" customHeight="1" x14ac:dyDescent="0.3">
      <c r="B2" s="117"/>
      <c r="C2" s="133"/>
      <c r="D2"/>
      <c r="E2" s="180"/>
      <c r="F2" s="959"/>
      <c r="G2" s="857"/>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c r="AW2" s="960"/>
      <c r="AX2" s="960"/>
      <c r="AY2" s="162" t="s">
        <v>209</v>
      </c>
      <c r="AZ2" s="162" t="s">
        <v>1190</v>
      </c>
    </row>
    <row r="3" spans="1:233" ht="30.75" customHeight="1" x14ac:dyDescent="0.3">
      <c r="B3" s="117"/>
      <c r="C3" s="140"/>
      <c r="D3" s="141"/>
      <c r="E3" s="181"/>
      <c r="F3" s="452" t="s">
        <v>212</v>
      </c>
      <c r="G3" s="961" t="s">
        <v>786</v>
      </c>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c r="AG3" s="961"/>
      <c r="AH3" s="961"/>
      <c r="AI3" s="961"/>
      <c r="AJ3" s="961"/>
      <c r="AK3" s="961"/>
      <c r="AL3" s="961"/>
      <c r="AM3" s="961"/>
      <c r="AN3" s="961"/>
      <c r="AO3" s="961"/>
      <c r="AP3" s="961"/>
      <c r="AQ3" s="961"/>
      <c r="AR3" s="961"/>
      <c r="AS3" s="961"/>
      <c r="AT3" s="961"/>
      <c r="AU3" s="961"/>
      <c r="AV3" s="961"/>
      <c r="AW3" s="961"/>
      <c r="AX3" s="857"/>
      <c r="AY3" s="162" t="s">
        <v>214</v>
      </c>
      <c r="AZ3" s="163">
        <v>45817</v>
      </c>
    </row>
    <row r="4" spans="1:233" ht="23.25" customHeight="1" x14ac:dyDescent="0.3">
      <c r="B4" s="117"/>
      <c r="C4" s="473"/>
      <c r="D4" s="472"/>
      <c r="E4" s="470"/>
      <c r="F4" s="470"/>
      <c r="G4" s="471" t="s">
        <v>216</v>
      </c>
      <c r="H4" s="470"/>
      <c r="I4" s="470"/>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c r="AY4" s="470"/>
      <c r="AZ4" s="441"/>
    </row>
    <row r="5" spans="1:233" s="43" customFormat="1" ht="39.75" customHeight="1" x14ac:dyDescent="0.25">
      <c r="B5" s="118"/>
      <c r="C5" s="66" t="s">
        <v>787</v>
      </c>
      <c r="D5" s="126" t="str">
        <f>'Riesgos de Corrupción'!C6</f>
        <v>Gestión Tecnológica</v>
      </c>
      <c r="E5" s="71"/>
      <c r="F5" s="69" t="s">
        <v>1191</v>
      </c>
      <c r="G5" s="955" t="str">
        <f>IFERROR(INDEX(Tabla10[],MATCH(D5,Tabla10[PROCESOS],0),2),"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956"/>
      <c r="I5" s="956"/>
      <c r="J5" s="956"/>
      <c r="K5" s="956"/>
      <c r="L5" s="956"/>
      <c r="M5" s="956"/>
      <c r="N5" s="956"/>
      <c r="O5" s="956"/>
      <c r="P5" s="956"/>
      <c r="Q5" s="956"/>
      <c r="R5" s="956"/>
      <c r="S5" s="95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19"/>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55" customFormat="1" ht="28.5" customHeight="1" thickBot="1" x14ac:dyDescent="0.3">
      <c r="A7" s="375"/>
      <c r="B7" s="376"/>
      <c r="C7" s="962" t="s">
        <v>1192</v>
      </c>
      <c r="D7" s="963"/>
      <c r="E7" s="964"/>
      <c r="F7" s="968" t="s">
        <v>1193</v>
      </c>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968"/>
      <c r="AM7" s="968"/>
      <c r="AN7" s="968"/>
      <c r="AO7" s="968"/>
      <c r="AP7" s="968"/>
      <c r="AQ7" s="968"/>
      <c r="AR7" s="968"/>
      <c r="AS7" s="968"/>
      <c r="AT7" s="968"/>
      <c r="AU7" s="968"/>
      <c r="AV7" s="968"/>
      <c r="AW7" s="968"/>
      <c r="AX7" s="968"/>
      <c r="AY7" s="968"/>
      <c r="AZ7" s="969"/>
    </row>
    <row r="8" spans="1:233" s="355" customFormat="1" ht="31.5" customHeight="1" thickBot="1" x14ac:dyDescent="0.3">
      <c r="A8" s="377"/>
      <c r="B8" s="376"/>
      <c r="C8" s="965"/>
      <c r="D8" s="966"/>
      <c r="E8" s="967"/>
      <c r="F8" s="970" t="s">
        <v>1194</v>
      </c>
      <c r="G8" s="970"/>
      <c r="H8" s="970"/>
      <c r="I8" s="970"/>
      <c r="J8" s="970"/>
      <c r="K8" s="970"/>
      <c r="L8" s="970"/>
      <c r="M8" s="970"/>
      <c r="N8" s="970"/>
      <c r="O8" s="970"/>
      <c r="P8" s="970"/>
      <c r="Q8" s="970"/>
      <c r="R8" s="970"/>
      <c r="S8" s="970"/>
      <c r="T8" s="970"/>
      <c r="U8" s="970"/>
      <c r="V8" s="970"/>
      <c r="W8" s="970"/>
      <c r="X8" s="971"/>
      <c r="Y8" s="972" t="s">
        <v>1195</v>
      </c>
      <c r="Z8" s="973"/>
      <c r="AA8" s="973"/>
      <c r="AB8" s="973"/>
      <c r="AC8" s="973"/>
      <c r="AD8" s="973"/>
      <c r="AE8" s="974"/>
      <c r="AF8" s="975" t="s">
        <v>115</v>
      </c>
      <c r="AG8" s="970"/>
      <c r="AH8" s="970"/>
      <c r="AI8" s="970"/>
      <c r="AJ8" s="970"/>
      <c r="AK8" s="970"/>
      <c r="AL8" s="970"/>
      <c r="AM8" s="970"/>
      <c r="AN8" s="970"/>
      <c r="AO8" s="970"/>
      <c r="AP8" s="970"/>
      <c r="AQ8" s="970"/>
      <c r="AR8" s="971"/>
      <c r="AS8" s="976" t="s">
        <v>1196</v>
      </c>
      <c r="AT8" s="977"/>
      <c r="AU8" s="977"/>
      <c r="AV8" s="978"/>
      <c r="AW8" s="979" t="s">
        <v>135</v>
      </c>
      <c r="AX8" s="980"/>
      <c r="AY8" s="980"/>
      <c r="AZ8" s="981"/>
    </row>
    <row r="9" spans="1:233" s="367" customFormat="1" ht="97.5" customHeight="1" thickBot="1" x14ac:dyDescent="0.3">
      <c r="A9" s="378" t="s">
        <v>837</v>
      </c>
      <c r="B9" s="376"/>
      <c r="C9" s="28" t="s">
        <v>865</v>
      </c>
      <c r="D9" s="379" t="s">
        <v>1197</v>
      </c>
      <c r="E9" s="380" t="s">
        <v>1198</v>
      </c>
      <c r="F9" s="381" t="s">
        <v>225</v>
      </c>
      <c r="G9" s="28" t="s">
        <v>1199</v>
      </c>
      <c r="H9" s="28" t="s">
        <v>1200</v>
      </c>
      <c r="I9" s="28" t="s">
        <v>1201</v>
      </c>
      <c r="J9" s="28"/>
      <c r="K9" s="28" t="s">
        <v>1202</v>
      </c>
      <c r="L9" s="382"/>
      <c r="M9" s="28" t="s">
        <v>1203</v>
      </c>
      <c r="N9" s="28"/>
      <c r="O9" s="28" t="s">
        <v>1204</v>
      </c>
      <c r="P9" s="28"/>
      <c r="Q9" s="28" t="s">
        <v>1205</v>
      </c>
      <c r="R9" s="28"/>
      <c r="S9" s="28" t="s">
        <v>1206</v>
      </c>
      <c r="T9" s="28"/>
      <c r="U9" s="28" t="s">
        <v>1207</v>
      </c>
      <c r="V9" s="383"/>
      <c r="W9" s="369" t="s">
        <v>1208</v>
      </c>
      <c r="X9" s="369" t="s">
        <v>1209</v>
      </c>
      <c r="Y9" s="369" t="s">
        <v>1210</v>
      </c>
      <c r="Z9" s="28" t="s">
        <v>1211</v>
      </c>
      <c r="AA9" s="369" t="s">
        <v>1212</v>
      </c>
      <c r="AB9" s="369" t="s">
        <v>1213</v>
      </c>
      <c r="AC9" s="369" t="s">
        <v>1214</v>
      </c>
      <c r="AD9" s="369" t="s">
        <v>1215</v>
      </c>
      <c r="AE9" s="369" t="s">
        <v>1216</v>
      </c>
      <c r="AF9" s="369" t="s">
        <v>1217</v>
      </c>
      <c r="AG9" s="384" t="s">
        <v>1218</v>
      </c>
      <c r="AH9" s="369" t="s">
        <v>1219</v>
      </c>
      <c r="AI9" s="369" t="s">
        <v>1220</v>
      </c>
      <c r="AJ9" s="369" t="s">
        <v>1221</v>
      </c>
      <c r="AK9" s="369" t="s">
        <v>1222</v>
      </c>
      <c r="AL9" s="369" t="s">
        <v>1223</v>
      </c>
      <c r="AM9" s="369" t="s">
        <v>1224</v>
      </c>
      <c r="AN9" s="369" t="s">
        <v>1225</v>
      </c>
      <c r="AO9" s="28" t="s">
        <v>1226</v>
      </c>
      <c r="AP9" s="28" t="s">
        <v>1227</v>
      </c>
      <c r="AQ9" s="28" t="s">
        <v>1228</v>
      </c>
      <c r="AR9" s="28" t="s">
        <v>1229</v>
      </c>
      <c r="AS9" s="28" t="s">
        <v>1230</v>
      </c>
      <c r="AT9" s="28" t="s">
        <v>1231</v>
      </c>
      <c r="AU9" s="28" t="s">
        <v>1232</v>
      </c>
      <c r="AV9" s="28" t="s">
        <v>1233</v>
      </c>
      <c r="AW9" s="28" t="s">
        <v>1234</v>
      </c>
      <c r="AX9" s="478" t="s">
        <v>1235</v>
      </c>
      <c r="AY9" s="478" t="s">
        <v>1236</v>
      </c>
      <c r="AZ9" s="478" t="s">
        <v>1237</v>
      </c>
      <c r="BA9" s="385"/>
      <c r="BB9" s="385"/>
    </row>
    <row r="10" spans="1:233" s="40" customFormat="1" ht="409.5" customHeight="1" x14ac:dyDescent="0.25">
      <c r="A10" s="507"/>
      <c r="B10" s="376" t="str">
        <f t="shared" ref="B10:B73" si="0">C10&amp;"-"&amp;E10</f>
        <v>R1-CO1</v>
      </c>
      <c r="C10" s="508" t="s">
        <v>230</v>
      </c>
      <c r="D10" s="509" t="s">
        <v>845</v>
      </c>
      <c r="E10" s="510" t="s">
        <v>844</v>
      </c>
      <c r="F10" s="511" t="s">
        <v>1238</v>
      </c>
      <c r="G10" s="512" t="s">
        <v>975</v>
      </c>
      <c r="H10" s="513" t="s">
        <v>975</v>
      </c>
      <c r="I10" s="514" t="s">
        <v>1239</v>
      </c>
      <c r="J10" s="514">
        <f t="shared" ref="J10:J15" si="1">IF(I10="Asignado",15,IF(I10="No asignado",0,IF(I10=0,0)))</f>
        <v>15</v>
      </c>
      <c r="K10" s="514" t="s">
        <v>1240</v>
      </c>
      <c r="L10" s="514">
        <f t="shared" ref="L10:L15" si="2">IF(K10="Adecuado",15,IF(K10="Inadecuado",0,IF(I10=0,0)))</f>
        <v>15</v>
      </c>
      <c r="M10" s="514" t="s">
        <v>1241</v>
      </c>
      <c r="N10" s="514">
        <f t="shared" ref="N10:N15" si="3">IF(M10="Oportuna",15,IF(M10="Inoportuna",0,IF(I10=0,0)))</f>
        <v>15</v>
      </c>
      <c r="O10" s="514" t="s">
        <v>1242</v>
      </c>
      <c r="P10" s="514">
        <f t="shared" ref="P10:P15" si="4">IF(O10="Prevenir",15,IF(O10="Detectar",10,IF(O10="No es un control",0,IF(I10=0,0))))</f>
        <v>15</v>
      </c>
      <c r="Q10" s="514" t="s">
        <v>1243</v>
      </c>
      <c r="R10" s="514">
        <f t="shared" ref="R10:R15" si="5">IF(Q10="Confiable",15,IF(Q10="No confiable",0,IF(I10=0,0)))</f>
        <v>15</v>
      </c>
      <c r="S10" s="514" t="s">
        <v>1244</v>
      </c>
      <c r="T10" s="514">
        <f t="shared" ref="T10:T15" si="6">IF(S10="Se investigan y resuelven oportunamente",15,IF(S10="No se investigan y resuelven oportunamente",0,IF(I10=0,0)))</f>
        <v>15</v>
      </c>
      <c r="U10" s="514" t="s">
        <v>1245</v>
      </c>
      <c r="V10" s="514">
        <f t="shared" ref="V10:V73" si="7">IF(U10="Completa",10,IF(U10="Incompleta",5,IF(U10="No existe",0,IF(I10=0,0))))</f>
        <v>10</v>
      </c>
      <c r="W10" s="515">
        <f t="shared" ref="W10:W73" si="8">IF(G10=0," ",IF((J10+L10+N10+P10+R10+T10+V10)&gt;=0,(J10+L10+N10+P10+R10+T10+V10)))</f>
        <v>100</v>
      </c>
      <c r="X10" s="515" t="str">
        <f t="shared" ref="X10:X73" si="9">IF(W10=" "," ",IF(AND(W10&gt;=0,W10&lt;=85),"Débil",IF(AND(W10&gt;=86,W10&lt;=95),"Moderado",IF(AND(W10&gt;=96,W10&lt;=100),"Fuerte"," "))))</f>
        <v>Fuerte</v>
      </c>
      <c r="Y10" s="515">
        <f t="shared" ref="Y10:Y73" si="10">IF(Z10="Siempre se ejecuta", 100,IF(Z10="Algunas veces se ejecuta",50,IF(Z10="No se ejecuta",0,"")))</f>
        <v>100</v>
      </c>
      <c r="Z10" s="515" t="s">
        <v>1246</v>
      </c>
      <c r="AA10" s="515" t="str">
        <f t="shared" ref="AA10:AA73" si="11">IF(Z10="Siempre se ejecuta","Fuerte",IF(Z10="Algunas veces se ejecuta","Moderado",IF(Z10="No se ejecuta", "Débil","")))</f>
        <v>Fuerte</v>
      </c>
      <c r="AB10" s="515" t="str">
        <f t="shared" ref="AB10:AB73" si="12">IF(AND(X10="Fuerte",AA10="Fuerte"),"Fuerte",IF(AND(X10="Fuerte",AA10="Moderado"),"Moderado",IF(AND(X10="Fuerte",AA10="Débil"),"Débil",IF(AND(X10="Moderado",AA10="Moderado"),"Moderado",IF(AND(X10="Moderado",AA10="Fuerte"),"Moderado",IF(AND(X10="Moderado",AA10="Débil"),"Débil",IF(X10="Débil","Débil"," ")))))))</f>
        <v>Fuerte</v>
      </c>
      <c r="AC10" s="515" t="str">
        <f t="shared" ref="AC10:AC73" si="13">IF(AB10="Fuerte","No",IF(AB10="Moderado","Sí",IF(AB10="Débil","Sí","")))</f>
        <v>No</v>
      </c>
      <c r="AD10" s="515">
        <f t="shared" ref="AD10:AD73" si="14">IFERROR(IF(Y10=" "," ",IF(Y10&gt;=0,(W10+Y10)/2))," ")</f>
        <v>100</v>
      </c>
      <c r="AE10" s="516">
        <f t="shared" ref="AE10:AE73" si="15">IFERROR(IF(AD10=" "," ",IF(AVERAGE($AD$10:$AD$252)&gt;=0,AVERAGEIFS($AD$10:$AD$251,$C$10:$C$251,C10))),"  ")</f>
        <v>100</v>
      </c>
      <c r="AF10" s="515" t="str">
        <f t="shared" ref="AF10:AF73" si="16">IF(AE10=" "," ",IF(AE10=100,"Fuerte",IF(AE10&lt;50,"Débil",IF(AE10&gt;49,"Moderado"," "))))</f>
        <v>Fuerte</v>
      </c>
      <c r="AG10" s="517">
        <f t="shared" ref="AG10:AG73" si="17">IF(OR(AND(AF10="Fuerte",G10="No disminuye"),AND(AF10="Moderado",G10="No disminuye")),0,IF(AND(AF10="Fuerte",G10="Directamente"),2,IF(AND(AF10="Moderado",G10="Directamente"),1,0)))</f>
        <v>2</v>
      </c>
      <c r="AH10" s="518">
        <f t="shared" ref="AH10:AH73" si="18">IFERROR(AVERAGEIFS($AG$10:$AG$251,$C$10:$C$251,C10)," ")</f>
        <v>2</v>
      </c>
      <c r="AI10" s="519" t="str">
        <f>IFERROR(IF((INDEX('[3]Riesgos de Corrupción'!$B$11:$V$100,MATCH('Controles de Corrupción'!C10,'[3]Riesgos de Corrupción'!$B$11:$B$100,0),17)-AH10&lt;=1),"Rara vez",IF((INDEX('[3]Riesgos de Corrupción'!$B$11:$V$100,MATCH('Controles de Corrupción'!C10,'[3]Riesgos de Corrupción'!$B$11:$B$100,0),17)-AH10&lt;=2),"Improbable",IF((INDEX('[3]Riesgos de Corrupción'!$B$11:$V$100,MATCH('Controles de Corrupción'!C10,'[3]Riesgos de Corrupción'!$B$11:$B$100,0),17)-AH10&lt;=3),"Posible",IF((INDEX('[3]Riesgos de Corrupción'!$B$11:$V$100,MATCH('Controles de Corrupción'!C10,'[3]Riesgos de Corrupción'!$B$11:$B$100,0),17)-AH10&lt;=4),"Probable",IF((INDEX('[3]Riesgos de Corrupción'!$B$11:$V$100,MATCH('Controles de Corrupción'!C10,'[3]Riesgos de Corrupción'!$B$11:$B$100,0),17)-AH10&lt;=5),"Casi seguro")))))," ")</f>
        <v>Rara vez</v>
      </c>
      <c r="AJ10" s="477">
        <f>IFERROR(IF(OR(AND(AF10="Fuerte",H10="No disminuye"),AND(AF10="Moderado",H10="Indirectamente"),AND(AF10="Moderado",H10="No disminuye"),AND(INDEX('[3]Riesgos de Corrupción'!$B$11:$BN$100,MATCH('Controles de Corrupción'!C10,'[3]Riesgos de Corrupción'!$B$11:$B$100,0),63)="Moderado")),0,IF(OR(AND(AF10="Fuerte",H10="Indirectamente"),AND(AF10="Moderado",H10="Directamente"),AND(INDEX('[3]Riesgos de Corrupción'!$B$11:$BN$100,MATCH('Controles de Corrupción'!C10,'[3]Riesgos de Corrupción'!$B$11:$B$100,0),63)="Mayor")),1,IF(AND(AF10="Fuerte",H10="Directamente",AND(INDEX('[3]Riesgos de Corrupción'!$B$11:$BN$100,MATCH('Controles de Corrupción'!C10,'[3]Riesgos de Corrupción'!$B$11:$B$100,0),63)="Catastrófico")),2)))," ")</f>
        <v>2</v>
      </c>
      <c r="AK10" s="517">
        <f t="shared" ref="AK10:AK73" si="19">IFERROR(AVERAGEIFS($AJ$10:$AJ$251,$C$10:$C$251,C10)," ")</f>
        <v>2</v>
      </c>
      <c r="AL10" s="513" t="str">
        <f>IFERROR(IF((INDEX('[3]Riesgos de Corrupción'!$B$11:$BN$100,MATCH('Controles de Corrupción'!C10,'[3]Riesgos de Corrupción'!$B$11:$B$100,0),62)-AK10&lt;=3),"Moderado",IF((INDEX('[3]Riesgos de Corrupción'!$B$11:$BN$100,MATCH('Controles de Corrupción'!C10,'[3]Riesgos de Corrupción'!$B$11:$B$100,0),62)-AK10&lt;=4),"Mayor",IF((INDEX('[3]Riesgos de Corrupción'!$B$11:$BN$100,MATCH('Controles de Corrupción'!C10,'[3]Riesgos de Corrupción'!$B$11:$B$100,0),62)-AK10&lt;=5),"Catastrófico")))," ")</f>
        <v>Moderado</v>
      </c>
      <c r="AM10" s="515" t="str">
        <f t="shared" ref="AM10:AM73" si="20">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15" t="str">
        <f t="shared" ref="AN10:AN73" si="21">IF(AM10="Zona Moderada","Reducir riesgo",IF(AM10="Zona Alta","Compartir riesgo",IF(AM10="Zona Extrema","Evitar riesgo"," ")))</f>
        <v>Reducir riesgo</v>
      </c>
      <c r="AO10" s="520" t="s">
        <v>1247</v>
      </c>
      <c r="AP10" s="521" t="s">
        <v>1248</v>
      </c>
      <c r="AQ10" s="514" t="s">
        <v>1249</v>
      </c>
      <c r="AR10" s="522" t="s">
        <v>1250</v>
      </c>
      <c r="AS10" s="523" t="s">
        <v>1251</v>
      </c>
      <c r="AT10" s="524" t="s">
        <v>1252</v>
      </c>
      <c r="AU10" s="513" t="s">
        <v>1253</v>
      </c>
      <c r="AV10" s="524" t="s">
        <v>1254</v>
      </c>
      <c r="AW10" s="525" t="s">
        <v>1255</v>
      </c>
      <c r="AX10" s="466" t="s">
        <v>1256</v>
      </c>
      <c r="AY10" s="526" t="s">
        <v>1257</v>
      </c>
      <c r="AZ10" s="560" t="s">
        <v>1258</v>
      </c>
    </row>
    <row r="11" spans="1:233" s="40" customFormat="1" ht="346.5" customHeight="1" x14ac:dyDescent="0.25">
      <c r="A11" s="507"/>
      <c r="B11" s="376" t="str">
        <f t="shared" si="0"/>
        <v>R1-CO2</v>
      </c>
      <c r="C11" s="508" t="s">
        <v>230</v>
      </c>
      <c r="D11" s="509" t="s">
        <v>849</v>
      </c>
      <c r="E11" s="510" t="s">
        <v>848</v>
      </c>
      <c r="F11" s="527" t="s">
        <v>1259</v>
      </c>
      <c r="G11" s="528" t="s">
        <v>975</v>
      </c>
      <c r="H11" s="513" t="s">
        <v>975</v>
      </c>
      <c r="I11" s="514" t="s">
        <v>1239</v>
      </c>
      <c r="J11" s="514">
        <f t="shared" si="1"/>
        <v>15</v>
      </c>
      <c r="K11" s="514" t="s">
        <v>1240</v>
      </c>
      <c r="L11" s="514">
        <f t="shared" si="2"/>
        <v>15</v>
      </c>
      <c r="M11" s="514" t="s">
        <v>1241</v>
      </c>
      <c r="N11" s="514">
        <f t="shared" si="3"/>
        <v>15</v>
      </c>
      <c r="O11" s="514" t="s">
        <v>1242</v>
      </c>
      <c r="P11" s="514">
        <f t="shared" si="4"/>
        <v>15</v>
      </c>
      <c r="Q11" s="514" t="s">
        <v>1243</v>
      </c>
      <c r="R11" s="514">
        <f t="shared" si="5"/>
        <v>15</v>
      </c>
      <c r="S11" s="514" t="s">
        <v>1244</v>
      </c>
      <c r="T11" s="514">
        <f t="shared" si="6"/>
        <v>15</v>
      </c>
      <c r="U11" s="514" t="s">
        <v>1245</v>
      </c>
      <c r="V11" s="514">
        <f t="shared" si="7"/>
        <v>10</v>
      </c>
      <c r="W11" s="513">
        <f t="shared" si="8"/>
        <v>100</v>
      </c>
      <c r="X11" s="513" t="str">
        <f t="shared" si="9"/>
        <v>Fuerte</v>
      </c>
      <c r="Y11" s="513">
        <f t="shared" si="10"/>
        <v>100</v>
      </c>
      <c r="Z11" s="513" t="s">
        <v>1246</v>
      </c>
      <c r="AA11" s="513" t="str">
        <f t="shared" si="11"/>
        <v>Fuerte</v>
      </c>
      <c r="AB11" s="513" t="str">
        <f t="shared" si="12"/>
        <v>Fuerte</v>
      </c>
      <c r="AC11" s="513" t="str">
        <f t="shared" si="13"/>
        <v>No</v>
      </c>
      <c r="AD11" s="513">
        <f t="shared" si="14"/>
        <v>100</v>
      </c>
      <c r="AE11" s="529">
        <f t="shared" si="15"/>
        <v>100</v>
      </c>
      <c r="AF11" s="513" t="str">
        <f t="shared" si="16"/>
        <v>Fuerte</v>
      </c>
      <c r="AG11" s="517">
        <f t="shared" si="17"/>
        <v>2</v>
      </c>
      <c r="AH11" s="517">
        <f t="shared" si="18"/>
        <v>2</v>
      </c>
      <c r="AI11" s="519" t="str">
        <f>IFERROR(IF((INDEX('[3]Riesgos de Corrupción'!$B$11:$V$100,MATCH('Controles de Corrupción'!C11,'[3]Riesgos de Corrupción'!$B$11:$B$100,0),17)-AH11&lt;=1),"Rara vez",IF((INDEX('[3]Riesgos de Corrupción'!$B$11:$V$100,MATCH('Controles de Corrupción'!C11,'[3]Riesgos de Corrupción'!$B$11:$B$100,0),17)-AH11&lt;=2),"Improbable",IF((INDEX('[3]Riesgos de Corrupción'!$B$11:$V$100,MATCH('Controles de Corrupción'!C11,'[3]Riesgos de Corrupción'!$B$11:$B$100,0),17)-AH11&lt;=3),"Posible",IF((INDEX('[3]Riesgos de Corrupción'!$B$11:$V$100,MATCH('Controles de Corrupción'!C11,'[3]Riesgos de Corrupción'!$B$11:$B$100,0),17)-AH11&lt;=4),"Probable",IF((INDEX('[3]Riesgos de Corrupción'!$B$11:$V$100,MATCH('Controles de Corrupción'!C11,'[3]Riesgos de Corrupción'!$B$11:$B$100,0),17)-AH11&lt;=5),"Casi seguro")))))," ")</f>
        <v>Rara vez</v>
      </c>
      <c r="AJ11" s="477">
        <f>IFERROR(IF(OR(AND(AF11="Fuerte",H11="No disminuye"),AND(AF11="Moderado",H11="Indirectamente"),AND(AF11="Moderado",H11="No disminuye"),AND(INDEX('[3]Riesgos de Corrupción'!$B$11:$BN$100,MATCH('Controles de Corrupción'!C11,'[3]Riesgos de Corrupción'!$B$11:$B$100,0),63)="Moderado")),0,IF(OR(AND(AF11="Fuerte",H11="Indirectamente"),AND(AF11="Moderado",H11="Directamente"),AND(INDEX('[3]Riesgos de Corrupción'!$B$11:$BN$100,MATCH('Controles de Corrupción'!C11,'[3]Riesgos de Corrupción'!$B$11:$B$100,0),63)="Mayor")),1,IF(AND(AF11="Fuerte",H11="Directamente",AND(INDEX('[3]Riesgos de Corrupción'!$B$11:$BN$100,MATCH('Controles de Corrupción'!C11,'[3]Riesgos de Corrupción'!$B$11:$B$100,0),63)="Catastrófico")),2)))," ")</f>
        <v>2</v>
      </c>
      <c r="AK11" s="517">
        <f t="shared" si="19"/>
        <v>2</v>
      </c>
      <c r="AL11" s="513" t="str">
        <f>IFERROR(IF((INDEX('[3]Riesgos de Corrupción'!$B$11:$BN$100,MATCH('Controles de Corrupción'!C11,'[3]Riesgos de Corrupción'!$B$11:$B$100,0),62)-AK11&lt;=3),"Moderado",IF((INDEX('[3]Riesgos de Corrupción'!$B$11:$BN$100,MATCH('Controles de Corrupción'!C11,'[3]Riesgos de Corrupción'!$B$11:$B$100,0),62)-AK11&lt;=4),"Mayor",IF((INDEX('[3]Riesgos de Corrupción'!$B$11:$BN$100,MATCH('Controles de Corrupción'!C11,'[3]Riesgos de Corrupción'!$B$11:$B$100,0),62)-AK11&lt;=5),"Catastrófico")))," ")</f>
        <v>Moderado</v>
      </c>
      <c r="AM11" s="513" t="str">
        <f t="shared" si="20"/>
        <v>Zona Moderada</v>
      </c>
      <c r="AN11" s="515" t="str">
        <f t="shared" si="21"/>
        <v>Reducir riesgo</v>
      </c>
      <c r="AO11" s="520" t="s">
        <v>1260</v>
      </c>
      <c r="AP11" s="521" t="s">
        <v>1248</v>
      </c>
      <c r="AQ11" s="514" t="s">
        <v>1261</v>
      </c>
      <c r="AR11" s="522" t="s">
        <v>1250</v>
      </c>
      <c r="AS11" s="523" t="s">
        <v>1262</v>
      </c>
      <c r="AT11" s="524" t="s">
        <v>1263</v>
      </c>
      <c r="AU11" s="513" t="s">
        <v>1264</v>
      </c>
      <c r="AV11" s="524" t="s">
        <v>1265</v>
      </c>
      <c r="AW11" s="525" t="s">
        <v>1266</v>
      </c>
      <c r="AX11" s="466" t="s">
        <v>1256</v>
      </c>
      <c r="AY11" s="530" t="s">
        <v>1267</v>
      </c>
      <c r="AZ11" s="560" t="s">
        <v>1268</v>
      </c>
    </row>
    <row r="12" spans="1:233" s="40" customFormat="1" ht="150" customHeight="1" x14ac:dyDescent="0.25">
      <c r="A12" s="21"/>
      <c r="B12" s="120" t="str">
        <f t="shared" si="0"/>
        <v>-</v>
      </c>
      <c r="C12" s="188"/>
      <c r="D12" s="170"/>
      <c r="E12" s="171"/>
      <c r="F12" s="468"/>
      <c r="G12" s="38"/>
      <c r="H12" s="23"/>
      <c r="I12" s="18"/>
      <c r="J12" s="80">
        <f t="shared" si="1"/>
        <v>0</v>
      </c>
      <c r="K12" s="18"/>
      <c r="L12" s="80">
        <f t="shared" si="2"/>
        <v>0</v>
      </c>
      <c r="M12" s="18"/>
      <c r="N12" s="80">
        <f t="shared" si="3"/>
        <v>0</v>
      </c>
      <c r="O12" s="18"/>
      <c r="P12" s="80">
        <f t="shared" si="4"/>
        <v>0</v>
      </c>
      <c r="Q12" s="18"/>
      <c r="R12" s="80">
        <f t="shared" si="5"/>
        <v>0</v>
      </c>
      <c r="S12" s="18"/>
      <c r="T12" s="80">
        <f t="shared" si="6"/>
        <v>0</v>
      </c>
      <c r="U12" s="18"/>
      <c r="V12" s="80">
        <f t="shared" si="7"/>
        <v>0</v>
      </c>
      <c r="W12" s="19" t="str">
        <f t="shared" si="8"/>
        <v xml:space="preserve"> </v>
      </c>
      <c r="X12" s="19" t="str">
        <f t="shared" si="9"/>
        <v xml:space="preserve"> </v>
      </c>
      <c r="Y12" s="19" t="str">
        <f t="shared" si="10"/>
        <v/>
      </c>
      <c r="Z12" s="23"/>
      <c r="AA12" s="19" t="str">
        <f t="shared" si="11"/>
        <v/>
      </c>
      <c r="AB12" s="19" t="str">
        <f t="shared" si="12"/>
        <v xml:space="preserve"> </v>
      </c>
      <c r="AC12" s="19" t="str">
        <f t="shared" si="13"/>
        <v/>
      </c>
      <c r="AD12" s="19" t="str">
        <f t="shared" si="14"/>
        <v xml:space="preserve"> </v>
      </c>
      <c r="AE12" s="125" t="str">
        <f t="shared" si="15"/>
        <v xml:space="preserve"> </v>
      </c>
      <c r="AF12" s="19" t="str">
        <f t="shared" si="16"/>
        <v xml:space="preserve"> </v>
      </c>
      <c r="AG12" s="50">
        <f t="shared" si="17"/>
        <v>0</v>
      </c>
      <c r="AH12" s="50" t="str">
        <f t="shared" si="18"/>
        <v xml:space="preserve"> </v>
      </c>
      <c r="AI12" s="36" t="str">
        <f>IFERROR(IF((INDEX('[3]Riesgos de Corrupción'!$B$11:$V$100,MATCH('Controles de Corrupción'!C12,'[3]Riesgos de Corrupción'!$B$11:$B$100,0),17)-AH12&lt;=1),"Rara vez",IF((INDEX('[3]Riesgos de Corrupción'!$B$11:$V$100,MATCH('Controles de Corrupción'!C12,'[3]Riesgos de Corrupción'!$B$11:$B$100,0),17)-AH12&lt;=2),"Improbable",IF((INDEX('[3]Riesgos de Corrupción'!$B$11:$V$100,MATCH('Controles de Corrupción'!C12,'[3]Riesgos de Corrupción'!$B$11:$B$100,0),17)-AH12&lt;=3),"Posible",IF((INDEX('[3]Riesgos de Corrupción'!$B$11:$V$100,MATCH('Controles de Corrupción'!C12,'[3]Riesgos de Corrupción'!$B$11:$B$100,0),17)-AH12&lt;=4),"Probable",IF((INDEX('[3]Riesgos de Corrupción'!$B$11:$V$100,MATCH('Controles de Corrupción'!C12,'[3]Riesgos de Corrupción'!$B$11:$B$100,0),17)-AH12&lt;=5),"Casi seguro")))))," ")</f>
        <v xml:space="preserve"> </v>
      </c>
      <c r="AJ12" s="8" t="str">
        <f>IFERROR(IF(OR(AND(AF12="Fuerte",H12="No disminuye"),AND(AF12="Moderado",H12="Indirectamente"),AND(AF12="Moderado",H12="No disminuye"),AND(INDEX('[3]Riesgos de Corrupción'!$B$11:$BN$100,MATCH('Controles de Corrupción'!C12,'[3]Riesgos de Corrupción'!$B$11:$B$100,0),63)="Moderado")),0,IF(OR(AND(AF12="Fuerte",H12="Indirectamente"),AND(AF12="Moderado",H12="Directamente"),AND(INDEX('[3]Riesgos de Corrupción'!$B$11:$BN$100,MATCH('Controles de Corrupción'!C12,'[3]Riesgos de Corrupción'!$B$11:$B$100,0),63)="Mayor")),1,IF(AND(AF12="Fuerte",H12="Directamente",AND(INDEX('[3]Riesgos de Corrupción'!$B$11:$BN$100,MATCH('Controles de Corrupción'!C12,'[3]Riesgos de Corrupción'!$B$11:$B$100,0),63)="Catastrófico")),2)))," ")</f>
        <v xml:space="preserve"> </v>
      </c>
      <c r="AK12" s="50" t="str">
        <f t="shared" si="19"/>
        <v xml:space="preserve"> </v>
      </c>
      <c r="AL12" s="19" t="str">
        <f>IFERROR(IF((INDEX('[3]Riesgos de Corrupción'!$B$11:$BN$100,MATCH('Controles de Corrupción'!C12,'[3]Riesgos de Corrupción'!$B$11:$B$100,0),62)-AK12&lt;=3),"Moderado",IF((INDEX('[3]Riesgos de Corrupción'!$B$11:$BN$100,MATCH('Controles de Corrupción'!C12,'[3]Riesgos de Corrupción'!$B$11:$B$100,0),62)-AK12&lt;=4),"Mayor",IF((INDEX('[3]Riesgos de Corrupción'!$B$11:$BN$100,MATCH('Controles de Corrupción'!C12,'[3]Riesgos de Corrupción'!$B$11:$B$100,0),62)-AK12&lt;=5),"Catastrófico")))," ")</f>
        <v xml:space="preserve"> </v>
      </c>
      <c r="AM12" s="19" t="str">
        <f t="shared" si="20"/>
        <v xml:space="preserve"> </v>
      </c>
      <c r="AN12" s="22" t="str">
        <f t="shared" si="21"/>
        <v xml:space="preserve"> </v>
      </c>
      <c r="AO12" s="184"/>
      <c r="AP12" s="18"/>
      <c r="AQ12" s="18"/>
      <c r="AR12" s="183"/>
      <c r="AS12" s="467"/>
      <c r="AT12" s="467"/>
      <c r="AU12" s="183"/>
      <c r="AV12" s="183"/>
      <c r="AW12" s="62"/>
      <c r="AX12" s="466"/>
      <c r="AY12" s="169"/>
      <c r="AZ12" s="169"/>
    </row>
    <row r="13" spans="1:233" s="40" customFormat="1" ht="140.25" customHeight="1" x14ac:dyDescent="0.25">
      <c r="A13" s="21"/>
      <c r="B13" s="120" t="str">
        <f t="shared" si="0"/>
        <v>-</v>
      </c>
      <c r="C13" s="188"/>
      <c r="D13" s="170"/>
      <c r="E13" s="171"/>
      <c r="F13" s="468"/>
      <c r="G13" s="38"/>
      <c r="H13" s="23"/>
      <c r="I13" s="18"/>
      <c r="J13" s="80">
        <f t="shared" si="1"/>
        <v>0</v>
      </c>
      <c r="K13" s="18"/>
      <c r="L13" s="80">
        <f t="shared" si="2"/>
        <v>0</v>
      </c>
      <c r="M13" s="18"/>
      <c r="N13" s="80">
        <f t="shared" si="3"/>
        <v>0</v>
      </c>
      <c r="O13" s="18"/>
      <c r="P13" s="80">
        <f t="shared" si="4"/>
        <v>0</v>
      </c>
      <c r="Q13" s="18"/>
      <c r="R13" s="80">
        <f t="shared" si="5"/>
        <v>0</v>
      </c>
      <c r="S13" s="18"/>
      <c r="T13" s="80">
        <f t="shared" si="6"/>
        <v>0</v>
      </c>
      <c r="U13" s="18"/>
      <c r="V13" s="80">
        <f t="shared" si="7"/>
        <v>0</v>
      </c>
      <c r="W13" s="19" t="str">
        <f t="shared" si="8"/>
        <v xml:space="preserve"> </v>
      </c>
      <c r="X13" s="19" t="str">
        <f t="shared" si="9"/>
        <v xml:space="preserve"> </v>
      </c>
      <c r="Y13" s="19" t="str">
        <f t="shared" si="10"/>
        <v/>
      </c>
      <c r="Z13" s="23"/>
      <c r="AA13" s="19" t="str">
        <f t="shared" si="11"/>
        <v/>
      </c>
      <c r="AB13" s="19" t="str">
        <f t="shared" si="12"/>
        <v xml:space="preserve"> </v>
      </c>
      <c r="AC13" s="19" t="str">
        <f t="shared" si="13"/>
        <v/>
      </c>
      <c r="AD13" s="19" t="str">
        <f t="shared" si="14"/>
        <v xml:space="preserve"> </v>
      </c>
      <c r="AE13" s="125" t="str">
        <f t="shared" si="15"/>
        <v xml:space="preserve"> </v>
      </c>
      <c r="AF13" s="19" t="str">
        <f t="shared" si="16"/>
        <v xml:space="preserve"> </v>
      </c>
      <c r="AG13" s="50">
        <f t="shared" si="17"/>
        <v>0</v>
      </c>
      <c r="AH13" s="50" t="str">
        <f t="shared" si="18"/>
        <v xml:space="preserve"> </v>
      </c>
      <c r="AI13" s="36" t="str">
        <f>IFERROR(IF((INDEX('[3]Riesgos de Corrupción'!$B$11:$V$100,MATCH('Controles de Corrupción'!C13,'[3]Riesgos de Corrupción'!$B$11:$B$100,0),17)-AH13&lt;=1),"Rara vez",IF((INDEX('[3]Riesgos de Corrupción'!$B$11:$V$100,MATCH('Controles de Corrupción'!C13,'[3]Riesgos de Corrupción'!$B$11:$B$100,0),17)-AH13&lt;=2),"Improbable",IF((INDEX('[3]Riesgos de Corrupción'!$B$11:$V$100,MATCH('Controles de Corrupción'!C13,'[3]Riesgos de Corrupción'!$B$11:$B$100,0),17)-AH13&lt;=3),"Posible",IF((INDEX('[3]Riesgos de Corrupción'!$B$11:$V$100,MATCH('Controles de Corrupción'!C13,'[3]Riesgos de Corrupción'!$B$11:$B$100,0),17)-AH13&lt;=4),"Probable",IF((INDEX('[3]Riesgos de Corrupción'!$B$11:$V$100,MATCH('Controles de Corrupción'!C13,'[3]Riesgos de Corrupción'!$B$11:$B$100,0),17)-AH13&lt;=5),"Casi seguro")))))," ")</f>
        <v xml:space="preserve"> </v>
      </c>
      <c r="AJ13" s="8" t="str">
        <f>IFERROR(IF(OR(AND(AF13="Fuerte",H13="No disminuye"),AND(AF13="Moderado",H13="Indirectamente"),AND(AF13="Moderado",H13="No disminuye"),AND(INDEX('[3]Riesgos de Corrupción'!$B$11:$BN$100,MATCH('Controles de Corrupción'!C13,'[3]Riesgos de Corrupción'!$B$11:$B$100,0),63)="Moderado")),0,IF(OR(AND(AF13="Fuerte",H13="Indirectamente"),AND(AF13="Moderado",H13="Directamente"),AND(INDEX('[3]Riesgos de Corrupción'!$B$11:$BN$100,MATCH('Controles de Corrupción'!C13,'[3]Riesgos de Corrupción'!$B$11:$B$100,0),63)="Mayor")),1,IF(AND(AF13="Fuerte",H13="Directamente",AND(INDEX('[3]Riesgos de Corrupción'!$B$11:$BN$100,MATCH('Controles de Corrupción'!C13,'[3]Riesgos de Corrupción'!$B$11:$B$100,0),63)="Catastrófico")),2)))," ")</f>
        <v xml:space="preserve"> </v>
      </c>
      <c r="AK13" s="50" t="str">
        <f t="shared" si="19"/>
        <v xml:space="preserve"> </v>
      </c>
      <c r="AL13" s="19" t="str">
        <f>IFERROR(IF((INDEX('[3]Riesgos de Corrupción'!$B$11:$BN$100,MATCH('Controles de Corrupción'!C13,'[3]Riesgos de Corrupción'!$B$11:$B$100,0),62)-AK13&lt;=3),"Moderado",IF((INDEX('[3]Riesgos de Corrupción'!$B$11:$BN$100,MATCH('Controles de Corrupción'!C13,'[3]Riesgos de Corrupción'!$B$11:$B$100,0),62)-AK13&lt;=4),"Mayor",IF((INDEX('[3]Riesgos de Corrupción'!$B$11:$BN$100,MATCH('Controles de Corrupción'!C13,'[3]Riesgos de Corrupción'!$B$11:$B$100,0),62)-AK13&lt;=5),"Catastrófico")))," ")</f>
        <v xml:space="preserve"> </v>
      </c>
      <c r="AM13" s="19" t="str">
        <f t="shared" si="20"/>
        <v xml:space="preserve"> </v>
      </c>
      <c r="AN13" s="22" t="str">
        <f t="shared" si="21"/>
        <v xml:space="preserve"> </v>
      </c>
      <c r="AO13" s="184"/>
      <c r="AP13" s="18"/>
      <c r="AQ13" s="18"/>
      <c r="AR13" s="183"/>
      <c r="AS13" s="467"/>
      <c r="AT13" s="467"/>
      <c r="AU13" s="183"/>
      <c r="AV13" s="183"/>
      <c r="AW13" s="18"/>
      <c r="AX13" s="466"/>
      <c r="AY13" s="469"/>
      <c r="AZ13" s="21"/>
    </row>
    <row r="14" spans="1:233" s="40" customFormat="1" ht="136.5" customHeight="1" x14ac:dyDescent="0.25">
      <c r="A14" s="21"/>
      <c r="B14" s="120" t="str">
        <f t="shared" si="0"/>
        <v>-</v>
      </c>
      <c r="C14" s="188"/>
      <c r="D14" s="170"/>
      <c r="E14" s="171"/>
      <c r="F14" s="468"/>
      <c r="G14" s="38"/>
      <c r="H14" s="23"/>
      <c r="I14" s="18"/>
      <c r="J14" s="80">
        <f t="shared" si="1"/>
        <v>0</v>
      </c>
      <c r="K14" s="18"/>
      <c r="L14" s="80">
        <f t="shared" si="2"/>
        <v>0</v>
      </c>
      <c r="M14" s="18"/>
      <c r="N14" s="80">
        <f t="shared" si="3"/>
        <v>0</v>
      </c>
      <c r="O14" s="18"/>
      <c r="P14" s="80">
        <f t="shared" si="4"/>
        <v>0</v>
      </c>
      <c r="Q14" s="18"/>
      <c r="R14" s="80">
        <f t="shared" si="5"/>
        <v>0</v>
      </c>
      <c r="S14" s="18"/>
      <c r="T14" s="80">
        <f t="shared" si="6"/>
        <v>0</v>
      </c>
      <c r="U14" s="18"/>
      <c r="V14" s="80">
        <f t="shared" si="7"/>
        <v>0</v>
      </c>
      <c r="W14" s="19" t="str">
        <f t="shared" si="8"/>
        <v xml:space="preserve"> </v>
      </c>
      <c r="X14" s="19" t="str">
        <f t="shared" si="9"/>
        <v xml:space="preserve"> </v>
      </c>
      <c r="Y14" s="19" t="str">
        <f t="shared" si="10"/>
        <v/>
      </c>
      <c r="Z14" s="23"/>
      <c r="AA14" s="19" t="str">
        <f t="shared" si="11"/>
        <v/>
      </c>
      <c r="AB14" s="19" t="str">
        <f t="shared" si="12"/>
        <v xml:space="preserve"> </v>
      </c>
      <c r="AC14" s="19" t="str">
        <f t="shared" si="13"/>
        <v/>
      </c>
      <c r="AD14" s="19" t="str">
        <f t="shared" si="14"/>
        <v xml:space="preserve"> </v>
      </c>
      <c r="AE14" s="125" t="str">
        <f t="shared" si="15"/>
        <v xml:space="preserve"> </v>
      </c>
      <c r="AF14" s="19" t="str">
        <f t="shared" si="16"/>
        <v xml:space="preserve"> </v>
      </c>
      <c r="AG14" s="50">
        <f t="shared" si="17"/>
        <v>0</v>
      </c>
      <c r="AH14" s="50" t="str">
        <f t="shared" si="18"/>
        <v xml:space="preserve"> </v>
      </c>
      <c r="AI14" s="36" t="str">
        <f>IFERROR(IF((INDEX('[3]Riesgos de Corrupción'!$B$11:$V$100,MATCH('Controles de Corrupción'!C14,'[3]Riesgos de Corrupción'!$B$11:$B$100,0),17)-AH14&lt;=1),"Rara vez",IF((INDEX('[3]Riesgos de Corrupción'!$B$11:$V$100,MATCH('Controles de Corrupción'!C14,'[3]Riesgos de Corrupción'!$B$11:$B$100,0),17)-AH14&lt;=2),"Improbable",IF((INDEX('[3]Riesgos de Corrupción'!$B$11:$V$100,MATCH('Controles de Corrupción'!C14,'[3]Riesgos de Corrupción'!$B$11:$B$100,0),17)-AH14&lt;=3),"Posible",IF((INDEX('[3]Riesgos de Corrupción'!$B$11:$V$100,MATCH('Controles de Corrupción'!C14,'[3]Riesgos de Corrupción'!$B$11:$B$100,0),17)-AH14&lt;=4),"Probable",IF((INDEX('[3]Riesgos de Corrupción'!$B$11:$V$100,MATCH('Controles de Corrupción'!C14,'[3]Riesgos de Corrupción'!$B$11:$B$100,0),17)-AH14&lt;=5),"Casi seguro")))))," ")</f>
        <v xml:space="preserve"> </v>
      </c>
      <c r="AJ14" s="8" t="str">
        <f>IFERROR(IF(OR(AND(AF14="Fuerte",H14="No disminuye"),AND(AF14="Moderado",H14="Indirectamente"),AND(AF14="Moderado",H14="No disminuye"),AND(INDEX('[3]Riesgos de Corrupción'!$B$11:$BN$100,MATCH('Controles de Corrupción'!C14,'[3]Riesgos de Corrupción'!$B$11:$B$100,0),63)="Moderado")),0,IF(OR(AND(AF14="Fuerte",H14="Indirectamente"),AND(AF14="Moderado",H14="Directamente"),AND(INDEX('[3]Riesgos de Corrupción'!$B$11:$BN$100,MATCH('Controles de Corrupción'!C14,'[3]Riesgos de Corrupción'!$B$11:$B$100,0),63)="Mayor")),1,IF(AND(AF14="Fuerte",H14="Directamente",AND(INDEX('[3]Riesgos de Corrupción'!$B$11:$BN$100,MATCH('Controles de Corrupción'!C14,'[3]Riesgos de Corrupción'!$B$11:$B$100,0),63)="Catastrófico")),2)))," ")</f>
        <v xml:space="preserve"> </v>
      </c>
      <c r="AK14" s="50" t="str">
        <f t="shared" si="19"/>
        <v xml:space="preserve"> </v>
      </c>
      <c r="AL14" s="19" t="str">
        <f>IFERROR(IF((INDEX('[3]Riesgos de Corrupción'!$B$11:$BN$100,MATCH('Controles de Corrupción'!C14,'[3]Riesgos de Corrupción'!$B$11:$B$100,0),62)-AK14&lt;=3),"Moderado",IF((INDEX('[3]Riesgos de Corrupción'!$B$11:$BN$100,MATCH('Controles de Corrupción'!C14,'[3]Riesgos de Corrupción'!$B$11:$B$100,0),62)-AK14&lt;=4),"Mayor",IF((INDEX('[3]Riesgos de Corrupción'!$B$11:$BN$100,MATCH('Controles de Corrupción'!C14,'[3]Riesgos de Corrupción'!$B$11:$B$100,0),62)-AK14&lt;=5),"Catastrófico")))," ")</f>
        <v xml:space="preserve"> </v>
      </c>
      <c r="AM14" s="19" t="str">
        <f t="shared" si="20"/>
        <v xml:space="preserve"> </v>
      </c>
      <c r="AN14" s="22" t="str">
        <f t="shared" si="21"/>
        <v xml:space="preserve"> </v>
      </c>
      <c r="AO14" s="184"/>
      <c r="AP14" s="18"/>
      <c r="AQ14" s="18"/>
      <c r="AR14" s="183"/>
      <c r="AS14" s="467"/>
      <c r="AT14" s="467"/>
      <c r="AU14" s="183"/>
      <c r="AV14" s="18"/>
      <c r="AW14" s="18"/>
      <c r="AX14" s="466"/>
      <c r="AY14" s="469"/>
      <c r="AZ14" s="21"/>
    </row>
    <row r="15" spans="1:233" s="40" customFormat="1" ht="122.25" customHeight="1" x14ac:dyDescent="0.25">
      <c r="A15" s="21"/>
      <c r="B15" s="120" t="str">
        <f t="shared" si="0"/>
        <v>-</v>
      </c>
      <c r="C15" s="188"/>
      <c r="D15" s="170"/>
      <c r="E15" s="171"/>
      <c r="F15" s="468"/>
      <c r="G15" s="38"/>
      <c r="H15" s="23"/>
      <c r="I15" s="18"/>
      <c r="J15" s="80">
        <f t="shared" si="1"/>
        <v>0</v>
      </c>
      <c r="K15" s="18"/>
      <c r="L15" s="80">
        <f t="shared" si="2"/>
        <v>0</v>
      </c>
      <c r="M15" s="18"/>
      <c r="N15" s="80">
        <f t="shared" si="3"/>
        <v>0</v>
      </c>
      <c r="O15" s="18"/>
      <c r="P15" s="80">
        <f t="shared" si="4"/>
        <v>0</v>
      </c>
      <c r="Q15" s="18"/>
      <c r="R15" s="80">
        <f t="shared" si="5"/>
        <v>0</v>
      </c>
      <c r="S15" s="18"/>
      <c r="T15" s="80">
        <f t="shared" si="6"/>
        <v>0</v>
      </c>
      <c r="U15" s="18"/>
      <c r="V15" s="80">
        <f t="shared" si="7"/>
        <v>0</v>
      </c>
      <c r="W15" s="19" t="str">
        <f t="shared" si="8"/>
        <v xml:space="preserve"> </v>
      </c>
      <c r="X15" s="19" t="str">
        <f t="shared" si="9"/>
        <v xml:space="preserve"> </v>
      </c>
      <c r="Y15" s="19" t="str">
        <f t="shared" si="10"/>
        <v/>
      </c>
      <c r="Z15" s="23"/>
      <c r="AA15" s="19" t="str">
        <f t="shared" si="11"/>
        <v/>
      </c>
      <c r="AB15" s="19" t="str">
        <f t="shared" si="12"/>
        <v xml:space="preserve"> </v>
      </c>
      <c r="AC15" s="19" t="str">
        <f t="shared" si="13"/>
        <v/>
      </c>
      <c r="AD15" s="19" t="str">
        <f t="shared" si="14"/>
        <v xml:space="preserve"> </v>
      </c>
      <c r="AE15" s="125" t="str">
        <f t="shared" si="15"/>
        <v xml:space="preserve"> </v>
      </c>
      <c r="AF15" s="19" t="str">
        <f t="shared" si="16"/>
        <v xml:space="preserve"> </v>
      </c>
      <c r="AG15" s="50">
        <f t="shared" si="17"/>
        <v>0</v>
      </c>
      <c r="AH15" s="50" t="str">
        <f t="shared" si="18"/>
        <v xml:space="preserve"> </v>
      </c>
      <c r="AI15" s="36" t="str">
        <f>IFERROR(IF((INDEX('[3]Riesgos de Corrupción'!$B$11:$V$100,MATCH('Controles de Corrupción'!C15,'[3]Riesgos de Corrupción'!$B$11:$B$100,0),17)-AH15&lt;=1),"Rara vez",IF((INDEX('[3]Riesgos de Corrupción'!$B$11:$V$100,MATCH('Controles de Corrupción'!C15,'[3]Riesgos de Corrupción'!$B$11:$B$100,0),17)-AH15&lt;=2),"Improbable",IF((INDEX('[3]Riesgos de Corrupción'!$B$11:$V$100,MATCH('Controles de Corrupción'!C15,'[3]Riesgos de Corrupción'!$B$11:$B$100,0),17)-AH15&lt;=3),"Posible",IF((INDEX('[3]Riesgos de Corrupción'!$B$11:$V$100,MATCH('Controles de Corrupción'!C15,'[3]Riesgos de Corrupción'!$B$11:$B$100,0),17)-AH15&lt;=4),"Probable",IF((INDEX('[3]Riesgos de Corrupción'!$B$11:$V$100,MATCH('Controles de Corrupción'!C15,'[3]Riesgos de Corrupción'!$B$11:$B$100,0),17)-AH15&lt;=5),"Casi seguro")))))," ")</f>
        <v xml:space="preserve"> </v>
      </c>
      <c r="AJ15" s="8" t="str">
        <f>IFERROR(IF(OR(AND(AF15="Fuerte",H15="No disminuye"),AND(AF15="Moderado",H15="Indirectamente"),AND(AF15="Moderado",H15="No disminuye"),AND(INDEX('[3]Riesgos de Corrupción'!$B$11:$BN$100,MATCH('Controles de Corrupción'!C15,'[3]Riesgos de Corrupción'!$B$11:$B$100,0),63)="Moderado")),0,IF(OR(AND(AF15="Fuerte",H15="Indirectamente"),AND(AF15="Moderado",H15="Directamente"),AND(INDEX('[3]Riesgos de Corrupción'!$B$11:$BN$100,MATCH('Controles de Corrupción'!C15,'[3]Riesgos de Corrupción'!$B$11:$B$100,0),63)="Mayor")),1,IF(AND(AF15="Fuerte",H15="Directamente",AND(INDEX('[3]Riesgos de Corrupción'!$B$11:$BN$100,MATCH('Controles de Corrupción'!C15,'[3]Riesgos de Corrupción'!$B$11:$B$100,0),63)="Catastrófico")),2)))," ")</f>
        <v xml:space="preserve"> </v>
      </c>
      <c r="AK15" s="50" t="str">
        <f t="shared" si="19"/>
        <v xml:space="preserve"> </v>
      </c>
      <c r="AL15" s="19" t="str">
        <f>IFERROR(IF((INDEX('[3]Riesgos de Corrupción'!$B$11:$BN$100,MATCH('Controles de Corrupción'!C15,'[3]Riesgos de Corrupción'!$B$11:$B$100,0),62)-AK15&lt;=3),"Moderado",IF((INDEX('[3]Riesgos de Corrupción'!$B$11:$BN$100,MATCH('Controles de Corrupción'!C15,'[3]Riesgos de Corrupción'!$B$11:$B$100,0),62)-AK15&lt;=4),"Mayor",IF((INDEX('[3]Riesgos de Corrupción'!$B$11:$BN$100,MATCH('Controles de Corrupción'!C15,'[3]Riesgos de Corrupción'!$B$11:$B$100,0),62)-AK15&lt;=5),"Catastrófico")))," ")</f>
        <v xml:space="preserve"> </v>
      </c>
      <c r="AM15" s="19" t="str">
        <f t="shared" si="20"/>
        <v xml:space="preserve"> </v>
      </c>
      <c r="AN15" s="22" t="str">
        <f t="shared" si="21"/>
        <v xml:space="preserve"> </v>
      </c>
      <c r="AO15" s="184"/>
      <c r="AP15" s="18"/>
      <c r="AQ15" s="18"/>
      <c r="AR15" s="183"/>
      <c r="AS15" s="467"/>
      <c r="AT15" s="467"/>
      <c r="AU15" s="183"/>
      <c r="AV15" s="183"/>
      <c r="AW15" s="62"/>
      <c r="AX15" s="466"/>
      <c r="AY15" s="169"/>
      <c r="AZ15" s="21"/>
    </row>
    <row r="16" spans="1:233" s="40" customFormat="1" ht="157.5" customHeight="1" x14ac:dyDescent="0.25">
      <c r="A16" s="21"/>
      <c r="B16" s="120" t="str">
        <f t="shared" si="0"/>
        <v>-</v>
      </c>
      <c r="C16" s="188"/>
      <c r="D16" s="170"/>
      <c r="E16" s="171"/>
      <c r="F16" s="465"/>
      <c r="G16" s="38"/>
      <c r="H16" s="23"/>
      <c r="I16" s="18"/>
      <c r="J16" s="80"/>
      <c r="K16" s="18"/>
      <c r="L16" s="80"/>
      <c r="M16" s="18"/>
      <c r="N16" s="80"/>
      <c r="O16" s="18"/>
      <c r="P16" s="80"/>
      <c r="Q16" s="18"/>
      <c r="R16" s="80"/>
      <c r="S16" s="18"/>
      <c r="T16" s="80"/>
      <c r="U16" s="18"/>
      <c r="V16" s="80">
        <f t="shared" si="7"/>
        <v>0</v>
      </c>
      <c r="W16" s="19" t="str">
        <f t="shared" si="8"/>
        <v xml:space="preserve"> </v>
      </c>
      <c r="X16" s="19" t="str">
        <f t="shared" si="9"/>
        <v xml:space="preserve"> </v>
      </c>
      <c r="Y16" s="19" t="str">
        <f t="shared" si="10"/>
        <v/>
      </c>
      <c r="Z16" s="23"/>
      <c r="AA16" s="19" t="str">
        <f t="shared" si="11"/>
        <v/>
      </c>
      <c r="AB16" s="19" t="str">
        <f t="shared" si="12"/>
        <v xml:space="preserve"> </v>
      </c>
      <c r="AC16" s="19" t="str">
        <f t="shared" si="13"/>
        <v/>
      </c>
      <c r="AD16" s="19" t="str">
        <f t="shared" si="14"/>
        <v xml:space="preserve"> </v>
      </c>
      <c r="AE16" s="125" t="str">
        <f t="shared" si="15"/>
        <v xml:space="preserve"> </v>
      </c>
      <c r="AF16" s="19" t="str">
        <f t="shared" si="16"/>
        <v xml:space="preserve"> </v>
      </c>
      <c r="AG16" s="50">
        <f t="shared" si="17"/>
        <v>0</v>
      </c>
      <c r="AH16" s="50" t="str">
        <f t="shared" si="18"/>
        <v xml:space="preserve"> </v>
      </c>
      <c r="AI16" s="36" t="str">
        <f>IFERROR(IF((INDEX('[3]Riesgos de Corrupción'!$B$11:$V$100,MATCH('Controles de Corrupción'!C16,'[3]Riesgos de Corrupción'!$B$11:$B$100,0),17)-AH16&lt;=1),"Rara vez",IF((INDEX('[3]Riesgos de Corrupción'!$B$11:$V$100,MATCH('Controles de Corrupción'!C16,'[3]Riesgos de Corrupción'!$B$11:$B$100,0),17)-AH16&lt;=2),"Improbable",IF((INDEX('[3]Riesgos de Corrupción'!$B$11:$V$100,MATCH('Controles de Corrupción'!C16,'[3]Riesgos de Corrupción'!$B$11:$B$100,0),17)-AH16&lt;=3),"Posible",IF((INDEX('[3]Riesgos de Corrupción'!$B$11:$V$100,MATCH('Controles de Corrupción'!C16,'[3]Riesgos de Corrupción'!$B$11:$B$100,0),17)-AH16&lt;=4),"Probable",IF((INDEX('[3]Riesgos de Corrupción'!$B$11:$V$100,MATCH('Controles de Corrupción'!C16,'[3]Riesgos de Corrupción'!$B$11:$B$100,0),17)-AH16&lt;=5),"Casi seguro")))))," ")</f>
        <v xml:space="preserve"> </v>
      </c>
      <c r="AJ16" s="8" t="str">
        <f>IFERROR(IF(OR(AND(AF16="Fuerte",H16="No disminuye"),AND(AF16="Moderado",H16="Indirectamente"),AND(AF16="Moderado",H16="No disminuye"),AND(INDEX('[3]Riesgos de Corrupción'!$B$11:$BN$100,MATCH('Controles de Corrupción'!C16,'[3]Riesgos de Corrupción'!$B$11:$B$100,0),63)="Moderado")),0,IF(OR(AND(AF16="Fuerte",H16="Indirectamente"),AND(AF16="Moderado",H16="Directamente"),AND(INDEX('[3]Riesgos de Corrupción'!$B$11:$BN$100,MATCH('Controles de Corrupción'!C16,'[3]Riesgos de Corrupción'!$B$11:$B$100,0),63)="Mayor")),1,IF(AND(AF16="Fuerte",H16="Directamente",AND(INDEX('[3]Riesgos de Corrupción'!$B$11:$BN$100,MATCH('Controles de Corrupción'!C16,'[3]Riesgos de Corrupción'!$B$11:$B$100,0),63)="Catastrófico")),2)))," ")</f>
        <v xml:space="preserve"> </v>
      </c>
      <c r="AK16" s="19" t="str">
        <f t="shared" si="19"/>
        <v xml:space="preserve"> </v>
      </c>
      <c r="AL16" s="19" t="str">
        <f>IFERROR(IF((INDEX('[3]Riesgos de Corrupción'!$B$11:$BN$100,MATCH('Controles de Corrupción'!C16,'[3]Riesgos de Corrupción'!$B$11:$B$100,0),62)-AK16&lt;=3),"Moderado",IF((INDEX('[3]Riesgos de Corrupción'!$B$11:$BN$100,MATCH('Controles de Corrupción'!C16,'[3]Riesgos de Corrupción'!$B$11:$B$100,0),62)-AK16&lt;=4),"Mayor",IF((INDEX('[3]Riesgos de Corrupción'!$B$11:$BN$100,MATCH('Controles de Corrupción'!C16,'[3]Riesgos de Corrupción'!$B$11:$B$100,0),62)-AK16&lt;=5),"Catastrófico")))," ")</f>
        <v xml:space="preserve"> </v>
      </c>
      <c r="AM16" s="19" t="str">
        <f t="shared" si="20"/>
        <v xml:space="preserve"> </v>
      </c>
      <c r="AN16" s="22" t="str">
        <f t="shared" si="21"/>
        <v xml:space="preserve"> </v>
      </c>
      <c r="AO16" s="464"/>
      <c r="AP16" s="463"/>
      <c r="AQ16" s="124"/>
      <c r="AR16" s="460"/>
      <c r="AS16" s="460"/>
      <c r="AT16" s="460"/>
      <c r="AU16" s="460"/>
      <c r="AV16" s="460"/>
      <c r="AW16" s="459"/>
      <c r="AX16" s="458"/>
      <c r="AY16" s="184"/>
      <c r="AZ16" s="184"/>
    </row>
    <row r="17" spans="1:52" s="40" customFormat="1" ht="153" customHeight="1" x14ac:dyDescent="0.25">
      <c r="A17" s="21"/>
      <c r="B17" s="121" t="str">
        <f t="shared" si="0"/>
        <v>-</v>
      </c>
      <c r="C17" s="188"/>
      <c r="D17" s="170"/>
      <c r="E17" s="171"/>
      <c r="F17" s="462"/>
      <c r="G17" s="38"/>
      <c r="H17" s="23"/>
      <c r="I17" s="18"/>
      <c r="J17" s="80"/>
      <c r="K17" s="18"/>
      <c r="L17" s="80"/>
      <c r="M17" s="18"/>
      <c r="N17" s="80"/>
      <c r="O17" s="18"/>
      <c r="P17" s="80"/>
      <c r="Q17" s="18"/>
      <c r="R17" s="80"/>
      <c r="S17" s="18"/>
      <c r="T17" s="80"/>
      <c r="U17" s="18"/>
      <c r="V17" s="80">
        <f t="shared" si="7"/>
        <v>0</v>
      </c>
      <c r="W17" s="19" t="str">
        <f t="shared" si="8"/>
        <v xml:space="preserve"> </v>
      </c>
      <c r="X17" s="19" t="str">
        <f t="shared" si="9"/>
        <v xml:space="preserve"> </v>
      </c>
      <c r="Y17" s="19" t="str">
        <f t="shared" si="10"/>
        <v/>
      </c>
      <c r="Z17" s="23"/>
      <c r="AA17" s="19" t="str">
        <f t="shared" si="11"/>
        <v/>
      </c>
      <c r="AB17" s="19" t="str">
        <f t="shared" si="12"/>
        <v xml:space="preserve"> </v>
      </c>
      <c r="AC17" s="19" t="str">
        <f t="shared" si="13"/>
        <v/>
      </c>
      <c r="AD17" s="19" t="str">
        <f t="shared" si="14"/>
        <v xml:space="preserve"> </v>
      </c>
      <c r="AE17" s="125" t="str">
        <f t="shared" si="15"/>
        <v xml:space="preserve"> </v>
      </c>
      <c r="AF17" s="19" t="str">
        <f t="shared" si="16"/>
        <v xml:space="preserve"> </v>
      </c>
      <c r="AG17" s="50">
        <f t="shared" si="17"/>
        <v>0</v>
      </c>
      <c r="AH17" s="50" t="str">
        <f t="shared" si="18"/>
        <v xml:space="preserve"> </v>
      </c>
      <c r="AI17" s="36" t="str">
        <f>IFERROR(IF((INDEX('[3]Riesgos de Corrupción'!$B$11:$V$100,MATCH('Controles de Corrupción'!C17,'[3]Riesgos de Corrupción'!$B$11:$B$100,0),17)-AH17&lt;=1),"Rara vez",IF((INDEX('[3]Riesgos de Corrupción'!$B$11:$V$100,MATCH('Controles de Corrupción'!C17,'[3]Riesgos de Corrupción'!$B$11:$B$100,0),17)-AH17&lt;=2),"Improbable",IF((INDEX('[3]Riesgos de Corrupción'!$B$11:$V$100,MATCH('Controles de Corrupción'!C17,'[3]Riesgos de Corrupción'!$B$11:$B$100,0),17)-AH17&lt;=3),"Posible",IF((INDEX('[3]Riesgos de Corrupción'!$B$11:$V$100,MATCH('Controles de Corrupción'!C17,'[3]Riesgos de Corrupción'!$B$11:$B$100,0),17)-AH17&lt;=4),"Probable",IF((INDEX('[3]Riesgos de Corrupción'!$B$11:$V$100,MATCH('Controles de Corrupción'!C17,'[3]Riesgos de Corrupción'!$B$11:$B$100,0),17)-AH17&lt;=5),"Casi seguro")))))," ")</f>
        <v xml:space="preserve"> </v>
      </c>
      <c r="AJ17" s="8" t="str">
        <f>IFERROR(IF(OR(AND(AF17="Fuerte",H17="No disminuye"),AND(AF17="Moderado",H17="Indirectamente"),AND(AF17="Moderado",H17="No disminuye"),AND(INDEX('[3]Riesgos de Corrupción'!$B$11:$BN$100,MATCH('Controles de Corrupción'!C17,'[3]Riesgos de Corrupción'!$B$11:$B$100,0),63)="Moderado")),0,IF(OR(AND(AF17="Fuerte",H17="Indirectamente"),AND(AF17="Moderado",H17="Directamente"),AND(INDEX('[3]Riesgos de Corrupción'!$B$11:$BN$100,MATCH('Controles de Corrupción'!C17,'[3]Riesgos de Corrupción'!$B$11:$B$100,0),63)="Mayor")),1,IF(AND(AF17="Fuerte",H17="Directamente",AND(INDEX('[3]Riesgos de Corrupción'!$B$11:$BN$100,MATCH('Controles de Corrupción'!C17,'[3]Riesgos de Corrupción'!$B$11:$B$100,0),63)="Catastrófico")),2)))," ")</f>
        <v xml:space="preserve"> </v>
      </c>
      <c r="AK17" s="19" t="str">
        <f t="shared" si="19"/>
        <v xml:space="preserve"> </v>
      </c>
      <c r="AL17" s="19" t="str">
        <f>IFERROR(IF((INDEX('[3]Riesgos de Corrupción'!$B$11:$BN$100,MATCH('Controles de Corrupción'!C17,'[3]Riesgos de Corrupción'!$B$11:$B$100,0),62)-AK17&lt;=3),"Moderado",IF((INDEX('[3]Riesgos de Corrupción'!$B$11:$BN$100,MATCH('Controles de Corrupción'!C17,'[3]Riesgos de Corrupción'!$B$11:$B$100,0),62)-AK17&lt;=4),"Mayor",IF((INDEX('[3]Riesgos de Corrupción'!$B$11:$BN$100,MATCH('Controles de Corrupción'!C17,'[3]Riesgos de Corrupción'!$B$11:$B$100,0),62)-AK17&lt;=5),"Catastrófico")))," ")</f>
        <v xml:space="preserve"> </v>
      </c>
      <c r="AM17" s="19" t="str">
        <f t="shared" si="20"/>
        <v xml:space="preserve"> </v>
      </c>
      <c r="AN17" s="22" t="str">
        <f t="shared" si="21"/>
        <v xml:space="preserve"> </v>
      </c>
      <c r="AO17" s="459"/>
      <c r="AP17" s="124"/>
      <c r="AQ17" s="124"/>
      <c r="AR17" s="460"/>
      <c r="AS17" s="460"/>
      <c r="AT17" s="460"/>
      <c r="AU17" s="460"/>
      <c r="AV17" s="460"/>
      <c r="AW17" s="459"/>
      <c r="AX17" s="458"/>
      <c r="AY17" s="184"/>
      <c r="AZ17" s="184"/>
    </row>
    <row r="18" spans="1:52" s="40" customFormat="1" ht="126.75" customHeight="1" x14ac:dyDescent="0.25">
      <c r="A18" s="21"/>
      <c r="B18" s="120" t="str">
        <f t="shared" si="0"/>
        <v>-</v>
      </c>
      <c r="C18" s="188"/>
      <c r="D18" s="170"/>
      <c r="E18" s="171"/>
      <c r="F18" s="461"/>
      <c r="G18" s="38"/>
      <c r="H18" s="23"/>
      <c r="I18" s="18"/>
      <c r="J18" s="80">
        <f t="shared" ref="J18:J81" si="22">IF(I18="Asignado",15,IF(I18="No asignado",0,IF(I18=0,0)))</f>
        <v>0</v>
      </c>
      <c r="K18" s="18"/>
      <c r="L18" s="80">
        <f t="shared" ref="L18:L81" si="23">IF(K18="Adecuado",15,IF(K18="Inadecuado",0,IF(I18=0,0)))</f>
        <v>0</v>
      </c>
      <c r="M18" s="18"/>
      <c r="N18" s="80">
        <f t="shared" ref="N18:N81" si="24">IF(M18="Oportuna",15,IF(M18="Inoportuna",0,IF(I18=0,0)))</f>
        <v>0</v>
      </c>
      <c r="O18" s="18"/>
      <c r="P18" s="80">
        <f t="shared" ref="P18:P81" si="25">IF(O18="Prevenir",15,IF(O18="Detectar",10,IF(O18="No es un control",0,IF(I18=0,0))))</f>
        <v>0</v>
      </c>
      <c r="Q18" s="18"/>
      <c r="R18" s="80">
        <f t="shared" ref="R18:R81" si="26">IF(Q18="Confiable",15,IF(Q18="No confiable",0,IF(I18=0,0)))</f>
        <v>0</v>
      </c>
      <c r="S18" s="18"/>
      <c r="T18" s="80">
        <f t="shared" ref="T18:T81" si="27">IF(S18="Se investigan y resuelven oportunamente",15,IF(S18="No se investigan y resuelven oportunamente",0,IF(I18=0,0)))</f>
        <v>0</v>
      </c>
      <c r="U18" s="18"/>
      <c r="V18" s="80">
        <f t="shared" si="7"/>
        <v>0</v>
      </c>
      <c r="W18" s="19" t="str">
        <f t="shared" si="8"/>
        <v xml:space="preserve"> </v>
      </c>
      <c r="X18" s="19" t="str">
        <f t="shared" si="9"/>
        <v xml:space="preserve"> </v>
      </c>
      <c r="Y18" s="19" t="str">
        <f t="shared" si="10"/>
        <v/>
      </c>
      <c r="Z18" s="23"/>
      <c r="AA18" s="19" t="str">
        <f t="shared" si="11"/>
        <v/>
      </c>
      <c r="AB18" s="19" t="str">
        <f t="shared" si="12"/>
        <v xml:space="preserve"> </v>
      </c>
      <c r="AC18" s="19" t="str">
        <f t="shared" si="13"/>
        <v/>
      </c>
      <c r="AD18" s="19" t="str">
        <f t="shared" si="14"/>
        <v xml:space="preserve"> </v>
      </c>
      <c r="AE18" s="125" t="str">
        <f t="shared" si="15"/>
        <v xml:space="preserve"> </v>
      </c>
      <c r="AF18" s="19" t="str">
        <f t="shared" si="16"/>
        <v xml:space="preserve"> </v>
      </c>
      <c r="AG18" s="50">
        <f t="shared" si="17"/>
        <v>0</v>
      </c>
      <c r="AH18" s="50" t="str">
        <f t="shared" si="18"/>
        <v xml:space="preserve"> </v>
      </c>
      <c r="AI18" s="36" t="str">
        <f>IFERROR(IF((INDEX('[3]Riesgos de Corrupción'!$B$11:$V$100,MATCH('Controles de Corrupción'!C18,'[3]Riesgos de Corrupción'!$B$11:$B$100,0),17)-AH18&lt;=1),"Rara vez",IF((INDEX('[3]Riesgos de Corrupción'!$B$11:$V$100,MATCH('Controles de Corrupción'!C18,'[3]Riesgos de Corrupción'!$B$11:$B$100,0),17)-AH18&lt;=2),"Improbable",IF((INDEX('[3]Riesgos de Corrupción'!$B$11:$V$100,MATCH('Controles de Corrupción'!C18,'[3]Riesgos de Corrupción'!$B$11:$B$100,0),17)-AH18&lt;=3),"Posible",IF((INDEX('[3]Riesgos de Corrupción'!$B$11:$V$100,MATCH('Controles de Corrupción'!C18,'[3]Riesgos de Corrupción'!$B$11:$B$100,0),17)-AH18&lt;=4),"Probable",IF((INDEX('[3]Riesgos de Corrupción'!$B$11:$V$100,MATCH('Controles de Corrupción'!C18,'[3]Riesgos de Corrupción'!$B$11:$B$100,0),17)-AH18&lt;=5),"Casi seguro")))))," ")</f>
        <v xml:space="preserve"> </v>
      </c>
      <c r="AJ18" s="8" t="str">
        <f>IFERROR(IF(OR(AND(AF18="Fuerte",H18="No disminuye"),AND(AF18="Moderado",H18="Indirectamente"),AND(AF18="Moderado",H18="No disminuye"),AND(INDEX('[3]Riesgos de Corrupción'!$B$11:$BN$100,MATCH('Controles de Corrupción'!C18,'[3]Riesgos de Corrupción'!$B$11:$B$100,0),63)="Moderado")),0,IF(OR(AND(AF18="Fuerte",H18="Indirectamente"),AND(AF18="Moderado",H18="Directamente"),AND(INDEX('[3]Riesgos de Corrupción'!$B$11:$BN$100,MATCH('Controles de Corrupción'!C18,'[3]Riesgos de Corrupción'!$B$11:$B$100,0),63)="Mayor")),1,IF(AND(AF18="Fuerte",H18="Directamente",AND(INDEX('[3]Riesgos de Corrupción'!$B$11:$BN$100,MATCH('Controles de Corrupción'!C18,'[3]Riesgos de Corrupción'!$B$11:$B$100,0),63)="Catastrófico")),2)))," ")</f>
        <v xml:space="preserve"> </v>
      </c>
      <c r="AK18" s="19" t="str">
        <f t="shared" si="19"/>
        <v xml:space="preserve"> </v>
      </c>
      <c r="AL18" s="19" t="str">
        <f>IFERROR(IF((INDEX('[3]Riesgos de Corrupción'!$B$11:$BN$100,MATCH('Controles de Corrupción'!C18,'[3]Riesgos de Corrupción'!$B$11:$B$100,0),62)-AK18&lt;=3),"Moderado",IF((INDEX('[3]Riesgos de Corrupción'!$B$11:$BN$100,MATCH('Controles de Corrupción'!C18,'[3]Riesgos de Corrupción'!$B$11:$B$100,0),62)-AK18&lt;=4),"Mayor",IF((INDEX('[3]Riesgos de Corrupción'!$B$11:$BN$100,MATCH('Controles de Corrupción'!C18,'[3]Riesgos de Corrupción'!$B$11:$B$100,0),62)-AK18&lt;=5),"Catastrófico")))," ")</f>
        <v xml:space="preserve"> </v>
      </c>
      <c r="AM18" s="19" t="str">
        <f t="shared" si="20"/>
        <v xml:space="preserve"> </v>
      </c>
      <c r="AN18" s="22" t="str">
        <f t="shared" si="21"/>
        <v xml:space="preserve"> </v>
      </c>
      <c r="AO18" s="124"/>
      <c r="AP18" s="124"/>
      <c r="AQ18" s="124"/>
      <c r="AR18" s="460"/>
      <c r="AS18" s="460"/>
      <c r="AT18" s="460"/>
      <c r="AU18" s="124"/>
      <c r="AV18" s="460"/>
      <c r="AW18" s="459"/>
      <c r="AX18" s="458"/>
      <c r="AY18" s="169"/>
      <c r="AZ18" s="169"/>
    </row>
    <row r="19" spans="1:52" s="40" customFormat="1" ht="144" customHeight="1" x14ac:dyDescent="0.25">
      <c r="A19" s="21"/>
      <c r="B19" s="120" t="str">
        <f t="shared" si="0"/>
        <v>-</v>
      </c>
      <c r="C19" s="188"/>
      <c r="D19" s="170"/>
      <c r="E19" s="171"/>
      <c r="F19" s="168"/>
      <c r="G19" s="38"/>
      <c r="H19" s="23"/>
      <c r="I19" s="18"/>
      <c r="J19" s="80">
        <f t="shared" si="22"/>
        <v>0</v>
      </c>
      <c r="K19" s="18"/>
      <c r="L19" s="80">
        <f t="shared" si="23"/>
        <v>0</v>
      </c>
      <c r="M19" s="18"/>
      <c r="N19" s="80">
        <f t="shared" si="24"/>
        <v>0</v>
      </c>
      <c r="O19" s="18"/>
      <c r="P19" s="80">
        <f t="shared" si="25"/>
        <v>0</v>
      </c>
      <c r="Q19" s="18"/>
      <c r="R19" s="80">
        <f t="shared" si="26"/>
        <v>0</v>
      </c>
      <c r="S19" s="18"/>
      <c r="T19" s="80">
        <f t="shared" si="27"/>
        <v>0</v>
      </c>
      <c r="U19" s="18"/>
      <c r="V19" s="80">
        <f t="shared" si="7"/>
        <v>0</v>
      </c>
      <c r="W19" s="19" t="str">
        <f t="shared" si="8"/>
        <v xml:space="preserve"> </v>
      </c>
      <c r="X19" s="19" t="str">
        <f t="shared" si="9"/>
        <v xml:space="preserve"> </v>
      </c>
      <c r="Y19" s="19" t="str">
        <f t="shared" si="10"/>
        <v/>
      </c>
      <c r="Z19" s="23"/>
      <c r="AA19" s="19" t="str">
        <f t="shared" si="11"/>
        <v/>
      </c>
      <c r="AB19" s="19" t="str">
        <f t="shared" si="12"/>
        <v xml:space="preserve"> </v>
      </c>
      <c r="AC19" s="19" t="str">
        <f t="shared" si="13"/>
        <v/>
      </c>
      <c r="AD19" s="19" t="str">
        <f t="shared" si="14"/>
        <v xml:space="preserve"> </v>
      </c>
      <c r="AE19" s="125" t="str">
        <f t="shared" si="15"/>
        <v xml:space="preserve"> </v>
      </c>
      <c r="AF19" s="19" t="str">
        <f t="shared" si="16"/>
        <v xml:space="preserve"> </v>
      </c>
      <c r="AG19" s="50">
        <f t="shared" si="17"/>
        <v>0</v>
      </c>
      <c r="AH19" s="50" t="str">
        <f t="shared" si="18"/>
        <v xml:space="preserve"> </v>
      </c>
      <c r="AI19" s="36" t="str">
        <f>IFERROR(IF((INDEX('[3]Riesgos de Corrupción'!$B$11:$V$100,MATCH('Controles de Corrupción'!C19,'[3]Riesgos de Corrupción'!$B$11:$B$100,0),17)-AH19&lt;=1),"Rara vez",IF((INDEX('[3]Riesgos de Corrupción'!$B$11:$V$100,MATCH('Controles de Corrupción'!C19,'[3]Riesgos de Corrupción'!$B$11:$B$100,0),17)-AH19&lt;=2),"Improbable",IF((INDEX('[3]Riesgos de Corrupción'!$B$11:$V$100,MATCH('Controles de Corrupción'!C19,'[3]Riesgos de Corrupción'!$B$11:$B$100,0),17)-AH19&lt;=3),"Posible",IF((INDEX('[3]Riesgos de Corrupción'!$B$11:$V$100,MATCH('Controles de Corrupción'!C19,'[3]Riesgos de Corrupción'!$B$11:$B$100,0),17)-AH19&lt;=4),"Probable",IF((INDEX('[3]Riesgos de Corrupción'!$B$11:$V$100,MATCH('Controles de Corrupción'!C19,'[3]Riesgos de Corrupción'!$B$11:$B$100,0),17)-AH19&lt;=5),"Casi seguro")))))," ")</f>
        <v xml:space="preserve"> </v>
      </c>
      <c r="AJ19" s="8" t="str">
        <f>IFERROR(IF(OR(AND(AF19="Fuerte",H19="No disminuye"),AND(AF19="Moderado",H19="Indirectamente"),AND(AF19="Moderado",H19="No disminuye"),AND(INDEX('[3]Riesgos de Corrupción'!$B$11:$BN$100,MATCH('Controles de Corrupción'!C19,'[3]Riesgos de Corrupción'!$B$11:$B$100,0),63)="Moderado")),0,IF(OR(AND(AF19="Fuerte",H19="Indirectamente"),AND(AF19="Moderado",H19="Directamente"),AND(INDEX('[3]Riesgos de Corrupción'!$B$11:$BN$100,MATCH('Controles de Corrupción'!C19,'[3]Riesgos de Corrupción'!$B$11:$B$100,0),63)="Mayor")),1,IF(AND(AF19="Fuerte",H19="Directamente",AND(INDEX('[3]Riesgos de Corrupción'!$B$11:$BN$100,MATCH('Controles de Corrupción'!C19,'[3]Riesgos de Corrupción'!$B$11:$B$100,0),63)="Catastrófico")),2)))," ")</f>
        <v xml:space="preserve"> </v>
      </c>
      <c r="AK19" s="19" t="str">
        <f t="shared" si="19"/>
        <v xml:space="preserve"> </v>
      </c>
      <c r="AL19" s="19" t="str">
        <f>IFERROR(IF((INDEX('[3]Riesgos de Corrupción'!$B$11:$BN$100,MATCH('Controles de Corrupción'!C19,'[3]Riesgos de Corrupción'!$B$11:$B$100,0),62)-AK19&lt;=3),"Moderado",IF((INDEX('[3]Riesgos de Corrupción'!$B$11:$BN$100,MATCH('Controles de Corrupción'!C19,'[3]Riesgos de Corrupción'!$B$11:$B$100,0),62)-AK19&lt;=4),"Mayor",IF((INDEX('[3]Riesgos de Corrupción'!$B$11:$BN$100,MATCH('Controles de Corrupción'!C19,'[3]Riesgos de Corrupción'!$B$11:$B$100,0),62)-AK19&lt;=5),"Catastrófico")))," ")</f>
        <v xml:space="preserve"> </v>
      </c>
      <c r="AM19" s="19" t="str">
        <f t="shared" si="20"/>
        <v xml:space="preserve"> </v>
      </c>
      <c r="AN19" s="22" t="str">
        <f t="shared" si="21"/>
        <v xml:space="preserve"> </v>
      </c>
      <c r="AO19" s="169"/>
      <c r="AP19" s="169"/>
      <c r="AQ19" s="23"/>
      <c r="AR19" s="20"/>
      <c r="AS19" s="169"/>
      <c r="AT19" s="23"/>
      <c r="AU19" s="169"/>
      <c r="AV19" s="23"/>
      <c r="AW19" s="169"/>
      <c r="AX19" s="458"/>
      <c r="AY19" s="169"/>
      <c r="AZ19" s="184"/>
    </row>
    <row r="20" spans="1:52" s="48" customFormat="1" ht="131.25" customHeight="1" x14ac:dyDescent="0.3">
      <c r="A20" s="75"/>
      <c r="B20" s="120" t="str">
        <f t="shared" si="0"/>
        <v>-</v>
      </c>
      <c r="C20" s="188"/>
      <c r="D20" s="170"/>
      <c r="E20" s="171"/>
      <c r="F20" s="168"/>
      <c r="G20" s="38"/>
      <c r="H20" s="23"/>
      <c r="I20" s="18"/>
      <c r="J20" s="80">
        <f t="shared" si="22"/>
        <v>0</v>
      </c>
      <c r="K20" s="18"/>
      <c r="L20" s="80">
        <f t="shared" si="23"/>
        <v>0</v>
      </c>
      <c r="M20" s="18"/>
      <c r="N20" s="80">
        <f t="shared" si="24"/>
        <v>0</v>
      </c>
      <c r="O20" s="18"/>
      <c r="P20" s="80">
        <f t="shared" si="25"/>
        <v>0</v>
      </c>
      <c r="Q20" s="18"/>
      <c r="R20" s="80">
        <f t="shared" si="26"/>
        <v>0</v>
      </c>
      <c r="S20" s="18"/>
      <c r="T20" s="80">
        <f t="shared" si="27"/>
        <v>0</v>
      </c>
      <c r="U20" s="18"/>
      <c r="V20" s="80">
        <f t="shared" si="7"/>
        <v>0</v>
      </c>
      <c r="W20" s="19" t="str">
        <f t="shared" si="8"/>
        <v xml:space="preserve"> </v>
      </c>
      <c r="X20" s="19" t="str">
        <f t="shared" si="9"/>
        <v xml:space="preserve"> </v>
      </c>
      <c r="Y20" s="19" t="str">
        <f t="shared" si="10"/>
        <v/>
      </c>
      <c r="Z20" s="23"/>
      <c r="AA20" s="19" t="str">
        <f t="shared" si="11"/>
        <v/>
      </c>
      <c r="AB20" s="19" t="str">
        <f t="shared" si="12"/>
        <v xml:space="preserve"> </v>
      </c>
      <c r="AC20" s="19" t="str">
        <f t="shared" si="13"/>
        <v/>
      </c>
      <c r="AD20" s="19" t="str">
        <f t="shared" si="14"/>
        <v xml:space="preserve"> </v>
      </c>
      <c r="AE20" s="125" t="str">
        <f t="shared" si="15"/>
        <v xml:space="preserve"> </v>
      </c>
      <c r="AF20" s="19" t="str">
        <f t="shared" si="16"/>
        <v xml:space="preserve"> </v>
      </c>
      <c r="AG20" s="50">
        <f t="shared" si="17"/>
        <v>0</v>
      </c>
      <c r="AH20" s="50" t="str">
        <f t="shared" si="18"/>
        <v xml:space="preserve"> </v>
      </c>
      <c r="AI20" s="36" t="str">
        <f>IFERROR(IF((INDEX('[3]Riesgos de Corrupción'!$B$11:$V$100,MATCH('Controles de Corrupción'!C20,'[3]Riesgos de Corrupción'!$B$11:$B$100,0),17)-AH20&lt;=1),"Rara vez",IF((INDEX('[3]Riesgos de Corrupción'!$B$11:$V$100,MATCH('Controles de Corrupción'!C20,'[3]Riesgos de Corrupción'!$B$11:$B$100,0),17)-AH20&lt;=2),"Improbable",IF((INDEX('[3]Riesgos de Corrupción'!$B$11:$V$100,MATCH('Controles de Corrupción'!C20,'[3]Riesgos de Corrupción'!$B$11:$B$100,0),17)-AH20&lt;=3),"Posible",IF((INDEX('[3]Riesgos de Corrupción'!$B$11:$V$100,MATCH('Controles de Corrupción'!C20,'[3]Riesgos de Corrupción'!$B$11:$B$100,0),17)-AH20&lt;=4),"Probable",IF((INDEX('[3]Riesgos de Corrupción'!$B$11:$V$100,MATCH('Controles de Corrupción'!C20,'[3]Riesgos de Corrupción'!$B$11:$B$100,0),17)-AH20&lt;=5),"Casi seguro")))))," ")</f>
        <v xml:space="preserve"> </v>
      </c>
      <c r="AJ20" s="8" t="str">
        <f>IFERROR(IF(OR(AND(AF20="Fuerte",H20="No disminuye"),AND(AF20="Moderado",H20="Indirectamente"),AND(AF20="Moderado",H20="No disminuye"),AND(INDEX('[3]Riesgos de Corrupción'!$B$11:$BN$100,MATCH('Controles de Corrupción'!C20,'[3]Riesgos de Corrupción'!$B$11:$B$100,0),63)="Moderado")),0,IF(OR(AND(AF20="Fuerte",H20="Indirectamente"),AND(AF20="Moderado",H20="Directamente"),AND(INDEX('[3]Riesgos de Corrupción'!$B$11:$BN$100,MATCH('Controles de Corrupción'!C20,'[3]Riesgos de Corrupción'!$B$11:$B$100,0),63)="Mayor")),1,IF(AND(AF20="Fuerte",H20="Directamente",AND(INDEX('[3]Riesgos de Corrupción'!$B$11:$BN$100,MATCH('Controles de Corrupción'!C20,'[3]Riesgos de Corrupción'!$B$11:$B$100,0),63)="Catastrófico")),2)))," ")</f>
        <v xml:space="preserve"> </v>
      </c>
      <c r="AK20" s="19" t="str">
        <f t="shared" si="19"/>
        <v xml:space="preserve"> </v>
      </c>
      <c r="AL20" s="19" t="str">
        <f>IFERROR(IF((INDEX('[3]Riesgos de Corrupción'!$B$11:$BN$100,MATCH('Controles de Corrupción'!C20,'[3]Riesgos de Corrupción'!$B$11:$B$100,0),62)-AK20&lt;=3),"Moderado",IF((INDEX('[3]Riesgos de Corrupción'!$B$11:$BN$100,MATCH('Controles de Corrupción'!C20,'[3]Riesgos de Corrupción'!$B$11:$B$100,0),62)-AK20&lt;=4),"Mayor",IF((INDEX('[3]Riesgos de Corrupción'!$B$11:$BN$100,MATCH('Controles de Corrupción'!C20,'[3]Riesgos de Corrupción'!$B$11:$B$100,0),62)-AK20&lt;=5),"Catastrófico")))," ")</f>
        <v xml:space="preserve"> </v>
      </c>
      <c r="AM20" s="19" t="str">
        <f t="shared" si="20"/>
        <v xml:space="preserve"> </v>
      </c>
      <c r="AN20" s="22" t="str">
        <f t="shared" si="21"/>
        <v xml:space="preserve"> </v>
      </c>
      <c r="AO20" s="169"/>
      <c r="AP20" s="169"/>
      <c r="AQ20" s="23"/>
      <c r="AR20" s="23"/>
      <c r="AS20" s="169"/>
      <c r="AT20" s="23"/>
      <c r="AU20" s="169"/>
      <c r="AV20" s="23"/>
      <c r="AW20" s="169"/>
      <c r="AX20" s="458"/>
      <c r="AY20" s="169"/>
      <c r="AZ20" s="184"/>
    </row>
    <row r="21" spans="1:52" s="48" customFormat="1" ht="138.75" customHeight="1" x14ac:dyDescent="0.3">
      <c r="A21" s="75"/>
      <c r="B21" s="120" t="str">
        <f t="shared" si="0"/>
        <v>-</v>
      </c>
      <c r="C21" s="188"/>
      <c r="D21" s="170"/>
      <c r="E21" s="171"/>
      <c r="F21" s="168"/>
      <c r="G21" s="38"/>
      <c r="H21" s="23"/>
      <c r="I21" s="18"/>
      <c r="J21" s="80">
        <f t="shared" si="22"/>
        <v>0</v>
      </c>
      <c r="K21" s="18"/>
      <c r="L21" s="80">
        <f t="shared" si="23"/>
        <v>0</v>
      </c>
      <c r="M21" s="18"/>
      <c r="N21" s="80">
        <f t="shared" si="24"/>
        <v>0</v>
      </c>
      <c r="O21" s="18"/>
      <c r="P21" s="80">
        <f t="shared" si="25"/>
        <v>0</v>
      </c>
      <c r="Q21" s="18"/>
      <c r="R21" s="80">
        <f t="shared" si="26"/>
        <v>0</v>
      </c>
      <c r="S21" s="18"/>
      <c r="T21" s="80">
        <f t="shared" si="27"/>
        <v>0</v>
      </c>
      <c r="U21" s="18"/>
      <c r="V21" s="80">
        <f t="shared" si="7"/>
        <v>0</v>
      </c>
      <c r="W21" s="19" t="str">
        <f t="shared" si="8"/>
        <v xml:space="preserve"> </v>
      </c>
      <c r="X21" s="19" t="str">
        <f t="shared" si="9"/>
        <v xml:space="preserve"> </v>
      </c>
      <c r="Y21" s="19" t="str">
        <f t="shared" si="10"/>
        <v/>
      </c>
      <c r="Z21" s="23"/>
      <c r="AA21" s="19" t="str">
        <f t="shared" si="11"/>
        <v/>
      </c>
      <c r="AB21" s="19" t="str">
        <f t="shared" si="12"/>
        <v xml:space="preserve"> </v>
      </c>
      <c r="AC21" s="19" t="str">
        <f t="shared" si="13"/>
        <v/>
      </c>
      <c r="AD21" s="19" t="str">
        <f t="shared" si="14"/>
        <v xml:space="preserve"> </v>
      </c>
      <c r="AE21" s="125" t="str">
        <f t="shared" si="15"/>
        <v xml:space="preserve"> </v>
      </c>
      <c r="AF21" s="19" t="str">
        <f t="shared" si="16"/>
        <v xml:space="preserve"> </v>
      </c>
      <c r="AG21" s="50">
        <f t="shared" si="17"/>
        <v>0</v>
      </c>
      <c r="AH21" s="50" t="str">
        <f t="shared" si="18"/>
        <v xml:space="preserve"> </v>
      </c>
      <c r="AI21" s="36" t="str">
        <f>IFERROR(IF((INDEX('[3]Riesgos de Corrupción'!$B$11:$V$100,MATCH('Controles de Corrupción'!C21,'[3]Riesgos de Corrupción'!$B$11:$B$100,0),17)-AH21&lt;=1),"Rara vez",IF((INDEX('[3]Riesgos de Corrupción'!$B$11:$V$100,MATCH('Controles de Corrupción'!C21,'[3]Riesgos de Corrupción'!$B$11:$B$100,0),17)-AH21&lt;=2),"Improbable",IF((INDEX('[3]Riesgos de Corrupción'!$B$11:$V$100,MATCH('Controles de Corrupción'!C21,'[3]Riesgos de Corrupción'!$B$11:$B$100,0),17)-AH21&lt;=3),"Posible",IF((INDEX('[3]Riesgos de Corrupción'!$B$11:$V$100,MATCH('Controles de Corrupción'!C21,'[3]Riesgos de Corrupción'!$B$11:$B$100,0),17)-AH21&lt;=4),"Probable",IF((INDEX('[3]Riesgos de Corrupción'!$B$11:$V$100,MATCH('Controles de Corrupción'!C21,'[3]Riesgos de Corrupción'!$B$11:$B$100,0),17)-AH21&lt;=5),"Casi seguro")))))," ")</f>
        <v xml:space="preserve"> </v>
      </c>
      <c r="AJ21" s="8" t="str">
        <f>IFERROR(IF(OR(AND(AF21="Fuerte",H21="No disminuye"),AND(AF21="Moderado",H21="Indirectamente"),AND(AF21="Moderado",H21="No disminuye"),AND(INDEX('[3]Riesgos de Corrupción'!$B$11:$BN$100,MATCH('Controles de Corrupción'!C21,'[3]Riesgos de Corrupción'!$B$11:$B$100,0),63)="Moderado")),0,IF(OR(AND(AF21="Fuerte",H21="Indirectamente"),AND(AF21="Moderado",H21="Directamente"),AND(INDEX('[3]Riesgos de Corrupción'!$B$11:$BN$100,MATCH('Controles de Corrupción'!C21,'[3]Riesgos de Corrupción'!$B$11:$B$100,0),63)="Mayor")),1,IF(AND(AF21="Fuerte",H21="Directamente",AND(INDEX('[3]Riesgos de Corrupción'!$B$11:$BN$100,MATCH('Controles de Corrupción'!C21,'[3]Riesgos de Corrupción'!$B$11:$B$100,0),63)="Catastrófico")),2)))," ")</f>
        <v xml:space="preserve"> </v>
      </c>
      <c r="AK21" s="19" t="str">
        <f t="shared" si="19"/>
        <v xml:space="preserve"> </v>
      </c>
      <c r="AL21" s="19" t="str">
        <f>IFERROR(IF((INDEX('[3]Riesgos de Corrupción'!$B$11:$BN$100,MATCH('Controles de Corrupción'!C21,'[3]Riesgos de Corrupción'!$B$11:$B$100,0),62)-AK21&lt;=3),"Moderado",IF((INDEX('[3]Riesgos de Corrupción'!$B$11:$BN$100,MATCH('Controles de Corrupción'!C21,'[3]Riesgos de Corrupción'!$B$11:$B$100,0),62)-AK21&lt;=4),"Mayor",IF((INDEX('[3]Riesgos de Corrupción'!$B$11:$BN$100,MATCH('Controles de Corrupción'!C21,'[3]Riesgos de Corrupción'!$B$11:$B$100,0),62)-AK21&lt;=5),"Catastrófico")))," ")</f>
        <v xml:space="preserve"> </v>
      </c>
      <c r="AM21" s="19" t="str">
        <f t="shared" si="20"/>
        <v xml:space="preserve"> </v>
      </c>
      <c r="AN21" s="22" t="str">
        <f t="shared" si="21"/>
        <v xml:space="preserve"> </v>
      </c>
      <c r="AO21" s="169"/>
      <c r="AP21" s="169"/>
      <c r="AQ21" s="169"/>
      <c r="AR21" s="23"/>
      <c r="AS21" s="169"/>
      <c r="AT21" s="169"/>
      <c r="AU21" s="23"/>
      <c r="AV21" s="23"/>
      <c r="AW21" s="169"/>
      <c r="AX21" s="189"/>
      <c r="AY21" s="189"/>
      <c r="AZ21" s="169"/>
    </row>
    <row r="22" spans="1:52" s="48" customFormat="1" ht="183" customHeight="1" x14ac:dyDescent="0.3">
      <c r="A22" s="75"/>
      <c r="B22" s="120" t="str">
        <f t="shared" si="0"/>
        <v>-</v>
      </c>
      <c r="C22" s="188"/>
      <c r="D22" s="170"/>
      <c r="E22" s="171"/>
      <c r="F22" s="196"/>
      <c r="G22" s="38"/>
      <c r="H22" s="23"/>
      <c r="I22" s="18"/>
      <c r="J22" s="80">
        <f t="shared" si="22"/>
        <v>0</v>
      </c>
      <c r="K22" s="18"/>
      <c r="L22" s="80">
        <f t="shared" si="23"/>
        <v>0</v>
      </c>
      <c r="M22" s="18"/>
      <c r="N22" s="80">
        <f t="shared" si="24"/>
        <v>0</v>
      </c>
      <c r="O22" s="18"/>
      <c r="P22" s="80">
        <f t="shared" si="25"/>
        <v>0</v>
      </c>
      <c r="Q22" s="18"/>
      <c r="R22" s="80">
        <f t="shared" si="26"/>
        <v>0</v>
      </c>
      <c r="S22" s="18"/>
      <c r="T22" s="80">
        <f t="shared" si="27"/>
        <v>0</v>
      </c>
      <c r="U22" s="18"/>
      <c r="V22" s="80">
        <f t="shared" si="7"/>
        <v>0</v>
      </c>
      <c r="W22" s="19" t="str">
        <f t="shared" si="8"/>
        <v xml:space="preserve"> </v>
      </c>
      <c r="X22" s="19" t="str">
        <f t="shared" si="9"/>
        <v xml:space="preserve"> </v>
      </c>
      <c r="Y22" s="19" t="str">
        <f t="shared" si="10"/>
        <v/>
      </c>
      <c r="Z22" s="23"/>
      <c r="AA22" s="19" t="str">
        <f t="shared" si="11"/>
        <v/>
      </c>
      <c r="AB22" s="19" t="str">
        <f t="shared" si="12"/>
        <v xml:space="preserve"> </v>
      </c>
      <c r="AC22" s="19" t="str">
        <f t="shared" si="13"/>
        <v/>
      </c>
      <c r="AD22" s="19" t="str">
        <f t="shared" si="14"/>
        <v xml:space="preserve"> </v>
      </c>
      <c r="AE22" s="125" t="str">
        <f t="shared" si="15"/>
        <v xml:space="preserve"> </v>
      </c>
      <c r="AF22" s="19" t="str">
        <f t="shared" si="16"/>
        <v xml:space="preserve"> </v>
      </c>
      <c r="AG22" s="50">
        <f t="shared" si="17"/>
        <v>0</v>
      </c>
      <c r="AH22" s="50" t="str">
        <f t="shared" si="18"/>
        <v xml:space="preserve"> </v>
      </c>
      <c r="AI22" s="36" t="str">
        <f>IFERROR(IF((INDEX('[3]Riesgos de Corrupción'!$B$11:$V$100,MATCH('Controles de Corrupción'!C22,'[3]Riesgos de Corrupción'!$B$11:$B$100,0),17)-AH22&lt;=1),"Rara vez",IF((INDEX('[3]Riesgos de Corrupción'!$B$11:$V$100,MATCH('Controles de Corrupción'!C22,'[3]Riesgos de Corrupción'!$B$11:$B$100,0),17)-AH22&lt;=2),"Improbable",IF((INDEX('[3]Riesgos de Corrupción'!$B$11:$V$100,MATCH('Controles de Corrupción'!C22,'[3]Riesgos de Corrupción'!$B$11:$B$100,0),17)-AH22&lt;=3),"Posible",IF((INDEX('[3]Riesgos de Corrupción'!$B$11:$V$100,MATCH('Controles de Corrupción'!C22,'[3]Riesgos de Corrupción'!$B$11:$B$100,0),17)-AH22&lt;=4),"Probable",IF((INDEX('[3]Riesgos de Corrupción'!$B$11:$V$100,MATCH('Controles de Corrupción'!C22,'[3]Riesgos de Corrupción'!$B$11:$B$100,0),17)-AH22&lt;=5),"Casi seguro")))))," ")</f>
        <v xml:space="preserve"> </v>
      </c>
      <c r="AJ22" s="8" t="str">
        <f>IFERROR(IF(OR(AND(AF22="Fuerte",H22="No disminuye"),AND(AF22="Moderado",H22="Indirectamente"),AND(AF22="Moderado",H22="No disminuye"),AND(INDEX('[3]Riesgos de Corrupción'!$B$11:$BN$100,MATCH('Controles de Corrupción'!C22,'[3]Riesgos de Corrupción'!$B$11:$B$100,0),63)="Moderado")),0,IF(OR(AND(AF22="Fuerte",H22="Indirectamente"),AND(AF22="Moderado",H22="Directamente"),AND(INDEX('[3]Riesgos de Corrupción'!$B$11:$BN$100,MATCH('Controles de Corrupción'!C22,'[3]Riesgos de Corrupción'!$B$11:$B$100,0),63)="Mayor")),1,IF(AND(AF22="Fuerte",H22="Directamente",AND(INDEX('[3]Riesgos de Corrupción'!$B$11:$BN$100,MATCH('Controles de Corrupción'!C22,'[3]Riesgos de Corrupción'!$B$11:$B$100,0),63)="Catastrófico")),2)))," ")</f>
        <v xml:space="preserve"> </v>
      </c>
      <c r="AK22" s="19" t="str">
        <f t="shared" si="19"/>
        <v xml:space="preserve"> </v>
      </c>
      <c r="AL22" s="19" t="str">
        <f>IFERROR(IF((INDEX('[3]Riesgos de Corrupción'!$B$11:$BN$100,MATCH('Controles de Corrupción'!C22,'[3]Riesgos de Corrupción'!$B$11:$B$100,0),62)-AK22&lt;=3),"Moderado",IF((INDEX('[3]Riesgos de Corrupción'!$B$11:$BN$100,MATCH('Controles de Corrupción'!C22,'[3]Riesgos de Corrupción'!$B$11:$B$100,0),62)-AK22&lt;=4),"Mayor",IF((INDEX('[3]Riesgos de Corrupción'!$B$11:$BN$100,MATCH('Controles de Corrupción'!C22,'[3]Riesgos de Corrupción'!$B$11:$B$100,0),62)-AK22&lt;=5),"Catastrófico")))," ")</f>
        <v xml:space="preserve"> </v>
      </c>
      <c r="AM22" s="19" t="str">
        <f t="shared" si="20"/>
        <v xml:space="preserve"> </v>
      </c>
      <c r="AN22" s="22" t="str">
        <f t="shared" si="21"/>
        <v xml:space="preserve"> </v>
      </c>
      <c r="AO22" s="189"/>
      <c r="AP22" s="189"/>
      <c r="AQ22" s="189"/>
      <c r="AR22" s="21"/>
      <c r="AS22" s="189"/>
      <c r="AT22" s="169"/>
      <c r="AU22" s="23"/>
      <c r="AV22" s="21"/>
      <c r="AW22" s="169"/>
      <c r="AX22" s="169"/>
      <c r="AY22" s="169"/>
      <c r="AZ22" s="169"/>
    </row>
    <row r="23" spans="1:52" ht="199.5" customHeight="1" x14ac:dyDescent="0.3">
      <c r="B23" s="120" t="str">
        <f t="shared" si="0"/>
        <v>-</v>
      </c>
      <c r="C23" s="188"/>
      <c r="D23" s="170"/>
      <c r="E23" s="171"/>
      <c r="F23" s="168"/>
      <c r="G23" s="38"/>
      <c r="H23" s="23"/>
      <c r="I23" s="18"/>
      <c r="J23" s="80">
        <f t="shared" si="22"/>
        <v>0</v>
      </c>
      <c r="K23" s="18"/>
      <c r="L23" s="80">
        <f t="shared" si="23"/>
        <v>0</v>
      </c>
      <c r="M23" s="18"/>
      <c r="N23" s="80">
        <f t="shared" si="24"/>
        <v>0</v>
      </c>
      <c r="O23" s="18"/>
      <c r="P23" s="80">
        <f t="shared" si="25"/>
        <v>0</v>
      </c>
      <c r="Q23" s="18"/>
      <c r="R23" s="80">
        <f t="shared" si="26"/>
        <v>0</v>
      </c>
      <c r="S23" s="18"/>
      <c r="T23" s="80">
        <f t="shared" si="27"/>
        <v>0</v>
      </c>
      <c r="U23" s="18"/>
      <c r="V23" s="80">
        <f t="shared" si="7"/>
        <v>0</v>
      </c>
      <c r="W23" s="19" t="str">
        <f t="shared" si="8"/>
        <v xml:space="preserve"> </v>
      </c>
      <c r="X23" s="19" t="str">
        <f t="shared" si="9"/>
        <v xml:space="preserve"> </v>
      </c>
      <c r="Y23" s="19" t="str">
        <f t="shared" si="10"/>
        <v/>
      </c>
      <c r="Z23" s="23"/>
      <c r="AA23" s="19" t="str">
        <f t="shared" si="11"/>
        <v/>
      </c>
      <c r="AB23" s="19" t="str">
        <f t="shared" si="12"/>
        <v xml:space="preserve"> </v>
      </c>
      <c r="AC23" s="19" t="str">
        <f t="shared" si="13"/>
        <v/>
      </c>
      <c r="AD23" s="19" t="str">
        <f t="shared" si="14"/>
        <v xml:space="preserve"> </v>
      </c>
      <c r="AE23" s="125" t="str">
        <f t="shared" si="15"/>
        <v xml:space="preserve"> </v>
      </c>
      <c r="AF23" s="19" t="str">
        <f t="shared" si="16"/>
        <v xml:space="preserve"> </v>
      </c>
      <c r="AG23" s="50">
        <f t="shared" si="17"/>
        <v>0</v>
      </c>
      <c r="AH23" s="50" t="str">
        <f t="shared" si="18"/>
        <v xml:space="preserve"> </v>
      </c>
      <c r="AI23" s="36" t="str">
        <f>IFERROR(IF((INDEX('[3]Riesgos de Corrupción'!$B$11:$V$100,MATCH('Controles de Corrupción'!C23,'[3]Riesgos de Corrupción'!$B$11:$B$100,0),17)-AH23&lt;=1),"Rara vez",IF((INDEX('[3]Riesgos de Corrupción'!$B$11:$V$100,MATCH('Controles de Corrupción'!C23,'[3]Riesgos de Corrupción'!$B$11:$B$100,0),17)-AH23&lt;=2),"Improbable",IF((INDEX('[3]Riesgos de Corrupción'!$B$11:$V$100,MATCH('Controles de Corrupción'!C23,'[3]Riesgos de Corrupción'!$B$11:$B$100,0),17)-AH23&lt;=3),"Posible",IF((INDEX('[3]Riesgos de Corrupción'!$B$11:$V$100,MATCH('Controles de Corrupción'!C23,'[3]Riesgos de Corrupción'!$B$11:$B$100,0),17)-AH23&lt;=4),"Probable",IF((INDEX('[3]Riesgos de Corrupción'!$B$11:$V$100,MATCH('Controles de Corrupción'!C23,'[3]Riesgos de Corrupción'!$B$11:$B$100,0),17)-AH23&lt;=5),"Casi seguro")))))," ")</f>
        <v xml:space="preserve"> </v>
      </c>
      <c r="AJ23" s="8" t="str">
        <f>IFERROR(IF(OR(AND(AF23="Fuerte",H23="No disminuye"),AND(AF23="Moderado",H23="Indirectamente"),AND(AF23="Moderado",H23="No disminuye"),AND(INDEX('[3]Riesgos de Corrupción'!$B$11:$BN$100,MATCH('Controles de Corrupción'!C23,'[3]Riesgos de Corrupción'!$B$11:$B$100,0),63)="Moderado")),0,IF(OR(AND(AF23="Fuerte",H23="Indirectamente"),AND(AF23="Moderado",H23="Directamente"),AND(INDEX('[3]Riesgos de Corrupción'!$B$11:$BN$100,MATCH('Controles de Corrupción'!C23,'[3]Riesgos de Corrupción'!$B$11:$B$100,0),63)="Mayor")),1,IF(AND(AF23="Fuerte",H23="Directamente",AND(INDEX('[3]Riesgos de Corrupción'!$B$11:$BN$100,MATCH('Controles de Corrupción'!C23,'[3]Riesgos de Corrupción'!$B$11:$B$100,0),63)="Catastrófico")),2)))," ")</f>
        <v xml:space="preserve"> </v>
      </c>
      <c r="AK23" s="19" t="str">
        <f t="shared" si="19"/>
        <v xml:space="preserve"> </v>
      </c>
      <c r="AL23" s="19" t="str">
        <f>IFERROR(IF((INDEX('[3]Riesgos de Corrupción'!$B$11:$BN$100,MATCH('Controles de Corrupción'!C23,'[3]Riesgos de Corrupción'!$B$11:$B$100,0),62)-AK23&lt;=3),"Moderado",IF((INDEX('[3]Riesgos de Corrupción'!$B$11:$BN$100,MATCH('Controles de Corrupción'!C23,'[3]Riesgos de Corrupción'!$B$11:$B$100,0),62)-AK23&lt;=4),"Mayor",IF((INDEX('[3]Riesgos de Corrupción'!$B$11:$BN$100,MATCH('Controles de Corrupción'!C23,'[3]Riesgos de Corrupción'!$B$11:$B$100,0),62)-AK23&lt;=5),"Catastrófico")))," ")</f>
        <v xml:space="preserve"> </v>
      </c>
      <c r="AM23" s="19" t="str">
        <f t="shared" si="20"/>
        <v xml:space="preserve"> </v>
      </c>
      <c r="AN23" s="22" t="str">
        <f t="shared" si="21"/>
        <v xml:space="preserve"> </v>
      </c>
      <c r="AO23" s="167"/>
      <c r="AP23" s="24"/>
      <c r="AQ23" s="169"/>
      <c r="AR23" s="20"/>
      <c r="AS23" s="190"/>
      <c r="AT23" s="20"/>
      <c r="AU23" s="20"/>
      <c r="AV23" s="20"/>
      <c r="AW23" s="169"/>
      <c r="AX23" s="23"/>
      <c r="AY23" s="169"/>
      <c r="AZ23" s="169"/>
    </row>
    <row r="24" spans="1:52" ht="210.75" customHeight="1" x14ac:dyDescent="0.3">
      <c r="B24" s="120" t="str">
        <f t="shared" si="0"/>
        <v>-</v>
      </c>
      <c r="C24" s="188"/>
      <c r="D24" s="170"/>
      <c r="E24" s="171"/>
      <c r="F24" s="168"/>
      <c r="G24" s="38"/>
      <c r="H24" s="23"/>
      <c r="I24" s="18"/>
      <c r="J24" s="80">
        <f t="shared" si="22"/>
        <v>0</v>
      </c>
      <c r="K24" s="18"/>
      <c r="L24" s="80">
        <f t="shared" si="23"/>
        <v>0</v>
      </c>
      <c r="M24" s="18"/>
      <c r="N24" s="80">
        <f t="shared" si="24"/>
        <v>0</v>
      </c>
      <c r="O24" s="18"/>
      <c r="P24" s="80">
        <f t="shared" si="25"/>
        <v>0</v>
      </c>
      <c r="Q24" s="18"/>
      <c r="R24" s="80">
        <f t="shared" si="26"/>
        <v>0</v>
      </c>
      <c r="S24" s="18"/>
      <c r="T24" s="80">
        <f t="shared" si="27"/>
        <v>0</v>
      </c>
      <c r="U24" s="18"/>
      <c r="V24" s="80">
        <f t="shared" si="7"/>
        <v>0</v>
      </c>
      <c r="W24" s="19" t="str">
        <f t="shared" si="8"/>
        <v xml:space="preserve"> </v>
      </c>
      <c r="X24" s="19" t="str">
        <f t="shared" si="9"/>
        <v xml:space="preserve"> </v>
      </c>
      <c r="Y24" s="19" t="str">
        <f t="shared" si="10"/>
        <v/>
      </c>
      <c r="Z24" s="23"/>
      <c r="AA24" s="19" t="str">
        <f t="shared" si="11"/>
        <v/>
      </c>
      <c r="AB24" s="19" t="str">
        <f t="shared" si="12"/>
        <v xml:space="preserve"> </v>
      </c>
      <c r="AC24" s="19" t="str">
        <f t="shared" si="13"/>
        <v/>
      </c>
      <c r="AD24" s="19" t="str">
        <f t="shared" si="14"/>
        <v xml:space="preserve"> </v>
      </c>
      <c r="AE24" s="125" t="str">
        <f t="shared" si="15"/>
        <v xml:space="preserve"> </v>
      </c>
      <c r="AF24" s="19" t="str">
        <f t="shared" si="16"/>
        <v xml:space="preserve"> </v>
      </c>
      <c r="AG24" s="50">
        <f t="shared" si="17"/>
        <v>0</v>
      </c>
      <c r="AH24" s="50" t="str">
        <f t="shared" si="18"/>
        <v xml:space="preserve"> </v>
      </c>
      <c r="AI24" s="36" t="str">
        <f>IFERROR(IF((INDEX('[3]Riesgos de Corrupción'!$B$11:$V$100,MATCH('Controles de Corrupción'!C24,'[3]Riesgos de Corrupción'!$B$11:$B$100,0),17)-AH24&lt;=1),"Rara vez",IF((INDEX('[3]Riesgos de Corrupción'!$B$11:$V$100,MATCH('Controles de Corrupción'!C24,'[3]Riesgos de Corrupción'!$B$11:$B$100,0),17)-AH24&lt;=2),"Improbable",IF((INDEX('[3]Riesgos de Corrupción'!$B$11:$V$100,MATCH('Controles de Corrupción'!C24,'[3]Riesgos de Corrupción'!$B$11:$B$100,0),17)-AH24&lt;=3),"Posible",IF((INDEX('[3]Riesgos de Corrupción'!$B$11:$V$100,MATCH('Controles de Corrupción'!C24,'[3]Riesgos de Corrupción'!$B$11:$B$100,0),17)-AH24&lt;=4),"Probable",IF((INDEX('[3]Riesgos de Corrupción'!$B$11:$V$100,MATCH('Controles de Corrupción'!C24,'[3]Riesgos de Corrupción'!$B$11:$B$100,0),17)-AH24&lt;=5),"Casi seguro")))))," ")</f>
        <v xml:space="preserve"> </v>
      </c>
      <c r="AJ24" s="8" t="str">
        <f>IFERROR(IF(OR(AND(AF24="Fuerte",H24="No disminuye"),AND(AF24="Moderado",H24="Indirectamente"),AND(AF24="Moderado",H24="No disminuye"),AND(INDEX('[3]Riesgos de Corrupción'!$B$11:$BN$100,MATCH('Controles de Corrupción'!C24,'[3]Riesgos de Corrupción'!$B$11:$B$100,0),63)="Moderado")),0,IF(OR(AND(AF24="Fuerte",H24="Indirectamente"),AND(AF24="Moderado",H24="Directamente"),AND(INDEX('[3]Riesgos de Corrupción'!$B$11:$BN$100,MATCH('Controles de Corrupción'!C24,'[3]Riesgos de Corrupción'!$B$11:$B$100,0),63)="Mayor")),1,IF(AND(AF24="Fuerte",H24="Directamente",AND(INDEX('[3]Riesgos de Corrupción'!$B$11:$BN$100,MATCH('Controles de Corrupción'!C24,'[3]Riesgos de Corrupción'!$B$11:$B$100,0),63)="Catastrófico")),2)))," ")</f>
        <v xml:space="preserve"> </v>
      </c>
      <c r="AK24" s="19" t="str">
        <f t="shared" si="19"/>
        <v xml:space="preserve"> </v>
      </c>
      <c r="AL24" s="19" t="str">
        <f>IFERROR(IF((INDEX('[3]Riesgos de Corrupción'!$B$11:$BN$100,MATCH('Controles de Corrupción'!C24,'[3]Riesgos de Corrupción'!$B$11:$B$100,0),62)-AK24&lt;=3),"Moderado",IF((INDEX('[3]Riesgos de Corrupción'!$B$11:$BN$100,MATCH('Controles de Corrupción'!C24,'[3]Riesgos de Corrupción'!$B$11:$B$100,0),62)-AK24&lt;=4),"Mayor",IF((INDEX('[3]Riesgos de Corrupción'!$B$11:$BN$100,MATCH('Controles de Corrupción'!C24,'[3]Riesgos de Corrupción'!$B$11:$B$100,0),62)-AK24&lt;=5),"Catastrófico")))," ")</f>
        <v xml:space="preserve"> </v>
      </c>
      <c r="AM24" s="19" t="str">
        <f t="shared" si="20"/>
        <v xml:space="preserve"> </v>
      </c>
      <c r="AN24" s="22" t="str">
        <f t="shared" si="21"/>
        <v xml:space="preserve"> </v>
      </c>
      <c r="AO24" s="167"/>
      <c r="AP24" s="24"/>
      <c r="AQ24" s="23"/>
      <c r="AR24" s="20"/>
      <c r="AS24" s="190"/>
      <c r="AT24" s="20"/>
      <c r="AU24" s="20"/>
      <c r="AV24" s="20"/>
      <c r="AW24" s="169"/>
      <c r="AX24" s="169"/>
      <c r="AY24" s="169"/>
      <c r="AZ24" s="169"/>
    </row>
    <row r="25" spans="1:52" ht="208.5" customHeight="1" x14ac:dyDescent="0.3">
      <c r="B25" s="120" t="str">
        <f t="shared" si="0"/>
        <v>-</v>
      </c>
      <c r="C25" s="188"/>
      <c r="D25" s="170"/>
      <c r="E25" s="171"/>
      <c r="F25" s="168"/>
      <c r="G25" s="38"/>
      <c r="H25" s="23"/>
      <c r="I25" s="18"/>
      <c r="J25" s="80">
        <f t="shared" si="22"/>
        <v>0</v>
      </c>
      <c r="K25" s="18"/>
      <c r="L25" s="80">
        <f t="shared" si="23"/>
        <v>0</v>
      </c>
      <c r="M25" s="18"/>
      <c r="N25" s="80">
        <f t="shared" si="24"/>
        <v>0</v>
      </c>
      <c r="O25" s="18"/>
      <c r="P25" s="80">
        <f t="shared" si="25"/>
        <v>0</v>
      </c>
      <c r="Q25" s="18"/>
      <c r="R25" s="80">
        <f t="shared" si="26"/>
        <v>0</v>
      </c>
      <c r="S25" s="18"/>
      <c r="T25" s="80">
        <f t="shared" si="27"/>
        <v>0</v>
      </c>
      <c r="U25" s="18"/>
      <c r="V25" s="80">
        <f t="shared" si="7"/>
        <v>0</v>
      </c>
      <c r="W25" s="19" t="str">
        <f t="shared" si="8"/>
        <v xml:space="preserve"> </v>
      </c>
      <c r="X25" s="19" t="str">
        <f t="shared" si="9"/>
        <v xml:space="preserve"> </v>
      </c>
      <c r="Y25" s="19" t="str">
        <f t="shared" si="10"/>
        <v/>
      </c>
      <c r="Z25" s="23"/>
      <c r="AA25" s="19" t="str">
        <f t="shared" si="11"/>
        <v/>
      </c>
      <c r="AB25" s="19" t="str">
        <f t="shared" si="12"/>
        <v xml:space="preserve"> </v>
      </c>
      <c r="AC25" s="19" t="str">
        <f t="shared" si="13"/>
        <v/>
      </c>
      <c r="AD25" s="19" t="str">
        <f t="shared" si="14"/>
        <v xml:space="preserve"> </v>
      </c>
      <c r="AE25" s="125" t="str">
        <f t="shared" si="15"/>
        <v xml:space="preserve"> </v>
      </c>
      <c r="AF25" s="19" t="str">
        <f t="shared" si="16"/>
        <v xml:space="preserve"> </v>
      </c>
      <c r="AG25" s="50">
        <f t="shared" si="17"/>
        <v>0</v>
      </c>
      <c r="AH25" s="50" t="str">
        <f t="shared" si="18"/>
        <v xml:space="preserve"> </v>
      </c>
      <c r="AI25" s="36" t="str">
        <f>IFERROR(IF((INDEX('[3]Riesgos de Corrupción'!$B$11:$V$100,MATCH('Controles de Corrupción'!C25,'[3]Riesgos de Corrupción'!$B$11:$B$100,0),17)-AH25&lt;=1),"Rara vez",IF((INDEX('[3]Riesgos de Corrupción'!$B$11:$V$100,MATCH('Controles de Corrupción'!C25,'[3]Riesgos de Corrupción'!$B$11:$B$100,0),17)-AH25&lt;=2),"Improbable",IF((INDEX('[3]Riesgos de Corrupción'!$B$11:$V$100,MATCH('Controles de Corrupción'!C25,'[3]Riesgos de Corrupción'!$B$11:$B$100,0),17)-AH25&lt;=3),"Posible",IF((INDEX('[3]Riesgos de Corrupción'!$B$11:$V$100,MATCH('Controles de Corrupción'!C25,'[3]Riesgos de Corrupción'!$B$11:$B$100,0),17)-AH25&lt;=4),"Probable",IF((INDEX('[3]Riesgos de Corrupción'!$B$11:$V$100,MATCH('Controles de Corrupción'!C25,'[3]Riesgos de Corrupción'!$B$11:$B$100,0),17)-AH25&lt;=5),"Casi seguro")))))," ")</f>
        <v xml:space="preserve"> </v>
      </c>
      <c r="AJ25" s="8" t="str">
        <f>IFERROR(IF(OR(AND(AF25="Fuerte",H25="No disminuye"),AND(AF25="Moderado",H25="Indirectamente"),AND(AF25="Moderado",H25="No disminuye"),AND(INDEX('[3]Riesgos de Corrupción'!$B$11:$BN$100,MATCH('Controles de Corrupción'!C25,'[3]Riesgos de Corrupción'!$B$11:$B$100,0),63)="Moderado")),0,IF(OR(AND(AF25="Fuerte",H25="Indirectamente"),AND(AF25="Moderado",H25="Directamente"),AND(INDEX('[3]Riesgos de Corrupción'!$B$11:$BN$100,MATCH('Controles de Corrupción'!C25,'[3]Riesgos de Corrupción'!$B$11:$B$100,0),63)="Mayor")),1,IF(AND(AF25="Fuerte",H25="Directamente",AND(INDEX('[3]Riesgos de Corrupción'!$B$11:$BN$100,MATCH('Controles de Corrupción'!C25,'[3]Riesgos de Corrupción'!$B$11:$B$100,0),63)="Catastrófico")),2)))," ")</f>
        <v xml:space="preserve"> </v>
      </c>
      <c r="AK25" s="19" t="str">
        <f t="shared" si="19"/>
        <v xml:space="preserve"> </v>
      </c>
      <c r="AL25" s="19" t="str">
        <f>IFERROR(IF((INDEX('[3]Riesgos de Corrupción'!$B$11:$BN$100,MATCH('Controles de Corrupción'!C25,'[3]Riesgos de Corrupción'!$B$11:$B$100,0),62)-AK25&lt;=3),"Moderado",IF((INDEX('[3]Riesgos de Corrupción'!$B$11:$BN$100,MATCH('Controles de Corrupción'!C25,'[3]Riesgos de Corrupción'!$B$11:$B$100,0),62)-AK25&lt;=4),"Mayor",IF((INDEX('[3]Riesgos de Corrupción'!$B$11:$BN$100,MATCH('Controles de Corrupción'!C25,'[3]Riesgos de Corrupción'!$B$11:$B$100,0),62)-AK25&lt;=5),"Catastrófico")))," ")</f>
        <v xml:space="preserve"> </v>
      </c>
      <c r="AM25" s="19" t="str">
        <f t="shared" si="20"/>
        <v xml:space="preserve"> </v>
      </c>
      <c r="AN25" s="22" t="str">
        <f t="shared" si="21"/>
        <v xml:space="preserve"> </v>
      </c>
      <c r="AO25" s="169"/>
      <c r="AP25" s="23"/>
      <c r="AQ25" s="23"/>
      <c r="AR25" s="20"/>
      <c r="AS25" s="190"/>
      <c r="AT25" s="20"/>
      <c r="AU25" s="20"/>
      <c r="AV25" s="20"/>
      <c r="AW25" s="169"/>
      <c r="AX25" s="169"/>
      <c r="AY25" s="169"/>
      <c r="AZ25" s="169"/>
    </row>
    <row r="26" spans="1:52" ht="208.5" customHeight="1" x14ac:dyDescent="0.3">
      <c r="B26" s="120" t="str">
        <f t="shared" si="0"/>
        <v>-</v>
      </c>
      <c r="C26" s="188"/>
      <c r="D26" s="170"/>
      <c r="E26" s="171"/>
      <c r="F26" s="168"/>
      <c r="G26" s="38"/>
      <c r="H26" s="23"/>
      <c r="I26" s="18"/>
      <c r="J26" s="80">
        <f t="shared" si="22"/>
        <v>0</v>
      </c>
      <c r="K26" s="18"/>
      <c r="L26" s="80">
        <f t="shared" si="23"/>
        <v>0</v>
      </c>
      <c r="M26" s="18"/>
      <c r="N26" s="80">
        <f t="shared" si="24"/>
        <v>0</v>
      </c>
      <c r="O26" s="18"/>
      <c r="P26" s="80">
        <f t="shared" si="25"/>
        <v>0</v>
      </c>
      <c r="Q26" s="18"/>
      <c r="R26" s="80">
        <f t="shared" si="26"/>
        <v>0</v>
      </c>
      <c r="S26" s="18"/>
      <c r="T26" s="80">
        <f t="shared" si="27"/>
        <v>0</v>
      </c>
      <c r="U26" s="18"/>
      <c r="V26" s="80">
        <f t="shared" si="7"/>
        <v>0</v>
      </c>
      <c r="W26" s="19" t="str">
        <f t="shared" si="8"/>
        <v xml:space="preserve"> </v>
      </c>
      <c r="X26" s="19" t="str">
        <f t="shared" si="9"/>
        <v xml:space="preserve"> </v>
      </c>
      <c r="Y26" s="19" t="str">
        <f t="shared" si="10"/>
        <v/>
      </c>
      <c r="Z26" s="23"/>
      <c r="AA26" s="19" t="str">
        <f t="shared" si="11"/>
        <v/>
      </c>
      <c r="AB26" s="19" t="str">
        <f t="shared" si="12"/>
        <v xml:space="preserve"> </v>
      </c>
      <c r="AC26" s="19" t="str">
        <f t="shared" si="13"/>
        <v/>
      </c>
      <c r="AD26" s="19" t="str">
        <f t="shared" si="14"/>
        <v xml:space="preserve"> </v>
      </c>
      <c r="AE26" s="125" t="str">
        <f t="shared" si="15"/>
        <v xml:space="preserve"> </v>
      </c>
      <c r="AF26" s="19" t="str">
        <f t="shared" si="16"/>
        <v xml:space="preserve"> </v>
      </c>
      <c r="AG26" s="50">
        <f t="shared" si="17"/>
        <v>0</v>
      </c>
      <c r="AH26" s="50" t="str">
        <f t="shared" si="18"/>
        <v xml:space="preserve"> </v>
      </c>
      <c r="AI26" s="36" t="str">
        <f>IFERROR(IF((INDEX('[3]Riesgos de Corrupción'!$B$11:$V$100,MATCH('Controles de Corrupción'!C26,'[3]Riesgos de Corrupción'!$B$11:$B$100,0),17)-AH26&lt;=1),"Rara vez",IF((INDEX('[3]Riesgos de Corrupción'!$B$11:$V$100,MATCH('Controles de Corrupción'!C26,'[3]Riesgos de Corrupción'!$B$11:$B$100,0),17)-AH26&lt;=2),"Improbable",IF((INDEX('[3]Riesgos de Corrupción'!$B$11:$V$100,MATCH('Controles de Corrupción'!C26,'[3]Riesgos de Corrupción'!$B$11:$B$100,0),17)-AH26&lt;=3),"Posible",IF((INDEX('[3]Riesgos de Corrupción'!$B$11:$V$100,MATCH('Controles de Corrupción'!C26,'[3]Riesgos de Corrupción'!$B$11:$B$100,0),17)-AH26&lt;=4),"Probable",IF((INDEX('[3]Riesgos de Corrupción'!$B$11:$V$100,MATCH('Controles de Corrupción'!C26,'[3]Riesgos de Corrupción'!$B$11:$B$100,0),17)-AH26&lt;=5),"Casi seguro")))))," ")</f>
        <v xml:space="preserve"> </v>
      </c>
      <c r="AJ26" s="8" t="str">
        <f>IFERROR(IF(OR(AND(AF26="Fuerte",H26="No disminuye"),AND(AF26="Moderado",H26="Indirectamente"),AND(AF26="Moderado",H26="No disminuye"),AND(INDEX('[3]Riesgos de Corrupción'!$B$11:$BN$100,MATCH('Controles de Corrupción'!C26,'[3]Riesgos de Corrupción'!$B$11:$B$100,0),63)="Moderado")),0,IF(OR(AND(AF26="Fuerte",H26="Indirectamente"),AND(AF26="Moderado",H26="Directamente"),AND(INDEX('[3]Riesgos de Corrupción'!$B$11:$BN$100,MATCH('Controles de Corrupción'!C26,'[3]Riesgos de Corrupción'!$B$11:$B$100,0),63)="Mayor")),1,IF(AND(AF26="Fuerte",H26="Directamente",AND(INDEX('[3]Riesgos de Corrupción'!$B$11:$BN$100,MATCH('Controles de Corrupción'!C26,'[3]Riesgos de Corrupción'!$B$11:$B$100,0),63)="Catastrófico")),2)))," ")</f>
        <v xml:space="preserve"> </v>
      </c>
      <c r="AK26" s="19" t="str">
        <f t="shared" si="19"/>
        <v xml:space="preserve"> </v>
      </c>
      <c r="AL26" s="19" t="str">
        <f>IFERROR(IF((INDEX('[3]Riesgos de Corrupción'!$B$11:$BN$100,MATCH('Controles de Corrupción'!C26,'[3]Riesgos de Corrupción'!$B$11:$B$100,0),62)-AK26&lt;=3),"Moderado",IF((INDEX('[3]Riesgos de Corrupción'!$B$11:$BN$100,MATCH('Controles de Corrupción'!C26,'[3]Riesgos de Corrupción'!$B$11:$B$100,0),62)-AK26&lt;=4),"Mayor",IF((INDEX('[3]Riesgos de Corrupción'!$B$11:$BN$100,MATCH('Controles de Corrupción'!C26,'[3]Riesgos de Corrupción'!$B$11:$B$100,0),62)-AK26&lt;=5),"Catastrófico")))," ")</f>
        <v xml:space="preserve"> </v>
      </c>
      <c r="AM26" s="19" t="str">
        <f t="shared" si="20"/>
        <v xml:space="preserve"> </v>
      </c>
      <c r="AN26" s="22" t="str">
        <f t="shared" si="21"/>
        <v xml:space="preserve"> </v>
      </c>
      <c r="AO26" s="169"/>
      <c r="AP26" s="197"/>
      <c r="AQ26" s="23"/>
      <c r="AR26" s="20"/>
      <c r="AS26" s="190"/>
      <c r="AT26" s="20"/>
      <c r="AU26" s="20"/>
      <c r="AV26" s="20"/>
      <c r="AW26" s="169"/>
      <c r="AX26" s="169"/>
      <c r="AY26" s="169"/>
      <c r="AZ26" s="169"/>
    </row>
    <row r="27" spans="1:52" ht="212.25" customHeight="1" x14ac:dyDescent="0.3">
      <c r="B27" s="120" t="str">
        <f t="shared" si="0"/>
        <v>-</v>
      </c>
      <c r="C27" s="188"/>
      <c r="D27" s="170"/>
      <c r="E27" s="171"/>
      <c r="F27" s="168"/>
      <c r="G27" s="38"/>
      <c r="H27" s="23"/>
      <c r="I27" s="18"/>
      <c r="J27" s="80">
        <f t="shared" si="22"/>
        <v>0</v>
      </c>
      <c r="K27" s="18"/>
      <c r="L27" s="80">
        <f t="shared" si="23"/>
        <v>0</v>
      </c>
      <c r="M27" s="18"/>
      <c r="N27" s="80">
        <f t="shared" si="24"/>
        <v>0</v>
      </c>
      <c r="O27" s="18"/>
      <c r="P27" s="80">
        <f t="shared" si="25"/>
        <v>0</v>
      </c>
      <c r="Q27" s="18"/>
      <c r="R27" s="80">
        <f t="shared" si="26"/>
        <v>0</v>
      </c>
      <c r="S27" s="18"/>
      <c r="T27" s="80">
        <f t="shared" si="27"/>
        <v>0</v>
      </c>
      <c r="U27" s="18"/>
      <c r="V27" s="80">
        <f t="shared" si="7"/>
        <v>0</v>
      </c>
      <c r="W27" s="19" t="str">
        <f t="shared" si="8"/>
        <v xml:space="preserve"> </v>
      </c>
      <c r="X27" s="19" t="str">
        <f t="shared" si="9"/>
        <v xml:space="preserve"> </v>
      </c>
      <c r="Y27" s="19" t="str">
        <f t="shared" si="10"/>
        <v/>
      </c>
      <c r="Z27" s="23"/>
      <c r="AA27" s="19" t="str">
        <f t="shared" si="11"/>
        <v/>
      </c>
      <c r="AB27" s="19" t="str">
        <f t="shared" si="12"/>
        <v xml:space="preserve"> </v>
      </c>
      <c r="AC27" s="19" t="str">
        <f t="shared" si="13"/>
        <v/>
      </c>
      <c r="AD27" s="19" t="str">
        <f t="shared" si="14"/>
        <v xml:space="preserve"> </v>
      </c>
      <c r="AE27" s="125" t="str">
        <f t="shared" si="15"/>
        <v xml:space="preserve"> </v>
      </c>
      <c r="AF27" s="19" t="str">
        <f t="shared" si="16"/>
        <v xml:space="preserve"> </v>
      </c>
      <c r="AG27" s="50">
        <f t="shared" si="17"/>
        <v>0</v>
      </c>
      <c r="AH27" s="50" t="str">
        <f t="shared" si="18"/>
        <v xml:space="preserve"> </v>
      </c>
      <c r="AI27" s="36" t="str">
        <f>IFERROR(IF((INDEX('[3]Riesgos de Corrupción'!$B$11:$V$100,MATCH('Controles de Corrupción'!C27,'[3]Riesgos de Corrupción'!$B$11:$B$100,0),17)-AH27&lt;=1),"Rara vez",IF((INDEX('[3]Riesgos de Corrupción'!$B$11:$V$100,MATCH('Controles de Corrupción'!C27,'[3]Riesgos de Corrupción'!$B$11:$B$100,0),17)-AH27&lt;=2),"Improbable",IF((INDEX('[3]Riesgos de Corrupción'!$B$11:$V$100,MATCH('Controles de Corrupción'!C27,'[3]Riesgos de Corrupción'!$B$11:$B$100,0),17)-AH27&lt;=3),"Posible",IF((INDEX('[3]Riesgos de Corrupción'!$B$11:$V$100,MATCH('Controles de Corrupción'!C27,'[3]Riesgos de Corrupción'!$B$11:$B$100,0),17)-AH27&lt;=4),"Probable",IF((INDEX('[3]Riesgos de Corrupción'!$B$11:$V$100,MATCH('Controles de Corrupción'!C27,'[3]Riesgos de Corrupción'!$B$11:$B$100,0),17)-AH27&lt;=5),"Casi seguro")))))," ")</f>
        <v xml:space="preserve"> </v>
      </c>
      <c r="AJ27" s="8" t="str">
        <f>IFERROR(IF(OR(AND(AF27="Fuerte",H27="No disminuye"),AND(AF27="Moderado",H27="Indirectamente"),AND(AF27="Moderado",H27="No disminuye"),AND(INDEX('[3]Riesgos de Corrupción'!$B$11:$BN$100,MATCH('Controles de Corrupción'!C27,'[3]Riesgos de Corrupción'!$B$11:$B$100,0),63)="Moderado")),0,IF(OR(AND(AF27="Fuerte",H27="Indirectamente"),AND(AF27="Moderado",H27="Directamente"),AND(INDEX('[3]Riesgos de Corrupción'!$B$11:$BN$100,MATCH('Controles de Corrupción'!C27,'[3]Riesgos de Corrupción'!$B$11:$B$100,0),63)="Mayor")),1,IF(AND(AF27="Fuerte",H27="Directamente",AND(INDEX('[3]Riesgos de Corrupción'!$B$11:$BN$100,MATCH('Controles de Corrupción'!C27,'[3]Riesgos de Corrupción'!$B$11:$B$100,0),63)="Catastrófico")),2)))," ")</f>
        <v xml:space="preserve"> </v>
      </c>
      <c r="AK27" s="19" t="str">
        <f t="shared" si="19"/>
        <v xml:space="preserve"> </v>
      </c>
      <c r="AL27" s="19" t="str">
        <f>IFERROR(IF((INDEX('[3]Riesgos de Corrupción'!$B$11:$BN$100,MATCH('Controles de Corrupción'!C27,'[3]Riesgos de Corrupción'!$B$11:$B$100,0),62)-AK27&lt;=3),"Moderado",IF((INDEX('[3]Riesgos de Corrupción'!$B$11:$BN$100,MATCH('Controles de Corrupción'!C27,'[3]Riesgos de Corrupción'!$B$11:$B$100,0),62)-AK27&lt;=4),"Mayor",IF((INDEX('[3]Riesgos de Corrupción'!$B$11:$BN$100,MATCH('Controles de Corrupción'!C27,'[3]Riesgos de Corrupción'!$B$11:$B$100,0),62)-AK27&lt;=5),"Catastrófico")))," ")</f>
        <v xml:space="preserve"> </v>
      </c>
      <c r="AM27" s="19" t="str">
        <f t="shared" si="20"/>
        <v xml:space="preserve"> </v>
      </c>
      <c r="AN27" s="22" t="str">
        <f t="shared" si="21"/>
        <v xml:space="preserve"> </v>
      </c>
      <c r="AO27" s="169"/>
      <c r="AP27" s="23"/>
      <c r="AQ27" s="23"/>
      <c r="AR27" s="20"/>
      <c r="AS27" s="190"/>
      <c r="AT27" s="20"/>
      <c r="AU27" s="20"/>
      <c r="AV27" s="20"/>
      <c r="AW27" s="169"/>
      <c r="AX27" s="169"/>
      <c r="AY27" s="169"/>
      <c r="AZ27" s="169"/>
    </row>
    <row r="28" spans="1:52" ht="83.25" customHeight="1" x14ac:dyDescent="0.3">
      <c r="B28" s="120" t="str">
        <f t="shared" si="0"/>
        <v>-</v>
      </c>
      <c r="C28" s="188"/>
      <c r="D28" s="170"/>
      <c r="E28" s="171"/>
      <c r="F28" s="168"/>
      <c r="G28" s="38"/>
      <c r="H28" s="23"/>
      <c r="I28" s="18"/>
      <c r="J28" s="80">
        <f t="shared" si="22"/>
        <v>0</v>
      </c>
      <c r="K28" s="18"/>
      <c r="L28" s="80">
        <f t="shared" si="23"/>
        <v>0</v>
      </c>
      <c r="M28" s="18"/>
      <c r="N28" s="80">
        <f t="shared" si="24"/>
        <v>0</v>
      </c>
      <c r="O28" s="18"/>
      <c r="P28" s="80">
        <f t="shared" si="25"/>
        <v>0</v>
      </c>
      <c r="Q28" s="18"/>
      <c r="R28" s="80">
        <f t="shared" si="26"/>
        <v>0</v>
      </c>
      <c r="S28" s="18"/>
      <c r="T28" s="80">
        <f t="shared" si="27"/>
        <v>0</v>
      </c>
      <c r="U28" s="18"/>
      <c r="V28" s="80">
        <f t="shared" si="7"/>
        <v>0</v>
      </c>
      <c r="W28" s="19" t="str">
        <f t="shared" si="8"/>
        <v xml:space="preserve"> </v>
      </c>
      <c r="X28" s="19" t="str">
        <f t="shared" si="9"/>
        <v xml:space="preserve"> </v>
      </c>
      <c r="Y28" s="19" t="str">
        <f t="shared" si="10"/>
        <v/>
      </c>
      <c r="Z28" s="23"/>
      <c r="AA28" s="19" t="str">
        <f t="shared" si="11"/>
        <v/>
      </c>
      <c r="AB28" s="19" t="str">
        <f t="shared" si="12"/>
        <v xml:space="preserve"> </v>
      </c>
      <c r="AC28" s="19" t="str">
        <f t="shared" si="13"/>
        <v/>
      </c>
      <c r="AD28" s="19" t="str">
        <f t="shared" si="14"/>
        <v xml:space="preserve"> </v>
      </c>
      <c r="AE28" s="125" t="str">
        <f t="shared" si="15"/>
        <v xml:space="preserve"> </v>
      </c>
      <c r="AF28" s="19" t="str">
        <f t="shared" si="16"/>
        <v xml:space="preserve"> </v>
      </c>
      <c r="AG28" s="50">
        <f t="shared" si="17"/>
        <v>0</v>
      </c>
      <c r="AH28" s="50" t="str">
        <f t="shared" si="18"/>
        <v xml:space="preserve"> </v>
      </c>
      <c r="AI28" s="36" t="str">
        <f>IFERROR(IF((INDEX('[3]Riesgos de Corrupción'!$B$11:$V$100,MATCH('Controles de Corrupción'!C28,'[3]Riesgos de Corrupción'!$B$11:$B$100,0),17)-AH28&lt;=1),"Rara vez",IF((INDEX('[3]Riesgos de Corrupción'!$B$11:$V$100,MATCH('Controles de Corrupción'!C28,'[3]Riesgos de Corrupción'!$B$11:$B$100,0),17)-AH28&lt;=2),"Improbable",IF((INDEX('[3]Riesgos de Corrupción'!$B$11:$V$100,MATCH('Controles de Corrupción'!C28,'[3]Riesgos de Corrupción'!$B$11:$B$100,0),17)-AH28&lt;=3),"Posible",IF((INDEX('[3]Riesgos de Corrupción'!$B$11:$V$100,MATCH('Controles de Corrupción'!C28,'[3]Riesgos de Corrupción'!$B$11:$B$100,0),17)-AH28&lt;=4),"Probable",IF((INDEX('[3]Riesgos de Corrupción'!$B$11:$V$100,MATCH('Controles de Corrupción'!C28,'[3]Riesgos de Corrupción'!$B$11:$B$100,0),17)-AH28&lt;=5),"Casi seguro")))))," ")</f>
        <v xml:space="preserve"> </v>
      </c>
      <c r="AJ28" s="8" t="str">
        <f>IFERROR(IF(OR(AND(AF28="Fuerte",H28="No disminuye"),AND(AF28="Moderado",H28="Indirectamente"),AND(AF28="Moderado",H28="No disminuye"),AND(INDEX('[3]Riesgos de Corrupción'!$B$11:$BN$100,MATCH('Controles de Corrupción'!C28,'[3]Riesgos de Corrupción'!$B$11:$B$100,0),63)="Moderado")),0,IF(OR(AND(AF28="Fuerte",H28="Indirectamente"),AND(AF28="Moderado",H28="Directamente"),AND(INDEX('[3]Riesgos de Corrupción'!$B$11:$BN$100,MATCH('Controles de Corrupción'!C28,'[3]Riesgos de Corrupción'!$B$11:$B$100,0),63)="Mayor")),1,IF(AND(AF28="Fuerte",H28="Directamente",AND(INDEX('[3]Riesgos de Corrupción'!$B$11:$BN$100,MATCH('Controles de Corrupción'!C28,'[3]Riesgos de Corrupción'!$B$11:$B$100,0),63)="Catastrófico")),2)))," ")</f>
        <v xml:space="preserve"> </v>
      </c>
      <c r="AK28" s="19" t="str">
        <f t="shared" si="19"/>
        <v xml:space="preserve"> </v>
      </c>
      <c r="AL28" s="19" t="str">
        <f>IFERROR(IF((INDEX('[3]Riesgos de Corrupción'!$B$11:$BN$100,MATCH('Controles de Corrupción'!C28,'[3]Riesgos de Corrupción'!$B$11:$B$100,0),62)-AK28&lt;=3),"Moderado",IF((INDEX('[3]Riesgos de Corrupción'!$B$11:$BN$100,MATCH('Controles de Corrupción'!C28,'[3]Riesgos de Corrupción'!$B$11:$B$100,0),62)-AK28&lt;=4),"Mayor",IF((INDEX('[3]Riesgos de Corrupción'!$B$11:$BN$100,MATCH('Controles de Corrupción'!C28,'[3]Riesgos de Corrupción'!$B$11:$B$100,0),62)-AK28&lt;=5),"Catastrófico")))," ")</f>
        <v xml:space="preserve"> </v>
      </c>
      <c r="AM28" s="19" t="str">
        <f t="shared" si="20"/>
        <v xml:space="preserve"> </v>
      </c>
      <c r="AN28" s="22" t="str">
        <f t="shared" si="21"/>
        <v xml:space="preserve"> </v>
      </c>
      <c r="AO28" s="169"/>
      <c r="AP28" s="169"/>
      <c r="AQ28" s="169"/>
      <c r="AR28" s="23"/>
      <c r="AS28" s="169"/>
      <c r="AT28" s="169"/>
      <c r="AU28" s="23"/>
      <c r="AV28" s="23"/>
      <c r="AW28" s="169"/>
      <c r="AX28" s="189"/>
      <c r="AY28" s="189"/>
      <c r="AZ28" s="21"/>
    </row>
    <row r="29" spans="1:52" ht="73.5" customHeight="1" x14ac:dyDescent="0.3">
      <c r="B29" s="120" t="str">
        <f t="shared" si="0"/>
        <v>-</v>
      </c>
      <c r="C29" s="188"/>
      <c r="D29" s="170"/>
      <c r="E29" s="171"/>
      <c r="F29" s="196"/>
      <c r="G29" s="38"/>
      <c r="H29" s="23"/>
      <c r="I29" s="18"/>
      <c r="J29" s="80">
        <f t="shared" si="22"/>
        <v>0</v>
      </c>
      <c r="K29" s="18"/>
      <c r="L29" s="80">
        <f t="shared" si="23"/>
        <v>0</v>
      </c>
      <c r="M29" s="18"/>
      <c r="N29" s="80">
        <f t="shared" si="24"/>
        <v>0</v>
      </c>
      <c r="O29" s="18"/>
      <c r="P29" s="80">
        <f t="shared" si="25"/>
        <v>0</v>
      </c>
      <c r="Q29" s="18"/>
      <c r="R29" s="80">
        <f t="shared" si="26"/>
        <v>0</v>
      </c>
      <c r="S29" s="18"/>
      <c r="T29" s="80">
        <f t="shared" si="27"/>
        <v>0</v>
      </c>
      <c r="U29" s="18"/>
      <c r="V29" s="80">
        <f t="shared" si="7"/>
        <v>0</v>
      </c>
      <c r="W29" s="19" t="str">
        <f t="shared" si="8"/>
        <v xml:space="preserve"> </v>
      </c>
      <c r="X29" s="19" t="str">
        <f t="shared" si="9"/>
        <v xml:space="preserve"> </v>
      </c>
      <c r="Y29" s="19" t="str">
        <f t="shared" si="10"/>
        <v/>
      </c>
      <c r="Z29" s="23"/>
      <c r="AA29" s="19" t="str">
        <f t="shared" si="11"/>
        <v/>
      </c>
      <c r="AB29" s="19" t="str">
        <f t="shared" si="12"/>
        <v xml:space="preserve"> </v>
      </c>
      <c r="AC29" s="19" t="str">
        <f t="shared" si="13"/>
        <v/>
      </c>
      <c r="AD29" s="19" t="str">
        <f t="shared" si="14"/>
        <v xml:space="preserve"> </v>
      </c>
      <c r="AE29" s="125" t="str">
        <f t="shared" si="15"/>
        <v xml:space="preserve"> </v>
      </c>
      <c r="AF29" s="19" t="str">
        <f t="shared" si="16"/>
        <v xml:space="preserve"> </v>
      </c>
      <c r="AG29" s="50">
        <f t="shared" si="17"/>
        <v>0</v>
      </c>
      <c r="AH29" s="50" t="str">
        <f t="shared" si="18"/>
        <v xml:space="preserve"> </v>
      </c>
      <c r="AI29" s="36" t="str">
        <f>IFERROR(IF((INDEX('[3]Riesgos de Corrupción'!$B$11:$V$100,MATCH('Controles de Corrupción'!C29,'[3]Riesgos de Corrupción'!$B$11:$B$100,0),17)-AH29&lt;=1),"Rara vez",IF((INDEX('[3]Riesgos de Corrupción'!$B$11:$V$100,MATCH('Controles de Corrupción'!C29,'[3]Riesgos de Corrupción'!$B$11:$B$100,0),17)-AH29&lt;=2),"Improbable",IF((INDEX('[3]Riesgos de Corrupción'!$B$11:$V$100,MATCH('Controles de Corrupción'!C29,'[3]Riesgos de Corrupción'!$B$11:$B$100,0),17)-AH29&lt;=3),"Posible",IF((INDEX('[3]Riesgos de Corrupción'!$B$11:$V$100,MATCH('Controles de Corrupción'!C29,'[3]Riesgos de Corrupción'!$B$11:$B$100,0),17)-AH29&lt;=4),"Probable",IF((INDEX('[3]Riesgos de Corrupción'!$B$11:$V$100,MATCH('Controles de Corrupción'!C29,'[3]Riesgos de Corrupción'!$B$11:$B$100,0),17)-AH29&lt;=5),"Casi seguro")))))," ")</f>
        <v xml:space="preserve"> </v>
      </c>
      <c r="AJ29" s="8" t="str">
        <f>IFERROR(IF(OR(AND(AF29="Fuerte",H29="No disminuye"),AND(AF29="Moderado",H29="Indirectamente"),AND(AF29="Moderado",H29="No disminuye"),AND(INDEX('[3]Riesgos de Corrupción'!$B$11:$BN$100,MATCH('Controles de Corrupción'!C29,'[3]Riesgos de Corrupción'!$B$11:$B$100,0),63)="Moderado")),0,IF(OR(AND(AF29="Fuerte",H29="Indirectamente"),AND(AF29="Moderado",H29="Directamente"),AND(INDEX('[3]Riesgos de Corrupción'!$B$11:$BN$100,MATCH('Controles de Corrupción'!C29,'[3]Riesgos de Corrupción'!$B$11:$B$100,0),63)="Mayor")),1,IF(AND(AF29="Fuerte",H29="Directamente",AND(INDEX('[3]Riesgos de Corrupción'!$B$11:$BN$100,MATCH('Controles de Corrupción'!C29,'[3]Riesgos de Corrupción'!$B$11:$B$100,0),63)="Catastrófico")),2)))," ")</f>
        <v xml:space="preserve"> </v>
      </c>
      <c r="AK29" s="19" t="str">
        <f t="shared" si="19"/>
        <v xml:space="preserve"> </v>
      </c>
      <c r="AL29" s="19" t="str">
        <f>IFERROR(IF((INDEX('[3]Riesgos de Corrupción'!$B$11:$BN$100,MATCH('Controles de Corrupción'!C29,'[3]Riesgos de Corrupción'!$B$11:$B$100,0),62)-AK29&lt;=3),"Moderado",IF((INDEX('[3]Riesgos de Corrupción'!$B$11:$BN$100,MATCH('Controles de Corrupción'!C29,'[3]Riesgos de Corrupción'!$B$11:$B$100,0),62)-AK29&lt;=4),"Mayor",IF((INDEX('[3]Riesgos de Corrupción'!$B$11:$BN$100,MATCH('Controles de Corrupción'!C29,'[3]Riesgos de Corrupción'!$B$11:$B$100,0),62)-AK29&lt;=5),"Catastrófico")))," ")</f>
        <v xml:space="preserve"> </v>
      </c>
      <c r="AM29" s="19" t="str">
        <f t="shared" si="20"/>
        <v xml:space="preserve"> </v>
      </c>
      <c r="AN29" s="22" t="str">
        <f t="shared" si="21"/>
        <v xml:space="preserve"> </v>
      </c>
      <c r="AO29" s="189"/>
      <c r="AP29" s="189"/>
      <c r="AQ29" s="189"/>
      <c r="AR29" s="21"/>
      <c r="AS29" s="189"/>
      <c r="AT29" s="169"/>
      <c r="AU29" s="23"/>
      <c r="AV29" s="21"/>
      <c r="AW29" s="169"/>
      <c r="AX29" s="169"/>
      <c r="AY29" s="169"/>
      <c r="AZ29" s="21"/>
    </row>
    <row r="30" spans="1:52" ht="49.5" customHeight="1" x14ac:dyDescent="0.3">
      <c r="B30" s="120" t="str">
        <f t="shared" si="0"/>
        <v>-</v>
      </c>
      <c r="C30" s="188"/>
      <c r="D30" s="170"/>
      <c r="E30" s="171"/>
      <c r="F30" s="129"/>
      <c r="G30" s="38"/>
      <c r="H30" s="23"/>
      <c r="I30" s="18"/>
      <c r="J30" s="80">
        <f t="shared" si="22"/>
        <v>0</v>
      </c>
      <c r="K30" s="18"/>
      <c r="L30" s="80">
        <f t="shared" si="23"/>
        <v>0</v>
      </c>
      <c r="M30" s="18"/>
      <c r="N30" s="80">
        <f t="shared" si="24"/>
        <v>0</v>
      </c>
      <c r="O30" s="18"/>
      <c r="P30" s="80">
        <f t="shared" si="25"/>
        <v>0</v>
      </c>
      <c r="Q30" s="18"/>
      <c r="R30" s="80">
        <f t="shared" si="26"/>
        <v>0</v>
      </c>
      <c r="S30" s="18"/>
      <c r="T30" s="80">
        <f t="shared" si="27"/>
        <v>0</v>
      </c>
      <c r="U30" s="18"/>
      <c r="V30" s="80">
        <f t="shared" si="7"/>
        <v>0</v>
      </c>
      <c r="W30" s="19" t="str">
        <f t="shared" si="8"/>
        <v xml:space="preserve"> </v>
      </c>
      <c r="X30" s="19" t="str">
        <f t="shared" si="9"/>
        <v xml:space="preserve"> </v>
      </c>
      <c r="Y30" s="19" t="str">
        <f t="shared" si="10"/>
        <v/>
      </c>
      <c r="Z30" s="23"/>
      <c r="AA30" s="19" t="str">
        <f t="shared" si="11"/>
        <v/>
      </c>
      <c r="AB30" s="19" t="str">
        <f t="shared" si="12"/>
        <v xml:space="preserve"> </v>
      </c>
      <c r="AC30" s="19" t="str">
        <f t="shared" si="13"/>
        <v/>
      </c>
      <c r="AD30" s="19" t="str">
        <f t="shared" si="14"/>
        <v xml:space="preserve"> </v>
      </c>
      <c r="AE30" s="125" t="str">
        <f t="shared" si="15"/>
        <v xml:space="preserve"> </v>
      </c>
      <c r="AF30" s="19" t="str">
        <f t="shared" si="16"/>
        <v xml:space="preserve"> </v>
      </c>
      <c r="AG30" s="50">
        <f t="shared" si="17"/>
        <v>0</v>
      </c>
      <c r="AH30" s="50" t="str">
        <f t="shared" si="18"/>
        <v xml:space="preserve"> </v>
      </c>
      <c r="AI30" s="36" t="str">
        <f>IFERROR(IF((INDEX('[3]Riesgos de Corrupción'!$B$11:$V$100,MATCH('Controles de Corrupción'!C30,'[3]Riesgos de Corrupción'!$B$11:$B$100,0),17)-AH30&lt;=1),"Rara vez",IF((INDEX('[3]Riesgos de Corrupción'!$B$11:$V$100,MATCH('Controles de Corrupción'!C30,'[3]Riesgos de Corrupción'!$B$11:$B$100,0),17)-AH30&lt;=2),"Improbable",IF((INDEX('[3]Riesgos de Corrupción'!$B$11:$V$100,MATCH('Controles de Corrupción'!C30,'[3]Riesgos de Corrupción'!$B$11:$B$100,0),17)-AH30&lt;=3),"Posible",IF((INDEX('[3]Riesgos de Corrupción'!$B$11:$V$100,MATCH('Controles de Corrupción'!C30,'[3]Riesgos de Corrupción'!$B$11:$B$100,0),17)-AH30&lt;=4),"Probable",IF((INDEX('[3]Riesgos de Corrupción'!$B$11:$V$100,MATCH('Controles de Corrupción'!C30,'[3]Riesgos de Corrupción'!$B$11:$B$100,0),17)-AH30&lt;=5),"Casi seguro")))))," ")</f>
        <v xml:space="preserve"> </v>
      </c>
      <c r="AJ30" s="8" t="str">
        <f>IFERROR(IF(OR(AND(AF30="Fuerte",H30="No disminuye"),AND(AF30="Moderado",H30="Indirectamente"),AND(AF30="Moderado",H30="No disminuye"),AND(INDEX('[3]Riesgos de Corrupción'!$B$11:$BN$100,MATCH('Controles de Corrupción'!C30,'[3]Riesgos de Corrupción'!$B$11:$B$100,0),63)="Moderado")),0,IF(OR(AND(AF30="Fuerte",H30="Indirectamente"),AND(AF30="Moderado",H30="Directamente"),AND(INDEX('[3]Riesgos de Corrupción'!$B$11:$BN$100,MATCH('Controles de Corrupción'!C30,'[3]Riesgos de Corrupción'!$B$11:$B$100,0),63)="Mayor")),1,IF(AND(AF30="Fuerte",H30="Directamente",AND(INDEX('[3]Riesgos de Corrupción'!$B$11:$BN$100,MATCH('Controles de Corrupción'!C30,'[3]Riesgos de Corrupción'!$B$11:$B$100,0),63)="Catastrófico")),2)))," ")</f>
        <v xml:space="preserve"> </v>
      </c>
      <c r="AK30" s="19" t="str">
        <f t="shared" si="19"/>
        <v xml:space="preserve"> </v>
      </c>
      <c r="AL30" s="19" t="str">
        <f>IFERROR(IF((INDEX('[3]Riesgos de Corrupción'!$B$11:$BN$100,MATCH('Controles de Corrupción'!C30,'[3]Riesgos de Corrupción'!$B$11:$B$100,0),62)-AK30&lt;=3),"Moderado",IF((INDEX('[3]Riesgos de Corrupción'!$B$11:$BN$100,MATCH('Controles de Corrupción'!C30,'[3]Riesgos de Corrupción'!$B$11:$B$100,0),62)-AK30&lt;=4),"Mayor",IF((INDEX('[3]Riesgos de Corrupción'!$B$11:$BN$100,MATCH('Controles de Corrupción'!C30,'[3]Riesgos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0" t="str">
        <f t="shared" si="0"/>
        <v>-</v>
      </c>
      <c r="C31" s="188"/>
      <c r="D31" s="170"/>
      <c r="E31" s="171"/>
      <c r="F31" s="129"/>
      <c r="G31" s="38"/>
      <c r="H31" s="23"/>
      <c r="I31" s="18"/>
      <c r="J31" s="80">
        <f t="shared" si="22"/>
        <v>0</v>
      </c>
      <c r="K31" s="18"/>
      <c r="L31" s="80">
        <f t="shared" si="23"/>
        <v>0</v>
      </c>
      <c r="M31" s="18"/>
      <c r="N31" s="80">
        <f t="shared" si="24"/>
        <v>0</v>
      </c>
      <c r="O31" s="18"/>
      <c r="P31" s="80">
        <f t="shared" si="25"/>
        <v>0</v>
      </c>
      <c r="Q31" s="18"/>
      <c r="R31" s="80">
        <f t="shared" si="26"/>
        <v>0</v>
      </c>
      <c r="S31" s="18"/>
      <c r="T31" s="80">
        <f t="shared" si="27"/>
        <v>0</v>
      </c>
      <c r="U31" s="18"/>
      <c r="V31" s="80">
        <f t="shared" si="7"/>
        <v>0</v>
      </c>
      <c r="W31" s="19" t="str">
        <f t="shared" si="8"/>
        <v xml:space="preserve"> </v>
      </c>
      <c r="X31" s="19" t="str">
        <f t="shared" si="9"/>
        <v xml:space="preserve"> </v>
      </c>
      <c r="Y31" s="19" t="str">
        <f t="shared" si="10"/>
        <v/>
      </c>
      <c r="Z31" s="23"/>
      <c r="AA31" s="19" t="str">
        <f t="shared" si="11"/>
        <v/>
      </c>
      <c r="AB31" s="19" t="str">
        <f t="shared" si="12"/>
        <v xml:space="preserve"> </v>
      </c>
      <c r="AC31" s="19" t="str">
        <f t="shared" si="13"/>
        <v/>
      </c>
      <c r="AD31" s="19" t="str">
        <f t="shared" si="14"/>
        <v xml:space="preserve"> </v>
      </c>
      <c r="AE31" s="125" t="str">
        <f t="shared" si="15"/>
        <v xml:space="preserve"> </v>
      </c>
      <c r="AF31" s="19" t="str">
        <f t="shared" si="16"/>
        <v xml:space="preserve"> </v>
      </c>
      <c r="AG31" s="50">
        <f t="shared" si="17"/>
        <v>0</v>
      </c>
      <c r="AH31" s="50" t="str">
        <f t="shared" si="18"/>
        <v xml:space="preserve"> </v>
      </c>
      <c r="AI31" s="36" t="str">
        <f>IFERROR(IF((INDEX('[3]Riesgos de Corrupción'!$B$11:$V$100,MATCH('Controles de Corrupción'!C31,'[3]Riesgos de Corrupción'!$B$11:$B$100,0),17)-AH31&lt;=1),"Rara vez",IF((INDEX('[3]Riesgos de Corrupción'!$B$11:$V$100,MATCH('Controles de Corrupción'!C31,'[3]Riesgos de Corrupción'!$B$11:$B$100,0),17)-AH31&lt;=2),"Improbable",IF((INDEX('[3]Riesgos de Corrupción'!$B$11:$V$100,MATCH('Controles de Corrupción'!C31,'[3]Riesgos de Corrupción'!$B$11:$B$100,0),17)-AH31&lt;=3),"Posible",IF((INDEX('[3]Riesgos de Corrupción'!$B$11:$V$100,MATCH('Controles de Corrupción'!C31,'[3]Riesgos de Corrupción'!$B$11:$B$100,0),17)-AH31&lt;=4),"Probable",IF((INDEX('[3]Riesgos de Corrupción'!$B$11:$V$100,MATCH('Controles de Corrupción'!C31,'[3]Riesgos de Corrupción'!$B$11:$B$100,0),17)-AH31&lt;=5),"Casi seguro")))))," ")</f>
        <v xml:space="preserve"> </v>
      </c>
      <c r="AJ31" s="8" t="str">
        <f>IFERROR(IF(OR(AND(AF31="Fuerte",H31="No disminuye"),AND(AF31="Moderado",H31="Indirectamente"),AND(AF31="Moderado",H31="No disminuye"),AND(INDEX('[3]Riesgos de Corrupción'!$B$11:$BN$100,MATCH('Controles de Corrupción'!C31,'[3]Riesgos de Corrupción'!$B$11:$B$100,0),63)="Moderado")),0,IF(OR(AND(AF31="Fuerte",H31="Indirectamente"),AND(AF31="Moderado",H31="Directamente"),AND(INDEX('[3]Riesgos de Corrupción'!$B$11:$BN$100,MATCH('Controles de Corrupción'!C31,'[3]Riesgos de Corrupción'!$B$11:$B$100,0),63)="Mayor")),1,IF(AND(AF31="Fuerte",H31="Directamente",AND(INDEX('[3]Riesgos de Corrupción'!$B$11:$BN$100,MATCH('Controles de Corrupción'!C31,'[3]Riesgos de Corrupción'!$B$11:$B$100,0),63)="Catastrófico")),2)))," ")</f>
        <v xml:space="preserve"> </v>
      </c>
      <c r="AK31" s="19" t="str">
        <f t="shared" si="19"/>
        <v xml:space="preserve"> </v>
      </c>
      <c r="AL31" s="19" t="str">
        <f>IFERROR(IF((INDEX('[3]Riesgos de Corrupción'!$B$11:$BN$100,MATCH('Controles de Corrupción'!C31,'[3]Riesgos de Corrupción'!$B$11:$B$100,0),62)-AK31&lt;=3),"Moderado",IF((INDEX('[3]Riesgos de Corrupción'!$B$11:$BN$100,MATCH('Controles de Corrupción'!C31,'[3]Riesgos de Corrupción'!$B$11:$B$100,0),62)-AK31&lt;=4),"Mayor",IF((INDEX('[3]Riesgos de Corrupción'!$B$11:$BN$100,MATCH('Controles de Corrupción'!C31,'[3]Riesgos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0" t="str">
        <f t="shared" si="0"/>
        <v>-</v>
      </c>
      <c r="C32" s="188"/>
      <c r="D32" s="170"/>
      <c r="E32" s="171"/>
      <c r="F32" s="130"/>
      <c r="G32" s="128"/>
      <c r="H32" s="23"/>
      <c r="I32" s="18"/>
      <c r="J32" s="80">
        <f t="shared" si="22"/>
        <v>0</v>
      </c>
      <c r="K32" s="18"/>
      <c r="L32" s="80">
        <f t="shared" si="23"/>
        <v>0</v>
      </c>
      <c r="M32" s="18"/>
      <c r="N32" s="80">
        <f t="shared" si="24"/>
        <v>0</v>
      </c>
      <c r="O32" s="18"/>
      <c r="P32" s="80">
        <f t="shared" si="25"/>
        <v>0</v>
      </c>
      <c r="Q32" s="18"/>
      <c r="R32" s="80">
        <f t="shared" si="26"/>
        <v>0</v>
      </c>
      <c r="S32" s="18"/>
      <c r="T32" s="80">
        <f t="shared" si="27"/>
        <v>0</v>
      </c>
      <c r="U32" s="18"/>
      <c r="V32" s="80">
        <f t="shared" si="7"/>
        <v>0</v>
      </c>
      <c r="W32" s="19" t="str">
        <f t="shared" si="8"/>
        <v xml:space="preserve"> </v>
      </c>
      <c r="X32" s="19" t="str">
        <f t="shared" si="9"/>
        <v xml:space="preserve"> </v>
      </c>
      <c r="Y32" s="19" t="str">
        <f t="shared" si="10"/>
        <v/>
      </c>
      <c r="Z32" s="23"/>
      <c r="AA32" s="19" t="str">
        <f t="shared" si="11"/>
        <v/>
      </c>
      <c r="AB32" s="19" t="str">
        <f t="shared" si="12"/>
        <v xml:space="preserve"> </v>
      </c>
      <c r="AC32" s="19" t="str">
        <f t="shared" si="13"/>
        <v/>
      </c>
      <c r="AD32" s="19" t="str">
        <f t="shared" si="14"/>
        <v xml:space="preserve"> </v>
      </c>
      <c r="AE32" s="125" t="str">
        <f t="shared" si="15"/>
        <v xml:space="preserve"> </v>
      </c>
      <c r="AF32" s="19" t="str">
        <f t="shared" si="16"/>
        <v xml:space="preserve"> </v>
      </c>
      <c r="AG32" s="50">
        <f t="shared" si="17"/>
        <v>0</v>
      </c>
      <c r="AH32" s="50" t="str">
        <f t="shared" si="18"/>
        <v xml:space="preserve"> </v>
      </c>
      <c r="AI32" s="36" t="str">
        <f>IFERROR(IF((INDEX('[3]Riesgos de Corrupción'!$B$11:$V$100,MATCH('Controles de Corrupción'!C32,'[3]Riesgos de Corrupción'!$B$11:$B$100,0),17)-AH32&lt;=1),"Rara vez",IF((INDEX('[3]Riesgos de Corrupción'!$B$11:$V$100,MATCH('Controles de Corrupción'!C32,'[3]Riesgos de Corrupción'!$B$11:$B$100,0),17)-AH32&lt;=2),"Improbable",IF((INDEX('[3]Riesgos de Corrupción'!$B$11:$V$100,MATCH('Controles de Corrupción'!C32,'[3]Riesgos de Corrupción'!$B$11:$B$100,0),17)-AH32&lt;=3),"Posible",IF((INDEX('[3]Riesgos de Corrupción'!$B$11:$V$100,MATCH('Controles de Corrupción'!C32,'[3]Riesgos de Corrupción'!$B$11:$B$100,0),17)-AH32&lt;=4),"Probable",IF((INDEX('[3]Riesgos de Corrupción'!$B$11:$V$100,MATCH('Controles de Corrupción'!C32,'[3]Riesgos de Corrupción'!$B$11:$B$100,0),17)-AH32&lt;=5),"Casi seguro")))))," ")</f>
        <v xml:space="preserve"> </v>
      </c>
      <c r="AJ32" s="8" t="str">
        <f>IFERROR(IF(OR(AND(AF32="Fuerte",H32="No disminuye"),AND(AF32="Moderado",H32="Indirectamente"),AND(AF32="Moderado",H32="No disminuye"),AND(INDEX('[3]Riesgos de Corrupción'!$B$11:$BN$100,MATCH('Controles de Corrupción'!C32,'[3]Riesgos de Corrupción'!$B$11:$B$100,0),63)="Moderado")),0,IF(OR(AND(AF32="Fuerte",H32="Indirectamente"),AND(AF32="Moderado",H32="Directamente"),AND(INDEX('[3]Riesgos de Corrupción'!$B$11:$BN$100,MATCH('Controles de Corrupción'!C32,'[3]Riesgos de Corrupción'!$B$11:$B$100,0),63)="Mayor")),1,IF(AND(AF32="Fuerte",H32="Directamente",AND(INDEX('[3]Riesgos de Corrupción'!$B$11:$BN$100,MATCH('Controles de Corrupción'!C32,'[3]Riesgos de Corrupción'!$B$11:$B$100,0),63)="Catastrófico")),2)))," ")</f>
        <v xml:space="preserve"> </v>
      </c>
      <c r="AK32" s="19" t="str">
        <f t="shared" si="19"/>
        <v xml:space="preserve"> </v>
      </c>
      <c r="AL32" s="19" t="str">
        <f>IFERROR(IF((INDEX('[3]Riesgos de Corrupción'!$B$11:$BN$100,MATCH('Controles de Corrupción'!C32,'[3]Riesgos de Corrupción'!$B$11:$B$100,0),62)-AK32&lt;=3),"Moderado",IF((INDEX('[3]Riesgos de Corrupción'!$B$11:$BN$100,MATCH('Controles de Corrupción'!C32,'[3]Riesgos de Corrupción'!$B$11:$B$100,0),62)-AK32&lt;=4),"Mayor",IF((INDEX('[3]Riesgos de Corrupción'!$B$11:$BN$100,MATCH('Controles de Corrupción'!C32,'[3]Riesgos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0" t="str">
        <f t="shared" si="0"/>
        <v>-</v>
      </c>
      <c r="C33" s="188"/>
      <c r="D33" s="170"/>
      <c r="E33" s="171"/>
      <c r="F33" s="129"/>
      <c r="G33" s="128"/>
      <c r="H33" s="23"/>
      <c r="I33" s="18"/>
      <c r="J33" s="80">
        <f t="shared" si="22"/>
        <v>0</v>
      </c>
      <c r="K33" s="18"/>
      <c r="L33" s="80">
        <f t="shared" si="23"/>
        <v>0</v>
      </c>
      <c r="M33" s="18"/>
      <c r="N33" s="80">
        <f t="shared" si="24"/>
        <v>0</v>
      </c>
      <c r="O33" s="18"/>
      <c r="P33" s="80">
        <f t="shared" si="25"/>
        <v>0</v>
      </c>
      <c r="Q33" s="18"/>
      <c r="R33" s="80">
        <f t="shared" si="26"/>
        <v>0</v>
      </c>
      <c r="S33" s="18"/>
      <c r="T33" s="80">
        <f t="shared" si="27"/>
        <v>0</v>
      </c>
      <c r="U33" s="18"/>
      <c r="V33" s="80">
        <f t="shared" si="7"/>
        <v>0</v>
      </c>
      <c r="W33" s="19" t="str">
        <f t="shared" si="8"/>
        <v xml:space="preserve"> </v>
      </c>
      <c r="X33" s="19" t="str">
        <f t="shared" si="9"/>
        <v xml:space="preserve"> </v>
      </c>
      <c r="Y33" s="19" t="str">
        <f t="shared" si="10"/>
        <v/>
      </c>
      <c r="Z33" s="23"/>
      <c r="AA33" s="19" t="str">
        <f t="shared" si="11"/>
        <v/>
      </c>
      <c r="AB33" s="19" t="str">
        <f t="shared" si="12"/>
        <v xml:space="preserve"> </v>
      </c>
      <c r="AC33" s="19" t="str">
        <f t="shared" si="13"/>
        <v/>
      </c>
      <c r="AD33" s="19" t="str">
        <f t="shared" si="14"/>
        <v xml:space="preserve"> </v>
      </c>
      <c r="AE33" s="125" t="str">
        <f t="shared" si="15"/>
        <v xml:space="preserve"> </v>
      </c>
      <c r="AF33" s="19" t="str">
        <f t="shared" si="16"/>
        <v xml:space="preserve"> </v>
      </c>
      <c r="AG33" s="50">
        <f t="shared" si="17"/>
        <v>0</v>
      </c>
      <c r="AH33" s="50" t="str">
        <f t="shared" si="18"/>
        <v xml:space="preserve"> </v>
      </c>
      <c r="AI33" s="36" t="str">
        <f>IFERROR(IF((INDEX('[3]Riesgos de Corrupción'!$B$11:$V$100,MATCH('Controles de Corrupción'!C33,'[3]Riesgos de Corrupción'!$B$11:$B$100,0),17)-AH33&lt;=1),"Rara vez",IF((INDEX('[3]Riesgos de Corrupción'!$B$11:$V$100,MATCH('Controles de Corrupción'!C33,'[3]Riesgos de Corrupción'!$B$11:$B$100,0),17)-AH33&lt;=2),"Improbable",IF((INDEX('[3]Riesgos de Corrupción'!$B$11:$V$100,MATCH('Controles de Corrupción'!C33,'[3]Riesgos de Corrupción'!$B$11:$B$100,0),17)-AH33&lt;=3),"Posible",IF((INDEX('[3]Riesgos de Corrupción'!$B$11:$V$100,MATCH('Controles de Corrupción'!C33,'[3]Riesgos de Corrupción'!$B$11:$B$100,0),17)-AH33&lt;=4),"Probable",IF((INDEX('[3]Riesgos de Corrupción'!$B$11:$V$100,MATCH('Controles de Corrupción'!C33,'[3]Riesgos de Corrupción'!$B$11:$B$100,0),17)-AH33&lt;=5),"Casi seguro")))))," ")</f>
        <v xml:space="preserve"> </v>
      </c>
      <c r="AJ33" s="8" t="str">
        <f>IFERROR(IF(OR(AND(AF33="Fuerte",H33="No disminuye"),AND(AF33="Moderado",H33="Indirectamente"),AND(AF33="Moderado",H33="No disminuye"),AND(INDEX('[3]Riesgos de Corrupción'!$B$11:$BN$100,MATCH('Controles de Corrupción'!C33,'[3]Riesgos de Corrupción'!$B$11:$B$100,0),63)="Moderado")),0,IF(OR(AND(AF33="Fuerte",H33="Indirectamente"),AND(AF33="Moderado",H33="Directamente"),AND(INDEX('[3]Riesgos de Corrupción'!$B$11:$BN$100,MATCH('Controles de Corrupción'!C33,'[3]Riesgos de Corrupción'!$B$11:$B$100,0),63)="Mayor")),1,IF(AND(AF33="Fuerte",H33="Directamente",AND(INDEX('[3]Riesgos de Corrupción'!$B$11:$BN$100,MATCH('Controles de Corrupción'!C33,'[3]Riesgos de Corrupción'!$B$11:$B$100,0),63)="Catastrófico")),2)))," ")</f>
        <v xml:space="preserve"> </v>
      </c>
      <c r="AK33" s="19" t="str">
        <f t="shared" si="19"/>
        <v xml:space="preserve"> </v>
      </c>
      <c r="AL33" s="19" t="str">
        <f>IFERROR(IF((INDEX('[3]Riesgos de Corrupción'!$B$11:$BN$100,MATCH('Controles de Corrupción'!C33,'[3]Riesgos de Corrupción'!$B$11:$B$100,0),62)-AK33&lt;=3),"Moderado",IF((INDEX('[3]Riesgos de Corrupción'!$B$11:$BN$100,MATCH('Controles de Corrupción'!C33,'[3]Riesgos de Corrupción'!$B$11:$B$100,0),62)-AK33&lt;=4),"Mayor",IF((INDEX('[3]Riesgos de Corrupción'!$B$11:$BN$100,MATCH('Controles de Corrupción'!C33,'[3]Riesgos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0" t="str">
        <f t="shared" si="0"/>
        <v>-</v>
      </c>
      <c r="C34" s="188"/>
      <c r="D34" s="170"/>
      <c r="E34" s="171"/>
      <c r="F34" s="129"/>
      <c r="G34" s="128"/>
      <c r="H34" s="23"/>
      <c r="I34" s="18"/>
      <c r="J34" s="80">
        <f t="shared" si="22"/>
        <v>0</v>
      </c>
      <c r="K34" s="18"/>
      <c r="L34" s="80">
        <f t="shared" si="23"/>
        <v>0</v>
      </c>
      <c r="M34" s="18"/>
      <c r="N34" s="80">
        <f t="shared" si="24"/>
        <v>0</v>
      </c>
      <c r="O34" s="18"/>
      <c r="P34" s="80">
        <f t="shared" si="25"/>
        <v>0</v>
      </c>
      <c r="Q34" s="18"/>
      <c r="R34" s="80">
        <f t="shared" si="26"/>
        <v>0</v>
      </c>
      <c r="S34" s="18"/>
      <c r="T34" s="80">
        <f t="shared" si="27"/>
        <v>0</v>
      </c>
      <c r="U34" s="18"/>
      <c r="V34" s="80">
        <f t="shared" si="7"/>
        <v>0</v>
      </c>
      <c r="W34" s="19" t="str">
        <f t="shared" si="8"/>
        <v xml:space="preserve"> </v>
      </c>
      <c r="X34" s="19" t="str">
        <f t="shared" si="9"/>
        <v xml:space="preserve"> </v>
      </c>
      <c r="Y34" s="19" t="str">
        <f t="shared" si="10"/>
        <v/>
      </c>
      <c r="Z34" s="23"/>
      <c r="AA34" s="19" t="str">
        <f t="shared" si="11"/>
        <v/>
      </c>
      <c r="AB34" s="19" t="str">
        <f t="shared" si="12"/>
        <v xml:space="preserve"> </v>
      </c>
      <c r="AC34" s="19" t="str">
        <f t="shared" si="13"/>
        <v/>
      </c>
      <c r="AD34" s="19" t="str">
        <f t="shared" si="14"/>
        <v xml:space="preserve"> </v>
      </c>
      <c r="AE34" s="125" t="str">
        <f t="shared" si="15"/>
        <v xml:space="preserve"> </v>
      </c>
      <c r="AF34" s="19" t="str">
        <f t="shared" si="16"/>
        <v xml:space="preserve"> </v>
      </c>
      <c r="AG34" s="50">
        <f t="shared" si="17"/>
        <v>0</v>
      </c>
      <c r="AH34" s="50" t="str">
        <f t="shared" si="18"/>
        <v xml:space="preserve"> </v>
      </c>
      <c r="AI34" s="36" t="str">
        <f>IFERROR(IF((INDEX('[3]Riesgos de Corrupción'!$B$11:$V$100,MATCH('Controles de Corrupción'!C34,'[3]Riesgos de Corrupción'!$B$11:$B$100,0),17)-AH34&lt;=1),"Rara vez",IF((INDEX('[3]Riesgos de Corrupción'!$B$11:$V$100,MATCH('Controles de Corrupción'!C34,'[3]Riesgos de Corrupción'!$B$11:$B$100,0),17)-AH34&lt;=2),"Improbable",IF((INDEX('[3]Riesgos de Corrupción'!$B$11:$V$100,MATCH('Controles de Corrupción'!C34,'[3]Riesgos de Corrupción'!$B$11:$B$100,0),17)-AH34&lt;=3),"Posible",IF((INDEX('[3]Riesgos de Corrupción'!$B$11:$V$100,MATCH('Controles de Corrupción'!C34,'[3]Riesgos de Corrupción'!$B$11:$B$100,0),17)-AH34&lt;=4),"Probable",IF((INDEX('[3]Riesgos de Corrupción'!$B$11:$V$100,MATCH('Controles de Corrupción'!C34,'[3]Riesgos de Corrupción'!$B$11:$B$100,0),17)-AH34&lt;=5),"Casi seguro")))))," ")</f>
        <v xml:space="preserve"> </v>
      </c>
      <c r="AJ34" s="8" t="str">
        <f>IFERROR(IF(OR(AND(AF34="Fuerte",H34="No disminuye"),AND(AF34="Moderado",H34="Indirectamente"),AND(AF34="Moderado",H34="No disminuye"),AND(INDEX('[3]Riesgos de Corrupción'!$B$11:$BN$100,MATCH('Controles de Corrupción'!C34,'[3]Riesgos de Corrupción'!$B$11:$B$100,0),63)="Moderado")),0,IF(OR(AND(AF34="Fuerte",H34="Indirectamente"),AND(AF34="Moderado",H34="Directamente"),AND(INDEX('[3]Riesgos de Corrupción'!$B$11:$BN$100,MATCH('Controles de Corrupción'!C34,'[3]Riesgos de Corrupción'!$B$11:$B$100,0),63)="Mayor")),1,IF(AND(AF34="Fuerte",H34="Directamente",AND(INDEX('[3]Riesgos de Corrupción'!$B$11:$BN$100,MATCH('Controles de Corrupción'!C34,'[3]Riesgos de Corrupción'!$B$11:$B$100,0),63)="Catastrófico")),2)))," ")</f>
        <v xml:space="preserve"> </v>
      </c>
      <c r="AK34" s="19" t="str">
        <f t="shared" si="19"/>
        <v xml:space="preserve"> </v>
      </c>
      <c r="AL34" s="19" t="str">
        <f>IFERROR(IF((INDEX('[3]Riesgos de Corrupción'!$B$11:$BN$100,MATCH('Controles de Corrupción'!C34,'[3]Riesgos de Corrupción'!$B$11:$B$100,0),62)-AK34&lt;=3),"Moderado",IF((INDEX('[3]Riesgos de Corrupción'!$B$11:$BN$100,MATCH('Controles de Corrupción'!C34,'[3]Riesgos de Corrupción'!$B$11:$B$100,0),62)-AK34&lt;=4),"Mayor",IF((INDEX('[3]Riesgos de Corrupción'!$B$11:$BN$100,MATCH('Controles de Corrupción'!C34,'[3]Riesgos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0" t="str">
        <f t="shared" si="0"/>
        <v>-</v>
      </c>
      <c r="C35" s="188"/>
      <c r="D35" s="170"/>
      <c r="E35" s="171"/>
      <c r="F35" s="129"/>
      <c r="G35" s="128"/>
      <c r="H35" s="23"/>
      <c r="I35" s="18"/>
      <c r="J35" s="80">
        <f t="shared" si="22"/>
        <v>0</v>
      </c>
      <c r="K35" s="18"/>
      <c r="L35" s="80">
        <f t="shared" si="23"/>
        <v>0</v>
      </c>
      <c r="M35" s="18"/>
      <c r="N35" s="80">
        <f t="shared" si="24"/>
        <v>0</v>
      </c>
      <c r="O35" s="18"/>
      <c r="P35" s="80">
        <f t="shared" si="25"/>
        <v>0</v>
      </c>
      <c r="Q35" s="18"/>
      <c r="R35" s="80">
        <f t="shared" si="26"/>
        <v>0</v>
      </c>
      <c r="S35" s="18"/>
      <c r="T35" s="80">
        <f t="shared" si="27"/>
        <v>0</v>
      </c>
      <c r="U35" s="18"/>
      <c r="V35" s="80">
        <f t="shared" si="7"/>
        <v>0</v>
      </c>
      <c r="W35" s="19" t="str">
        <f t="shared" si="8"/>
        <v xml:space="preserve"> </v>
      </c>
      <c r="X35" s="19" t="str">
        <f t="shared" si="9"/>
        <v xml:space="preserve"> </v>
      </c>
      <c r="Y35" s="19" t="str">
        <f t="shared" si="10"/>
        <v/>
      </c>
      <c r="Z35" s="23"/>
      <c r="AA35" s="19" t="str">
        <f t="shared" si="11"/>
        <v/>
      </c>
      <c r="AB35" s="19" t="str">
        <f t="shared" si="12"/>
        <v xml:space="preserve"> </v>
      </c>
      <c r="AC35" s="19" t="str">
        <f t="shared" si="13"/>
        <v/>
      </c>
      <c r="AD35" s="19" t="str">
        <f t="shared" si="14"/>
        <v xml:space="preserve"> </v>
      </c>
      <c r="AE35" s="125" t="str">
        <f t="shared" si="15"/>
        <v xml:space="preserve"> </v>
      </c>
      <c r="AF35" s="19" t="str">
        <f t="shared" si="16"/>
        <v xml:space="preserve"> </v>
      </c>
      <c r="AG35" s="50">
        <f t="shared" si="17"/>
        <v>0</v>
      </c>
      <c r="AH35" s="50" t="str">
        <f t="shared" si="18"/>
        <v xml:space="preserve"> </v>
      </c>
      <c r="AI35" s="36" t="str">
        <f>IFERROR(IF((INDEX('[3]Riesgos de Corrupción'!$B$11:$V$100,MATCH('Controles de Corrupción'!C35,'[3]Riesgos de Corrupción'!$B$11:$B$100,0),17)-AH35&lt;=1),"Rara vez",IF((INDEX('[3]Riesgos de Corrupción'!$B$11:$V$100,MATCH('Controles de Corrupción'!C35,'[3]Riesgos de Corrupción'!$B$11:$B$100,0),17)-AH35&lt;=2),"Improbable",IF((INDEX('[3]Riesgos de Corrupción'!$B$11:$V$100,MATCH('Controles de Corrupción'!C35,'[3]Riesgos de Corrupción'!$B$11:$B$100,0),17)-AH35&lt;=3),"Posible",IF((INDEX('[3]Riesgos de Corrupción'!$B$11:$V$100,MATCH('Controles de Corrupción'!C35,'[3]Riesgos de Corrupción'!$B$11:$B$100,0),17)-AH35&lt;=4),"Probable",IF((INDEX('[3]Riesgos de Corrupción'!$B$11:$V$100,MATCH('Controles de Corrupción'!C35,'[3]Riesgos de Corrupción'!$B$11:$B$100,0),17)-AH35&lt;=5),"Casi seguro")))))," ")</f>
        <v xml:space="preserve"> </v>
      </c>
      <c r="AJ35" s="8" t="str">
        <f>IFERROR(IF(OR(AND(AF35="Fuerte",H35="No disminuye"),AND(AF35="Moderado",H35="Indirectamente"),AND(AF35="Moderado",H35="No disminuye"),AND(INDEX('[3]Riesgos de Corrupción'!$B$11:$BN$100,MATCH('Controles de Corrupción'!C35,'[3]Riesgos de Corrupción'!$B$11:$B$100,0),63)="Moderado")),0,IF(OR(AND(AF35="Fuerte",H35="Indirectamente"),AND(AF35="Moderado",H35="Directamente"),AND(INDEX('[3]Riesgos de Corrupción'!$B$11:$BN$100,MATCH('Controles de Corrupción'!C35,'[3]Riesgos de Corrupción'!$B$11:$B$100,0),63)="Mayor")),1,IF(AND(AF35="Fuerte",H35="Directamente",AND(INDEX('[3]Riesgos de Corrupción'!$B$11:$BN$100,MATCH('Controles de Corrupción'!C35,'[3]Riesgos de Corrupción'!$B$11:$B$100,0),63)="Catastrófico")),2)))," ")</f>
        <v xml:space="preserve"> </v>
      </c>
      <c r="AK35" s="19" t="str">
        <f t="shared" si="19"/>
        <v xml:space="preserve"> </v>
      </c>
      <c r="AL35" s="19" t="str">
        <f>IFERROR(IF((INDEX('[3]Riesgos de Corrupción'!$B$11:$BN$100,MATCH('Controles de Corrupción'!C35,'[3]Riesgos de Corrupción'!$B$11:$B$100,0),62)-AK35&lt;=3),"Moderado",IF((INDEX('[3]Riesgos de Corrupción'!$B$11:$BN$100,MATCH('Controles de Corrupción'!C35,'[3]Riesgos de Corrupción'!$B$11:$B$100,0),62)-AK35&lt;=4),"Mayor",IF((INDEX('[3]Riesgos de Corrupción'!$B$11:$BN$100,MATCH('Controles de Corrupción'!C35,'[3]Riesgos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0" t="str">
        <f t="shared" si="0"/>
        <v>-</v>
      </c>
      <c r="C36" s="188"/>
      <c r="D36" s="170"/>
      <c r="E36" s="171"/>
      <c r="F36" s="129"/>
      <c r="G36" s="128"/>
      <c r="H36" s="23"/>
      <c r="I36" s="18"/>
      <c r="J36" s="80">
        <f t="shared" si="22"/>
        <v>0</v>
      </c>
      <c r="K36" s="18"/>
      <c r="L36" s="80">
        <f t="shared" si="23"/>
        <v>0</v>
      </c>
      <c r="M36" s="18"/>
      <c r="N36" s="80">
        <f t="shared" si="24"/>
        <v>0</v>
      </c>
      <c r="O36" s="18"/>
      <c r="P36" s="80">
        <f t="shared" si="25"/>
        <v>0</v>
      </c>
      <c r="Q36" s="18"/>
      <c r="R36" s="80">
        <f t="shared" si="26"/>
        <v>0</v>
      </c>
      <c r="S36" s="18"/>
      <c r="T36" s="80">
        <f t="shared" si="27"/>
        <v>0</v>
      </c>
      <c r="U36" s="18"/>
      <c r="V36" s="80">
        <f t="shared" si="7"/>
        <v>0</v>
      </c>
      <c r="W36" s="19" t="str">
        <f t="shared" si="8"/>
        <v xml:space="preserve"> </v>
      </c>
      <c r="X36" s="19" t="str">
        <f t="shared" si="9"/>
        <v xml:space="preserve"> </v>
      </c>
      <c r="Y36" s="19" t="str">
        <f t="shared" si="10"/>
        <v/>
      </c>
      <c r="Z36" s="23"/>
      <c r="AA36" s="19" t="str">
        <f t="shared" si="11"/>
        <v/>
      </c>
      <c r="AB36" s="19" t="str">
        <f t="shared" si="12"/>
        <v xml:space="preserve"> </v>
      </c>
      <c r="AC36" s="19" t="str">
        <f t="shared" si="13"/>
        <v/>
      </c>
      <c r="AD36" s="19" t="str">
        <f t="shared" si="14"/>
        <v xml:space="preserve"> </v>
      </c>
      <c r="AE36" s="125" t="str">
        <f t="shared" si="15"/>
        <v xml:space="preserve"> </v>
      </c>
      <c r="AF36" s="19" t="str">
        <f t="shared" si="16"/>
        <v xml:space="preserve"> </v>
      </c>
      <c r="AG36" s="50">
        <f t="shared" si="17"/>
        <v>0</v>
      </c>
      <c r="AH36" s="50" t="str">
        <f t="shared" si="18"/>
        <v xml:space="preserve"> </v>
      </c>
      <c r="AI36" s="36" t="str">
        <f>IFERROR(IF((INDEX('[3]Riesgos de Corrupción'!$B$11:$V$100,MATCH('Controles de Corrupción'!C36,'[3]Riesgos de Corrupción'!$B$11:$B$100,0),17)-AH36&lt;=1),"Rara vez",IF((INDEX('[3]Riesgos de Corrupción'!$B$11:$V$100,MATCH('Controles de Corrupción'!C36,'[3]Riesgos de Corrupción'!$B$11:$B$100,0),17)-AH36&lt;=2),"Improbable",IF((INDEX('[3]Riesgos de Corrupción'!$B$11:$V$100,MATCH('Controles de Corrupción'!C36,'[3]Riesgos de Corrupción'!$B$11:$B$100,0),17)-AH36&lt;=3),"Posible",IF((INDEX('[3]Riesgos de Corrupción'!$B$11:$V$100,MATCH('Controles de Corrupción'!C36,'[3]Riesgos de Corrupción'!$B$11:$B$100,0),17)-AH36&lt;=4),"Probable",IF((INDEX('[3]Riesgos de Corrupción'!$B$11:$V$100,MATCH('Controles de Corrupción'!C36,'[3]Riesgos de Corrupción'!$B$11:$B$100,0),17)-AH36&lt;=5),"Casi seguro")))))," ")</f>
        <v xml:space="preserve"> </v>
      </c>
      <c r="AJ36" s="8" t="str">
        <f>IFERROR(IF(OR(AND(AF36="Fuerte",H36="No disminuye"),AND(AF36="Moderado",H36="Indirectamente"),AND(AF36="Moderado",H36="No disminuye"),AND(INDEX('[3]Riesgos de Corrupción'!$B$11:$BN$100,MATCH('Controles de Corrupción'!C36,'[3]Riesgos de Corrupción'!$B$11:$B$100,0),63)="Moderado")),0,IF(OR(AND(AF36="Fuerte",H36="Indirectamente"),AND(AF36="Moderado",H36="Directamente"),AND(INDEX('[3]Riesgos de Corrupción'!$B$11:$BN$100,MATCH('Controles de Corrupción'!C36,'[3]Riesgos de Corrupción'!$B$11:$B$100,0),63)="Mayor")),1,IF(AND(AF36="Fuerte",H36="Directamente",AND(INDEX('[3]Riesgos de Corrupción'!$B$11:$BN$100,MATCH('Controles de Corrupción'!C36,'[3]Riesgos de Corrupción'!$B$11:$B$100,0),63)="Catastrófico")),2)))," ")</f>
        <v xml:space="preserve"> </v>
      </c>
      <c r="AK36" s="19" t="str">
        <f t="shared" si="19"/>
        <v xml:space="preserve"> </v>
      </c>
      <c r="AL36" s="19" t="str">
        <f>IFERROR(IF((INDEX('[3]Riesgos de Corrupción'!$B$11:$BN$100,MATCH('Controles de Corrupción'!C36,'[3]Riesgos de Corrupción'!$B$11:$B$100,0),62)-AK36&lt;=3),"Moderado",IF((INDEX('[3]Riesgos de Corrupción'!$B$11:$BN$100,MATCH('Controles de Corrupción'!C36,'[3]Riesgos de Corrupción'!$B$11:$B$100,0),62)-AK36&lt;=4),"Mayor",IF((INDEX('[3]Riesgos de Corrupción'!$B$11:$BN$100,MATCH('Controles de Corrupción'!C36,'[3]Riesgos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0" t="str">
        <f t="shared" si="0"/>
        <v>-</v>
      </c>
      <c r="C37" s="188"/>
      <c r="D37" s="170"/>
      <c r="E37" s="171"/>
      <c r="F37" s="129"/>
      <c r="G37" s="128"/>
      <c r="H37" s="23"/>
      <c r="I37" s="18"/>
      <c r="J37" s="80">
        <f t="shared" si="22"/>
        <v>0</v>
      </c>
      <c r="K37" s="18"/>
      <c r="L37" s="80">
        <f t="shared" si="23"/>
        <v>0</v>
      </c>
      <c r="M37" s="18"/>
      <c r="N37" s="80">
        <f t="shared" si="24"/>
        <v>0</v>
      </c>
      <c r="O37" s="18"/>
      <c r="P37" s="80">
        <f t="shared" si="25"/>
        <v>0</v>
      </c>
      <c r="Q37" s="18"/>
      <c r="R37" s="80">
        <f t="shared" si="26"/>
        <v>0</v>
      </c>
      <c r="S37" s="18"/>
      <c r="T37" s="80">
        <f t="shared" si="27"/>
        <v>0</v>
      </c>
      <c r="U37" s="18"/>
      <c r="V37" s="80">
        <f t="shared" si="7"/>
        <v>0</v>
      </c>
      <c r="W37" s="19" t="str">
        <f t="shared" si="8"/>
        <v xml:space="preserve"> </v>
      </c>
      <c r="X37" s="19" t="str">
        <f t="shared" si="9"/>
        <v xml:space="preserve"> </v>
      </c>
      <c r="Y37" s="19" t="str">
        <f t="shared" si="10"/>
        <v/>
      </c>
      <c r="Z37" s="23"/>
      <c r="AA37" s="19" t="str">
        <f t="shared" si="11"/>
        <v/>
      </c>
      <c r="AB37" s="19" t="str">
        <f t="shared" si="12"/>
        <v xml:space="preserve"> </v>
      </c>
      <c r="AC37" s="19" t="str">
        <f t="shared" si="13"/>
        <v/>
      </c>
      <c r="AD37" s="19" t="str">
        <f t="shared" si="14"/>
        <v xml:space="preserve"> </v>
      </c>
      <c r="AE37" s="125" t="str">
        <f t="shared" si="15"/>
        <v xml:space="preserve"> </v>
      </c>
      <c r="AF37" s="19" t="str">
        <f t="shared" si="16"/>
        <v xml:space="preserve"> </v>
      </c>
      <c r="AG37" s="50">
        <f t="shared" si="17"/>
        <v>0</v>
      </c>
      <c r="AH37" s="50" t="str">
        <f t="shared" si="18"/>
        <v xml:space="preserve"> </v>
      </c>
      <c r="AI37" s="36" t="str">
        <f>IFERROR(IF((INDEX('[3]Riesgos de Corrupción'!$B$11:$V$100,MATCH('Controles de Corrupción'!C37,'[3]Riesgos de Corrupción'!$B$11:$B$100,0),17)-AH37&lt;=1),"Rara vez",IF((INDEX('[3]Riesgos de Corrupción'!$B$11:$V$100,MATCH('Controles de Corrupción'!C37,'[3]Riesgos de Corrupción'!$B$11:$B$100,0),17)-AH37&lt;=2),"Improbable",IF((INDEX('[3]Riesgos de Corrupción'!$B$11:$V$100,MATCH('Controles de Corrupción'!C37,'[3]Riesgos de Corrupción'!$B$11:$B$100,0),17)-AH37&lt;=3),"Posible",IF((INDEX('[3]Riesgos de Corrupción'!$B$11:$V$100,MATCH('Controles de Corrupción'!C37,'[3]Riesgos de Corrupción'!$B$11:$B$100,0),17)-AH37&lt;=4),"Probable",IF((INDEX('[3]Riesgos de Corrupción'!$B$11:$V$100,MATCH('Controles de Corrupción'!C37,'[3]Riesgos de Corrupción'!$B$11:$B$100,0),17)-AH37&lt;=5),"Casi seguro")))))," ")</f>
        <v xml:space="preserve"> </v>
      </c>
      <c r="AJ37" s="8" t="str">
        <f>IFERROR(IF(OR(AND(AF37="Fuerte",H37="No disminuye"),AND(AF37="Moderado",H37="Indirectamente"),AND(AF37="Moderado",H37="No disminuye"),AND(INDEX('[3]Riesgos de Corrupción'!$B$11:$BN$100,MATCH('Controles de Corrupción'!C37,'[3]Riesgos de Corrupción'!$B$11:$B$100,0),63)="Moderado")),0,IF(OR(AND(AF37="Fuerte",H37="Indirectamente"),AND(AF37="Moderado",H37="Directamente"),AND(INDEX('[3]Riesgos de Corrupción'!$B$11:$BN$100,MATCH('Controles de Corrupción'!C37,'[3]Riesgos de Corrupción'!$B$11:$B$100,0),63)="Mayor")),1,IF(AND(AF37="Fuerte",H37="Directamente",AND(INDEX('[3]Riesgos de Corrupción'!$B$11:$BN$100,MATCH('Controles de Corrupción'!C37,'[3]Riesgos de Corrupción'!$B$11:$B$100,0),63)="Catastrófico")),2)))," ")</f>
        <v xml:space="preserve"> </v>
      </c>
      <c r="AK37" s="19" t="str">
        <f t="shared" si="19"/>
        <v xml:space="preserve"> </v>
      </c>
      <c r="AL37" s="19" t="str">
        <f>IFERROR(IF((INDEX('[3]Riesgos de Corrupción'!$B$11:$BN$100,MATCH('Controles de Corrupción'!C37,'[3]Riesgos de Corrupción'!$B$11:$B$100,0),62)-AK37&lt;=3),"Moderado",IF((INDEX('[3]Riesgos de Corrupción'!$B$11:$BN$100,MATCH('Controles de Corrupción'!C37,'[3]Riesgos de Corrupción'!$B$11:$B$100,0),62)-AK37&lt;=4),"Mayor",IF((INDEX('[3]Riesgos de Corrupción'!$B$11:$BN$100,MATCH('Controles de Corrupción'!C37,'[3]Riesgos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0" t="str">
        <f t="shared" si="0"/>
        <v>-</v>
      </c>
      <c r="C38" s="188"/>
      <c r="D38" s="170"/>
      <c r="E38" s="171"/>
      <c r="F38" s="129"/>
      <c r="G38" s="128"/>
      <c r="H38" s="23"/>
      <c r="I38" s="18"/>
      <c r="J38" s="80">
        <f t="shared" si="22"/>
        <v>0</v>
      </c>
      <c r="K38" s="18"/>
      <c r="L38" s="80">
        <f t="shared" si="23"/>
        <v>0</v>
      </c>
      <c r="M38" s="18"/>
      <c r="N38" s="80">
        <f t="shared" si="24"/>
        <v>0</v>
      </c>
      <c r="O38" s="18"/>
      <c r="P38" s="80">
        <f t="shared" si="25"/>
        <v>0</v>
      </c>
      <c r="Q38" s="18"/>
      <c r="R38" s="80">
        <f t="shared" si="26"/>
        <v>0</v>
      </c>
      <c r="S38" s="18"/>
      <c r="T38" s="80">
        <f t="shared" si="27"/>
        <v>0</v>
      </c>
      <c r="U38" s="18"/>
      <c r="V38" s="80">
        <f t="shared" si="7"/>
        <v>0</v>
      </c>
      <c r="W38" s="19" t="str">
        <f t="shared" si="8"/>
        <v xml:space="preserve"> </v>
      </c>
      <c r="X38" s="19" t="str">
        <f t="shared" si="9"/>
        <v xml:space="preserve"> </v>
      </c>
      <c r="Y38" s="19" t="str">
        <f t="shared" si="10"/>
        <v/>
      </c>
      <c r="Z38" s="23"/>
      <c r="AA38" s="19" t="str">
        <f t="shared" si="11"/>
        <v/>
      </c>
      <c r="AB38" s="19" t="str">
        <f t="shared" si="12"/>
        <v xml:space="preserve"> </v>
      </c>
      <c r="AC38" s="19" t="str">
        <f t="shared" si="13"/>
        <v/>
      </c>
      <c r="AD38" s="19" t="str">
        <f t="shared" si="14"/>
        <v xml:space="preserve"> </v>
      </c>
      <c r="AE38" s="125" t="str">
        <f t="shared" si="15"/>
        <v xml:space="preserve"> </v>
      </c>
      <c r="AF38" s="19" t="str">
        <f t="shared" si="16"/>
        <v xml:space="preserve"> </v>
      </c>
      <c r="AG38" s="50">
        <f t="shared" si="17"/>
        <v>0</v>
      </c>
      <c r="AH38" s="50" t="str">
        <f t="shared" si="18"/>
        <v xml:space="preserve"> </v>
      </c>
      <c r="AI38" s="36" t="str">
        <f>IFERROR(IF((INDEX('[3]Riesgos de Corrupción'!$B$11:$V$100,MATCH('Controles de Corrupción'!C38,'[3]Riesgos de Corrupción'!$B$11:$B$100,0),17)-AH38&lt;=1),"Rara vez",IF((INDEX('[3]Riesgos de Corrupción'!$B$11:$V$100,MATCH('Controles de Corrupción'!C38,'[3]Riesgos de Corrupción'!$B$11:$B$100,0),17)-AH38&lt;=2),"Improbable",IF((INDEX('[3]Riesgos de Corrupción'!$B$11:$V$100,MATCH('Controles de Corrupción'!C38,'[3]Riesgos de Corrupción'!$B$11:$B$100,0),17)-AH38&lt;=3),"Posible",IF((INDEX('[3]Riesgos de Corrupción'!$B$11:$V$100,MATCH('Controles de Corrupción'!C38,'[3]Riesgos de Corrupción'!$B$11:$B$100,0),17)-AH38&lt;=4),"Probable",IF((INDEX('[3]Riesgos de Corrupción'!$B$11:$V$100,MATCH('Controles de Corrupción'!C38,'[3]Riesgos de Corrupción'!$B$11:$B$100,0),17)-AH38&lt;=5),"Casi seguro")))))," ")</f>
        <v xml:space="preserve"> </v>
      </c>
      <c r="AJ38" s="8" t="str">
        <f>IFERROR(IF(OR(AND(AF38="Fuerte",H38="No disminuye"),AND(AF38="Moderado",H38="Indirectamente"),AND(AF38="Moderado",H38="No disminuye"),AND(INDEX('[3]Riesgos de Corrupción'!$B$11:$BN$100,MATCH('Controles de Corrupción'!C38,'[3]Riesgos de Corrupción'!$B$11:$B$100,0),63)="Moderado")),0,IF(OR(AND(AF38="Fuerte",H38="Indirectamente"),AND(AF38="Moderado",H38="Directamente"),AND(INDEX('[3]Riesgos de Corrupción'!$B$11:$BN$100,MATCH('Controles de Corrupción'!C38,'[3]Riesgos de Corrupción'!$B$11:$B$100,0),63)="Mayor")),1,IF(AND(AF38="Fuerte",H38="Directamente",AND(INDEX('[3]Riesgos de Corrupción'!$B$11:$BN$100,MATCH('Controles de Corrupción'!C38,'[3]Riesgos de Corrupción'!$B$11:$B$100,0),63)="Catastrófico")),2)))," ")</f>
        <v xml:space="preserve"> </v>
      </c>
      <c r="AK38" s="19" t="str">
        <f t="shared" si="19"/>
        <v xml:space="preserve"> </v>
      </c>
      <c r="AL38" s="19" t="str">
        <f>IFERROR(IF((INDEX('[3]Riesgos de Corrupción'!$B$11:$BN$100,MATCH('Controles de Corrupción'!C38,'[3]Riesgos de Corrupción'!$B$11:$B$100,0),62)-AK38&lt;=3),"Moderado",IF((INDEX('[3]Riesgos de Corrupción'!$B$11:$BN$100,MATCH('Controles de Corrupción'!C38,'[3]Riesgos de Corrupción'!$B$11:$B$100,0),62)-AK38&lt;=4),"Mayor",IF((INDEX('[3]Riesgos de Corrupción'!$B$11:$BN$100,MATCH('Controles de Corrupción'!C38,'[3]Riesgos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0" t="str">
        <f t="shared" si="0"/>
        <v>-</v>
      </c>
      <c r="C39" s="188"/>
      <c r="D39" s="170"/>
      <c r="E39" s="171"/>
      <c r="F39" s="129"/>
      <c r="G39" s="128"/>
      <c r="H39" s="23"/>
      <c r="I39" s="18"/>
      <c r="J39" s="80">
        <f t="shared" si="22"/>
        <v>0</v>
      </c>
      <c r="K39" s="18"/>
      <c r="L39" s="80">
        <f t="shared" si="23"/>
        <v>0</v>
      </c>
      <c r="M39" s="18"/>
      <c r="N39" s="80">
        <f t="shared" si="24"/>
        <v>0</v>
      </c>
      <c r="O39" s="18"/>
      <c r="P39" s="80">
        <f t="shared" si="25"/>
        <v>0</v>
      </c>
      <c r="Q39" s="18"/>
      <c r="R39" s="80">
        <f t="shared" si="26"/>
        <v>0</v>
      </c>
      <c r="S39" s="18"/>
      <c r="T39" s="80">
        <f t="shared" si="27"/>
        <v>0</v>
      </c>
      <c r="U39" s="18"/>
      <c r="V39" s="80">
        <f t="shared" si="7"/>
        <v>0</v>
      </c>
      <c r="W39" s="19" t="str">
        <f t="shared" si="8"/>
        <v xml:space="preserve"> </v>
      </c>
      <c r="X39" s="19" t="str">
        <f t="shared" si="9"/>
        <v xml:space="preserve"> </v>
      </c>
      <c r="Y39" s="19" t="str">
        <f t="shared" si="10"/>
        <v/>
      </c>
      <c r="Z39" s="23"/>
      <c r="AA39" s="19" t="str">
        <f t="shared" si="11"/>
        <v/>
      </c>
      <c r="AB39" s="19" t="str">
        <f t="shared" si="12"/>
        <v xml:space="preserve"> </v>
      </c>
      <c r="AC39" s="19" t="str">
        <f t="shared" si="13"/>
        <v/>
      </c>
      <c r="AD39" s="19" t="str">
        <f t="shared" si="14"/>
        <v xml:space="preserve"> </v>
      </c>
      <c r="AE39" s="125" t="str">
        <f t="shared" si="15"/>
        <v xml:space="preserve"> </v>
      </c>
      <c r="AF39" s="19" t="str">
        <f t="shared" si="16"/>
        <v xml:space="preserve"> </v>
      </c>
      <c r="AG39" s="50">
        <f t="shared" si="17"/>
        <v>0</v>
      </c>
      <c r="AH39" s="50" t="str">
        <f t="shared" si="18"/>
        <v xml:space="preserve"> </v>
      </c>
      <c r="AI39" s="36" t="str">
        <f>IFERROR(IF((INDEX('[3]Riesgos de Corrupción'!$B$11:$V$100,MATCH('Controles de Corrupción'!C39,'[3]Riesgos de Corrupción'!$B$11:$B$100,0),17)-AH39&lt;=1),"Rara vez",IF((INDEX('[3]Riesgos de Corrupción'!$B$11:$V$100,MATCH('Controles de Corrupción'!C39,'[3]Riesgos de Corrupción'!$B$11:$B$100,0),17)-AH39&lt;=2),"Improbable",IF((INDEX('[3]Riesgos de Corrupción'!$B$11:$V$100,MATCH('Controles de Corrupción'!C39,'[3]Riesgos de Corrupción'!$B$11:$B$100,0),17)-AH39&lt;=3),"Posible",IF((INDEX('[3]Riesgos de Corrupción'!$B$11:$V$100,MATCH('Controles de Corrupción'!C39,'[3]Riesgos de Corrupción'!$B$11:$B$100,0),17)-AH39&lt;=4),"Probable",IF((INDEX('[3]Riesgos de Corrupción'!$B$11:$V$100,MATCH('Controles de Corrupción'!C39,'[3]Riesgos de Corrupción'!$B$11:$B$100,0),17)-AH39&lt;=5),"Casi seguro")))))," ")</f>
        <v xml:space="preserve"> </v>
      </c>
      <c r="AJ39" s="8" t="str">
        <f>IFERROR(IF(OR(AND(AF39="Fuerte",H39="No disminuye"),AND(AF39="Moderado",H39="Indirectamente"),AND(AF39="Moderado",H39="No disminuye"),AND(INDEX('[3]Riesgos de Corrupción'!$B$11:$BN$100,MATCH('Controles de Corrupción'!C39,'[3]Riesgos de Corrupción'!$B$11:$B$100,0),63)="Moderado")),0,IF(OR(AND(AF39="Fuerte",H39="Indirectamente"),AND(AF39="Moderado",H39="Directamente"),AND(INDEX('[3]Riesgos de Corrupción'!$B$11:$BN$100,MATCH('Controles de Corrupción'!C39,'[3]Riesgos de Corrupción'!$B$11:$B$100,0),63)="Mayor")),1,IF(AND(AF39="Fuerte",H39="Directamente",AND(INDEX('[3]Riesgos de Corrupción'!$B$11:$BN$100,MATCH('Controles de Corrupción'!C39,'[3]Riesgos de Corrupción'!$B$11:$B$100,0),63)="Catastrófico")),2)))," ")</f>
        <v xml:space="preserve"> </v>
      </c>
      <c r="AK39" s="19" t="str">
        <f t="shared" si="19"/>
        <v xml:space="preserve"> </v>
      </c>
      <c r="AL39" s="19" t="str">
        <f>IFERROR(IF((INDEX('[3]Riesgos de Corrupción'!$B$11:$BN$100,MATCH('Controles de Corrupción'!C39,'[3]Riesgos de Corrupción'!$B$11:$B$100,0),62)-AK39&lt;=3),"Moderado",IF((INDEX('[3]Riesgos de Corrupción'!$B$11:$BN$100,MATCH('Controles de Corrupción'!C39,'[3]Riesgos de Corrupción'!$B$11:$B$100,0),62)-AK39&lt;=4),"Mayor",IF((INDEX('[3]Riesgos de Corrupción'!$B$11:$BN$100,MATCH('Controles de Corrupción'!C39,'[3]Riesgos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0" t="str">
        <f t="shared" si="0"/>
        <v>-</v>
      </c>
      <c r="C40" s="188"/>
      <c r="D40" s="170"/>
      <c r="E40" s="171"/>
      <c r="F40" s="129"/>
      <c r="G40" s="128"/>
      <c r="H40" s="23"/>
      <c r="I40" s="18"/>
      <c r="J40" s="80">
        <f t="shared" si="22"/>
        <v>0</v>
      </c>
      <c r="K40" s="18"/>
      <c r="L40" s="80">
        <f t="shared" si="23"/>
        <v>0</v>
      </c>
      <c r="M40" s="18"/>
      <c r="N40" s="80">
        <f t="shared" si="24"/>
        <v>0</v>
      </c>
      <c r="O40" s="18"/>
      <c r="P40" s="80">
        <f t="shared" si="25"/>
        <v>0</v>
      </c>
      <c r="Q40" s="18"/>
      <c r="R40" s="80">
        <f t="shared" si="26"/>
        <v>0</v>
      </c>
      <c r="S40" s="18"/>
      <c r="T40" s="80">
        <f t="shared" si="27"/>
        <v>0</v>
      </c>
      <c r="U40" s="18"/>
      <c r="V40" s="80">
        <f t="shared" si="7"/>
        <v>0</v>
      </c>
      <c r="W40" s="19" t="str">
        <f t="shared" si="8"/>
        <v xml:space="preserve"> </v>
      </c>
      <c r="X40" s="19" t="str">
        <f t="shared" si="9"/>
        <v xml:space="preserve"> </v>
      </c>
      <c r="Y40" s="19" t="str">
        <f t="shared" si="10"/>
        <v/>
      </c>
      <c r="Z40" s="23"/>
      <c r="AA40" s="19" t="str">
        <f t="shared" si="11"/>
        <v/>
      </c>
      <c r="AB40" s="19" t="str">
        <f t="shared" si="12"/>
        <v xml:space="preserve"> </v>
      </c>
      <c r="AC40" s="19" t="str">
        <f t="shared" si="13"/>
        <v/>
      </c>
      <c r="AD40" s="19" t="str">
        <f t="shared" si="14"/>
        <v xml:space="preserve"> </v>
      </c>
      <c r="AE40" s="125" t="str">
        <f t="shared" si="15"/>
        <v xml:space="preserve"> </v>
      </c>
      <c r="AF40" s="19" t="str">
        <f t="shared" si="16"/>
        <v xml:space="preserve"> </v>
      </c>
      <c r="AG40" s="50">
        <f t="shared" si="17"/>
        <v>0</v>
      </c>
      <c r="AH40" s="50" t="str">
        <f t="shared" si="18"/>
        <v xml:space="preserve"> </v>
      </c>
      <c r="AI40" s="36" t="str">
        <f>IFERROR(IF((INDEX('[3]Riesgos de Corrupción'!$B$11:$V$100,MATCH('Controles de Corrupción'!C40,'[3]Riesgos de Corrupción'!$B$11:$B$100,0),17)-AH40&lt;=1),"Rara vez",IF((INDEX('[3]Riesgos de Corrupción'!$B$11:$V$100,MATCH('Controles de Corrupción'!C40,'[3]Riesgos de Corrupción'!$B$11:$B$100,0),17)-AH40&lt;=2),"Improbable",IF((INDEX('[3]Riesgos de Corrupción'!$B$11:$V$100,MATCH('Controles de Corrupción'!C40,'[3]Riesgos de Corrupción'!$B$11:$B$100,0),17)-AH40&lt;=3),"Posible",IF((INDEX('[3]Riesgos de Corrupción'!$B$11:$V$100,MATCH('Controles de Corrupción'!C40,'[3]Riesgos de Corrupción'!$B$11:$B$100,0),17)-AH40&lt;=4),"Probable",IF((INDEX('[3]Riesgos de Corrupción'!$B$11:$V$100,MATCH('Controles de Corrupción'!C40,'[3]Riesgos de Corrupción'!$B$11:$B$100,0),17)-AH40&lt;=5),"Casi seguro")))))," ")</f>
        <v xml:space="preserve"> </v>
      </c>
      <c r="AJ40" s="8" t="str">
        <f>IFERROR(IF(OR(AND(AF40="Fuerte",H40="No disminuye"),AND(AF40="Moderado",H40="Indirectamente"),AND(AF40="Moderado",H40="No disminuye"),AND(INDEX('[3]Riesgos de Corrupción'!$B$11:$BN$100,MATCH('Controles de Corrupción'!C40,'[3]Riesgos de Corrupción'!$B$11:$B$100,0),63)="Moderado")),0,IF(OR(AND(AF40="Fuerte",H40="Indirectamente"),AND(AF40="Moderado",H40="Directamente"),AND(INDEX('[3]Riesgos de Corrupción'!$B$11:$BN$100,MATCH('Controles de Corrupción'!C40,'[3]Riesgos de Corrupción'!$B$11:$B$100,0),63)="Mayor")),1,IF(AND(AF40="Fuerte",H40="Directamente",AND(INDEX('[3]Riesgos de Corrupción'!$B$11:$BN$100,MATCH('Controles de Corrupción'!C40,'[3]Riesgos de Corrupción'!$B$11:$B$100,0),63)="Catastrófico")),2)))," ")</f>
        <v xml:space="preserve"> </v>
      </c>
      <c r="AK40" s="19" t="str">
        <f t="shared" si="19"/>
        <v xml:space="preserve"> </v>
      </c>
      <c r="AL40" s="19" t="str">
        <f>IFERROR(IF((INDEX('[3]Riesgos de Corrupción'!$B$11:$BN$100,MATCH('Controles de Corrupción'!C40,'[3]Riesgos de Corrupción'!$B$11:$B$100,0),62)-AK40&lt;=3),"Moderado",IF((INDEX('[3]Riesgos de Corrupción'!$B$11:$BN$100,MATCH('Controles de Corrupción'!C40,'[3]Riesgos de Corrupción'!$B$11:$B$100,0),62)-AK40&lt;=4),"Mayor",IF((INDEX('[3]Riesgos de Corrupción'!$B$11:$BN$100,MATCH('Controles de Corrupción'!C40,'[3]Riesgos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0" t="str">
        <f t="shared" si="0"/>
        <v>-</v>
      </c>
      <c r="C41" s="188"/>
      <c r="D41" s="170"/>
      <c r="E41" s="171"/>
      <c r="F41" s="129"/>
      <c r="G41" s="128"/>
      <c r="H41" s="23"/>
      <c r="I41" s="18"/>
      <c r="J41" s="80">
        <f t="shared" si="22"/>
        <v>0</v>
      </c>
      <c r="K41" s="18"/>
      <c r="L41" s="80">
        <f t="shared" si="23"/>
        <v>0</v>
      </c>
      <c r="M41" s="18"/>
      <c r="N41" s="80">
        <f t="shared" si="24"/>
        <v>0</v>
      </c>
      <c r="O41" s="18"/>
      <c r="P41" s="80">
        <f t="shared" si="25"/>
        <v>0</v>
      </c>
      <c r="Q41" s="18"/>
      <c r="R41" s="80">
        <f t="shared" si="26"/>
        <v>0</v>
      </c>
      <c r="S41" s="18"/>
      <c r="T41" s="80">
        <f t="shared" si="27"/>
        <v>0</v>
      </c>
      <c r="U41" s="18"/>
      <c r="V41" s="80">
        <f t="shared" si="7"/>
        <v>0</v>
      </c>
      <c r="W41" s="19" t="str">
        <f t="shared" si="8"/>
        <v xml:space="preserve"> </v>
      </c>
      <c r="X41" s="19" t="str">
        <f t="shared" si="9"/>
        <v xml:space="preserve"> </v>
      </c>
      <c r="Y41" s="19" t="str">
        <f t="shared" si="10"/>
        <v/>
      </c>
      <c r="Z41" s="23"/>
      <c r="AA41" s="19" t="str">
        <f t="shared" si="11"/>
        <v/>
      </c>
      <c r="AB41" s="19" t="str">
        <f t="shared" si="12"/>
        <v xml:space="preserve"> </v>
      </c>
      <c r="AC41" s="19" t="str">
        <f t="shared" si="13"/>
        <v/>
      </c>
      <c r="AD41" s="19" t="str">
        <f t="shared" si="14"/>
        <v xml:space="preserve"> </v>
      </c>
      <c r="AE41" s="125" t="str">
        <f t="shared" si="15"/>
        <v xml:space="preserve"> </v>
      </c>
      <c r="AF41" s="19" t="str">
        <f t="shared" si="16"/>
        <v xml:space="preserve"> </v>
      </c>
      <c r="AG41" s="50">
        <f t="shared" si="17"/>
        <v>0</v>
      </c>
      <c r="AH41" s="50" t="str">
        <f t="shared" si="18"/>
        <v xml:space="preserve"> </v>
      </c>
      <c r="AI41" s="36" t="str">
        <f>IFERROR(IF((INDEX('[3]Riesgos de Corrupción'!$B$11:$V$100,MATCH('Controles de Corrupción'!C41,'[3]Riesgos de Corrupción'!$B$11:$B$100,0),17)-AH41&lt;=1),"Rara vez",IF((INDEX('[3]Riesgos de Corrupción'!$B$11:$V$100,MATCH('Controles de Corrupción'!C41,'[3]Riesgos de Corrupción'!$B$11:$B$100,0),17)-AH41&lt;=2),"Improbable",IF((INDEX('[3]Riesgos de Corrupción'!$B$11:$V$100,MATCH('Controles de Corrupción'!C41,'[3]Riesgos de Corrupción'!$B$11:$B$100,0),17)-AH41&lt;=3),"Posible",IF((INDEX('[3]Riesgos de Corrupción'!$B$11:$V$100,MATCH('Controles de Corrupción'!C41,'[3]Riesgos de Corrupción'!$B$11:$B$100,0),17)-AH41&lt;=4),"Probable",IF((INDEX('[3]Riesgos de Corrupción'!$B$11:$V$100,MATCH('Controles de Corrupción'!C41,'[3]Riesgos de Corrupción'!$B$11:$B$100,0),17)-AH41&lt;=5),"Casi seguro")))))," ")</f>
        <v xml:space="preserve"> </v>
      </c>
      <c r="AJ41" s="8" t="str">
        <f>IFERROR(IF(OR(AND(AF41="Fuerte",H41="No disminuye"),AND(AF41="Moderado",H41="Indirectamente"),AND(AF41="Moderado",H41="No disminuye"),AND(INDEX('[3]Riesgos de Corrupción'!$B$11:$BN$100,MATCH('Controles de Corrupción'!C41,'[3]Riesgos de Corrupción'!$B$11:$B$100,0),63)="Moderado")),0,IF(OR(AND(AF41="Fuerte",H41="Indirectamente"),AND(AF41="Moderado",H41="Directamente"),AND(INDEX('[3]Riesgos de Corrupción'!$B$11:$BN$100,MATCH('Controles de Corrupción'!C41,'[3]Riesgos de Corrupción'!$B$11:$B$100,0),63)="Mayor")),1,IF(AND(AF41="Fuerte",H41="Directamente",AND(INDEX('[3]Riesgos de Corrupción'!$B$11:$BN$100,MATCH('Controles de Corrupción'!C41,'[3]Riesgos de Corrupción'!$B$11:$B$100,0),63)="Catastrófico")),2)))," ")</f>
        <v xml:space="preserve"> </v>
      </c>
      <c r="AK41" s="19" t="str">
        <f t="shared" si="19"/>
        <v xml:space="preserve"> </v>
      </c>
      <c r="AL41" s="19" t="str">
        <f>IFERROR(IF((INDEX('[3]Riesgos de Corrupción'!$B$11:$BN$100,MATCH('Controles de Corrupción'!C41,'[3]Riesgos de Corrupción'!$B$11:$B$100,0),62)-AK41&lt;=3),"Moderado",IF((INDEX('[3]Riesgos de Corrupción'!$B$11:$BN$100,MATCH('Controles de Corrupción'!C41,'[3]Riesgos de Corrupción'!$B$11:$B$100,0),62)-AK41&lt;=4),"Mayor",IF((INDEX('[3]Riesgos de Corrupción'!$B$11:$BN$100,MATCH('Controles de Corrupción'!C41,'[3]Riesgos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0" t="str">
        <f t="shared" si="0"/>
        <v>-</v>
      </c>
      <c r="C42" s="188"/>
      <c r="D42" s="170"/>
      <c r="E42" s="171"/>
      <c r="F42" s="129"/>
      <c r="G42" s="128"/>
      <c r="H42" s="23"/>
      <c r="I42" s="18"/>
      <c r="J42" s="80">
        <f t="shared" si="22"/>
        <v>0</v>
      </c>
      <c r="K42" s="18"/>
      <c r="L42" s="80">
        <f t="shared" si="23"/>
        <v>0</v>
      </c>
      <c r="M42" s="18"/>
      <c r="N42" s="80">
        <f t="shared" si="24"/>
        <v>0</v>
      </c>
      <c r="O42" s="18"/>
      <c r="P42" s="80">
        <f t="shared" si="25"/>
        <v>0</v>
      </c>
      <c r="Q42" s="18"/>
      <c r="R42" s="80">
        <f t="shared" si="26"/>
        <v>0</v>
      </c>
      <c r="S42" s="18"/>
      <c r="T42" s="80">
        <f t="shared" si="27"/>
        <v>0</v>
      </c>
      <c r="U42" s="18"/>
      <c r="V42" s="80">
        <f t="shared" si="7"/>
        <v>0</v>
      </c>
      <c r="W42" s="19" t="str">
        <f t="shared" si="8"/>
        <v xml:space="preserve"> </v>
      </c>
      <c r="X42" s="19" t="str">
        <f t="shared" si="9"/>
        <v xml:space="preserve"> </v>
      </c>
      <c r="Y42" s="19" t="str">
        <f t="shared" si="10"/>
        <v/>
      </c>
      <c r="Z42" s="23"/>
      <c r="AA42" s="19" t="str">
        <f t="shared" si="11"/>
        <v/>
      </c>
      <c r="AB42" s="19" t="str">
        <f t="shared" si="12"/>
        <v xml:space="preserve"> </v>
      </c>
      <c r="AC42" s="19" t="str">
        <f t="shared" si="13"/>
        <v/>
      </c>
      <c r="AD42" s="19" t="str">
        <f t="shared" si="14"/>
        <v xml:space="preserve"> </v>
      </c>
      <c r="AE42" s="125" t="str">
        <f t="shared" si="15"/>
        <v xml:space="preserve"> </v>
      </c>
      <c r="AF42" s="19" t="str">
        <f t="shared" si="16"/>
        <v xml:space="preserve"> </v>
      </c>
      <c r="AG42" s="50">
        <f t="shared" si="17"/>
        <v>0</v>
      </c>
      <c r="AH42" s="50" t="str">
        <f t="shared" si="18"/>
        <v xml:space="preserve"> </v>
      </c>
      <c r="AI42" s="36" t="str">
        <f>IFERROR(IF((INDEX('[3]Riesgos de Corrupción'!$B$11:$V$100,MATCH('Controles de Corrupción'!C42,'[3]Riesgos de Corrupción'!$B$11:$B$100,0),17)-AH42&lt;=1),"Rara vez",IF((INDEX('[3]Riesgos de Corrupción'!$B$11:$V$100,MATCH('Controles de Corrupción'!C42,'[3]Riesgos de Corrupción'!$B$11:$B$100,0),17)-AH42&lt;=2),"Improbable",IF((INDEX('[3]Riesgos de Corrupción'!$B$11:$V$100,MATCH('Controles de Corrupción'!C42,'[3]Riesgos de Corrupción'!$B$11:$B$100,0),17)-AH42&lt;=3),"Posible",IF((INDEX('[3]Riesgos de Corrupción'!$B$11:$V$100,MATCH('Controles de Corrupción'!C42,'[3]Riesgos de Corrupción'!$B$11:$B$100,0),17)-AH42&lt;=4),"Probable",IF((INDEX('[3]Riesgos de Corrupción'!$B$11:$V$100,MATCH('Controles de Corrupción'!C42,'[3]Riesgos de Corrupción'!$B$11:$B$100,0),17)-AH42&lt;=5),"Casi seguro")))))," ")</f>
        <v xml:space="preserve"> </v>
      </c>
      <c r="AJ42" s="8" t="str">
        <f>IFERROR(IF(OR(AND(AF42="Fuerte",H42="No disminuye"),AND(AF42="Moderado",H42="Indirectamente"),AND(AF42="Moderado",H42="No disminuye"),AND(INDEX('[3]Riesgos de Corrupción'!$B$11:$BN$100,MATCH('Controles de Corrupción'!C42,'[3]Riesgos de Corrupción'!$B$11:$B$100,0),63)="Moderado")),0,IF(OR(AND(AF42="Fuerte",H42="Indirectamente"),AND(AF42="Moderado",H42="Directamente"),AND(INDEX('[3]Riesgos de Corrupción'!$B$11:$BN$100,MATCH('Controles de Corrupción'!C42,'[3]Riesgos de Corrupción'!$B$11:$B$100,0),63)="Mayor")),1,IF(AND(AF42="Fuerte",H42="Directamente",AND(INDEX('[3]Riesgos de Corrupción'!$B$11:$BN$100,MATCH('Controles de Corrupción'!C42,'[3]Riesgos de Corrupción'!$B$11:$B$100,0),63)="Catastrófico")),2)))," ")</f>
        <v xml:space="preserve"> </v>
      </c>
      <c r="AK42" s="19" t="str">
        <f t="shared" si="19"/>
        <v xml:space="preserve"> </v>
      </c>
      <c r="AL42" s="19" t="str">
        <f>IFERROR(IF((INDEX('[3]Riesgos de Corrupción'!$B$11:$BN$100,MATCH('Controles de Corrupción'!C42,'[3]Riesgos de Corrupción'!$B$11:$B$100,0),62)-AK42&lt;=3),"Moderado",IF((INDEX('[3]Riesgos de Corrupción'!$B$11:$BN$100,MATCH('Controles de Corrupción'!C42,'[3]Riesgos de Corrupción'!$B$11:$B$100,0),62)-AK42&lt;=4),"Mayor",IF((INDEX('[3]Riesgos de Corrupción'!$B$11:$BN$100,MATCH('Controles de Corrupción'!C42,'[3]Riesgos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0" t="str">
        <f t="shared" si="0"/>
        <v>-</v>
      </c>
      <c r="C43" s="188"/>
      <c r="D43" s="170"/>
      <c r="E43" s="171"/>
      <c r="F43" s="129"/>
      <c r="G43" s="128"/>
      <c r="H43" s="23"/>
      <c r="I43" s="18"/>
      <c r="J43" s="80">
        <f t="shared" si="22"/>
        <v>0</v>
      </c>
      <c r="K43" s="18"/>
      <c r="L43" s="80">
        <f t="shared" si="23"/>
        <v>0</v>
      </c>
      <c r="M43" s="18"/>
      <c r="N43" s="80">
        <f t="shared" si="24"/>
        <v>0</v>
      </c>
      <c r="O43" s="18"/>
      <c r="P43" s="80">
        <f t="shared" si="25"/>
        <v>0</v>
      </c>
      <c r="Q43" s="18"/>
      <c r="R43" s="80">
        <f t="shared" si="26"/>
        <v>0</v>
      </c>
      <c r="S43" s="18"/>
      <c r="T43" s="80">
        <f t="shared" si="27"/>
        <v>0</v>
      </c>
      <c r="U43" s="18"/>
      <c r="V43" s="80">
        <f t="shared" si="7"/>
        <v>0</v>
      </c>
      <c r="W43" s="19" t="str">
        <f t="shared" si="8"/>
        <v xml:space="preserve"> </v>
      </c>
      <c r="X43" s="19" t="str">
        <f t="shared" si="9"/>
        <v xml:space="preserve"> </v>
      </c>
      <c r="Y43" s="19" t="str">
        <f t="shared" si="10"/>
        <v/>
      </c>
      <c r="Z43" s="23"/>
      <c r="AA43" s="19" t="str">
        <f t="shared" si="11"/>
        <v/>
      </c>
      <c r="AB43" s="19" t="str">
        <f t="shared" si="12"/>
        <v xml:space="preserve"> </v>
      </c>
      <c r="AC43" s="19" t="str">
        <f t="shared" si="13"/>
        <v/>
      </c>
      <c r="AD43" s="19" t="str">
        <f t="shared" si="14"/>
        <v xml:space="preserve"> </v>
      </c>
      <c r="AE43" s="125" t="str">
        <f t="shared" si="15"/>
        <v xml:space="preserve"> </v>
      </c>
      <c r="AF43" s="19" t="str">
        <f t="shared" si="16"/>
        <v xml:space="preserve"> </v>
      </c>
      <c r="AG43" s="50">
        <f t="shared" si="17"/>
        <v>0</v>
      </c>
      <c r="AH43" s="50" t="str">
        <f t="shared" si="18"/>
        <v xml:space="preserve"> </v>
      </c>
      <c r="AI43" s="36" t="str">
        <f>IFERROR(IF((INDEX('[3]Riesgos de Corrupción'!$B$11:$V$100,MATCH('Controles de Corrupción'!C43,'[3]Riesgos de Corrupción'!$B$11:$B$100,0),17)-AH43&lt;=1),"Rara vez",IF((INDEX('[3]Riesgos de Corrupción'!$B$11:$V$100,MATCH('Controles de Corrupción'!C43,'[3]Riesgos de Corrupción'!$B$11:$B$100,0),17)-AH43&lt;=2),"Improbable",IF((INDEX('[3]Riesgos de Corrupción'!$B$11:$V$100,MATCH('Controles de Corrupción'!C43,'[3]Riesgos de Corrupción'!$B$11:$B$100,0),17)-AH43&lt;=3),"Posible",IF((INDEX('[3]Riesgos de Corrupción'!$B$11:$V$100,MATCH('Controles de Corrupción'!C43,'[3]Riesgos de Corrupción'!$B$11:$B$100,0),17)-AH43&lt;=4),"Probable",IF((INDEX('[3]Riesgos de Corrupción'!$B$11:$V$100,MATCH('Controles de Corrupción'!C43,'[3]Riesgos de Corrupción'!$B$11:$B$100,0),17)-AH43&lt;=5),"Casi seguro")))))," ")</f>
        <v xml:space="preserve"> </v>
      </c>
      <c r="AJ43" s="8" t="str">
        <f>IFERROR(IF(OR(AND(AF43="Fuerte",H43="No disminuye"),AND(AF43="Moderado",H43="Indirectamente"),AND(AF43="Moderado",H43="No disminuye"),AND(INDEX('[3]Riesgos de Corrupción'!$B$11:$BN$100,MATCH('Controles de Corrupción'!C43,'[3]Riesgos de Corrupción'!$B$11:$B$100,0),63)="Moderado")),0,IF(OR(AND(AF43="Fuerte",H43="Indirectamente"),AND(AF43="Moderado",H43="Directamente"),AND(INDEX('[3]Riesgos de Corrupción'!$B$11:$BN$100,MATCH('Controles de Corrupción'!C43,'[3]Riesgos de Corrupción'!$B$11:$B$100,0),63)="Mayor")),1,IF(AND(AF43="Fuerte",H43="Directamente",AND(INDEX('[3]Riesgos de Corrupción'!$B$11:$BN$100,MATCH('Controles de Corrupción'!C43,'[3]Riesgos de Corrupción'!$B$11:$B$100,0),63)="Catastrófico")),2)))," ")</f>
        <v xml:space="preserve"> </v>
      </c>
      <c r="AK43" s="19" t="str">
        <f t="shared" si="19"/>
        <v xml:space="preserve"> </v>
      </c>
      <c r="AL43" s="19" t="str">
        <f>IFERROR(IF((INDEX('[3]Riesgos de Corrupción'!$B$11:$BN$100,MATCH('Controles de Corrupción'!C43,'[3]Riesgos de Corrupción'!$B$11:$B$100,0),62)-AK43&lt;=3),"Moderado",IF((INDEX('[3]Riesgos de Corrupción'!$B$11:$BN$100,MATCH('Controles de Corrupción'!C43,'[3]Riesgos de Corrupción'!$B$11:$B$100,0),62)-AK43&lt;=4),"Mayor",IF((INDEX('[3]Riesgos de Corrupción'!$B$11:$BN$100,MATCH('Controles de Corrupción'!C43,'[3]Riesgos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0" t="str">
        <f t="shared" si="0"/>
        <v>-</v>
      </c>
      <c r="C44" s="188"/>
      <c r="D44" s="170"/>
      <c r="E44" s="171"/>
      <c r="F44" s="129"/>
      <c r="G44" s="128"/>
      <c r="H44" s="23"/>
      <c r="I44" s="18"/>
      <c r="J44" s="80">
        <f t="shared" si="22"/>
        <v>0</v>
      </c>
      <c r="K44" s="18"/>
      <c r="L44" s="80">
        <f t="shared" si="23"/>
        <v>0</v>
      </c>
      <c r="M44" s="18"/>
      <c r="N44" s="80">
        <f t="shared" si="24"/>
        <v>0</v>
      </c>
      <c r="O44" s="18"/>
      <c r="P44" s="80">
        <f t="shared" si="25"/>
        <v>0</v>
      </c>
      <c r="Q44" s="18"/>
      <c r="R44" s="80">
        <f t="shared" si="26"/>
        <v>0</v>
      </c>
      <c r="S44" s="18"/>
      <c r="T44" s="80">
        <f t="shared" si="27"/>
        <v>0</v>
      </c>
      <c r="U44" s="18"/>
      <c r="V44" s="80">
        <f t="shared" si="7"/>
        <v>0</v>
      </c>
      <c r="W44" s="19" t="str">
        <f t="shared" si="8"/>
        <v xml:space="preserve"> </v>
      </c>
      <c r="X44" s="19" t="str">
        <f t="shared" si="9"/>
        <v xml:space="preserve"> </v>
      </c>
      <c r="Y44" s="19" t="str">
        <f t="shared" si="10"/>
        <v/>
      </c>
      <c r="Z44" s="23"/>
      <c r="AA44" s="19" t="str">
        <f t="shared" si="11"/>
        <v/>
      </c>
      <c r="AB44" s="19" t="str">
        <f t="shared" si="12"/>
        <v xml:space="preserve"> </v>
      </c>
      <c r="AC44" s="19" t="str">
        <f t="shared" si="13"/>
        <v/>
      </c>
      <c r="AD44" s="19" t="str">
        <f t="shared" si="14"/>
        <v xml:space="preserve"> </v>
      </c>
      <c r="AE44" s="125" t="str">
        <f t="shared" si="15"/>
        <v xml:space="preserve"> </v>
      </c>
      <c r="AF44" s="19" t="str">
        <f t="shared" si="16"/>
        <v xml:space="preserve"> </v>
      </c>
      <c r="AG44" s="50">
        <f t="shared" si="17"/>
        <v>0</v>
      </c>
      <c r="AH44" s="50" t="str">
        <f t="shared" si="18"/>
        <v xml:space="preserve"> </v>
      </c>
      <c r="AI44" s="36" t="str">
        <f>IFERROR(IF((INDEX('[3]Riesgos de Corrupción'!$B$11:$V$100,MATCH('Controles de Corrupción'!C44,'[3]Riesgos de Corrupción'!$B$11:$B$100,0),17)-AH44&lt;=1),"Rara vez",IF((INDEX('[3]Riesgos de Corrupción'!$B$11:$V$100,MATCH('Controles de Corrupción'!C44,'[3]Riesgos de Corrupción'!$B$11:$B$100,0),17)-AH44&lt;=2),"Improbable",IF((INDEX('[3]Riesgos de Corrupción'!$B$11:$V$100,MATCH('Controles de Corrupción'!C44,'[3]Riesgos de Corrupción'!$B$11:$B$100,0),17)-AH44&lt;=3),"Posible",IF((INDEX('[3]Riesgos de Corrupción'!$B$11:$V$100,MATCH('Controles de Corrupción'!C44,'[3]Riesgos de Corrupción'!$B$11:$B$100,0),17)-AH44&lt;=4),"Probable",IF((INDEX('[3]Riesgos de Corrupción'!$B$11:$V$100,MATCH('Controles de Corrupción'!C44,'[3]Riesgos de Corrupción'!$B$11:$B$100,0),17)-AH44&lt;=5),"Casi seguro")))))," ")</f>
        <v xml:space="preserve"> </v>
      </c>
      <c r="AJ44" s="8" t="str">
        <f>IFERROR(IF(OR(AND(AF44="Fuerte",H44="No disminuye"),AND(AF44="Moderado",H44="Indirectamente"),AND(AF44="Moderado",H44="No disminuye"),AND(INDEX('[3]Riesgos de Corrupción'!$B$11:$BN$100,MATCH('Controles de Corrupción'!C44,'[3]Riesgos de Corrupción'!$B$11:$B$100,0),63)="Moderado")),0,IF(OR(AND(AF44="Fuerte",H44="Indirectamente"),AND(AF44="Moderado",H44="Directamente"),AND(INDEX('[3]Riesgos de Corrupción'!$B$11:$BN$100,MATCH('Controles de Corrupción'!C44,'[3]Riesgos de Corrupción'!$B$11:$B$100,0),63)="Mayor")),1,IF(AND(AF44="Fuerte",H44="Directamente",AND(INDEX('[3]Riesgos de Corrupción'!$B$11:$BN$100,MATCH('Controles de Corrupción'!C44,'[3]Riesgos de Corrupción'!$B$11:$B$100,0),63)="Catastrófico")),2)))," ")</f>
        <v xml:space="preserve"> </v>
      </c>
      <c r="AK44" s="19" t="str">
        <f t="shared" si="19"/>
        <v xml:space="preserve"> </v>
      </c>
      <c r="AL44" s="19" t="str">
        <f>IFERROR(IF((INDEX('[3]Riesgos de Corrupción'!$B$11:$BN$100,MATCH('Controles de Corrupción'!C44,'[3]Riesgos de Corrupción'!$B$11:$B$100,0),62)-AK44&lt;=3),"Moderado",IF((INDEX('[3]Riesgos de Corrupción'!$B$11:$BN$100,MATCH('Controles de Corrupción'!C44,'[3]Riesgos de Corrupción'!$B$11:$B$100,0),62)-AK44&lt;=4),"Mayor",IF((INDEX('[3]Riesgos de Corrupción'!$B$11:$BN$100,MATCH('Controles de Corrupción'!C44,'[3]Riesgos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0" t="str">
        <f t="shared" si="0"/>
        <v>-</v>
      </c>
      <c r="C45" s="188"/>
      <c r="D45" s="170"/>
      <c r="E45" s="171"/>
      <c r="F45" s="129"/>
      <c r="G45" s="128"/>
      <c r="H45" s="23"/>
      <c r="I45" s="18"/>
      <c r="J45" s="80">
        <f t="shared" si="22"/>
        <v>0</v>
      </c>
      <c r="K45" s="18"/>
      <c r="L45" s="80">
        <f t="shared" si="23"/>
        <v>0</v>
      </c>
      <c r="M45" s="18"/>
      <c r="N45" s="80">
        <f t="shared" si="24"/>
        <v>0</v>
      </c>
      <c r="O45" s="18"/>
      <c r="P45" s="80">
        <f t="shared" si="25"/>
        <v>0</v>
      </c>
      <c r="Q45" s="18"/>
      <c r="R45" s="80">
        <f t="shared" si="26"/>
        <v>0</v>
      </c>
      <c r="S45" s="18"/>
      <c r="T45" s="80">
        <f t="shared" si="27"/>
        <v>0</v>
      </c>
      <c r="U45" s="18"/>
      <c r="V45" s="80">
        <f t="shared" si="7"/>
        <v>0</v>
      </c>
      <c r="W45" s="19" t="str">
        <f t="shared" si="8"/>
        <v xml:space="preserve"> </v>
      </c>
      <c r="X45" s="19" t="str">
        <f t="shared" si="9"/>
        <v xml:space="preserve"> </v>
      </c>
      <c r="Y45" s="19" t="str">
        <f t="shared" si="10"/>
        <v/>
      </c>
      <c r="Z45" s="23"/>
      <c r="AA45" s="19" t="str">
        <f t="shared" si="11"/>
        <v/>
      </c>
      <c r="AB45" s="19" t="str">
        <f t="shared" si="12"/>
        <v xml:space="preserve"> </v>
      </c>
      <c r="AC45" s="19" t="str">
        <f t="shared" si="13"/>
        <v/>
      </c>
      <c r="AD45" s="19" t="str">
        <f t="shared" si="14"/>
        <v xml:space="preserve"> </v>
      </c>
      <c r="AE45" s="125" t="str">
        <f t="shared" si="15"/>
        <v xml:space="preserve"> </v>
      </c>
      <c r="AF45" s="19" t="str">
        <f t="shared" si="16"/>
        <v xml:space="preserve"> </v>
      </c>
      <c r="AG45" s="50">
        <f t="shared" si="17"/>
        <v>0</v>
      </c>
      <c r="AH45" s="50" t="str">
        <f t="shared" si="18"/>
        <v xml:space="preserve"> </v>
      </c>
      <c r="AI45" s="36" t="str">
        <f>IFERROR(IF((INDEX('[3]Riesgos de Corrupción'!$B$11:$V$100,MATCH('Controles de Corrupción'!C45,'[3]Riesgos de Corrupción'!$B$11:$B$100,0),17)-AH45&lt;=1),"Rara vez",IF((INDEX('[3]Riesgos de Corrupción'!$B$11:$V$100,MATCH('Controles de Corrupción'!C45,'[3]Riesgos de Corrupción'!$B$11:$B$100,0),17)-AH45&lt;=2),"Improbable",IF((INDEX('[3]Riesgos de Corrupción'!$B$11:$V$100,MATCH('Controles de Corrupción'!C45,'[3]Riesgos de Corrupción'!$B$11:$B$100,0),17)-AH45&lt;=3),"Posible",IF((INDEX('[3]Riesgos de Corrupción'!$B$11:$V$100,MATCH('Controles de Corrupción'!C45,'[3]Riesgos de Corrupción'!$B$11:$B$100,0),17)-AH45&lt;=4),"Probable",IF((INDEX('[3]Riesgos de Corrupción'!$B$11:$V$100,MATCH('Controles de Corrupción'!C45,'[3]Riesgos de Corrupción'!$B$11:$B$100,0),17)-AH45&lt;=5),"Casi seguro")))))," ")</f>
        <v xml:space="preserve"> </v>
      </c>
      <c r="AJ45" s="8" t="str">
        <f>IFERROR(IF(OR(AND(AF45="Fuerte",H45="No disminuye"),AND(AF45="Moderado",H45="Indirectamente"),AND(AF45="Moderado",H45="No disminuye"),AND(INDEX('[3]Riesgos de Corrupción'!$B$11:$BN$100,MATCH('Controles de Corrupción'!C45,'[3]Riesgos de Corrupción'!$B$11:$B$100,0),63)="Moderado")),0,IF(OR(AND(AF45="Fuerte",H45="Indirectamente"),AND(AF45="Moderado",H45="Directamente"),AND(INDEX('[3]Riesgos de Corrupción'!$B$11:$BN$100,MATCH('Controles de Corrupción'!C45,'[3]Riesgos de Corrupción'!$B$11:$B$100,0),63)="Mayor")),1,IF(AND(AF45="Fuerte",H45="Directamente",AND(INDEX('[3]Riesgos de Corrupción'!$B$11:$BN$100,MATCH('Controles de Corrupción'!C45,'[3]Riesgos de Corrupción'!$B$11:$B$100,0),63)="Catastrófico")),2)))," ")</f>
        <v xml:space="preserve"> </v>
      </c>
      <c r="AK45" s="19" t="str">
        <f t="shared" si="19"/>
        <v xml:space="preserve"> </v>
      </c>
      <c r="AL45" s="19" t="str">
        <f>IFERROR(IF((INDEX('[3]Riesgos de Corrupción'!$B$11:$BN$100,MATCH('Controles de Corrupción'!C45,'[3]Riesgos de Corrupción'!$B$11:$B$100,0),62)-AK45&lt;=3),"Moderado",IF((INDEX('[3]Riesgos de Corrupción'!$B$11:$BN$100,MATCH('Controles de Corrupción'!C45,'[3]Riesgos de Corrupción'!$B$11:$B$100,0),62)-AK45&lt;=4),"Mayor",IF((INDEX('[3]Riesgos de Corrupción'!$B$11:$BN$100,MATCH('Controles de Corrupción'!C45,'[3]Riesgos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0" t="str">
        <f t="shared" si="0"/>
        <v>-</v>
      </c>
      <c r="C46" s="188"/>
      <c r="D46" s="170"/>
      <c r="E46" s="171"/>
      <c r="F46" s="129"/>
      <c r="G46" s="128"/>
      <c r="H46" s="23"/>
      <c r="I46" s="18"/>
      <c r="J46" s="80">
        <f t="shared" si="22"/>
        <v>0</v>
      </c>
      <c r="K46" s="18"/>
      <c r="L46" s="80">
        <f t="shared" si="23"/>
        <v>0</v>
      </c>
      <c r="M46" s="18"/>
      <c r="N46" s="80">
        <f t="shared" si="24"/>
        <v>0</v>
      </c>
      <c r="O46" s="18"/>
      <c r="P46" s="80">
        <f t="shared" si="25"/>
        <v>0</v>
      </c>
      <c r="Q46" s="18"/>
      <c r="R46" s="80">
        <f t="shared" si="26"/>
        <v>0</v>
      </c>
      <c r="S46" s="18"/>
      <c r="T46" s="80">
        <f t="shared" si="27"/>
        <v>0</v>
      </c>
      <c r="U46" s="18"/>
      <c r="V46" s="80">
        <f t="shared" si="7"/>
        <v>0</v>
      </c>
      <c r="W46" s="19" t="str">
        <f t="shared" si="8"/>
        <v xml:space="preserve"> </v>
      </c>
      <c r="X46" s="19" t="str">
        <f t="shared" si="9"/>
        <v xml:space="preserve"> </v>
      </c>
      <c r="Y46" s="19" t="str">
        <f t="shared" si="10"/>
        <v/>
      </c>
      <c r="Z46" s="23"/>
      <c r="AA46" s="19" t="str">
        <f t="shared" si="11"/>
        <v/>
      </c>
      <c r="AB46" s="19" t="str">
        <f t="shared" si="12"/>
        <v xml:space="preserve"> </v>
      </c>
      <c r="AC46" s="19" t="str">
        <f t="shared" si="13"/>
        <v/>
      </c>
      <c r="AD46" s="19" t="str">
        <f t="shared" si="14"/>
        <v xml:space="preserve"> </v>
      </c>
      <c r="AE46" s="125" t="str">
        <f t="shared" si="15"/>
        <v xml:space="preserve"> </v>
      </c>
      <c r="AF46" s="19" t="str">
        <f t="shared" si="16"/>
        <v xml:space="preserve"> </v>
      </c>
      <c r="AG46" s="50">
        <f t="shared" si="17"/>
        <v>0</v>
      </c>
      <c r="AH46" s="50" t="str">
        <f t="shared" si="18"/>
        <v xml:space="preserve"> </v>
      </c>
      <c r="AI46" s="36" t="str">
        <f>IFERROR(IF((INDEX('[3]Riesgos de Corrupción'!$B$11:$V$100,MATCH('Controles de Corrupción'!C46,'[3]Riesgos de Corrupción'!$B$11:$B$100,0),17)-AH46&lt;=1),"Rara vez",IF((INDEX('[3]Riesgos de Corrupción'!$B$11:$V$100,MATCH('Controles de Corrupción'!C46,'[3]Riesgos de Corrupción'!$B$11:$B$100,0),17)-AH46&lt;=2),"Improbable",IF((INDEX('[3]Riesgos de Corrupción'!$B$11:$V$100,MATCH('Controles de Corrupción'!C46,'[3]Riesgos de Corrupción'!$B$11:$B$100,0),17)-AH46&lt;=3),"Posible",IF((INDEX('[3]Riesgos de Corrupción'!$B$11:$V$100,MATCH('Controles de Corrupción'!C46,'[3]Riesgos de Corrupción'!$B$11:$B$100,0),17)-AH46&lt;=4),"Probable",IF((INDEX('[3]Riesgos de Corrupción'!$B$11:$V$100,MATCH('Controles de Corrupción'!C46,'[3]Riesgos de Corrupción'!$B$11:$B$100,0),17)-AH46&lt;=5),"Casi seguro")))))," ")</f>
        <v xml:space="preserve"> </v>
      </c>
      <c r="AJ46" s="8" t="str">
        <f>IFERROR(IF(OR(AND(AF46="Fuerte",H46="No disminuye"),AND(AF46="Moderado",H46="Indirectamente"),AND(AF46="Moderado",H46="No disminuye"),AND(INDEX('[3]Riesgos de Corrupción'!$B$11:$BN$100,MATCH('Controles de Corrupción'!C46,'[3]Riesgos de Corrupción'!$B$11:$B$100,0),63)="Moderado")),0,IF(OR(AND(AF46="Fuerte",H46="Indirectamente"),AND(AF46="Moderado",H46="Directamente"),AND(INDEX('[3]Riesgos de Corrupción'!$B$11:$BN$100,MATCH('Controles de Corrupción'!C46,'[3]Riesgos de Corrupción'!$B$11:$B$100,0),63)="Mayor")),1,IF(AND(AF46="Fuerte",H46="Directamente",AND(INDEX('[3]Riesgos de Corrupción'!$B$11:$BN$100,MATCH('Controles de Corrupción'!C46,'[3]Riesgos de Corrupción'!$B$11:$B$100,0),63)="Catastrófico")),2)))," ")</f>
        <v xml:space="preserve"> </v>
      </c>
      <c r="AK46" s="19" t="str">
        <f t="shared" si="19"/>
        <v xml:space="preserve"> </v>
      </c>
      <c r="AL46" s="19" t="str">
        <f>IFERROR(IF((INDEX('[3]Riesgos de Corrupción'!$B$11:$BN$100,MATCH('Controles de Corrupción'!C46,'[3]Riesgos de Corrupción'!$B$11:$B$100,0),62)-AK46&lt;=3),"Moderado",IF((INDEX('[3]Riesgos de Corrupción'!$B$11:$BN$100,MATCH('Controles de Corrupción'!C46,'[3]Riesgos de Corrupción'!$B$11:$B$100,0),62)-AK46&lt;=4),"Mayor",IF((INDEX('[3]Riesgos de Corrupción'!$B$11:$BN$100,MATCH('Controles de Corrupción'!C46,'[3]Riesgos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0" t="str">
        <f t="shared" si="0"/>
        <v>-</v>
      </c>
      <c r="C47" s="188"/>
      <c r="D47" s="170"/>
      <c r="E47" s="171"/>
      <c r="F47" s="129"/>
      <c r="G47" s="128"/>
      <c r="H47" s="23"/>
      <c r="I47" s="18"/>
      <c r="J47" s="80">
        <f t="shared" si="22"/>
        <v>0</v>
      </c>
      <c r="K47" s="18"/>
      <c r="L47" s="80">
        <f t="shared" si="23"/>
        <v>0</v>
      </c>
      <c r="M47" s="18"/>
      <c r="N47" s="80">
        <f t="shared" si="24"/>
        <v>0</v>
      </c>
      <c r="O47" s="18"/>
      <c r="P47" s="80">
        <f t="shared" si="25"/>
        <v>0</v>
      </c>
      <c r="Q47" s="18"/>
      <c r="R47" s="80">
        <f t="shared" si="26"/>
        <v>0</v>
      </c>
      <c r="S47" s="18"/>
      <c r="T47" s="80">
        <f t="shared" si="27"/>
        <v>0</v>
      </c>
      <c r="U47" s="18"/>
      <c r="V47" s="80">
        <f t="shared" si="7"/>
        <v>0</v>
      </c>
      <c r="W47" s="19" t="str">
        <f t="shared" si="8"/>
        <v xml:space="preserve"> </v>
      </c>
      <c r="X47" s="19" t="str">
        <f t="shared" si="9"/>
        <v xml:space="preserve"> </v>
      </c>
      <c r="Y47" s="19" t="str">
        <f t="shared" si="10"/>
        <v/>
      </c>
      <c r="Z47" s="23"/>
      <c r="AA47" s="19" t="str">
        <f t="shared" si="11"/>
        <v/>
      </c>
      <c r="AB47" s="19" t="str">
        <f t="shared" si="12"/>
        <v xml:space="preserve"> </v>
      </c>
      <c r="AC47" s="19" t="str">
        <f t="shared" si="13"/>
        <v/>
      </c>
      <c r="AD47" s="19" t="str">
        <f t="shared" si="14"/>
        <v xml:space="preserve"> </v>
      </c>
      <c r="AE47" s="125" t="str">
        <f t="shared" si="15"/>
        <v xml:space="preserve"> </v>
      </c>
      <c r="AF47" s="19" t="str">
        <f t="shared" si="16"/>
        <v xml:space="preserve"> </v>
      </c>
      <c r="AG47" s="50">
        <f t="shared" si="17"/>
        <v>0</v>
      </c>
      <c r="AH47" s="50" t="str">
        <f t="shared" si="18"/>
        <v xml:space="preserve"> </v>
      </c>
      <c r="AI47" s="36" t="str">
        <f>IFERROR(IF((INDEX('[3]Riesgos de Corrupción'!$B$11:$V$100,MATCH('Controles de Corrupción'!C47,'[3]Riesgos de Corrupción'!$B$11:$B$100,0),17)-AH47&lt;=1),"Rara vez",IF((INDEX('[3]Riesgos de Corrupción'!$B$11:$V$100,MATCH('Controles de Corrupción'!C47,'[3]Riesgos de Corrupción'!$B$11:$B$100,0),17)-AH47&lt;=2),"Improbable",IF((INDEX('[3]Riesgos de Corrupción'!$B$11:$V$100,MATCH('Controles de Corrupción'!C47,'[3]Riesgos de Corrupción'!$B$11:$B$100,0),17)-AH47&lt;=3),"Posible",IF((INDEX('[3]Riesgos de Corrupción'!$B$11:$V$100,MATCH('Controles de Corrupción'!C47,'[3]Riesgos de Corrupción'!$B$11:$B$100,0),17)-AH47&lt;=4),"Probable",IF((INDEX('[3]Riesgos de Corrupción'!$B$11:$V$100,MATCH('Controles de Corrupción'!C47,'[3]Riesgos de Corrupción'!$B$11:$B$100,0),17)-AH47&lt;=5),"Casi seguro")))))," ")</f>
        <v xml:space="preserve"> </v>
      </c>
      <c r="AJ47" s="8" t="str">
        <f>IFERROR(IF(OR(AND(AF47="Fuerte",H47="No disminuye"),AND(AF47="Moderado",H47="Indirectamente"),AND(AF47="Moderado",H47="No disminuye"),AND(INDEX('[3]Riesgos de Corrupción'!$B$11:$BN$100,MATCH('Controles de Corrupción'!C47,'[3]Riesgos de Corrupción'!$B$11:$B$100,0),63)="Moderado")),0,IF(OR(AND(AF47="Fuerte",H47="Indirectamente"),AND(AF47="Moderado",H47="Directamente"),AND(INDEX('[3]Riesgos de Corrupción'!$B$11:$BN$100,MATCH('Controles de Corrupción'!C47,'[3]Riesgos de Corrupción'!$B$11:$B$100,0),63)="Mayor")),1,IF(AND(AF47="Fuerte",H47="Directamente",AND(INDEX('[3]Riesgos de Corrupción'!$B$11:$BN$100,MATCH('Controles de Corrupción'!C47,'[3]Riesgos de Corrupción'!$B$11:$B$100,0),63)="Catastrófico")),2)))," ")</f>
        <v xml:space="preserve"> </v>
      </c>
      <c r="AK47" s="19" t="str">
        <f t="shared" si="19"/>
        <v xml:space="preserve"> </v>
      </c>
      <c r="AL47" s="19" t="str">
        <f>IFERROR(IF((INDEX('[3]Riesgos de Corrupción'!$B$11:$BN$100,MATCH('Controles de Corrupción'!C47,'[3]Riesgos de Corrupción'!$B$11:$B$100,0),62)-AK47&lt;=3),"Moderado",IF((INDEX('[3]Riesgos de Corrupción'!$B$11:$BN$100,MATCH('Controles de Corrupción'!C47,'[3]Riesgos de Corrupción'!$B$11:$B$100,0),62)-AK47&lt;=4),"Mayor",IF((INDEX('[3]Riesgos de Corrupción'!$B$11:$BN$100,MATCH('Controles de Corrupción'!C47,'[3]Riesgos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0" t="str">
        <f t="shared" si="0"/>
        <v>-</v>
      </c>
      <c r="C48" s="188"/>
      <c r="D48" s="170"/>
      <c r="E48" s="171"/>
      <c r="F48" s="129"/>
      <c r="G48" s="128"/>
      <c r="H48" s="23"/>
      <c r="I48" s="18"/>
      <c r="J48" s="80">
        <f t="shared" si="22"/>
        <v>0</v>
      </c>
      <c r="K48" s="18"/>
      <c r="L48" s="80">
        <f t="shared" si="23"/>
        <v>0</v>
      </c>
      <c r="M48" s="18"/>
      <c r="N48" s="80">
        <f t="shared" si="24"/>
        <v>0</v>
      </c>
      <c r="O48" s="18"/>
      <c r="P48" s="80">
        <f t="shared" si="25"/>
        <v>0</v>
      </c>
      <c r="Q48" s="18"/>
      <c r="R48" s="80">
        <f t="shared" si="26"/>
        <v>0</v>
      </c>
      <c r="S48" s="18"/>
      <c r="T48" s="80">
        <f t="shared" si="27"/>
        <v>0</v>
      </c>
      <c r="U48" s="18"/>
      <c r="V48" s="80">
        <f t="shared" si="7"/>
        <v>0</v>
      </c>
      <c r="W48" s="19" t="str">
        <f t="shared" si="8"/>
        <v xml:space="preserve"> </v>
      </c>
      <c r="X48" s="19" t="str">
        <f t="shared" si="9"/>
        <v xml:space="preserve"> </v>
      </c>
      <c r="Y48" s="19" t="str">
        <f t="shared" si="10"/>
        <v/>
      </c>
      <c r="Z48" s="23"/>
      <c r="AA48" s="19" t="str">
        <f t="shared" si="11"/>
        <v/>
      </c>
      <c r="AB48" s="19" t="str">
        <f t="shared" si="12"/>
        <v xml:space="preserve"> </v>
      </c>
      <c r="AC48" s="19" t="str">
        <f t="shared" si="13"/>
        <v/>
      </c>
      <c r="AD48" s="19" t="str">
        <f t="shared" si="14"/>
        <v xml:space="preserve"> </v>
      </c>
      <c r="AE48" s="125" t="str">
        <f t="shared" si="15"/>
        <v xml:space="preserve"> </v>
      </c>
      <c r="AF48" s="19" t="str">
        <f t="shared" si="16"/>
        <v xml:space="preserve"> </v>
      </c>
      <c r="AG48" s="50">
        <f t="shared" si="17"/>
        <v>0</v>
      </c>
      <c r="AH48" s="50" t="str">
        <f t="shared" si="18"/>
        <v xml:space="preserve"> </v>
      </c>
      <c r="AI48" s="36" t="str">
        <f>IFERROR(IF((INDEX('[3]Riesgos de Corrupción'!$B$11:$V$100,MATCH('Controles de Corrupción'!C48,'[3]Riesgos de Corrupción'!$B$11:$B$100,0),17)-AH48&lt;=1),"Rara vez",IF((INDEX('[3]Riesgos de Corrupción'!$B$11:$V$100,MATCH('Controles de Corrupción'!C48,'[3]Riesgos de Corrupción'!$B$11:$B$100,0),17)-AH48&lt;=2),"Improbable",IF((INDEX('[3]Riesgos de Corrupción'!$B$11:$V$100,MATCH('Controles de Corrupción'!C48,'[3]Riesgos de Corrupción'!$B$11:$B$100,0),17)-AH48&lt;=3),"Posible",IF((INDEX('[3]Riesgos de Corrupción'!$B$11:$V$100,MATCH('Controles de Corrupción'!C48,'[3]Riesgos de Corrupción'!$B$11:$B$100,0),17)-AH48&lt;=4),"Probable",IF((INDEX('[3]Riesgos de Corrupción'!$B$11:$V$100,MATCH('Controles de Corrupción'!C48,'[3]Riesgos de Corrupción'!$B$11:$B$100,0),17)-AH48&lt;=5),"Casi seguro")))))," ")</f>
        <v xml:space="preserve"> </v>
      </c>
      <c r="AJ48" s="8" t="str">
        <f>IFERROR(IF(OR(AND(AF48="Fuerte",H48="No disminuye"),AND(AF48="Moderado",H48="Indirectamente"),AND(AF48="Moderado",H48="No disminuye"),AND(INDEX('[3]Riesgos de Corrupción'!$B$11:$BN$100,MATCH('Controles de Corrupción'!C48,'[3]Riesgos de Corrupción'!$B$11:$B$100,0),63)="Moderado")),0,IF(OR(AND(AF48="Fuerte",H48="Indirectamente"),AND(AF48="Moderado",H48="Directamente"),AND(INDEX('[3]Riesgos de Corrupción'!$B$11:$BN$100,MATCH('Controles de Corrupción'!C48,'[3]Riesgos de Corrupción'!$B$11:$B$100,0),63)="Mayor")),1,IF(AND(AF48="Fuerte",H48="Directamente",AND(INDEX('[3]Riesgos de Corrupción'!$B$11:$BN$100,MATCH('Controles de Corrupción'!C48,'[3]Riesgos de Corrupción'!$B$11:$B$100,0),63)="Catastrófico")),2)))," ")</f>
        <v xml:space="preserve"> </v>
      </c>
      <c r="AK48" s="19" t="str">
        <f t="shared" si="19"/>
        <v xml:space="preserve"> </v>
      </c>
      <c r="AL48" s="19" t="str">
        <f>IFERROR(IF((INDEX('[3]Riesgos de Corrupción'!$B$11:$BN$100,MATCH('Controles de Corrupción'!C48,'[3]Riesgos de Corrupción'!$B$11:$B$100,0),62)-AK48&lt;=3),"Moderado",IF((INDEX('[3]Riesgos de Corrupción'!$B$11:$BN$100,MATCH('Controles de Corrupción'!C48,'[3]Riesgos de Corrupción'!$B$11:$B$100,0),62)-AK48&lt;=4),"Mayor",IF((INDEX('[3]Riesgos de Corrupción'!$B$11:$BN$100,MATCH('Controles de Corrupción'!C48,'[3]Riesgos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0" t="str">
        <f t="shared" si="0"/>
        <v>-</v>
      </c>
      <c r="C49" s="188"/>
      <c r="D49" s="170"/>
      <c r="E49" s="171"/>
      <c r="F49" s="129"/>
      <c r="G49" s="128"/>
      <c r="H49" s="23"/>
      <c r="I49" s="18"/>
      <c r="J49" s="80">
        <f t="shared" si="22"/>
        <v>0</v>
      </c>
      <c r="K49" s="18"/>
      <c r="L49" s="80">
        <f t="shared" si="23"/>
        <v>0</v>
      </c>
      <c r="M49" s="18"/>
      <c r="N49" s="80">
        <f t="shared" si="24"/>
        <v>0</v>
      </c>
      <c r="O49" s="18"/>
      <c r="P49" s="80">
        <f t="shared" si="25"/>
        <v>0</v>
      </c>
      <c r="Q49" s="18"/>
      <c r="R49" s="80">
        <f t="shared" si="26"/>
        <v>0</v>
      </c>
      <c r="S49" s="18"/>
      <c r="T49" s="80">
        <f t="shared" si="27"/>
        <v>0</v>
      </c>
      <c r="U49" s="18"/>
      <c r="V49" s="80">
        <f t="shared" si="7"/>
        <v>0</v>
      </c>
      <c r="W49" s="19" t="str">
        <f t="shared" si="8"/>
        <v xml:space="preserve"> </v>
      </c>
      <c r="X49" s="19" t="str">
        <f t="shared" si="9"/>
        <v xml:space="preserve"> </v>
      </c>
      <c r="Y49" s="19" t="str">
        <f t="shared" si="10"/>
        <v/>
      </c>
      <c r="Z49" s="23"/>
      <c r="AA49" s="19" t="str">
        <f t="shared" si="11"/>
        <v/>
      </c>
      <c r="AB49" s="19" t="str">
        <f t="shared" si="12"/>
        <v xml:space="preserve"> </v>
      </c>
      <c r="AC49" s="19" t="str">
        <f t="shared" si="13"/>
        <v/>
      </c>
      <c r="AD49" s="19" t="str">
        <f t="shared" si="14"/>
        <v xml:space="preserve"> </v>
      </c>
      <c r="AE49" s="125" t="str">
        <f t="shared" si="15"/>
        <v xml:space="preserve"> </v>
      </c>
      <c r="AF49" s="19" t="str">
        <f t="shared" si="16"/>
        <v xml:space="preserve"> </v>
      </c>
      <c r="AG49" s="50">
        <f t="shared" si="17"/>
        <v>0</v>
      </c>
      <c r="AH49" s="50" t="str">
        <f t="shared" si="18"/>
        <v xml:space="preserve"> </v>
      </c>
      <c r="AI49" s="36" t="str">
        <f>IFERROR(IF((INDEX('[3]Riesgos de Corrupción'!$B$11:$V$100,MATCH('Controles de Corrupción'!C49,'[3]Riesgos de Corrupción'!$B$11:$B$100,0),17)-AH49&lt;=1),"Rara vez",IF((INDEX('[3]Riesgos de Corrupción'!$B$11:$V$100,MATCH('Controles de Corrupción'!C49,'[3]Riesgos de Corrupción'!$B$11:$B$100,0),17)-AH49&lt;=2),"Improbable",IF((INDEX('[3]Riesgos de Corrupción'!$B$11:$V$100,MATCH('Controles de Corrupción'!C49,'[3]Riesgos de Corrupción'!$B$11:$B$100,0),17)-AH49&lt;=3),"Posible",IF((INDEX('[3]Riesgos de Corrupción'!$B$11:$V$100,MATCH('Controles de Corrupción'!C49,'[3]Riesgos de Corrupción'!$B$11:$B$100,0),17)-AH49&lt;=4),"Probable",IF((INDEX('[3]Riesgos de Corrupción'!$B$11:$V$100,MATCH('Controles de Corrupción'!C49,'[3]Riesgos de Corrupción'!$B$11:$B$100,0),17)-AH49&lt;=5),"Casi seguro")))))," ")</f>
        <v xml:space="preserve"> </v>
      </c>
      <c r="AJ49" s="8" t="str">
        <f>IFERROR(IF(OR(AND(AF49="Fuerte",H49="No disminuye"),AND(AF49="Moderado",H49="Indirectamente"),AND(AF49="Moderado",H49="No disminuye"),AND(INDEX('[3]Riesgos de Corrupción'!$B$11:$BN$100,MATCH('Controles de Corrupción'!C49,'[3]Riesgos de Corrupción'!$B$11:$B$100,0),63)="Moderado")),0,IF(OR(AND(AF49="Fuerte",H49="Indirectamente"),AND(AF49="Moderado",H49="Directamente"),AND(INDEX('[3]Riesgos de Corrupción'!$B$11:$BN$100,MATCH('Controles de Corrupción'!C49,'[3]Riesgos de Corrupción'!$B$11:$B$100,0),63)="Mayor")),1,IF(AND(AF49="Fuerte",H49="Directamente",AND(INDEX('[3]Riesgos de Corrupción'!$B$11:$BN$100,MATCH('Controles de Corrupción'!C49,'[3]Riesgos de Corrupción'!$B$11:$B$100,0),63)="Catastrófico")),2)))," ")</f>
        <v xml:space="preserve"> </v>
      </c>
      <c r="AK49" s="19" t="str">
        <f t="shared" si="19"/>
        <v xml:space="preserve"> </v>
      </c>
      <c r="AL49" s="19" t="str">
        <f>IFERROR(IF((INDEX('[3]Riesgos de Corrupción'!$B$11:$BN$100,MATCH('Controles de Corrupción'!C49,'[3]Riesgos de Corrupción'!$B$11:$B$100,0),62)-AK49&lt;=3),"Moderado",IF((INDEX('[3]Riesgos de Corrupción'!$B$11:$BN$100,MATCH('Controles de Corrupción'!C49,'[3]Riesgos de Corrupción'!$B$11:$B$100,0),62)-AK49&lt;=4),"Mayor",IF((INDEX('[3]Riesgos de Corrupción'!$B$11:$BN$100,MATCH('Controles de Corrupción'!C49,'[3]Riesgos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0" t="str">
        <f t="shared" si="0"/>
        <v>-</v>
      </c>
      <c r="C50" s="188"/>
      <c r="D50" s="170"/>
      <c r="E50" s="171"/>
      <c r="F50" s="129"/>
      <c r="G50" s="128"/>
      <c r="H50" s="23"/>
      <c r="I50" s="18"/>
      <c r="J50" s="80">
        <f t="shared" si="22"/>
        <v>0</v>
      </c>
      <c r="K50" s="18"/>
      <c r="L50" s="80">
        <f t="shared" si="23"/>
        <v>0</v>
      </c>
      <c r="M50" s="18"/>
      <c r="N50" s="80">
        <f t="shared" si="24"/>
        <v>0</v>
      </c>
      <c r="O50" s="18"/>
      <c r="P50" s="80">
        <f t="shared" si="25"/>
        <v>0</v>
      </c>
      <c r="Q50" s="18"/>
      <c r="R50" s="80">
        <f t="shared" si="26"/>
        <v>0</v>
      </c>
      <c r="S50" s="18"/>
      <c r="T50" s="80">
        <f t="shared" si="27"/>
        <v>0</v>
      </c>
      <c r="U50" s="18"/>
      <c r="V50" s="80">
        <f t="shared" si="7"/>
        <v>0</v>
      </c>
      <c r="W50" s="19" t="str">
        <f t="shared" si="8"/>
        <v xml:space="preserve"> </v>
      </c>
      <c r="X50" s="19" t="str">
        <f t="shared" si="9"/>
        <v xml:space="preserve"> </v>
      </c>
      <c r="Y50" s="19" t="str">
        <f t="shared" si="10"/>
        <v/>
      </c>
      <c r="Z50" s="23"/>
      <c r="AA50" s="19" t="str">
        <f t="shared" si="11"/>
        <v/>
      </c>
      <c r="AB50" s="19" t="str">
        <f t="shared" si="12"/>
        <v xml:space="preserve"> </v>
      </c>
      <c r="AC50" s="19" t="str">
        <f t="shared" si="13"/>
        <v/>
      </c>
      <c r="AD50" s="19" t="str">
        <f t="shared" si="14"/>
        <v xml:space="preserve"> </v>
      </c>
      <c r="AE50" s="125" t="str">
        <f t="shared" si="15"/>
        <v xml:space="preserve"> </v>
      </c>
      <c r="AF50" s="19" t="str">
        <f t="shared" si="16"/>
        <v xml:space="preserve"> </v>
      </c>
      <c r="AG50" s="50">
        <f t="shared" si="17"/>
        <v>0</v>
      </c>
      <c r="AH50" s="50" t="str">
        <f t="shared" si="18"/>
        <v xml:space="preserve"> </v>
      </c>
      <c r="AI50" s="36" t="str">
        <f>IFERROR(IF((INDEX('[3]Riesgos de Corrupción'!$B$11:$V$100,MATCH('Controles de Corrupción'!C50,'[3]Riesgos de Corrupción'!$B$11:$B$100,0),17)-AH50&lt;=1),"Rara vez",IF((INDEX('[3]Riesgos de Corrupción'!$B$11:$V$100,MATCH('Controles de Corrupción'!C50,'[3]Riesgos de Corrupción'!$B$11:$B$100,0),17)-AH50&lt;=2),"Improbable",IF((INDEX('[3]Riesgos de Corrupción'!$B$11:$V$100,MATCH('Controles de Corrupción'!C50,'[3]Riesgos de Corrupción'!$B$11:$B$100,0),17)-AH50&lt;=3),"Posible",IF((INDEX('[3]Riesgos de Corrupción'!$B$11:$V$100,MATCH('Controles de Corrupción'!C50,'[3]Riesgos de Corrupción'!$B$11:$B$100,0),17)-AH50&lt;=4),"Probable",IF((INDEX('[3]Riesgos de Corrupción'!$B$11:$V$100,MATCH('Controles de Corrupción'!C50,'[3]Riesgos de Corrupción'!$B$11:$B$100,0),17)-AH50&lt;=5),"Casi seguro")))))," ")</f>
        <v xml:space="preserve"> </v>
      </c>
      <c r="AJ50" s="8" t="str">
        <f>IFERROR(IF(OR(AND(AF50="Fuerte",H50="No disminuye"),AND(AF50="Moderado",H50="Indirectamente"),AND(AF50="Moderado",H50="No disminuye"),AND(INDEX('[3]Riesgos de Corrupción'!$B$11:$BN$100,MATCH('Controles de Corrupción'!C50,'[3]Riesgos de Corrupción'!$B$11:$B$100,0),63)="Moderado")),0,IF(OR(AND(AF50="Fuerte",H50="Indirectamente"),AND(AF50="Moderado",H50="Directamente"),AND(INDEX('[3]Riesgos de Corrupción'!$B$11:$BN$100,MATCH('Controles de Corrupción'!C50,'[3]Riesgos de Corrupción'!$B$11:$B$100,0),63)="Mayor")),1,IF(AND(AF50="Fuerte",H50="Directamente",AND(INDEX('[3]Riesgos de Corrupción'!$B$11:$BN$100,MATCH('Controles de Corrupción'!C50,'[3]Riesgos de Corrupción'!$B$11:$B$100,0),63)="Catastrófico")),2)))," ")</f>
        <v xml:space="preserve"> </v>
      </c>
      <c r="AK50" s="19" t="str">
        <f t="shared" si="19"/>
        <v xml:space="preserve"> </v>
      </c>
      <c r="AL50" s="19" t="str">
        <f>IFERROR(IF((INDEX('[3]Riesgos de Corrupción'!$B$11:$BN$100,MATCH('Controles de Corrupción'!C50,'[3]Riesgos de Corrupción'!$B$11:$B$100,0),62)-AK50&lt;=3),"Moderado",IF((INDEX('[3]Riesgos de Corrupción'!$B$11:$BN$100,MATCH('Controles de Corrupción'!C50,'[3]Riesgos de Corrupción'!$B$11:$B$100,0),62)-AK50&lt;=4),"Mayor",IF((INDEX('[3]Riesgos de Corrupción'!$B$11:$BN$100,MATCH('Controles de Corrupción'!C50,'[3]Riesgos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0" t="str">
        <f t="shared" si="0"/>
        <v>-</v>
      </c>
      <c r="C51" s="188"/>
      <c r="D51" s="170"/>
      <c r="E51" s="171"/>
      <c r="F51" s="129"/>
      <c r="G51" s="128"/>
      <c r="H51" s="23"/>
      <c r="I51" s="18"/>
      <c r="J51" s="80">
        <f t="shared" si="22"/>
        <v>0</v>
      </c>
      <c r="K51" s="18"/>
      <c r="L51" s="80">
        <f t="shared" si="23"/>
        <v>0</v>
      </c>
      <c r="M51" s="18"/>
      <c r="N51" s="80">
        <f t="shared" si="24"/>
        <v>0</v>
      </c>
      <c r="O51" s="18"/>
      <c r="P51" s="80">
        <f t="shared" si="25"/>
        <v>0</v>
      </c>
      <c r="Q51" s="18"/>
      <c r="R51" s="80">
        <f t="shared" si="26"/>
        <v>0</v>
      </c>
      <c r="S51" s="18"/>
      <c r="T51" s="80">
        <f t="shared" si="27"/>
        <v>0</v>
      </c>
      <c r="U51" s="18"/>
      <c r="V51" s="80">
        <f t="shared" si="7"/>
        <v>0</v>
      </c>
      <c r="W51" s="19" t="str">
        <f t="shared" si="8"/>
        <v xml:space="preserve"> </v>
      </c>
      <c r="X51" s="19" t="str">
        <f t="shared" si="9"/>
        <v xml:space="preserve"> </v>
      </c>
      <c r="Y51" s="19" t="str">
        <f t="shared" si="10"/>
        <v/>
      </c>
      <c r="Z51" s="23"/>
      <c r="AA51" s="19" t="str">
        <f t="shared" si="11"/>
        <v/>
      </c>
      <c r="AB51" s="19" t="str">
        <f t="shared" si="12"/>
        <v xml:space="preserve"> </v>
      </c>
      <c r="AC51" s="19" t="str">
        <f t="shared" si="13"/>
        <v/>
      </c>
      <c r="AD51" s="19" t="str">
        <f t="shared" si="14"/>
        <v xml:space="preserve"> </v>
      </c>
      <c r="AE51" s="125" t="str">
        <f t="shared" si="15"/>
        <v xml:space="preserve"> </v>
      </c>
      <c r="AF51" s="19" t="str">
        <f t="shared" si="16"/>
        <v xml:space="preserve"> </v>
      </c>
      <c r="AG51" s="50">
        <f t="shared" si="17"/>
        <v>0</v>
      </c>
      <c r="AH51" s="50" t="str">
        <f t="shared" si="18"/>
        <v xml:space="preserve"> </v>
      </c>
      <c r="AI51" s="36" t="str">
        <f>IFERROR(IF((INDEX('[3]Riesgos de Corrupción'!$B$11:$V$100,MATCH('Controles de Corrupción'!C51,'[3]Riesgos de Corrupción'!$B$11:$B$100,0),17)-AH51&lt;=1),"Rara vez",IF((INDEX('[3]Riesgos de Corrupción'!$B$11:$V$100,MATCH('Controles de Corrupción'!C51,'[3]Riesgos de Corrupción'!$B$11:$B$100,0),17)-AH51&lt;=2),"Improbable",IF((INDEX('[3]Riesgos de Corrupción'!$B$11:$V$100,MATCH('Controles de Corrupción'!C51,'[3]Riesgos de Corrupción'!$B$11:$B$100,0),17)-AH51&lt;=3),"Posible",IF((INDEX('[3]Riesgos de Corrupción'!$B$11:$V$100,MATCH('Controles de Corrupción'!C51,'[3]Riesgos de Corrupción'!$B$11:$B$100,0),17)-AH51&lt;=4),"Probable",IF((INDEX('[3]Riesgos de Corrupción'!$B$11:$V$100,MATCH('Controles de Corrupción'!C51,'[3]Riesgos de Corrupción'!$B$11:$B$100,0),17)-AH51&lt;=5),"Casi seguro")))))," ")</f>
        <v xml:space="preserve"> </v>
      </c>
      <c r="AJ51" s="8" t="str">
        <f>IFERROR(IF(OR(AND(AF51="Fuerte",H51="No disminuye"),AND(AF51="Moderado",H51="Indirectamente"),AND(AF51="Moderado",H51="No disminuye"),AND(INDEX('[3]Riesgos de Corrupción'!$B$11:$BN$100,MATCH('Controles de Corrupción'!C51,'[3]Riesgos de Corrupción'!$B$11:$B$100,0),63)="Moderado")),0,IF(OR(AND(AF51="Fuerte",H51="Indirectamente"),AND(AF51="Moderado",H51="Directamente"),AND(INDEX('[3]Riesgos de Corrupción'!$B$11:$BN$100,MATCH('Controles de Corrupción'!C51,'[3]Riesgos de Corrupción'!$B$11:$B$100,0),63)="Mayor")),1,IF(AND(AF51="Fuerte",H51="Directamente",AND(INDEX('[3]Riesgos de Corrupción'!$B$11:$BN$100,MATCH('Controles de Corrupción'!C51,'[3]Riesgos de Corrupción'!$B$11:$B$100,0),63)="Catastrófico")),2)))," ")</f>
        <v xml:space="preserve"> </v>
      </c>
      <c r="AK51" s="19" t="str">
        <f t="shared" si="19"/>
        <v xml:space="preserve"> </v>
      </c>
      <c r="AL51" s="19" t="str">
        <f>IFERROR(IF((INDEX('[3]Riesgos de Corrupción'!$B$11:$BN$100,MATCH('Controles de Corrupción'!C51,'[3]Riesgos de Corrupción'!$B$11:$B$100,0),62)-AK51&lt;=3),"Moderado",IF((INDEX('[3]Riesgos de Corrupción'!$B$11:$BN$100,MATCH('Controles de Corrupción'!C51,'[3]Riesgos de Corrupción'!$B$11:$B$100,0),62)-AK51&lt;=4),"Mayor",IF((INDEX('[3]Riesgos de Corrupción'!$B$11:$BN$100,MATCH('Controles de Corrupción'!C51,'[3]Riesgos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0" t="str">
        <f t="shared" si="0"/>
        <v>-</v>
      </c>
      <c r="C52" s="188"/>
      <c r="D52" s="170"/>
      <c r="E52" s="171"/>
      <c r="F52" s="129"/>
      <c r="G52" s="128"/>
      <c r="H52" s="23"/>
      <c r="I52" s="18"/>
      <c r="J52" s="80">
        <f t="shared" si="22"/>
        <v>0</v>
      </c>
      <c r="K52" s="18"/>
      <c r="L52" s="80">
        <f t="shared" si="23"/>
        <v>0</v>
      </c>
      <c r="M52" s="18"/>
      <c r="N52" s="80">
        <f t="shared" si="24"/>
        <v>0</v>
      </c>
      <c r="O52" s="18"/>
      <c r="P52" s="80">
        <f t="shared" si="25"/>
        <v>0</v>
      </c>
      <c r="Q52" s="18"/>
      <c r="R52" s="80">
        <f t="shared" si="26"/>
        <v>0</v>
      </c>
      <c r="S52" s="18"/>
      <c r="T52" s="80">
        <f t="shared" si="27"/>
        <v>0</v>
      </c>
      <c r="U52" s="18"/>
      <c r="V52" s="80">
        <f t="shared" si="7"/>
        <v>0</v>
      </c>
      <c r="W52" s="19" t="str">
        <f t="shared" si="8"/>
        <v xml:space="preserve"> </v>
      </c>
      <c r="X52" s="19" t="str">
        <f t="shared" si="9"/>
        <v xml:space="preserve"> </v>
      </c>
      <c r="Y52" s="19" t="str">
        <f t="shared" si="10"/>
        <v/>
      </c>
      <c r="Z52" s="23"/>
      <c r="AA52" s="19" t="str">
        <f t="shared" si="11"/>
        <v/>
      </c>
      <c r="AB52" s="19" t="str">
        <f t="shared" si="12"/>
        <v xml:space="preserve"> </v>
      </c>
      <c r="AC52" s="19" t="str">
        <f t="shared" si="13"/>
        <v/>
      </c>
      <c r="AD52" s="19" t="str">
        <f t="shared" si="14"/>
        <v xml:space="preserve"> </v>
      </c>
      <c r="AE52" s="125" t="str">
        <f t="shared" si="15"/>
        <v xml:space="preserve"> </v>
      </c>
      <c r="AF52" s="19" t="str">
        <f t="shared" si="16"/>
        <v xml:space="preserve"> </v>
      </c>
      <c r="AG52" s="50">
        <f t="shared" si="17"/>
        <v>0</v>
      </c>
      <c r="AH52" s="50" t="str">
        <f t="shared" si="18"/>
        <v xml:space="preserve"> </v>
      </c>
      <c r="AI52" s="36" t="str">
        <f>IFERROR(IF((INDEX('[3]Riesgos de Corrupción'!$B$11:$V$100,MATCH('Controles de Corrupción'!C52,'[3]Riesgos de Corrupción'!$B$11:$B$100,0),17)-AH52&lt;=1),"Rara vez",IF((INDEX('[3]Riesgos de Corrupción'!$B$11:$V$100,MATCH('Controles de Corrupción'!C52,'[3]Riesgos de Corrupción'!$B$11:$B$100,0),17)-AH52&lt;=2),"Improbable",IF((INDEX('[3]Riesgos de Corrupción'!$B$11:$V$100,MATCH('Controles de Corrupción'!C52,'[3]Riesgos de Corrupción'!$B$11:$B$100,0),17)-AH52&lt;=3),"Posible",IF((INDEX('[3]Riesgos de Corrupción'!$B$11:$V$100,MATCH('Controles de Corrupción'!C52,'[3]Riesgos de Corrupción'!$B$11:$B$100,0),17)-AH52&lt;=4),"Probable",IF((INDEX('[3]Riesgos de Corrupción'!$B$11:$V$100,MATCH('Controles de Corrupción'!C52,'[3]Riesgos de Corrupción'!$B$11:$B$100,0),17)-AH52&lt;=5),"Casi seguro")))))," ")</f>
        <v xml:space="preserve"> </v>
      </c>
      <c r="AJ52" s="8" t="str">
        <f>IFERROR(IF(OR(AND(AF52="Fuerte",H52="No disminuye"),AND(AF52="Moderado",H52="Indirectamente"),AND(AF52="Moderado",H52="No disminuye"),AND(INDEX('[3]Riesgos de Corrupción'!$B$11:$BN$100,MATCH('Controles de Corrupción'!C52,'[3]Riesgos de Corrupción'!$B$11:$B$100,0),63)="Moderado")),0,IF(OR(AND(AF52="Fuerte",H52="Indirectamente"),AND(AF52="Moderado",H52="Directamente"),AND(INDEX('[3]Riesgos de Corrupción'!$B$11:$BN$100,MATCH('Controles de Corrupción'!C52,'[3]Riesgos de Corrupción'!$B$11:$B$100,0),63)="Mayor")),1,IF(AND(AF52="Fuerte",H52="Directamente",AND(INDEX('[3]Riesgos de Corrupción'!$B$11:$BN$100,MATCH('Controles de Corrupción'!C52,'[3]Riesgos de Corrupción'!$B$11:$B$100,0),63)="Catastrófico")),2)))," ")</f>
        <v xml:space="preserve"> </v>
      </c>
      <c r="AK52" s="19" t="str">
        <f t="shared" si="19"/>
        <v xml:space="preserve"> </v>
      </c>
      <c r="AL52" s="19" t="str">
        <f>IFERROR(IF((INDEX('[3]Riesgos de Corrupción'!$B$11:$BN$100,MATCH('Controles de Corrupción'!C52,'[3]Riesgos de Corrupción'!$B$11:$B$100,0),62)-AK52&lt;=3),"Moderado",IF((INDEX('[3]Riesgos de Corrupción'!$B$11:$BN$100,MATCH('Controles de Corrupción'!C52,'[3]Riesgos de Corrupción'!$B$11:$B$100,0),62)-AK52&lt;=4),"Mayor",IF((INDEX('[3]Riesgos de Corrupción'!$B$11:$BN$100,MATCH('Controles de Corrupción'!C52,'[3]Riesgos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0" t="str">
        <f t="shared" si="0"/>
        <v>-</v>
      </c>
      <c r="C53" s="188"/>
      <c r="D53" s="170"/>
      <c r="E53" s="171"/>
      <c r="F53" s="129"/>
      <c r="G53" s="128"/>
      <c r="H53" s="23"/>
      <c r="I53" s="18"/>
      <c r="J53" s="80">
        <f t="shared" si="22"/>
        <v>0</v>
      </c>
      <c r="K53" s="18"/>
      <c r="L53" s="80">
        <f t="shared" si="23"/>
        <v>0</v>
      </c>
      <c r="M53" s="18"/>
      <c r="N53" s="80">
        <f t="shared" si="24"/>
        <v>0</v>
      </c>
      <c r="O53" s="18"/>
      <c r="P53" s="80">
        <f t="shared" si="25"/>
        <v>0</v>
      </c>
      <c r="Q53" s="18"/>
      <c r="R53" s="80">
        <f t="shared" si="26"/>
        <v>0</v>
      </c>
      <c r="S53" s="18"/>
      <c r="T53" s="80">
        <f t="shared" si="27"/>
        <v>0</v>
      </c>
      <c r="U53" s="18"/>
      <c r="V53" s="80">
        <f t="shared" si="7"/>
        <v>0</v>
      </c>
      <c r="W53" s="19" t="str">
        <f t="shared" si="8"/>
        <v xml:space="preserve"> </v>
      </c>
      <c r="X53" s="19" t="str">
        <f t="shared" si="9"/>
        <v xml:space="preserve"> </v>
      </c>
      <c r="Y53" s="19" t="str">
        <f t="shared" si="10"/>
        <v/>
      </c>
      <c r="Z53" s="23"/>
      <c r="AA53" s="19" t="str">
        <f t="shared" si="11"/>
        <v/>
      </c>
      <c r="AB53" s="19" t="str">
        <f t="shared" si="12"/>
        <v xml:space="preserve"> </v>
      </c>
      <c r="AC53" s="19" t="str">
        <f t="shared" si="13"/>
        <v/>
      </c>
      <c r="AD53" s="19" t="str">
        <f t="shared" si="14"/>
        <v xml:space="preserve"> </v>
      </c>
      <c r="AE53" s="125" t="str">
        <f t="shared" si="15"/>
        <v xml:space="preserve"> </v>
      </c>
      <c r="AF53" s="19" t="str">
        <f t="shared" si="16"/>
        <v xml:space="preserve"> </v>
      </c>
      <c r="AG53" s="50">
        <f t="shared" si="17"/>
        <v>0</v>
      </c>
      <c r="AH53" s="50" t="str">
        <f t="shared" si="18"/>
        <v xml:space="preserve"> </v>
      </c>
      <c r="AI53" s="36" t="str">
        <f>IFERROR(IF((INDEX('[3]Riesgos de Corrupción'!$B$11:$V$100,MATCH('Controles de Corrupción'!C53,'[3]Riesgos de Corrupción'!$B$11:$B$100,0),17)-AH53&lt;=1),"Rara vez",IF((INDEX('[3]Riesgos de Corrupción'!$B$11:$V$100,MATCH('Controles de Corrupción'!C53,'[3]Riesgos de Corrupción'!$B$11:$B$100,0),17)-AH53&lt;=2),"Improbable",IF((INDEX('[3]Riesgos de Corrupción'!$B$11:$V$100,MATCH('Controles de Corrupción'!C53,'[3]Riesgos de Corrupción'!$B$11:$B$100,0),17)-AH53&lt;=3),"Posible",IF((INDEX('[3]Riesgos de Corrupción'!$B$11:$V$100,MATCH('Controles de Corrupción'!C53,'[3]Riesgos de Corrupción'!$B$11:$B$100,0),17)-AH53&lt;=4),"Probable",IF((INDEX('[3]Riesgos de Corrupción'!$B$11:$V$100,MATCH('Controles de Corrupción'!C53,'[3]Riesgos de Corrupción'!$B$11:$B$100,0),17)-AH53&lt;=5),"Casi seguro")))))," ")</f>
        <v xml:space="preserve"> </v>
      </c>
      <c r="AJ53" s="8" t="str">
        <f>IFERROR(IF(OR(AND(AF53="Fuerte",H53="No disminuye"),AND(AF53="Moderado",H53="Indirectamente"),AND(AF53="Moderado",H53="No disminuye"),AND(INDEX('[3]Riesgos de Corrupción'!$B$11:$BN$100,MATCH('Controles de Corrupción'!C53,'[3]Riesgos de Corrupción'!$B$11:$B$100,0),63)="Moderado")),0,IF(OR(AND(AF53="Fuerte",H53="Indirectamente"),AND(AF53="Moderado",H53="Directamente"),AND(INDEX('[3]Riesgos de Corrupción'!$B$11:$BN$100,MATCH('Controles de Corrupción'!C53,'[3]Riesgos de Corrupción'!$B$11:$B$100,0),63)="Mayor")),1,IF(AND(AF53="Fuerte",H53="Directamente",AND(INDEX('[3]Riesgos de Corrupción'!$B$11:$BN$100,MATCH('Controles de Corrupción'!C53,'[3]Riesgos de Corrupción'!$B$11:$B$100,0),63)="Catastrófico")),2)))," ")</f>
        <v xml:space="preserve"> </v>
      </c>
      <c r="AK53" s="19" t="str">
        <f t="shared" si="19"/>
        <v xml:space="preserve"> </v>
      </c>
      <c r="AL53" s="19" t="str">
        <f>IFERROR(IF((INDEX('[3]Riesgos de Corrupción'!$B$11:$BN$100,MATCH('Controles de Corrupción'!C53,'[3]Riesgos de Corrupción'!$B$11:$B$100,0),62)-AK53&lt;=3),"Moderado",IF((INDEX('[3]Riesgos de Corrupción'!$B$11:$BN$100,MATCH('Controles de Corrupción'!C53,'[3]Riesgos de Corrupción'!$B$11:$B$100,0),62)-AK53&lt;=4),"Mayor",IF((INDEX('[3]Riesgos de Corrupción'!$B$11:$BN$100,MATCH('Controles de Corrupción'!C53,'[3]Riesgos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0" t="str">
        <f t="shared" si="0"/>
        <v>-</v>
      </c>
      <c r="C54" s="188"/>
      <c r="D54" s="170"/>
      <c r="E54" s="171"/>
      <c r="F54" s="129"/>
      <c r="G54" s="128"/>
      <c r="H54" s="23"/>
      <c r="I54" s="18"/>
      <c r="J54" s="80">
        <f t="shared" si="22"/>
        <v>0</v>
      </c>
      <c r="K54" s="18"/>
      <c r="L54" s="80">
        <f t="shared" si="23"/>
        <v>0</v>
      </c>
      <c r="M54" s="18"/>
      <c r="N54" s="80">
        <f t="shared" si="24"/>
        <v>0</v>
      </c>
      <c r="O54" s="18"/>
      <c r="P54" s="80">
        <f t="shared" si="25"/>
        <v>0</v>
      </c>
      <c r="Q54" s="18"/>
      <c r="R54" s="80">
        <f t="shared" si="26"/>
        <v>0</v>
      </c>
      <c r="S54" s="18"/>
      <c r="T54" s="80">
        <f t="shared" si="27"/>
        <v>0</v>
      </c>
      <c r="U54" s="18"/>
      <c r="V54" s="80">
        <f t="shared" si="7"/>
        <v>0</v>
      </c>
      <c r="W54" s="19" t="str">
        <f t="shared" si="8"/>
        <v xml:space="preserve"> </v>
      </c>
      <c r="X54" s="19" t="str">
        <f t="shared" si="9"/>
        <v xml:space="preserve"> </v>
      </c>
      <c r="Y54" s="19" t="str">
        <f t="shared" si="10"/>
        <v/>
      </c>
      <c r="Z54" s="23"/>
      <c r="AA54" s="19" t="str">
        <f t="shared" si="11"/>
        <v/>
      </c>
      <c r="AB54" s="19" t="str">
        <f t="shared" si="12"/>
        <v xml:space="preserve"> </v>
      </c>
      <c r="AC54" s="19" t="str">
        <f t="shared" si="13"/>
        <v/>
      </c>
      <c r="AD54" s="19" t="str">
        <f t="shared" si="14"/>
        <v xml:space="preserve"> </v>
      </c>
      <c r="AE54" s="125" t="str">
        <f t="shared" si="15"/>
        <v xml:space="preserve"> </v>
      </c>
      <c r="AF54" s="19" t="str">
        <f t="shared" si="16"/>
        <v xml:space="preserve"> </v>
      </c>
      <c r="AG54" s="50">
        <f t="shared" si="17"/>
        <v>0</v>
      </c>
      <c r="AH54" s="50" t="str">
        <f t="shared" si="18"/>
        <v xml:space="preserve"> </v>
      </c>
      <c r="AI54" s="36" t="str">
        <f>IFERROR(IF((INDEX('[3]Riesgos de Corrupción'!$B$11:$V$100,MATCH('Controles de Corrupción'!C54,'[3]Riesgos de Corrupción'!$B$11:$B$100,0),17)-AH54&lt;=1),"Rara vez",IF((INDEX('[3]Riesgos de Corrupción'!$B$11:$V$100,MATCH('Controles de Corrupción'!C54,'[3]Riesgos de Corrupción'!$B$11:$B$100,0),17)-AH54&lt;=2),"Improbable",IF((INDEX('[3]Riesgos de Corrupción'!$B$11:$V$100,MATCH('Controles de Corrupción'!C54,'[3]Riesgos de Corrupción'!$B$11:$B$100,0),17)-AH54&lt;=3),"Posible",IF((INDEX('[3]Riesgos de Corrupción'!$B$11:$V$100,MATCH('Controles de Corrupción'!C54,'[3]Riesgos de Corrupción'!$B$11:$B$100,0),17)-AH54&lt;=4),"Probable",IF((INDEX('[3]Riesgos de Corrupción'!$B$11:$V$100,MATCH('Controles de Corrupción'!C54,'[3]Riesgos de Corrupción'!$B$11:$B$100,0),17)-AH54&lt;=5),"Casi seguro")))))," ")</f>
        <v xml:space="preserve"> </v>
      </c>
      <c r="AJ54" s="8" t="str">
        <f>IFERROR(IF(OR(AND(AF54="Fuerte",H54="No disminuye"),AND(AF54="Moderado",H54="Indirectamente"),AND(AF54="Moderado",H54="No disminuye"),AND(INDEX('[3]Riesgos de Corrupción'!$B$11:$BN$100,MATCH('Controles de Corrupción'!C54,'[3]Riesgos de Corrupción'!$B$11:$B$100,0),63)="Moderado")),0,IF(OR(AND(AF54="Fuerte",H54="Indirectamente"),AND(AF54="Moderado",H54="Directamente"),AND(INDEX('[3]Riesgos de Corrupción'!$B$11:$BN$100,MATCH('Controles de Corrupción'!C54,'[3]Riesgos de Corrupción'!$B$11:$B$100,0),63)="Mayor")),1,IF(AND(AF54="Fuerte",H54="Directamente",AND(INDEX('[3]Riesgos de Corrupción'!$B$11:$BN$100,MATCH('Controles de Corrupción'!C54,'[3]Riesgos de Corrupción'!$B$11:$B$100,0),63)="Catastrófico")),2)))," ")</f>
        <v xml:space="preserve"> </v>
      </c>
      <c r="AK54" s="19" t="str">
        <f t="shared" si="19"/>
        <v xml:space="preserve"> </v>
      </c>
      <c r="AL54" s="19" t="str">
        <f>IFERROR(IF((INDEX('[3]Riesgos de Corrupción'!$B$11:$BN$100,MATCH('Controles de Corrupción'!C54,'[3]Riesgos de Corrupción'!$B$11:$B$100,0),62)-AK54&lt;=3),"Moderado",IF((INDEX('[3]Riesgos de Corrupción'!$B$11:$BN$100,MATCH('Controles de Corrupción'!C54,'[3]Riesgos de Corrupción'!$B$11:$B$100,0),62)-AK54&lt;=4),"Mayor",IF((INDEX('[3]Riesgos de Corrupción'!$B$11:$BN$100,MATCH('Controles de Corrupción'!C54,'[3]Riesgos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0" t="str">
        <f t="shared" si="0"/>
        <v>-</v>
      </c>
      <c r="C55" s="188"/>
      <c r="D55" s="170"/>
      <c r="E55" s="171"/>
      <c r="F55" s="129"/>
      <c r="G55" s="128"/>
      <c r="H55" s="23"/>
      <c r="I55" s="18"/>
      <c r="J55" s="80">
        <f t="shared" si="22"/>
        <v>0</v>
      </c>
      <c r="K55" s="18"/>
      <c r="L55" s="80">
        <f t="shared" si="23"/>
        <v>0</v>
      </c>
      <c r="M55" s="18"/>
      <c r="N55" s="80">
        <f t="shared" si="24"/>
        <v>0</v>
      </c>
      <c r="O55" s="18"/>
      <c r="P55" s="80">
        <f t="shared" si="25"/>
        <v>0</v>
      </c>
      <c r="Q55" s="18"/>
      <c r="R55" s="80">
        <f t="shared" si="26"/>
        <v>0</v>
      </c>
      <c r="S55" s="18"/>
      <c r="T55" s="80">
        <f t="shared" si="27"/>
        <v>0</v>
      </c>
      <c r="U55" s="18"/>
      <c r="V55" s="80">
        <f t="shared" si="7"/>
        <v>0</v>
      </c>
      <c r="W55" s="19" t="str">
        <f t="shared" si="8"/>
        <v xml:space="preserve"> </v>
      </c>
      <c r="X55" s="19" t="str">
        <f t="shared" si="9"/>
        <v xml:space="preserve"> </v>
      </c>
      <c r="Y55" s="19" t="str">
        <f t="shared" si="10"/>
        <v/>
      </c>
      <c r="Z55" s="23"/>
      <c r="AA55" s="19" t="str">
        <f t="shared" si="11"/>
        <v/>
      </c>
      <c r="AB55" s="19" t="str">
        <f t="shared" si="12"/>
        <v xml:space="preserve"> </v>
      </c>
      <c r="AC55" s="19" t="str">
        <f t="shared" si="13"/>
        <v/>
      </c>
      <c r="AD55" s="19" t="str">
        <f t="shared" si="14"/>
        <v xml:space="preserve"> </v>
      </c>
      <c r="AE55" s="125" t="str">
        <f t="shared" si="15"/>
        <v xml:space="preserve"> </v>
      </c>
      <c r="AF55" s="19" t="str">
        <f t="shared" si="16"/>
        <v xml:space="preserve"> </v>
      </c>
      <c r="AG55" s="50">
        <f t="shared" si="17"/>
        <v>0</v>
      </c>
      <c r="AH55" s="50" t="str">
        <f t="shared" si="18"/>
        <v xml:space="preserve"> </v>
      </c>
      <c r="AI55" s="36" t="str">
        <f>IFERROR(IF((INDEX('[3]Riesgos de Corrupción'!$B$11:$V$100,MATCH('Controles de Corrupción'!C55,'[3]Riesgos de Corrupción'!$B$11:$B$100,0),17)-AH55&lt;=1),"Rara vez",IF((INDEX('[3]Riesgos de Corrupción'!$B$11:$V$100,MATCH('Controles de Corrupción'!C55,'[3]Riesgos de Corrupción'!$B$11:$B$100,0),17)-AH55&lt;=2),"Improbable",IF((INDEX('[3]Riesgos de Corrupción'!$B$11:$V$100,MATCH('Controles de Corrupción'!C55,'[3]Riesgos de Corrupción'!$B$11:$B$100,0),17)-AH55&lt;=3),"Posible",IF((INDEX('[3]Riesgos de Corrupción'!$B$11:$V$100,MATCH('Controles de Corrupción'!C55,'[3]Riesgos de Corrupción'!$B$11:$B$100,0),17)-AH55&lt;=4),"Probable",IF((INDEX('[3]Riesgos de Corrupción'!$B$11:$V$100,MATCH('Controles de Corrupción'!C55,'[3]Riesgos de Corrupción'!$B$11:$B$100,0),17)-AH55&lt;=5),"Casi seguro")))))," ")</f>
        <v xml:space="preserve"> </v>
      </c>
      <c r="AJ55" s="8" t="str">
        <f>IFERROR(IF(OR(AND(AF55="Fuerte",H55="No disminuye"),AND(AF55="Moderado",H55="Indirectamente"),AND(AF55="Moderado",H55="No disminuye"),AND(INDEX('[3]Riesgos de Corrupción'!$B$11:$BN$100,MATCH('Controles de Corrupción'!C55,'[3]Riesgos de Corrupción'!$B$11:$B$100,0),63)="Moderado")),0,IF(OR(AND(AF55="Fuerte",H55="Indirectamente"),AND(AF55="Moderado",H55="Directamente"),AND(INDEX('[3]Riesgos de Corrupción'!$B$11:$BN$100,MATCH('Controles de Corrupción'!C55,'[3]Riesgos de Corrupción'!$B$11:$B$100,0),63)="Mayor")),1,IF(AND(AF55="Fuerte",H55="Directamente",AND(INDEX('[3]Riesgos de Corrupción'!$B$11:$BN$100,MATCH('Controles de Corrupción'!C55,'[3]Riesgos de Corrupción'!$B$11:$B$100,0),63)="Catastrófico")),2)))," ")</f>
        <v xml:space="preserve"> </v>
      </c>
      <c r="AK55" s="19" t="str">
        <f t="shared" si="19"/>
        <v xml:space="preserve"> </v>
      </c>
      <c r="AL55" s="19" t="str">
        <f>IFERROR(IF((INDEX('[3]Riesgos de Corrupción'!$B$11:$BN$100,MATCH('Controles de Corrupción'!C55,'[3]Riesgos de Corrupción'!$B$11:$B$100,0),62)-AK55&lt;=3),"Moderado",IF((INDEX('[3]Riesgos de Corrupción'!$B$11:$BN$100,MATCH('Controles de Corrupción'!C55,'[3]Riesgos de Corrupción'!$B$11:$B$100,0),62)-AK55&lt;=4),"Mayor",IF((INDEX('[3]Riesgos de Corrupción'!$B$11:$BN$100,MATCH('Controles de Corrupción'!C55,'[3]Riesgos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0" t="str">
        <f t="shared" si="0"/>
        <v>-</v>
      </c>
      <c r="C56" s="188"/>
      <c r="D56" s="170"/>
      <c r="E56" s="171"/>
      <c r="F56" s="129"/>
      <c r="G56" s="128"/>
      <c r="H56" s="23"/>
      <c r="I56" s="18"/>
      <c r="J56" s="80">
        <f t="shared" si="22"/>
        <v>0</v>
      </c>
      <c r="K56" s="18"/>
      <c r="L56" s="80">
        <f t="shared" si="23"/>
        <v>0</v>
      </c>
      <c r="M56" s="18"/>
      <c r="N56" s="80">
        <f t="shared" si="24"/>
        <v>0</v>
      </c>
      <c r="O56" s="18"/>
      <c r="P56" s="80">
        <f t="shared" si="25"/>
        <v>0</v>
      </c>
      <c r="Q56" s="18"/>
      <c r="R56" s="80">
        <f t="shared" si="26"/>
        <v>0</v>
      </c>
      <c r="S56" s="18"/>
      <c r="T56" s="80">
        <f t="shared" si="27"/>
        <v>0</v>
      </c>
      <c r="U56" s="18"/>
      <c r="V56" s="80">
        <f t="shared" si="7"/>
        <v>0</v>
      </c>
      <c r="W56" s="19" t="str">
        <f t="shared" si="8"/>
        <v xml:space="preserve"> </v>
      </c>
      <c r="X56" s="19" t="str">
        <f t="shared" si="9"/>
        <v xml:space="preserve"> </v>
      </c>
      <c r="Y56" s="19" t="str">
        <f t="shared" si="10"/>
        <v/>
      </c>
      <c r="Z56" s="23"/>
      <c r="AA56" s="19" t="str">
        <f t="shared" si="11"/>
        <v/>
      </c>
      <c r="AB56" s="19" t="str">
        <f t="shared" si="12"/>
        <v xml:space="preserve"> </v>
      </c>
      <c r="AC56" s="19" t="str">
        <f t="shared" si="13"/>
        <v/>
      </c>
      <c r="AD56" s="19" t="str">
        <f t="shared" si="14"/>
        <v xml:space="preserve"> </v>
      </c>
      <c r="AE56" s="125" t="str">
        <f t="shared" si="15"/>
        <v xml:space="preserve"> </v>
      </c>
      <c r="AF56" s="19" t="str">
        <f t="shared" si="16"/>
        <v xml:space="preserve"> </v>
      </c>
      <c r="AG56" s="50">
        <f t="shared" si="17"/>
        <v>0</v>
      </c>
      <c r="AH56" s="50" t="str">
        <f t="shared" si="18"/>
        <v xml:space="preserve"> </v>
      </c>
      <c r="AI56" s="36" t="str">
        <f>IFERROR(IF((INDEX('[3]Riesgos de Corrupción'!$B$11:$V$100,MATCH('Controles de Corrupción'!C56,'[3]Riesgos de Corrupción'!$B$11:$B$100,0),17)-AH56&lt;=1),"Rara vez",IF((INDEX('[3]Riesgos de Corrupción'!$B$11:$V$100,MATCH('Controles de Corrupción'!C56,'[3]Riesgos de Corrupción'!$B$11:$B$100,0),17)-AH56&lt;=2),"Improbable",IF((INDEX('[3]Riesgos de Corrupción'!$B$11:$V$100,MATCH('Controles de Corrupción'!C56,'[3]Riesgos de Corrupción'!$B$11:$B$100,0),17)-AH56&lt;=3),"Posible",IF((INDEX('[3]Riesgos de Corrupción'!$B$11:$V$100,MATCH('Controles de Corrupción'!C56,'[3]Riesgos de Corrupción'!$B$11:$B$100,0),17)-AH56&lt;=4),"Probable",IF((INDEX('[3]Riesgos de Corrupción'!$B$11:$V$100,MATCH('Controles de Corrupción'!C56,'[3]Riesgos de Corrupción'!$B$11:$B$100,0),17)-AH56&lt;=5),"Casi seguro")))))," ")</f>
        <v xml:space="preserve"> </v>
      </c>
      <c r="AJ56" s="8" t="str">
        <f>IFERROR(IF(OR(AND(AF56="Fuerte",H56="No disminuye"),AND(AF56="Moderado",H56="Indirectamente"),AND(AF56="Moderado",H56="No disminuye"),AND(INDEX('[3]Riesgos de Corrupción'!$B$11:$BN$100,MATCH('Controles de Corrupción'!C56,'[3]Riesgos de Corrupción'!$B$11:$B$100,0),63)="Moderado")),0,IF(OR(AND(AF56="Fuerte",H56="Indirectamente"),AND(AF56="Moderado",H56="Directamente"),AND(INDEX('[3]Riesgos de Corrupción'!$B$11:$BN$100,MATCH('Controles de Corrupción'!C56,'[3]Riesgos de Corrupción'!$B$11:$B$100,0),63)="Mayor")),1,IF(AND(AF56="Fuerte",H56="Directamente",AND(INDEX('[3]Riesgos de Corrupción'!$B$11:$BN$100,MATCH('Controles de Corrupción'!C56,'[3]Riesgos de Corrupción'!$B$11:$B$100,0),63)="Catastrófico")),2)))," ")</f>
        <v xml:space="preserve"> </v>
      </c>
      <c r="AK56" s="19" t="str">
        <f t="shared" si="19"/>
        <v xml:space="preserve"> </v>
      </c>
      <c r="AL56" s="19" t="str">
        <f>IFERROR(IF((INDEX('[3]Riesgos de Corrupción'!$B$11:$BN$100,MATCH('Controles de Corrupción'!C56,'[3]Riesgos de Corrupción'!$B$11:$B$100,0),62)-AK56&lt;=3),"Moderado",IF((INDEX('[3]Riesgos de Corrupción'!$B$11:$BN$100,MATCH('Controles de Corrupción'!C56,'[3]Riesgos de Corrupción'!$B$11:$B$100,0),62)-AK56&lt;=4),"Mayor",IF((INDEX('[3]Riesgos de Corrupción'!$B$11:$BN$100,MATCH('Controles de Corrupción'!C56,'[3]Riesgos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0" t="str">
        <f t="shared" si="0"/>
        <v>-</v>
      </c>
      <c r="C57" s="188"/>
      <c r="D57" s="170"/>
      <c r="E57" s="171"/>
      <c r="F57" s="129"/>
      <c r="G57" s="128"/>
      <c r="H57" s="23"/>
      <c r="I57" s="18"/>
      <c r="J57" s="80">
        <f t="shared" si="22"/>
        <v>0</v>
      </c>
      <c r="K57" s="18"/>
      <c r="L57" s="80">
        <f t="shared" si="23"/>
        <v>0</v>
      </c>
      <c r="M57" s="18"/>
      <c r="N57" s="80">
        <f t="shared" si="24"/>
        <v>0</v>
      </c>
      <c r="O57" s="18"/>
      <c r="P57" s="80">
        <f t="shared" si="25"/>
        <v>0</v>
      </c>
      <c r="Q57" s="18"/>
      <c r="R57" s="80">
        <f t="shared" si="26"/>
        <v>0</v>
      </c>
      <c r="S57" s="18"/>
      <c r="T57" s="80">
        <f t="shared" si="27"/>
        <v>0</v>
      </c>
      <c r="U57" s="18"/>
      <c r="V57" s="80">
        <f t="shared" si="7"/>
        <v>0</v>
      </c>
      <c r="W57" s="19" t="str">
        <f t="shared" si="8"/>
        <v xml:space="preserve"> </v>
      </c>
      <c r="X57" s="19" t="str">
        <f t="shared" si="9"/>
        <v xml:space="preserve"> </v>
      </c>
      <c r="Y57" s="19" t="str">
        <f t="shared" si="10"/>
        <v/>
      </c>
      <c r="Z57" s="23"/>
      <c r="AA57" s="19" t="str">
        <f t="shared" si="11"/>
        <v/>
      </c>
      <c r="AB57" s="19" t="str">
        <f t="shared" si="12"/>
        <v xml:space="preserve"> </v>
      </c>
      <c r="AC57" s="19" t="str">
        <f t="shared" si="13"/>
        <v/>
      </c>
      <c r="AD57" s="19" t="str">
        <f t="shared" si="14"/>
        <v xml:space="preserve"> </v>
      </c>
      <c r="AE57" s="125" t="str">
        <f t="shared" si="15"/>
        <v xml:space="preserve"> </v>
      </c>
      <c r="AF57" s="19" t="str">
        <f t="shared" si="16"/>
        <v xml:space="preserve"> </v>
      </c>
      <c r="AG57" s="50">
        <f t="shared" si="17"/>
        <v>0</v>
      </c>
      <c r="AH57" s="50" t="str">
        <f t="shared" si="18"/>
        <v xml:space="preserve"> </v>
      </c>
      <c r="AI57" s="36" t="str">
        <f>IFERROR(IF((INDEX('[3]Riesgos de Corrupción'!$B$11:$V$100,MATCH('Controles de Corrupción'!C57,'[3]Riesgos de Corrupción'!$B$11:$B$100,0),17)-AH57&lt;=1),"Rara vez",IF((INDEX('[3]Riesgos de Corrupción'!$B$11:$V$100,MATCH('Controles de Corrupción'!C57,'[3]Riesgos de Corrupción'!$B$11:$B$100,0),17)-AH57&lt;=2),"Improbable",IF((INDEX('[3]Riesgos de Corrupción'!$B$11:$V$100,MATCH('Controles de Corrupción'!C57,'[3]Riesgos de Corrupción'!$B$11:$B$100,0),17)-AH57&lt;=3),"Posible",IF((INDEX('[3]Riesgos de Corrupción'!$B$11:$V$100,MATCH('Controles de Corrupción'!C57,'[3]Riesgos de Corrupción'!$B$11:$B$100,0),17)-AH57&lt;=4),"Probable",IF((INDEX('[3]Riesgos de Corrupción'!$B$11:$V$100,MATCH('Controles de Corrupción'!C57,'[3]Riesgos de Corrupción'!$B$11:$B$100,0),17)-AH57&lt;=5),"Casi seguro")))))," ")</f>
        <v xml:space="preserve"> </v>
      </c>
      <c r="AJ57" s="8" t="str">
        <f>IFERROR(IF(OR(AND(AF57="Fuerte",H57="No disminuye"),AND(AF57="Moderado",H57="Indirectamente"),AND(AF57="Moderado",H57="No disminuye"),AND(INDEX('[3]Riesgos de Corrupción'!$B$11:$BN$100,MATCH('Controles de Corrupción'!C57,'[3]Riesgos de Corrupción'!$B$11:$B$100,0),63)="Moderado")),0,IF(OR(AND(AF57="Fuerte",H57="Indirectamente"),AND(AF57="Moderado",H57="Directamente"),AND(INDEX('[3]Riesgos de Corrupción'!$B$11:$BN$100,MATCH('Controles de Corrupción'!C57,'[3]Riesgos de Corrupción'!$B$11:$B$100,0),63)="Mayor")),1,IF(AND(AF57="Fuerte",H57="Directamente",AND(INDEX('[3]Riesgos de Corrupción'!$B$11:$BN$100,MATCH('Controles de Corrupción'!C57,'[3]Riesgos de Corrupción'!$B$11:$B$100,0),63)="Catastrófico")),2)))," ")</f>
        <v xml:space="preserve"> </v>
      </c>
      <c r="AK57" s="19" t="str">
        <f t="shared" si="19"/>
        <v xml:space="preserve"> </v>
      </c>
      <c r="AL57" s="19" t="str">
        <f>IFERROR(IF((INDEX('[3]Riesgos de Corrupción'!$B$11:$BN$100,MATCH('Controles de Corrupción'!C57,'[3]Riesgos de Corrupción'!$B$11:$B$100,0),62)-AK57&lt;=3),"Moderado",IF((INDEX('[3]Riesgos de Corrupción'!$B$11:$BN$100,MATCH('Controles de Corrupción'!C57,'[3]Riesgos de Corrupción'!$B$11:$B$100,0),62)-AK57&lt;=4),"Mayor",IF((INDEX('[3]Riesgos de Corrupción'!$B$11:$BN$100,MATCH('Controles de Corrupción'!C57,'[3]Riesgos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0" t="str">
        <f t="shared" si="0"/>
        <v>-</v>
      </c>
      <c r="C58" s="188"/>
      <c r="D58" s="170"/>
      <c r="E58" s="171"/>
      <c r="F58" s="129"/>
      <c r="G58" s="128"/>
      <c r="H58" s="23"/>
      <c r="I58" s="18"/>
      <c r="J58" s="80">
        <f t="shared" si="22"/>
        <v>0</v>
      </c>
      <c r="K58" s="18"/>
      <c r="L58" s="80">
        <f t="shared" si="23"/>
        <v>0</v>
      </c>
      <c r="M58" s="18"/>
      <c r="N58" s="80">
        <f t="shared" si="24"/>
        <v>0</v>
      </c>
      <c r="O58" s="18"/>
      <c r="P58" s="80">
        <f t="shared" si="25"/>
        <v>0</v>
      </c>
      <c r="Q58" s="18"/>
      <c r="R58" s="80">
        <f t="shared" si="26"/>
        <v>0</v>
      </c>
      <c r="S58" s="18"/>
      <c r="T58" s="80">
        <f t="shared" si="27"/>
        <v>0</v>
      </c>
      <c r="U58" s="18"/>
      <c r="V58" s="80">
        <f t="shared" si="7"/>
        <v>0</v>
      </c>
      <c r="W58" s="19" t="str">
        <f t="shared" si="8"/>
        <v xml:space="preserve"> </v>
      </c>
      <c r="X58" s="19" t="str">
        <f t="shared" si="9"/>
        <v xml:space="preserve"> </v>
      </c>
      <c r="Y58" s="19" t="str">
        <f t="shared" si="10"/>
        <v/>
      </c>
      <c r="Z58" s="23"/>
      <c r="AA58" s="19" t="str">
        <f t="shared" si="11"/>
        <v/>
      </c>
      <c r="AB58" s="19" t="str">
        <f t="shared" si="12"/>
        <v xml:space="preserve"> </v>
      </c>
      <c r="AC58" s="19" t="str">
        <f t="shared" si="13"/>
        <v/>
      </c>
      <c r="AD58" s="19" t="str">
        <f t="shared" si="14"/>
        <v xml:space="preserve"> </v>
      </c>
      <c r="AE58" s="125" t="str">
        <f t="shared" si="15"/>
        <v xml:space="preserve"> </v>
      </c>
      <c r="AF58" s="19" t="str">
        <f t="shared" si="16"/>
        <v xml:space="preserve"> </v>
      </c>
      <c r="AG58" s="50">
        <f t="shared" si="17"/>
        <v>0</v>
      </c>
      <c r="AH58" s="50" t="str">
        <f t="shared" si="18"/>
        <v xml:space="preserve"> </v>
      </c>
      <c r="AI58" s="36" t="str">
        <f>IFERROR(IF((INDEX('[3]Riesgos de Corrupción'!$B$11:$V$100,MATCH('Controles de Corrupción'!C58,'[3]Riesgos de Corrupción'!$B$11:$B$100,0),17)-AH58&lt;=1),"Rara vez",IF((INDEX('[3]Riesgos de Corrupción'!$B$11:$V$100,MATCH('Controles de Corrupción'!C58,'[3]Riesgos de Corrupción'!$B$11:$B$100,0),17)-AH58&lt;=2),"Improbable",IF((INDEX('[3]Riesgos de Corrupción'!$B$11:$V$100,MATCH('Controles de Corrupción'!C58,'[3]Riesgos de Corrupción'!$B$11:$B$100,0),17)-AH58&lt;=3),"Posible",IF((INDEX('[3]Riesgos de Corrupción'!$B$11:$V$100,MATCH('Controles de Corrupción'!C58,'[3]Riesgos de Corrupción'!$B$11:$B$100,0),17)-AH58&lt;=4),"Probable",IF((INDEX('[3]Riesgos de Corrupción'!$B$11:$V$100,MATCH('Controles de Corrupción'!C58,'[3]Riesgos de Corrupción'!$B$11:$B$100,0),17)-AH58&lt;=5),"Casi seguro")))))," ")</f>
        <v xml:space="preserve"> </v>
      </c>
      <c r="AJ58" s="8" t="str">
        <f>IFERROR(IF(OR(AND(AF58="Fuerte",H58="No disminuye"),AND(AF58="Moderado",H58="Indirectamente"),AND(AF58="Moderado",H58="No disminuye"),AND(INDEX('[3]Riesgos de Corrupción'!$B$11:$BN$100,MATCH('Controles de Corrupción'!C58,'[3]Riesgos de Corrupción'!$B$11:$B$100,0),63)="Moderado")),0,IF(OR(AND(AF58="Fuerte",H58="Indirectamente"),AND(AF58="Moderado",H58="Directamente"),AND(INDEX('[3]Riesgos de Corrupción'!$B$11:$BN$100,MATCH('Controles de Corrupción'!C58,'[3]Riesgos de Corrupción'!$B$11:$B$100,0),63)="Mayor")),1,IF(AND(AF58="Fuerte",H58="Directamente",AND(INDEX('[3]Riesgos de Corrupción'!$B$11:$BN$100,MATCH('Controles de Corrupción'!C58,'[3]Riesgos de Corrupción'!$B$11:$B$100,0),63)="Catastrófico")),2)))," ")</f>
        <v xml:space="preserve"> </v>
      </c>
      <c r="AK58" s="19" t="str">
        <f t="shared" si="19"/>
        <v xml:space="preserve"> </v>
      </c>
      <c r="AL58" s="19" t="str">
        <f>IFERROR(IF((INDEX('[3]Riesgos de Corrupción'!$B$11:$BN$100,MATCH('Controles de Corrupción'!C58,'[3]Riesgos de Corrupción'!$B$11:$B$100,0),62)-AK58&lt;=3),"Moderado",IF((INDEX('[3]Riesgos de Corrupción'!$B$11:$BN$100,MATCH('Controles de Corrupción'!C58,'[3]Riesgos de Corrupción'!$B$11:$B$100,0),62)-AK58&lt;=4),"Mayor",IF((INDEX('[3]Riesgos de Corrupción'!$B$11:$BN$100,MATCH('Controles de Corrupción'!C58,'[3]Riesgos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0" t="str">
        <f t="shared" si="0"/>
        <v>-</v>
      </c>
      <c r="C59" s="188"/>
      <c r="D59" s="170"/>
      <c r="E59" s="171"/>
      <c r="F59" s="129"/>
      <c r="G59" s="128"/>
      <c r="H59" s="23"/>
      <c r="I59" s="18"/>
      <c r="J59" s="80">
        <f t="shared" si="22"/>
        <v>0</v>
      </c>
      <c r="K59" s="18"/>
      <c r="L59" s="80">
        <f t="shared" si="23"/>
        <v>0</v>
      </c>
      <c r="M59" s="18"/>
      <c r="N59" s="80">
        <f t="shared" si="24"/>
        <v>0</v>
      </c>
      <c r="O59" s="18"/>
      <c r="P59" s="80">
        <f t="shared" si="25"/>
        <v>0</v>
      </c>
      <c r="Q59" s="18"/>
      <c r="R59" s="80">
        <f t="shared" si="26"/>
        <v>0</v>
      </c>
      <c r="S59" s="18"/>
      <c r="T59" s="80">
        <f t="shared" si="27"/>
        <v>0</v>
      </c>
      <c r="U59" s="18"/>
      <c r="V59" s="80">
        <f t="shared" si="7"/>
        <v>0</v>
      </c>
      <c r="W59" s="19" t="str">
        <f t="shared" si="8"/>
        <v xml:space="preserve"> </v>
      </c>
      <c r="X59" s="19" t="str">
        <f t="shared" si="9"/>
        <v xml:space="preserve"> </v>
      </c>
      <c r="Y59" s="19" t="str">
        <f t="shared" si="10"/>
        <v/>
      </c>
      <c r="Z59" s="23"/>
      <c r="AA59" s="19" t="str">
        <f t="shared" si="11"/>
        <v/>
      </c>
      <c r="AB59" s="19" t="str">
        <f t="shared" si="12"/>
        <v xml:space="preserve"> </v>
      </c>
      <c r="AC59" s="19" t="str">
        <f t="shared" si="13"/>
        <v/>
      </c>
      <c r="AD59" s="19" t="str">
        <f t="shared" si="14"/>
        <v xml:space="preserve"> </v>
      </c>
      <c r="AE59" s="125" t="str">
        <f t="shared" si="15"/>
        <v xml:space="preserve"> </v>
      </c>
      <c r="AF59" s="19" t="str">
        <f t="shared" si="16"/>
        <v xml:space="preserve"> </v>
      </c>
      <c r="AG59" s="50">
        <f t="shared" si="17"/>
        <v>0</v>
      </c>
      <c r="AH59" s="50" t="str">
        <f t="shared" si="18"/>
        <v xml:space="preserve"> </v>
      </c>
      <c r="AI59" s="36" t="str">
        <f>IFERROR(IF((INDEX('[3]Riesgos de Corrupción'!$B$11:$V$100,MATCH('Controles de Corrupción'!C59,'[3]Riesgos de Corrupción'!$B$11:$B$100,0),17)-AH59&lt;=1),"Rara vez",IF((INDEX('[3]Riesgos de Corrupción'!$B$11:$V$100,MATCH('Controles de Corrupción'!C59,'[3]Riesgos de Corrupción'!$B$11:$B$100,0),17)-AH59&lt;=2),"Improbable",IF((INDEX('[3]Riesgos de Corrupción'!$B$11:$V$100,MATCH('Controles de Corrupción'!C59,'[3]Riesgos de Corrupción'!$B$11:$B$100,0),17)-AH59&lt;=3),"Posible",IF((INDEX('[3]Riesgos de Corrupción'!$B$11:$V$100,MATCH('Controles de Corrupción'!C59,'[3]Riesgos de Corrupción'!$B$11:$B$100,0),17)-AH59&lt;=4),"Probable",IF((INDEX('[3]Riesgos de Corrupción'!$B$11:$V$100,MATCH('Controles de Corrupción'!C59,'[3]Riesgos de Corrupción'!$B$11:$B$100,0),17)-AH59&lt;=5),"Casi seguro")))))," ")</f>
        <v xml:space="preserve"> </v>
      </c>
      <c r="AJ59" s="8" t="str">
        <f>IFERROR(IF(OR(AND(AF59="Fuerte",H59="No disminuye"),AND(AF59="Moderado",H59="Indirectamente"),AND(AF59="Moderado",H59="No disminuye"),AND(INDEX('[3]Riesgos de Corrupción'!$B$11:$BN$100,MATCH('Controles de Corrupción'!C59,'[3]Riesgos de Corrupción'!$B$11:$B$100,0),63)="Moderado")),0,IF(OR(AND(AF59="Fuerte",H59="Indirectamente"),AND(AF59="Moderado",H59="Directamente"),AND(INDEX('[3]Riesgos de Corrupción'!$B$11:$BN$100,MATCH('Controles de Corrupción'!C59,'[3]Riesgos de Corrupción'!$B$11:$B$100,0),63)="Mayor")),1,IF(AND(AF59="Fuerte",H59="Directamente",AND(INDEX('[3]Riesgos de Corrupción'!$B$11:$BN$100,MATCH('Controles de Corrupción'!C59,'[3]Riesgos de Corrupción'!$B$11:$B$100,0),63)="Catastrófico")),2)))," ")</f>
        <v xml:space="preserve"> </v>
      </c>
      <c r="AK59" s="19" t="str">
        <f t="shared" si="19"/>
        <v xml:space="preserve"> </v>
      </c>
      <c r="AL59" s="19" t="str">
        <f>IFERROR(IF((INDEX('[3]Riesgos de Corrupción'!$B$11:$BN$100,MATCH('Controles de Corrupción'!C59,'[3]Riesgos de Corrupción'!$B$11:$B$100,0),62)-AK59&lt;=3),"Moderado",IF((INDEX('[3]Riesgos de Corrupción'!$B$11:$BN$100,MATCH('Controles de Corrupción'!C59,'[3]Riesgos de Corrupción'!$B$11:$B$100,0),62)-AK59&lt;=4),"Mayor",IF((INDEX('[3]Riesgos de Corrupción'!$B$11:$BN$100,MATCH('Controles de Corrupción'!C59,'[3]Riesgos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0" t="str">
        <f t="shared" si="0"/>
        <v>-</v>
      </c>
      <c r="C60" s="188"/>
      <c r="D60" s="170"/>
      <c r="E60" s="171"/>
      <c r="F60" s="129"/>
      <c r="G60" s="128"/>
      <c r="H60" s="23"/>
      <c r="I60" s="18"/>
      <c r="J60" s="80">
        <f t="shared" si="22"/>
        <v>0</v>
      </c>
      <c r="K60" s="18"/>
      <c r="L60" s="80">
        <f t="shared" si="23"/>
        <v>0</v>
      </c>
      <c r="M60" s="18"/>
      <c r="N60" s="80">
        <f t="shared" si="24"/>
        <v>0</v>
      </c>
      <c r="O60" s="18"/>
      <c r="P60" s="80">
        <f t="shared" si="25"/>
        <v>0</v>
      </c>
      <c r="Q60" s="18"/>
      <c r="R60" s="80">
        <f t="shared" si="26"/>
        <v>0</v>
      </c>
      <c r="S60" s="18"/>
      <c r="T60" s="80">
        <f t="shared" si="27"/>
        <v>0</v>
      </c>
      <c r="U60" s="18"/>
      <c r="V60" s="80">
        <f t="shared" si="7"/>
        <v>0</v>
      </c>
      <c r="W60" s="19" t="str">
        <f t="shared" si="8"/>
        <v xml:space="preserve"> </v>
      </c>
      <c r="X60" s="19" t="str">
        <f t="shared" si="9"/>
        <v xml:space="preserve"> </v>
      </c>
      <c r="Y60" s="19" t="str">
        <f t="shared" si="10"/>
        <v/>
      </c>
      <c r="Z60" s="23"/>
      <c r="AA60" s="19" t="str">
        <f t="shared" si="11"/>
        <v/>
      </c>
      <c r="AB60" s="19" t="str">
        <f t="shared" si="12"/>
        <v xml:space="preserve"> </v>
      </c>
      <c r="AC60" s="19" t="str">
        <f t="shared" si="13"/>
        <v/>
      </c>
      <c r="AD60" s="19" t="str">
        <f t="shared" si="14"/>
        <v xml:space="preserve"> </v>
      </c>
      <c r="AE60" s="125" t="str">
        <f t="shared" si="15"/>
        <v xml:space="preserve"> </v>
      </c>
      <c r="AF60" s="19" t="str">
        <f t="shared" si="16"/>
        <v xml:space="preserve"> </v>
      </c>
      <c r="AG60" s="50">
        <f t="shared" si="17"/>
        <v>0</v>
      </c>
      <c r="AH60" s="50" t="str">
        <f t="shared" si="18"/>
        <v xml:space="preserve"> </v>
      </c>
      <c r="AI60" s="36" t="str">
        <f>IFERROR(IF((INDEX('[3]Riesgos de Corrupción'!$B$11:$V$100,MATCH('Controles de Corrupción'!C60,'[3]Riesgos de Corrupción'!$B$11:$B$100,0),17)-AH60&lt;=1),"Rara vez",IF((INDEX('[3]Riesgos de Corrupción'!$B$11:$V$100,MATCH('Controles de Corrupción'!C60,'[3]Riesgos de Corrupción'!$B$11:$B$100,0),17)-AH60&lt;=2),"Improbable",IF((INDEX('[3]Riesgos de Corrupción'!$B$11:$V$100,MATCH('Controles de Corrupción'!C60,'[3]Riesgos de Corrupción'!$B$11:$B$100,0),17)-AH60&lt;=3),"Posible",IF((INDEX('[3]Riesgos de Corrupción'!$B$11:$V$100,MATCH('Controles de Corrupción'!C60,'[3]Riesgos de Corrupción'!$B$11:$B$100,0),17)-AH60&lt;=4),"Probable",IF((INDEX('[3]Riesgos de Corrupción'!$B$11:$V$100,MATCH('Controles de Corrupción'!C60,'[3]Riesgos de Corrupción'!$B$11:$B$100,0),17)-AH60&lt;=5),"Casi seguro")))))," ")</f>
        <v xml:space="preserve"> </v>
      </c>
      <c r="AJ60" s="8" t="str">
        <f>IFERROR(IF(OR(AND(AF60="Fuerte",H60="No disminuye"),AND(AF60="Moderado",H60="Indirectamente"),AND(AF60="Moderado",H60="No disminuye"),AND(INDEX('[3]Riesgos de Corrupción'!$B$11:$BN$100,MATCH('Controles de Corrupción'!C60,'[3]Riesgos de Corrupción'!$B$11:$B$100,0),63)="Moderado")),0,IF(OR(AND(AF60="Fuerte",H60="Indirectamente"),AND(AF60="Moderado",H60="Directamente"),AND(INDEX('[3]Riesgos de Corrupción'!$B$11:$BN$100,MATCH('Controles de Corrupción'!C60,'[3]Riesgos de Corrupción'!$B$11:$B$100,0),63)="Mayor")),1,IF(AND(AF60="Fuerte",H60="Directamente",AND(INDEX('[3]Riesgos de Corrupción'!$B$11:$BN$100,MATCH('Controles de Corrupción'!C60,'[3]Riesgos de Corrupción'!$B$11:$B$100,0),63)="Catastrófico")),2)))," ")</f>
        <v xml:space="preserve"> </v>
      </c>
      <c r="AK60" s="19" t="str">
        <f t="shared" si="19"/>
        <v xml:space="preserve"> </v>
      </c>
      <c r="AL60" s="19" t="str">
        <f>IFERROR(IF((INDEX('[3]Riesgos de Corrupción'!$B$11:$BN$100,MATCH('Controles de Corrupción'!C60,'[3]Riesgos de Corrupción'!$B$11:$B$100,0),62)-AK60&lt;=3),"Moderado",IF((INDEX('[3]Riesgos de Corrupción'!$B$11:$BN$100,MATCH('Controles de Corrupción'!C60,'[3]Riesgos de Corrupción'!$B$11:$B$100,0),62)-AK60&lt;=4),"Mayor",IF((INDEX('[3]Riesgos de Corrupción'!$B$11:$BN$100,MATCH('Controles de Corrupción'!C60,'[3]Riesgos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0" t="str">
        <f t="shared" si="0"/>
        <v>-</v>
      </c>
      <c r="C61" s="188"/>
      <c r="D61" s="170"/>
      <c r="E61" s="171"/>
      <c r="F61" s="129"/>
      <c r="G61" s="128"/>
      <c r="H61" s="23"/>
      <c r="I61" s="18"/>
      <c r="J61" s="80">
        <f t="shared" si="22"/>
        <v>0</v>
      </c>
      <c r="K61" s="18"/>
      <c r="L61" s="80">
        <f t="shared" si="23"/>
        <v>0</v>
      </c>
      <c r="M61" s="18"/>
      <c r="N61" s="80">
        <f t="shared" si="24"/>
        <v>0</v>
      </c>
      <c r="O61" s="18"/>
      <c r="P61" s="80">
        <f t="shared" si="25"/>
        <v>0</v>
      </c>
      <c r="Q61" s="18"/>
      <c r="R61" s="80">
        <f t="shared" si="26"/>
        <v>0</v>
      </c>
      <c r="S61" s="18"/>
      <c r="T61" s="80">
        <f t="shared" si="27"/>
        <v>0</v>
      </c>
      <c r="U61" s="18"/>
      <c r="V61" s="80">
        <f t="shared" si="7"/>
        <v>0</v>
      </c>
      <c r="W61" s="19" t="str">
        <f t="shared" si="8"/>
        <v xml:space="preserve"> </v>
      </c>
      <c r="X61" s="19" t="str">
        <f t="shared" si="9"/>
        <v xml:space="preserve"> </v>
      </c>
      <c r="Y61" s="19" t="str">
        <f t="shared" si="10"/>
        <v/>
      </c>
      <c r="Z61" s="23"/>
      <c r="AA61" s="19" t="str">
        <f t="shared" si="11"/>
        <v/>
      </c>
      <c r="AB61" s="19" t="str">
        <f t="shared" si="12"/>
        <v xml:space="preserve"> </v>
      </c>
      <c r="AC61" s="19" t="str">
        <f t="shared" si="13"/>
        <v/>
      </c>
      <c r="AD61" s="19" t="str">
        <f t="shared" si="14"/>
        <v xml:space="preserve"> </v>
      </c>
      <c r="AE61" s="125" t="str">
        <f t="shared" si="15"/>
        <v xml:space="preserve"> </v>
      </c>
      <c r="AF61" s="19" t="str">
        <f t="shared" si="16"/>
        <v xml:space="preserve"> </v>
      </c>
      <c r="AG61" s="50">
        <f t="shared" si="17"/>
        <v>0</v>
      </c>
      <c r="AH61" s="50" t="str">
        <f t="shared" si="18"/>
        <v xml:space="preserve"> </v>
      </c>
      <c r="AI61" s="36" t="str">
        <f>IFERROR(IF((INDEX('[3]Riesgos de Corrupción'!$B$11:$V$100,MATCH('Controles de Corrupción'!C61,'[3]Riesgos de Corrupción'!$B$11:$B$100,0),17)-AH61&lt;=1),"Rara vez",IF((INDEX('[3]Riesgos de Corrupción'!$B$11:$V$100,MATCH('Controles de Corrupción'!C61,'[3]Riesgos de Corrupción'!$B$11:$B$100,0),17)-AH61&lt;=2),"Improbable",IF((INDEX('[3]Riesgos de Corrupción'!$B$11:$V$100,MATCH('Controles de Corrupción'!C61,'[3]Riesgos de Corrupción'!$B$11:$B$100,0),17)-AH61&lt;=3),"Posible",IF((INDEX('[3]Riesgos de Corrupción'!$B$11:$V$100,MATCH('Controles de Corrupción'!C61,'[3]Riesgos de Corrupción'!$B$11:$B$100,0),17)-AH61&lt;=4),"Probable",IF((INDEX('[3]Riesgos de Corrupción'!$B$11:$V$100,MATCH('Controles de Corrupción'!C61,'[3]Riesgos de Corrupción'!$B$11:$B$100,0),17)-AH61&lt;=5),"Casi seguro")))))," ")</f>
        <v xml:space="preserve"> </v>
      </c>
      <c r="AJ61" s="8" t="str">
        <f>IFERROR(IF(OR(AND(AF61="Fuerte",H61="No disminuye"),AND(AF61="Moderado",H61="Indirectamente"),AND(AF61="Moderado",H61="No disminuye"),AND(INDEX('[3]Riesgos de Corrupción'!$B$11:$BN$100,MATCH('Controles de Corrupción'!C61,'[3]Riesgos de Corrupción'!$B$11:$B$100,0),63)="Moderado")),0,IF(OR(AND(AF61="Fuerte",H61="Indirectamente"),AND(AF61="Moderado",H61="Directamente"),AND(INDEX('[3]Riesgos de Corrupción'!$B$11:$BN$100,MATCH('Controles de Corrupción'!C61,'[3]Riesgos de Corrupción'!$B$11:$B$100,0),63)="Mayor")),1,IF(AND(AF61="Fuerte",H61="Directamente",AND(INDEX('[3]Riesgos de Corrupción'!$B$11:$BN$100,MATCH('Controles de Corrupción'!C61,'[3]Riesgos de Corrupción'!$B$11:$B$100,0),63)="Catastrófico")),2)))," ")</f>
        <v xml:space="preserve"> </v>
      </c>
      <c r="AK61" s="19" t="str">
        <f t="shared" si="19"/>
        <v xml:space="preserve"> </v>
      </c>
      <c r="AL61" s="19" t="str">
        <f>IFERROR(IF((INDEX('[3]Riesgos de Corrupción'!$B$11:$BN$100,MATCH('Controles de Corrupción'!C61,'[3]Riesgos de Corrupción'!$B$11:$B$100,0),62)-AK61&lt;=3),"Moderado",IF((INDEX('[3]Riesgos de Corrupción'!$B$11:$BN$100,MATCH('Controles de Corrupción'!C61,'[3]Riesgos de Corrupción'!$B$11:$B$100,0),62)-AK61&lt;=4),"Mayor",IF((INDEX('[3]Riesgos de Corrupción'!$B$11:$BN$100,MATCH('Controles de Corrupción'!C61,'[3]Riesgos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0" t="str">
        <f t="shared" si="0"/>
        <v>-</v>
      </c>
      <c r="C62" s="188"/>
      <c r="D62" s="170"/>
      <c r="E62" s="171"/>
      <c r="F62" s="129"/>
      <c r="G62" s="128"/>
      <c r="H62" s="23"/>
      <c r="I62" s="18"/>
      <c r="J62" s="80">
        <f t="shared" si="22"/>
        <v>0</v>
      </c>
      <c r="K62" s="18"/>
      <c r="L62" s="80">
        <f t="shared" si="23"/>
        <v>0</v>
      </c>
      <c r="M62" s="18"/>
      <c r="N62" s="80">
        <f t="shared" si="24"/>
        <v>0</v>
      </c>
      <c r="O62" s="18"/>
      <c r="P62" s="80">
        <f t="shared" si="25"/>
        <v>0</v>
      </c>
      <c r="Q62" s="18"/>
      <c r="R62" s="80">
        <f t="shared" si="26"/>
        <v>0</v>
      </c>
      <c r="S62" s="18"/>
      <c r="T62" s="80">
        <f t="shared" si="27"/>
        <v>0</v>
      </c>
      <c r="U62" s="18"/>
      <c r="V62" s="80">
        <f t="shared" si="7"/>
        <v>0</v>
      </c>
      <c r="W62" s="19" t="str">
        <f t="shared" si="8"/>
        <v xml:space="preserve"> </v>
      </c>
      <c r="X62" s="19" t="str">
        <f t="shared" si="9"/>
        <v xml:space="preserve"> </v>
      </c>
      <c r="Y62" s="19" t="str">
        <f t="shared" si="10"/>
        <v/>
      </c>
      <c r="Z62" s="23"/>
      <c r="AA62" s="19" t="str">
        <f t="shared" si="11"/>
        <v/>
      </c>
      <c r="AB62" s="19" t="str">
        <f t="shared" si="12"/>
        <v xml:space="preserve"> </v>
      </c>
      <c r="AC62" s="19" t="str">
        <f t="shared" si="13"/>
        <v/>
      </c>
      <c r="AD62" s="19" t="str">
        <f t="shared" si="14"/>
        <v xml:space="preserve"> </v>
      </c>
      <c r="AE62" s="125" t="str">
        <f t="shared" si="15"/>
        <v xml:space="preserve"> </v>
      </c>
      <c r="AF62" s="19" t="str">
        <f t="shared" si="16"/>
        <v xml:space="preserve"> </v>
      </c>
      <c r="AG62" s="50">
        <f t="shared" si="17"/>
        <v>0</v>
      </c>
      <c r="AH62" s="50" t="str">
        <f t="shared" si="18"/>
        <v xml:space="preserve"> </v>
      </c>
      <c r="AI62" s="36" t="str">
        <f>IFERROR(IF((INDEX('[3]Riesgos de Corrupción'!$B$11:$V$100,MATCH('Controles de Corrupción'!C62,'[3]Riesgos de Corrupción'!$B$11:$B$100,0),17)-AH62&lt;=1),"Rara vez",IF((INDEX('[3]Riesgos de Corrupción'!$B$11:$V$100,MATCH('Controles de Corrupción'!C62,'[3]Riesgos de Corrupción'!$B$11:$B$100,0),17)-AH62&lt;=2),"Improbable",IF((INDEX('[3]Riesgos de Corrupción'!$B$11:$V$100,MATCH('Controles de Corrupción'!C62,'[3]Riesgos de Corrupción'!$B$11:$B$100,0),17)-AH62&lt;=3),"Posible",IF((INDEX('[3]Riesgos de Corrupción'!$B$11:$V$100,MATCH('Controles de Corrupción'!C62,'[3]Riesgos de Corrupción'!$B$11:$B$100,0),17)-AH62&lt;=4),"Probable",IF((INDEX('[3]Riesgos de Corrupción'!$B$11:$V$100,MATCH('Controles de Corrupción'!C62,'[3]Riesgos de Corrupción'!$B$11:$B$100,0),17)-AH62&lt;=5),"Casi seguro")))))," ")</f>
        <v xml:space="preserve"> </v>
      </c>
      <c r="AJ62" s="8" t="str">
        <f>IFERROR(IF(OR(AND(AF62="Fuerte",H62="No disminuye"),AND(AF62="Moderado",H62="Indirectamente"),AND(AF62="Moderado",H62="No disminuye"),AND(INDEX('[3]Riesgos de Corrupción'!$B$11:$BN$100,MATCH('Controles de Corrupción'!C62,'[3]Riesgos de Corrupción'!$B$11:$B$100,0),63)="Moderado")),0,IF(OR(AND(AF62="Fuerte",H62="Indirectamente"),AND(AF62="Moderado",H62="Directamente"),AND(INDEX('[3]Riesgos de Corrupción'!$B$11:$BN$100,MATCH('Controles de Corrupción'!C62,'[3]Riesgos de Corrupción'!$B$11:$B$100,0),63)="Mayor")),1,IF(AND(AF62="Fuerte",H62="Directamente",AND(INDEX('[3]Riesgos de Corrupción'!$B$11:$BN$100,MATCH('Controles de Corrupción'!C62,'[3]Riesgos de Corrupción'!$B$11:$B$100,0),63)="Catastrófico")),2)))," ")</f>
        <v xml:space="preserve"> </v>
      </c>
      <c r="AK62" s="19" t="str">
        <f t="shared" si="19"/>
        <v xml:space="preserve"> </v>
      </c>
      <c r="AL62" s="19" t="str">
        <f>IFERROR(IF((INDEX('[3]Riesgos de Corrupción'!$B$11:$BN$100,MATCH('Controles de Corrupción'!C62,'[3]Riesgos de Corrupción'!$B$11:$B$100,0),62)-AK62&lt;=3),"Moderado",IF((INDEX('[3]Riesgos de Corrupción'!$B$11:$BN$100,MATCH('Controles de Corrupción'!C62,'[3]Riesgos de Corrupción'!$B$11:$B$100,0),62)-AK62&lt;=4),"Mayor",IF((INDEX('[3]Riesgos de Corrupción'!$B$11:$BN$100,MATCH('Controles de Corrupción'!C62,'[3]Riesgos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0" t="str">
        <f t="shared" si="0"/>
        <v>-</v>
      </c>
      <c r="C63" s="188"/>
      <c r="D63" s="170"/>
      <c r="E63" s="171"/>
      <c r="F63" s="129"/>
      <c r="G63" s="128"/>
      <c r="H63" s="23"/>
      <c r="I63" s="18"/>
      <c r="J63" s="80">
        <f t="shared" si="22"/>
        <v>0</v>
      </c>
      <c r="K63" s="18"/>
      <c r="L63" s="80">
        <f t="shared" si="23"/>
        <v>0</v>
      </c>
      <c r="M63" s="18"/>
      <c r="N63" s="80">
        <f t="shared" si="24"/>
        <v>0</v>
      </c>
      <c r="O63" s="18"/>
      <c r="P63" s="80">
        <f t="shared" si="25"/>
        <v>0</v>
      </c>
      <c r="Q63" s="18"/>
      <c r="R63" s="80">
        <f t="shared" si="26"/>
        <v>0</v>
      </c>
      <c r="S63" s="18"/>
      <c r="T63" s="80">
        <f t="shared" si="27"/>
        <v>0</v>
      </c>
      <c r="U63" s="18"/>
      <c r="V63" s="80">
        <f t="shared" si="7"/>
        <v>0</v>
      </c>
      <c r="W63" s="19" t="str">
        <f t="shared" si="8"/>
        <v xml:space="preserve"> </v>
      </c>
      <c r="X63" s="19" t="str">
        <f t="shared" si="9"/>
        <v xml:space="preserve"> </v>
      </c>
      <c r="Y63" s="19" t="str">
        <f t="shared" si="10"/>
        <v/>
      </c>
      <c r="Z63" s="23"/>
      <c r="AA63" s="19" t="str">
        <f t="shared" si="11"/>
        <v/>
      </c>
      <c r="AB63" s="19" t="str">
        <f t="shared" si="12"/>
        <v xml:space="preserve"> </v>
      </c>
      <c r="AC63" s="19" t="str">
        <f t="shared" si="13"/>
        <v/>
      </c>
      <c r="AD63" s="19" t="str">
        <f t="shared" si="14"/>
        <v xml:space="preserve"> </v>
      </c>
      <c r="AE63" s="125" t="str">
        <f t="shared" si="15"/>
        <v xml:space="preserve"> </v>
      </c>
      <c r="AF63" s="19" t="str">
        <f t="shared" si="16"/>
        <v xml:space="preserve"> </v>
      </c>
      <c r="AG63" s="50">
        <f t="shared" si="17"/>
        <v>0</v>
      </c>
      <c r="AH63" s="50" t="str">
        <f t="shared" si="18"/>
        <v xml:space="preserve"> </v>
      </c>
      <c r="AI63" s="36" t="str">
        <f>IFERROR(IF((INDEX('[3]Riesgos de Corrupción'!$B$11:$V$100,MATCH('Controles de Corrupción'!C63,'[3]Riesgos de Corrupción'!$B$11:$B$100,0),17)-AH63&lt;=1),"Rara vez",IF((INDEX('[3]Riesgos de Corrupción'!$B$11:$V$100,MATCH('Controles de Corrupción'!C63,'[3]Riesgos de Corrupción'!$B$11:$B$100,0),17)-AH63&lt;=2),"Improbable",IF((INDEX('[3]Riesgos de Corrupción'!$B$11:$V$100,MATCH('Controles de Corrupción'!C63,'[3]Riesgos de Corrupción'!$B$11:$B$100,0),17)-AH63&lt;=3),"Posible",IF((INDEX('[3]Riesgos de Corrupción'!$B$11:$V$100,MATCH('Controles de Corrupción'!C63,'[3]Riesgos de Corrupción'!$B$11:$B$100,0),17)-AH63&lt;=4),"Probable",IF((INDEX('[3]Riesgos de Corrupción'!$B$11:$V$100,MATCH('Controles de Corrupción'!C63,'[3]Riesgos de Corrupción'!$B$11:$B$100,0),17)-AH63&lt;=5),"Casi seguro")))))," ")</f>
        <v xml:space="preserve"> </v>
      </c>
      <c r="AJ63" s="8" t="str">
        <f>IFERROR(IF(OR(AND(AF63="Fuerte",H63="No disminuye"),AND(AF63="Moderado",H63="Indirectamente"),AND(AF63="Moderado",H63="No disminuye"),AND(INDEX('[3]Riesgos de Corrupción'!$B$11:$BN$100,MATCH('Controles de Corrupción'!C63,'[3]Riesgos de Corrupción'!$B$11:$B$100,0),63)="Moderado")),0,IF(OR(AND(AF63="Fuerte",H63="Indirectamente"),AND(AF63="Moderado",H63="Directamente"),AND(INDEX('[3]Riesgos de Corrupción'!$B$11:$BN$100,MATCH('Controles de Corrupción'!C63,'[3]Riesgos de Corrupción'!$B$11:$B$100,0),63)="Mayor")),1,IF(AND(AF63="Fuerte",H63="Directamente",AND(INDEX('[3]Riesgos de Corrupción'!$B$11:$BN$100,MATCH('Controles de Corrupción'!C63,'[3]Riesgos de Corrupción'!$B$11:$B$100,0),63)="Catastrófico")),2)))," ")</f>
        <v xml:space="preserve"> </v>
      </c>
      <c r="AK63" s="19" t="str">
        <f t="shared" si="19"/>
        <v xml:space="preserve"> </v>
      </c>
      <c r="AL63" s="19" t="str">
        <f>IFERROR(IF((INDEX('[3]Riesgos de Corrupción'!$B$11:$BN$100,MATCH('Controles de Corrupción'!C63,'[3]Riesgos de Corrupción'!$B$11:$B$100,0),62)-AK63&lt;=3),"Moderado",IF((INDEX('[3]Riesgos de Corrupción'!$B$11:$BN$100,MATCH('Controles de Corrupción'!C63,'[3]Riesgos de Corrupción'!$B$11:$B$100,0),62)-AK63&lt;=4),"Mayor",IF((INDEX('[3]Riesgos de Corrupción'!$B$11:$BN$100,MATCH('Controles de Corrupción'!C63,'[3]Riesgos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0" t="str">
        <f t="shared" si="0"/>
        <v>-</v>
      </c>
      <c r="C64" s="188"/>
      <c r="D64" s="170"/>
      <c r="E64" s="171"/>
      <c r="F64" s="129"/>
      <c r="G64" s="128"/>
      <c r="H64" s="23"/>
      <c r="I64" s="18"/>
      <c r="J64" s="80">
        <f t="shared" si="22"/>
        <v>0</v>
      </c>
      <c r="K64" s="18"/>
      <c r="L64" s="80">
        <f t="shared" si="23"/>
        <v>0</v>
      </c>
      <c r="M64" s="18"/>
      <c r="N64" s="80">
        <f t="shared" si="24"/>
        <v>0</v>
      </c>
      <c r="O64" s="18"/>
      <c r="P64" s="80">
        <f t="shared" si="25"/>
        <v>0</v>
      </c>
      <c r="Q64" s="18"/>
      <c r="R64" s="80">
        <f t="shared" si="26"/>
        <v>0</v>
      </c>
      <c r="S64" s="18"/>
      <c r="T64" s="80">
        <f t="shared" si="27"/>
        <v>0</v>
      </c>
      <c r="U64" s="18"/>
      <c r="V64" s="80">
        <f t="shared" si="7"/>
        <v>0</v>
      </c>
      <c r="W64" s="19" t="str">
        <f t="shared" si="8"/>
        <v xml:space="preserve"> </v>
      </c>
      <c r="X64" s="19" t="str">
        <f t="shared" si="9"/>
        <v xml:space="preserve"> </v>
      </c>
      <c r="Y64" s="19" t="str">
        <f t="shared" si="10"/>
        <v/>
      </c>
      <c r="Z64" s="23"/>
      <c r="AA64" s="19" t="str">
        <f t="shared" si="11"/>
        <v/>
      </c>
      <c r="AB64" s="19" t="str">
        <f t="shared" si="12"/>
        <v xml:space="preserve"> </v>
      </c>
      <c r="AC64" s="19" t="str">
        <f t="shared" si="13"/>
        <v/>
      </c>
      <c r="AD64" s="19" t="str">
        <f t="shared" si="14"/>
        <v xml:space="preserve"> </v>
      </c>
      <c r="AE64" s="125" t="str">
        <f t="shared" si="15"/>
        <v xml:space="preserve"> </v>
      </c>
      <c r="AF64" s="19" t="str">
        <f t="shared" si="16"/>
        <v xml:space="preserve"> </v>
      </c>
      <c r="AG64" s="50">
        <f t="shared" si="17"/>
        <v>0</v>
      </c>
      <c r="AH64" s="50" t="str">
        <f t="shared" si="18"/>
        <v xml:space="preserve"> </v>
      </c>
      <c r="AI64" s="36" t="str">
        <f>IFERROR(IF((INDEX('[3]Riesgos de Corrupción'!$B$11:$V$100,MATCH('Controles de Corrupción'!C64,'[3]Riesgos de Corrupción'!$B$11:$B$100,0),17)-AH64&lt;=1),"Rara vez",IF((INDEX('[3]Riesgos de Corrupción'!$B$11:$V$100,MATCH('Controles de Corrupción'!C64,'[3]Riesgos de Corrupción'!$B$11:$B$100,0),17)-AH64&lt;=2),"Improbable",IF((INDEX('[3]Riesgos de Corrupción'!$B$11:$V$100,MATCH('Controles de Corrupción'!C64,'[3]Riesgos de Corrupción'!$B$11:$B$100,0),17)-AH64&lt;=3),"Posible",IF((INDEX('[3]Riesgos de Corrupción'!$B$11:$V$100,MATCH('Controles de Corrupción'!C64,'[3]Riesgos de Corrupción'!$B$11:$B$100,0),17)-AH64&lt;=4),"Probable",IF((INDEX('[3]Riesgos de Corrupción'!$B$11:$V$100,MATCH('Controles de Corrupción'!C64,'[3]Riesgos de Corrupción'!$B$11:$B$100,0),17)-AH64&lt;=5),"Casi seguro")))))," ")</f>
        <v xml:space="preserve"> </v>
      </c>
      <c r="AJ64" s="8" t="str">
        <f>IFERROR(IF(OR(AND(AF64="Fuerte",H64="No disminuye"),AND(AF64="Moderado",H64="Indirectamente"),AND(AF64="Moderado",H64="No disminuye"),AND(INDEX('[3]Riesgos de Corrupción'!$B$11:$BN$100,MATCH('Controles de Corrupción'!C64,'[3]Riesgos de Corrupción'!$B$11:$B$100,0),63)="Moderado")),0,IF(OR(AND(AF64="Fuerte",H64="Indirectamente"),AND(AF64="Moderado",H64="Directamente"),AND(INDEX('[3]Riesgos de Corrupción'!$B$11:$BN$100,MATCH('Controles de Corrupción'!C64,'[3]Riesgos de Corrupción'!$B$11:$B$100,0),63)="Mayor")),1,IF(AND(AF64="Fuerte",H64="Directamente",AND(INDEX('[3]Riesgos de Corrupción'!$B$11:$BN$100,MATCH('Controles de Corrupción'!C64,'[3]Riesgos de Corrupción'!$B$11:$B$100,0),63)="Catastrófico")),2)))," ")</f>
        <v xml:space="preserve"> </v>
      </c>
      <c r="AK64" s="19" t="str">
        <f t="shared" si="19"/>
        <v xml:space="preserve"> </v>
      </c>
      <c r="AL64" s="19" t="str">
        <f>IFERROR(IF((INDEX('[3]Riesgos de Corrupción'!$B$11:$BN$100,MATCH('Controles de Corrupción'!C64,'[3]Riesgos de Corrupción'!$B$11:$B$100,0),62)-AK64&lt;=3),"Moderado",IF((INDEX('[3]Riesgos de Corrupción'!$B$11:$BN$100,MATCH('Controles de Corrupción'!C64,'[3]Riesgos de Corrupción'!$B$11:$B$100,0),62)-AK64&lt;=4),"Mayor",IF((INDEX('[3]Riesgos de Corrupción'!$B$11:$BN$100,MATCH('Controles de Corrupción'!C64,'[3]Riesgos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0" t="str">
        <f t="shared" si="0"/>
        <v>-</v>
      </c>
      <c r="C65" s="188"/>
      <c r="D65" s="170"/>
      <c r="E65" s="171"/>
      <c r="F65" s="129"/>
      <c r="G65" s="128"/>
      <c r="H65" s="23"/>
      <c r="I65" s="18"/>
      <c r="J65" s="80">
        <f t="shared" si="22"/>
        <v>0</v>
      </c>
      <c r="K65" s="18"/>
      <c r="L65" s="80">
        <f t="shared" si="23"/>
        <v>0</v>
      </c>
      <c r="M65" s="18"/>
      <c r="N65" s="80">
        <f t="shared" si="24"/>
        <v>0</v>
      </c>
      <c r="O65" s="18"/>
      <c r="P65" s="80">
        <f t="shared" si="25"/>
        <v>0</v>
      </c>
      <c r="Q65" s="18"/>
      <c r="R65" s="80">
        <f t="shared" si="26"/>
        <v>0</v>
      </c>
      <c r="S65" s="18"/>
      <c r="T65" s="80">
        <f t="shared" si="27"/>
        <v>0</v>
      </c>
      <c r="U65" s="18"/>
      <c r="V65" s="80">
        <f t="shared" si="7"/>
        <v>0</v>
      </c>
      <c r="W65" s="19" t="str">
        <f t="shared" si="8"/>
        <v xml:space="preserve"> </v>
      </c>
      <c r="X65" s="19" t="str">
        <f t="shared" si="9"/>
        <v xml:space="preserve"> </v>
      </c>
      <c r="Y65" s="19" t="str">
        <f t="shared" si="10"/>
        <v/>
      </c>
      <c r="Z65" s="23"/>
      <c r="AA65" s="19" t="str">
        <f t="shared" si="11"/>
        <v/>
      </c>
      <c r="AB65" s="19" t="str">
        <f t="shared" si="12"/>
        <v xml:space="preserve"> </v>
      </c>
      <c r="AC65" s="19" t="str">
        <f t="shared" si="13"/>
        <v/>
      </c>
      <c r="AD65" s="19" t="str">
        <f t="shared" si="14"/>
        <v xml:space="preserve"> </v>
      </c>
      <c r="AE65" s="125" t="str">
        <f t="shared" si="15"/>
        <v xml:space="preserve"> </v>
      </c>
      <c r="AF65" s="19" t="str">
        <f t="shared" si="16"/>
        <v xml:space="preserve"> </v>
      </c>
      <c r="AG65" s="50">
        <f t="shared" si="17"/>
        <v>0</v>
      </c>
      <c r="AH65" s="50" t="str">
        <f t="shared" si="18"/>
        <v xml:space="preserve"> </v>
      </c>
      <c r="AI65" s="36" t="str">
        <f>IFERROR(IF((INDEX('[3]Riesgos de Corrupción'!$B$11:$V$100,MATCH('Controles de Corrupción'!C65,'[3]Riesgos de Corrupción'!$B$11:$B$100,0),17)-AH65&lt;=1),"Rara vez",IF((INDEX('[3]Riesgos de Corrupción'!$B$11:$V$100,MATCH('Controles de Corrupción'!C65,'[3]Riesgos de Corrupción'!$B$11:$B$100,0),17)-AH65&lt;=2),"Improbable",IF((INDEX('[3]Riesgos de Corrupción'!$B$11:$V$100,MATCH('Controles de Corrupción'!C65,'[3]Riesgos de Corrupción'!$B$11:$B$100,0),17)-AH65&lt;=3),"Posible",IF((INDEX('[3]Riesgos de Corrupción'!$B$11:$V$100,MATCH('Controles de Corrupción'!C65,'[3]Riesgos de Corrupción'!$B$11:$B$100,0),17)-AH65&lt;=4),"Probable",IF((INDEX('[3]Riesgos de Corrupción'!$B$11:$V$100,MATCH('Controles de Corrupción'!C65,'[3]Riesgos de Corrupción'!$B$11:$B$100,0),17)-AH65&lt;=5),"Casi seguro")))))," ")</f>
        <v xml:space="preserve"> </v>
      </c>
      <c r="AJ65" s="8" t="str">
        <f>IFERROR(IF(OR(AND(AF65="Fuerte",H65="No disminuye"),AND(AF65="Moderado",H65="Indirectamente"),AND(AF65="Moderado",H65="No disminuye"),AND(INDEX('[3]Riesgos de Corrupción'!$B$11:$BN$100,MATCH('Controles de Corrupción'!C65,'[3]Riesgos de Corrupción'!$B$11:$B$100,0),63)="Moderado")),0,IF(OR(AND(AF65="Fuerte",H65="Indirectamente"),AND(AF65="Moderado",H65="Directamente"),AND(INDEX('[3]Riesgos de Corrupción'!$B$11:$BN$100,MATCH('Controles de Corrupción'!C65,'[3]Riesgos de Corrupción'!$B$11:$B$100,0),63)="Mayor")),1,IF(AND(AF65="Fuerte",H65="Directamente",AND(INDEX('[3]Riesgos de Corrupción'!$B$11:$BN$100,MATCH('Controles de Corrupción'!C65,'[3]Riesgos de Corrupción'!$B$11:$B$100,0),63)="Catastrófico")),2)))," ")</f>
        <v xml:space="preserve"> </v>
      </c>
      <c r="AK65" s="19" t="str">
        <f t="shared" si="19"/>
        <v xml:space="preserve"> </v>
      </c>
      <c r="AL65" s="19" t="str">
        <f>IFERROR(IF((INDEX('[3]Riesgos de Corrupción'!$B$11:$BN$100,MATCH('Controles de Corrupción'!C65,'[3]Riesgos de Corrupción'!$B$11:$B$100,0),62)-AK65&lt;=3),"Moderado",IF((INDEX('[3]Riesgos de Corrupción'!$B$11:$BN$100,MATCH('Controles de Corrupción'!C65,'[3]Riesgos de Corrupción'!$B$11:$B$100,0),62)-AK65&lt;=4),"Mayor",IF((INDEX('[3]Riesgos de Corrupción'!$B$11:$BN$100,MATCH('Controles de Corrupción'!C65,'[3]Riesgos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0" t="str">
        <f t="shared" si="0"/>
        <v>-</v>
      </c>
      <c r="C66" s="188"/>
      <c r="D66" s="170"/>
      <c r="E66" s="171"/>
      <c r="F66" s="129"/>
      <c r="G66" s="128"/>
      <c r="H66" s="23"/>
      <c r="I66" s="18"/>
      <c r="J66" s="80">
        <f t="shared" si="22"/>
        <v>0</v>
      </c>
      <c r="K66" s="18"/>
      <c r="L66" s="80">
        <f t="shared" si="23"/>
        <v>0</v>
      </c>
      <c r="M66" s="18"/>
      <c r="N66" s="80">
        <f t="shared" si="24"/>
        <v>0</v>
      </c>
      <c r="O66" s="18"/>
      <c r="P66" s="80">
        <f t="shared" si="25"/>
        <v>0</v>
      </c>
      <c r="Q66" s="18"/>
      <c r="R66" s="80">
        <f t="shared" si="26"/>
        <v>0</v>
      </c>
      <c r="S66" s="18"/>
      <c r="T66" s="80">
        <f t="shared" si="27"/>
        <v>0</v>
      </c>
      <c r="U66" s="18"/>
      <c r="V66" s="80">
        <f t="shared" si="7"/>
        <v>0</v>
      </c>
      <c r="W66" s="19" t="str">
        <f t="shared" si="8"/>
        <v xml:space="preserve"> </v>
      </c>
      <c r="X66" s="19" t="str">
        <f t="shared" si="9"/>
        <v xml:space="preserve"> </v>
      </c>
      <c r="Y66" s="19" t="str">
        <f t="shared" si="10"/>
        <v/>
      </c>
      <c r="Z66" s="23"/>
      <c r="AA66" s="19" t="str">
        <f t="shared" si="11"/>
        <v/>
      </c>
      <c r="AB66" s="19" t="str">
        <f t="shared" si="12"/>
        <v xml:space="preserve"> </v>
      </c>
      <c r="AC66" s="19" t="str">
        <f t="shared" si="13"/>
        <v/>
      </c>
      <c r="AD66" s="19" t="str">
        <f t="shared" si="14"/>
        <v xml:space="preserve"> </v>
      </c>
      <c r="AE66" s="125" t="str">
        <f t="shared" si="15"/>
        <v xml:space="preserve"> </v>
      </c>
      <c r="AF66" s="19" t="str">
        <f t="shared" si="16"/>
        <v xml:space="preserve"> </v>
      </c>
      <c r="AG66" s="50">
        <f t="shared" si="17"/>
        <v>0</v>
      </c>
      <c r="AH66" s="50" t="str">
        <f t="shared" si="18"/>
        <v xml:space="preserve"> </v>
      </c>
      <c r="AI66" s="36" t="str">
        <f>IFERROR(IF((INDEX('[3]Riesgos de Corrupción'!$B$11:$V$100,MATCH('Controles de Corrupción'!C66,'[3]Riesgos de Corrupción'!$B$11:$B$100,0),17)-AH66&lt;=1),"Rara vez",IF((INDEX('[3]Riesgos de Corrupción'!$B$11:$V$100,MATCH('Controles de Corrupción'!C66,'[3]Riesgos de Corrupción'!$B$11:$B$100,0),17)-AH66&lt;=2),"Improbable",IF((INDEX('[3]Riesgos de Corrupción'!$B$11:$V$100,MATCH('Controles de Corrupción'!C66,'[3]Riesgos de Corrupción'!$B$11:$B$100,0),17)-AH66&lt;=3),"Posible",IF((INDEX('[3]Riesgos de Corrupción'!$B$11:$V$100,MATCH('Controles de Corrupción'!C66,'[3]Riesgos de Corrupción'!$B$11:$B$100,0),17)-AH66&lt;=4),"Probable",IF((INDEX('[3]Riesgos de Corrupción'!$B$11:$V$100,MATCH('Controles de Corrupción'!C66,'[3]Riesgos de Corrupción'!$B$11:$B$100,0),17)-AH66&lt;=5),"Casi seguro")))))," ")</f>
        <v xml:space="preserve"> </v>
      </c>
      <c r="AJ66" s="8" t="str">
        <f>IFERROR(IF(OR(AND(AF66="Fuerte",H66="No disminuye"),AND(AF66="Moderado",H66="Indirectamente"),AND(AF66="Moderado",H66="No disminuye"),AND(INDEX('[3]Riesgos de Corrupción'!$B$11:$BN$100,MATCH('Controles de Corrupción'!C66,'[3]Riesgos de Corrupción'!$B$11:$B$100,0),63)="Moderado")),0,IF(OR(AND(AF66="Fuerte",H66="Indirectamente"),AND(AF66="Moderado",H66="Directamente"),AND(INDEX('[3]Riesgos de Corrupción'!$B$11:$BN$100,MATCH('Controles de Corrupción'!C66,'[3]Riesgos de Corrupción'!$B$11:$B$100,0),63)="Mayor")),1,IF(AND(AF66="Fuerte",H66="Directamente",AND(INDEX('[3]Riesgos de Corrupción'!$B$11:$BN$100,MATCH('Controles de Corrupción'!C66,'[3]Riesgos de Corrupción'!$B$11:$B$100,0),63)="Catastrófico")),2)))," ")</f>
        <v xml:space="preserve"> </v>
      </c>
      <c r="AK66" s="19" t="str">
        <f t="shared" si="19"/>
        <v xml:space="preserve"> </v>
      </c>
      <c r="AL66" s="19" t="str">
        <f>IFERROR(IF((INDEX('[3]Riesgos de Corrupción'!$B$11:$BN$100,MATCH('Controles de Corrupción'!C66,'[3]Riesgos de Corrupción'!$B$11:$B$100,0),62)-AK66&lt;=3),"Moderado",IF((INDEX('[3]Riesgos de Corrupción'!$B$11:$BN$100,MATCH('Controles de Corrupción'!C66,'[3]Riesgos de Corrupción'!$B$11:$B$100,0),62)-AK66&lt;=4),"Mayor",IF((INDEX('[3]Riesgos de Corrupción'!$B$11:$BN$100,MATCH('Controles de Corrupción'!C66,'[3]Riesgos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0" t="str">
        <f t="shared" si="0"/>
        <v>-</v>
      </c>
      <c r="C67" s="188"/>
      <c r="D67" s="170"/>
      <c r="E67" s="171"/>
      <c r="F67" s="129"/>
      <c r="G67" s="128"/>
      <c r="H67" s="23"/>
      <c r="I67" s="18"/>
      <c r="J67" s="80">
        <f t="shared" si="22"/>
        <v>0</v>
      </c>
      <c r="K67" s="18"/>
      <c r="L67" s="80">
        <f t="shared" si="23"/>
        <v>0</v>
      </c>
      <c r="M67" s="18"/>
      <c r="N67" s="80">
        <f t="shared" si="24"/>
        <v>0</v>
      </c>
      <c r="O67" s="18"/>
      <c r="P67" s="80">
        <f t="shared" si="25"/>
        <v>0</v>
      </c>
      <c r="Q67" s="18"/>
      <c r="R67" s="80">
        <f t="shared" si="26"/>
        <v>0</v>
      </c>
      <c r="S67" s="18"/>
      <c r="T67" s="80">
        <f t="shared" si="27"/>
        <v>0</v>
      </c>
      <c r="U67" s="18"/>
      <c r="V67" s="80">
        <f t="shared" si="7"/>
        <v>0</v>
      </c>
      <c r="W67" s="19" t="str">
        <f t="shared" si="8"/>
        <v xml:space="preserve"> </v>
      </c>
      <c r="X67" s="19" t="str">
        <f t="shared" si="9"/>
        <v xml:space="preserve"> </v>
      </c>
      <c r="Y67" s="19" t="str">
        <f t="shared" si="10"/>
        <v/>
      </c>
      <c r="Z67" s="23"/>
      <c r="AA67" s="19" t="str">
        <f t="shared" si="11"/>
        <v/>
      </c>
      <c r="AB67" s="19" t="str">
        <f t="shared" si="12"/>
        <v xml:space="preserve"> </v>
      </c>
      <c r="AC67" s="19" t="str">
        <f t="shared" si="13"/>
        <v/>
      </c>
      <c r="AD67" s="19" t="str">
        <f t="shared" si="14"/>
        <v xml:space="preserve"> </v>
      </c>
      <c r="AE67" s="125" t="str">
        <f t="shared" si="15"/>
        <v xml:space="preserve"> </v>
      </c>
      <c r="AF67" s="19" t="str">
        <f t="shared" si="16"/>
        <v xml:space="preserve"> </v>
      </c>
      <c r="AG67" s="50">
        <f t="shared" si="17"/>
        <v>0</v>
      </c>
      <c r="AH67" s="50" t="str">
        <f t="shared" si="18"/>
        <v xml:space="preserve"> </v>
      </c>
      <c r="AI67" s="36" t="str">
        <f>IFERROR(IF((INDEX('[3]Riesgos de Corrupción'!$B$11:$V$100,MATCH('Controles de Corrupción'!C67,'[3]Riesgos de Corrupción'!$B$11:$B$100,0),17)-AH67&lt;=1),"Rara vez",IF((INDEX('[3]Riesgos de Corrupción'!$B$11:$V$100,MATCH('Controles de Corrupción'!C67,'[3]Riesgos de Corrupción'!$B$11:$B$100,0),17)-AH67&lt;=2),"Improbable",IF((INDEX('[3]Riesgos de Corrupción'!$B$11:$V$100,MATCH('Controles de Corrupción'!C67,'[3]Riesgos de Corrupción'!$B$11:$B$100,0),17)-AH67&lt;=3),"Posible",IF((INDEX('[3]Riesgos de Corrupción'!$B$11:$V$100,MATCH('Controles de Corrupción'!C67,'[3]Riesgos de Corrupción'!$B$11:$B$100,0),17)-AH67&lt;=4),"Probable",IF((INDEX('[3]Riesgos de Corrupción'!$B$11:$V$100,MATCH('Controles de Corrupción'!C67,'[3]Riesgos de Corrupción'!$B$11:$B$100,0),17)-AH67&lt;=5),"Casi seguro")))))," ")</f>
        <v xml:space="preserve"> </v>
      </c>
      <c r="AJ67" s="8" t="str">
        <f>IFERROR(IF(OR(AND(AF67="Fuerte",H67="No disminuye"),AND(AF67="Moderado",H67="Indirectamente"),AND(AF67="Moderado",H67="No disminuye"),AND(INDEX('[3]Riesgos de Corrupción'!$B$11:$BN$100,MATCH('Controles de Corrupción'!C67,'[3]Riesgos de Corrupción'!$B$11:$B$100,0),63)="Moderado")),0,IF(OR(AND(AF67="Fuerte",H67="Indirectamente"),AND(AF67="Moderado",H67="Directamente"),AND(INDEX('[3]Riesgos de Corrupción'!$B$11:$BN$100,MATCH('Controles de Corrupción'!C67,'[3]Riesgos de Corrupción'!$B$11:$B$100,0),63)="Mayor")),1,IF(AND(AF67="Fuerte",H67="Directamente",AND(INDEX('[3]Riesgos de Corrupción'!$B$11:$BN$100,MATCH('Controles de Corrupción'!C67,'[3]Riesgos de Corrupción'!$B$11:$B$100,0),63)="Catastrófico")),2)))," ")</f>
        <v xml:space="preserve"> </v>
      </c>
      <c r="AK67" s="19" t="str">
        <f t="shared" si="19"/>
        <v xml:space="preserve"> </v>
      </c>
      <c r="AL67" s="19" t="str">
        <f>IFERROR(IF((INDEX('[3]Riesgos de Corrupción'!$B$11:$BN$100,MATCH('Controles de Corrupción'!C67,'[3]Riesgos de Corrupción'!$B$11:$B$100,0),62)-AK67&lt;=3),"Moderado",IF((INDEX('[3]Riesgos de Corrupción'!$B$11:$BN$100,MATCH('Controles de Corrupción'!C67,'[3]Riesgos de Corrupción'!$B$11:$B$100,0),62)-AK67&lt;=4),"Mayor",IF((INDEX('[3]Riesgos de Corrupción'!$B$11:$BN$100,MATCH('Controles de Corrupción'!C67,'[3]Riesgos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0" t="str">
        <f t="shared" si="0"/>
        <v>-</v>
      </c>
      <c r="C68" s="188"/>
      <c r="D68" s="170"/>
      <c r="E68" s="171"/>
      <c r="F68" s="129"/>
      <c r="G68" s="128"/>
      <c r="H68" s="23"/>
      <c r="I68" s="18"/>
      <c r="J68" s="80">
        <f t="shared" si="22"/>
        <v>0</v>
      </c>
      <c r="K68" s="18"/>
      <c r="L68" s="80">
        <f t="shared" si="23"/>
        <v>0</v>
      </c>
      <c r="M68" s="18"/>
      <c r="N68" s="80">
        <f t="shared" si="24"/>
        <v>0</v>
      </c>
      <c r="O68" s="18"/>
      <c r="P68" s="80">
        <f t="shared" si="25"/>
        <v>0</v>
      </c>
      <c r="Q68" s="18"/>
      <c r="R68" s="80">
        <f t="shared" si="26"/>
        <v>0</v>
      </c>
      <c r="S68" s="18"/>
      <c r="T68" s="80">
        <f t="shared" si="27"/>
        <v>0</v>
      </c>
      <c r="U68" s="18"/>
      <c r="V68" s="80">
        <f t="shared" si="7"/>
        <v>0</v>
      </c>
      <c r="W68" s="19" t="str">
        <f t="shared" si="8"/>
        <v xml:space="preserve"> </v>
      </c>
      <c r="X68" s="19" t="str">
        <f t="shared" si="9"/>
        <v xml:space="preserve"> </v>
      </c>
      <c r="Y68" s="19" t="str">
        <f t="shared" si="10"/>
        <v/>
      </c>
      <c r="Z68" s="23"/>
      <c r="AA68" s="19" t="str">
        <f t="shared" si="11"/>
        <v/>
      </c>
      <c r="AB68" s="19" t="str">
        <f t="shared" si="12"/>
        <v xml:space="preserve"> </v>
      </c>
      <c r="AC68" s="19" t="str">
        <f t="shared" si="13"/>
        <v/>
      </c>
      <c r="AD68" s="19" t="str">
        <f t="shared" si="14"/>
        <v xml:space="preserve"> </v>
      </c>
      <c r="AE68" s="125" t="str">
        <f t="shared" si="15"/>
        <v xml:space="preserve"> </v>
      </c>
      <c r="AF68" s="19" t="str">
        <f t="shared" si="16"/>
        <v xml:space="preserve"> </v>
      </c>
      <c r="AG68" s="50">
        <f t="shared" si="17"/>
        <v>0</v>
      </c>
      <c r="AH68" s="50" t="str">
        <f t="shared" si="18"/>
        <v xml:space="preserve"> </v>
      </c>
      <c r="AI68" s="36" t="str">
        <f>IFERROR(IF((INDEX('[3]Riesgos de Corrupción'!$B$11:$V$100,MATCH('Controles de Corrupción'!C68,'[3]Riesgos de Corrupción'!$B$11:$B$100,0),17)-AH68&lt;=1),"Rara vez",IF((INDEX('[3]Riesgos de Corrupción'!$B$11:$V$100,MATCH('Controles de Corrupción'!C68,'[3]Riesgos de Corrupción'!$B$11:$B$100,0),17)-AH68&lt;=2),"Improbable",IF((INDEX('[3]Riesgos de Corrupción'!$B$11:$V$100,MATCH('Controles de Corrupción'!C68,'[3]Riesgos de Corrupción'!$B$11:$B$100,0),17)-AH68&lt;=3),"Posible",IF((INDEX('[3]Riesgos de Corrupción'!$B$11:$V$100,MATCH('Controles de Corrupción'!C68,'[3]Riesgos de Corrupción'!$B$11:$B$100,0),17)-AH68&lt;=4),"Probable",IF((INDEX('[3]Riesgos de Corrupción'!$B$11:$V$100,MATCH('Controles de Corrupción'!C68,'[3]Riesgos de Corrupción'!$B$11:$B$100,0),17)-AH68&lt;=5),"Casi seguro")))))," ")</f>
        <v xml:space="preserve"> </v>
      </c>
      <c r="AJ68" s="8" t="str">
        <f>IFERROR(IF(OR(AND(AF68="Fuerte",H68="No disminuye"),AND(AF68="Moderado",H68="Indirectamente"),AND(AF68="Moderado",H68="No disminuye"),AND(INDEX('[3]Riesgos de Corrupción'!$B$11:$BN$100,MATCH('Controles de Corrupción'!C68,'[3]Riesgos de Corrupción'!$B$11:$B$100,0),63)="Moderado")),0,IF(OR(AND(AF68="Fuerte",H68="Indirectamente"),AND(AF68="Moderado",H68="Directamente"),AND(INDEX('[3]Riesgos de Corrupción'!$B$11:$BN$100,MATCH('Controles de Corrupción'!C68,'[3]Riesgos de Corrupción'!$B$11:$B$100,0),63)="Mayor")),1,IF(AND(AF68="Fuerte",H68="Directamente",AND(INDEX('[3]Riesgos de Corrupción'!$B$11:$BN$100,MATCH('Controles de Corrupción'!C68,'[3]Riesgos de Corrupción'!$B$11:$B$100,0),63)="Catastrófico")),2)))," ")</f>
        <v xml:space="preserve"> </v>
      </c>
      <c r="AK68" s="19" t="str">
        <f t="shared" si="19"/>
        <v xml:space="preserve"> </v>
      </c>
      <c r="AL68" s="19" t="str">
        <f>IFERROR(IF((INDEX('[3]Riesgos de Corrupción'!$B$11:$BN$100,MATCH('Controles de Corrupción'!C68,'[3]Riesgos de Corrupción'!$B$11:$B$100,0),62)-AK68&lt;=3),"Moderado",IF((INDEX('[3]Riesgos de Corrupción'!$B$11:$BN$100,MATCH('Controles de Corrupción'!C68,'[3]Riesgos de Corrupción'!$B$11:$B$100,0),62)-AK68&lt;=4),"Mayor",IF((INDEX('[3]Riesgos de Corrupción'!$B$11:$BN$100,MATCH('Controles de Corrupción'!C68,'[3]Riesgos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0" t="str">
        <f t="shared" si="0"/>
        <v>-</v>
      </c>
      <c r="C69" s="188"/>
      <c r="D69" s="170"/>
      <c r="E69" s="171"/>
      <c r="F69" s="129"/>
      <c r="G69" s="128"/>
      <c r="H69" s="23"/>
      <c r="I69" s="18"/>
      <c r="J69" s="80">
        <f t="shared" si="22"/>
        <v>0</v>
      </c>
      <c r="K69" s="18"/>
      <c r="L69" s="80">
        <f t="shared" si="23"/>
        <v>0</v>
      </c>
      <c r="M69" s="18"/>
      <c r="N69" s="80">
        <f t="shared" si="24"/>
        <v>0</v>
      </c>
      <c r="O69" s="18"/>
      <c r="P69" s="80">
        <f t="shared" si="25"/>
        <v>0</v>
      </c>
      <c r="Q69" s="18"/>
      <c r="R69" s="80">
        <f t="shared" si="26"/>
        <v>0</v>
      </c>
      <c r="S69" s="18"/>
      <c r="T69" s="80">
        <f t="shared" si="27"/>
        <v>0</v>
      </c>
      <c r="U69" s="18"/>
      <c r="V69" s="80">
        <f t="shared" si="7"/>
        <v>0</v>
      </c>
      <c r="W69" s="19" t="str">
        <f t="shared" si="8"/>
        <v xml:space="preserve"> </v>
      </c>
      <c r="X69" s="19" t="str">
        <f t="shared" si="9"/>
        <v xml:space="preserve"> </v>
      </c>
      <c r="Y69" s="19" t="str">
        <f t="shared" si="10"/>
        <v/>
      </c>
      <c r="Z69" s="23"/>
      <c r="AA69" s="19" t="str">
        <f t="shared" si="11"/>
        <v/>
      </c>
      <c r="AB69" s="19" t="str">
        <f t="shared" si="12"/>
        <v xml:space="preserve"> </v>
      </c>
      <c r="AC69" s="19" t="str">
        <f t="shared" si="13"/>
        <v/>
      </c>
      <c r="AD69" s="19" t="str">
        <f t="shared" si="14"/>
        <v xml:space="preserve"> </v>
      </c>
      <c r="AE69" s="125" t="str">
        <f t="shared" si="15"/>
        <v xml:space="preserve"> </v>
      </c>
      <c r="AF69" s="19" t="str">
        <f t="shared" si="16"/>
        <v xml:space="preserve"> </v>
      </c>
      <c r="AG69" s="50">
        <f t="shared" si="17"/>
        <v>0</v>
      </c>
      <c r="AH69" s="50" t="str">
        <f t="shared" si="18"/>
        <v xml:space="preserve"> </v>
      </c>
      <c r="AI69" s="36" t="str">
        <f>IFERROR(IF((INDEX('[3]Riesgos de Corrupción'!$B$11:$V$100,MATCH('Controles de Corrupción'!C69,'[3]Riesgos de Corrupción'!$B$11:$B$100,0),17)-AH69&lt;=1),"Rara vez",IF((INDEX('[3]Riesgos de Corrupción'!$B$11:$V$100,MATCH('Controles de Corrupción'!C69,'[3]Riesgos de Corrupción'!$B$11:$B$100,0),17)-AH69&lt;=2),"Improbable",IF((INDEX('[3]Riesgos de Corrupción'!$B$11:$V$100,MATCH('Controles de Corrupción'!C69,'[3]Riesgos de Corrupción'!$B$11:$B$100,0),17)-AH69&lt;=3),"Posible",IF((INDEX('[3]Riesgos de Corrupción'!$B$11:$V$100,MATCH('Controles de Corrupción'!C69,'[3]Riesgos de Corrupción'!$B$11:$B$100,0),17)-AH69&lt;=4),"Probable",IF((INDEX('[3]Riesgos de Corrupción'!$B$11:$V$100,MATCH('Controles de Corrupción'!C69,'[3]Riesgos de Corrupción'!$B$11:$B$100,0),17)-AH69&lt;=5),"Casi seguro")))))," ")</f>
        <v xml:space="preserve"> </v>
      </c>
      <c r="AJ69" s="8" t="str">
        <f>IFERROR(IF(OR(AND(AF69="Fuerte",H69="No disminuye"),AND(AF69="Moderado",H69="Indirectamente"),AND(AF69="Moderado",H69="No disminuye"),AND(INDEX('[3]Riesgos de Corrupción'!$B$11:$BN$100,MATCH('Controles de Corrupción'!C69,'[3]Riesgos de Corrupción'!$B$11:$B$100,0),63)="Moderado")),0,IF(OR(AND(AF69="Fuerte",H69="Indirectamente"),AND(AF69="Moderado",H69="Directamente"),AND(INDEX('[3]Riesgos de Corrupción'!$B$11:$BN$100,MATCH('Controles de Corrupción'!C69,'[3]Riesgos de Corrupción'!$B$11:$B$100,0),63)="Mayor")),1,IF(AND(AF69="Fuerte",H69="Directamente",AND(INDEX('[3]Riesgos de Corrupción'!$B$11:$BN$100,MATCH('Controles de Corrupción'!C69,'[3]Riesgos de Corrupción'!$B$11:$B$100,0),63)="Catastrófico")),2)))," ")</f>
        <v xml:space="preserve"> </v>
      </c>
      <c r="AK69" s="19" t="str">
        <f t="shared" si="19"/>
        <v xml:space="preserve"> </v>
      </c>
      <c r="AL69" s="19" t="str">
        <f>IFERROR(IF((INDEX('[3]Riesgos de Corrupción'!$B$11:$BN$100,MATCH('Controles de Corrupción'!C69,'[3]Riesgos de Corrupción'!$B$11:$B$100,0),62)-AK69&lt;=3),"Moderado",IF((INDEX('[3]Riesgos de Corrupción'!$B$11:$BN$100,MATCH('Controles de Corrupción'!C69,'[3]Riesgos de Corrupción'!$B$11:$B$100,0),62)-AK69&lt;=4),"Mayor",IF((INDEX('[3]Riesgos de Corrupción'!$B$11:$BN$100,MATCH('Controles de Corrupción'!C69,'[3]Riesgos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0" t="str">
        <f t="shared" si="0"/>
        <v>-</v>
      </c>
      <c r="C70" s="188"/>
      <c r="D70" s="170"/>
      <c r="E70" s="171"/>
      <c r="F70" s="129"/>
      <c r="G70" s="128"/>
      <c r="H70" s="23"/>
      <c r="I70" s="18"/>
      <c r="J70" s="80">
        <f t="shared" si="22"/>
        <v>0</v>
      </c>
      <c r="K70" s="18"/>
      <c r="L70" s="80">
        <f t="shared" si="23"/>
        <v>0</v>
      </c>
      <c r="M70" s="18"/>
      <c r="N70" s="80">
        <f t="shared" si="24"/>
        <v>0</v>
      </c>
      <c r="O70" s="18"/>
      <c r="P70" s="80">
        <f t="shared" si="25"/>
        <v>0</v>
      </c>
      <c r="Q70" s="18"/>
      <c r="R70" s="80">
        <f t="shared" si="26"/>
        <v>0</v>
      </c>
      <c r="S70" s="18"/>
      <c r="T70" s="80">
        <f t="shared" si="27"/>
        <v>0</v>
      </c>
      <c r="U70" s="18"/>
      <c r="V70" s="80">
        <f t="shared" si="7"/>
        <v>0</v>
      </c>
      <c r="W70" s="19" t="str">
        <f t="shared" si="8"/>
        <v xml:space="preserve"> </v>
      </c>
      <c r="X70" s="19" t="str">
        <f t="shared" si="9"/>
        <v xml:space="preserve"> </v>
      </c>
      <c r="Y70" s="19" t="str">
        <f t="shared" si="10"/>
        <v/>
      </c>
      <c r="Z70" s="23"/>
      <c r="AA70" s="19" t="str">
        <f t="shared" si="11"/>
        <v/>
      </c>
      <c r="AB70" s="19" t="str">
        <f t="shared" si="12"/>
        <v xml:space="preserve"> </v>
      </c>
      <c r="AC70" s="19" t="str">
        <f t="shared" si="13"/>
        <v/>
      </c>
      <c r="AD70" s="19" t="str">
        <f t="shared" si="14"/>
        <v xml:space="preserve"> </v>
      </c>
      <c r="AE70" s="125" t="str">
        <f t="shared" si="15"/>
        <v xml:space="preserve"> </v>
      </c>
      <c r="AF70" s="19" t="str">
        <f t="shared" si="16"/>
        <v xml:space="preserve"> </v>
      </c>
      <c r="AG70" s="50">
        <f t="shared" si="17"/>
        <v>0</v>
      </c>
      <c r="AH70" s="50" t="str">
        <f t="shared" si="18"/>
        <v xml:space="preserve"> </v>
      </c>
      <c r="AI70" s="36" t="str">
        <f>IFERROR(IF((INDEX('[3]Riesgos de Corrupción'!$B$11:$V$100,MATCH('Controles de Corrupción'!C70,'[3]Riesgos de Corrupción'!$B$11:$B$100,0),17)-AH70&lt;=1),"Rara vez",IF((INDEX('[3]Riesgos de Corrupción'!$B$11:$V$100,MATCH('Controles de Corrupción'!C70,'[3]Riesgos de Corrupción'!$B$11:$B$100,0),17)-AH70&lt;=2),"Improbable",IF((INDEX('[3]Riesgos de Corrupción'!$B$11:$V$100,MATCH('Controles de Corrupción'!C70,'[3]Riesgos de Corrupción'!$B$11:$B$100,0),17)-AH70&lt;=3),"Posible",IF((INDEX('[3]Riesgos de Corrupción'!$B$11:$V$100,MATCH('Controles de Corrupción'!C70,'[3]Riesgos de Corrupción'!$B$11:$B$100,0),17)-AH70&lt;=4),"Probable",IF((INDEX('[3]Riesgos de Corrupción'!$B$11:$V$100,MATCH('Controles de Corrupción'!C70,'[3]Riesgos de Corrupción'!$B$11:$B$100,0),17)-AH70&lt;=5),"Casi seguro")))))," ")</f>
        <v xml:space="preserve"> </v>
      </c>
      <c r="AJ70" s="8" t="str">
        <f>IFERROR(IF(OR(AND(AF70="Fuerte",H70="No disminuye"),AND(AF70="Moderado",H70="Indirectamente"),AND(AF70="Moderado",H70="No disminuye"),AND(INDEX('[3]Riesgos de Corrupción'!$B$11:$BN$100,MATCH('Controles de Corrupción'!C70,'[3]Riesgos de Corrupción'!$B$11:$B$100,0),63)="Moderado")),0,IF(OR(AND(AF70="Fuerte",H70="Indirectamente"),AND(AF70="Moderado",H70="Directamente"),AND(INDEX('[3]Riesgos de Corrupción'!$B$11:$BN$100,MATCH('Controles de Corrupción'!C70,'[3]Riesgos de Corrupción'!$B$11:$B$100,0),63)="Mayor")),1,IF(AND(AF70="Fuerte",H70="Directamente",AND(INDEX('[3]Riesgos de Corrupción'!$B$11:$BN$100,MATCH('Controles de Corrupción'!C70,'[3]Riesgos de Corrupción'!$B$11:$B$100,0),63)="Catastrófico")),2)))," ")</f>
        <v xml:space="preserve"> </v>
      </c>
      <c r="AK70" s="19" t="str">
        <f t="shared" si="19"/>
        <v xml:space="preserve"> </v>
      </c>
      <c r="AL70" s="19" t="str">
        <f>IFERROR(IF((INDEX('[3]Riesgos de Corrupción'!$B$11:$BN$100,MATCH('Controles de Corrupción'!C70,'[3]Riesgos de Corrupción'!$B$11:$B$100,0),62)-AK70&lt;=3),"Moderado",IF((INDEX('[3]Riesgos de Corrupción'!$B$11:$BN$100,MATCH('Controles de Corrupción'!C70,'[3]Riesgos de Corrupción'!$B$11:$B$100,0),62)-AK70&lt;=4),"Mayor",IF((INDEX('[3]Riesgos de Corrupción'!$B$11:$BN$100,MATCH('Controles de Corrupción'!C70,'[3]Riesgos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0" t="str">
        <f t="shared" si="0"/>
        <v>-</v>
      </c>
      <c r="C71" s="188"/>
      <c r="D71" s="170"/>
      <c r="E71" s="171"/>
      <c r="F71" s="129"/>
      <c r="G71" s="128"/>
      <c r="H71" s="23"/>
      <c r="I71" s="18"/>
      <c r="J71" s="80">
        <f t="shared" si="22"/>
        <v>0</v>
      </c>
      <c r="K71" s="18"/>
      <c r="L71" s="80">
        <f t="shared" si="23"/>
        <v>0</v>
      </c>
      <c r="M71" s="18"/>
      <c r="N71" s="80">
        <f t="shared" si="24"/>
        <v>0</v>
      </c>
      <c r="O71" s="18"/>
      <c r="P71" s="80">
        <f t="shared" si="25"/>
        <v>0</v>
      </c>
      <c r="Q71" s="18"/>
      <c r="R71" s="80">
        <f t="shared" si="26"/>
        <v>0</v>
      </c>
      <c r="S71" s="18"/>
      <c r="T71" s="80">
        <f t="shared" si="27"/>
        <v>0</v>
      </c>
      <c r="U71" s="18"/>
      <c r="V71" s="80">
        <f t="shared" si="7"/>
        <v>0</v>
      </c>
      <c r="W71" s="19" t="str">
        <f t="shared" si="8"/>
        <v xml:space="preserve"> </v>
      </c>
      <c r="X71" s="19" t="str">
        <f t="shared" si="9"/>
        <v xml:space="preserve"> </v>
      </c>
      <c r="Y71" s="19" t="str">
        <f t="shared" si="10"/>
        <v/>
      </c>
      <c r="Z71" s="23"/>
      <c r="AA71" s="19" t="str">
        <f t="shared" si="11"/>
        <v/>
      </c>
      <c r="AB71" s="19" t="str">
        <f t="shared" si="12"/>
        <v xml:space="preserve"> </v>
      </c>
      <c r="AC71" s="19" t="str">
        <f t="shared" si="13"/>
        <v/>
      </c>
      <c r="AD71" s="19" t="str">
        <f t="shared" si="14"/>
        <v xml:space="preserve"> </v>
      </c>
      <c r="AE71" s="125" t="str">
        <f t="shared" si="15"/>
        <v xml:space="preserve"> </v>
      </c>
      <c r="AF71" s="19" t="str">
        <f t="shared" si="16"/>
        <v xml:space="preserve"> </v>
      </c>
      <c r="AG71" s="50">
        <f t="shared" si="17"/>
        <v>0</v>
      </c>
      <c r="AH71" s="50" t="str">
        <f t="shared" si="18"/>
        <v xml:space="preserve"> </v>
      </c>
      <c r="AI71" s="36" t="str">
        <f>IFERROR(IF((INDEX('[3]Riesgos de Corrupción'!$B$11:$V$100,MATCH('Controles de Corrupción'!C71,'[3]Riesgos de Corrupción'!$B$11:$B$100,0),17)-AH71&lt;=1),"Rara vez",IF((INDEX('[3]Riesgos de Corrupción'!$B$11:$V$100,MATCH('Controles de Corrupción'!C71,'[3]Riesgos de Corrupción'!$B$11:$B$100,0),17)-AH71&lt;=2),"Improbable",IF((INDEX('[3]Riesgos de Corrupción'!$B$11:$V$100,MATCH('Controles de Corrupción'!C71,'[3]Riesgos de Corrupción'!$B$11:$B$100,0),17)-AH71&lt;=3),"Posible",IF((INDEX('[3]Riesgos de Corrupción'!$B$11:$V$100,MATCH('Controles de Corrupción'!C71,'[3]Riesgos de Corrupción'!$B$11:$B$100,0),17)-AH71&lt;=4),"Probable",IF((INDEX('[3]Riesgos de Corrupción'!$B$11:$V$100,MATCH('Controles de Corrupción'!C71,'[3]Riesgos de Corrupción'!$B$11:$B$100,0),17)-AH71&lt;=5),"Casi seguro")))))," ")</f>
        <v xml:space="preserve"> </v>
      </c>
      <c r="AJ71" s="8" t="str">
        <f>IFERROR(IF(OR(AND(AF71="Fuerte",H71="No disminuye"),AND(AF71="Moderado",H71="Indirectamente"),AND(AF71="Moderado",H71="No disminuye"),AND(INDEX('[3]Riesgos de Corrupción'!$B$11:$BN$100,MATCH('Controles de Corrupción'!C71,'[3]Riesgos de Corrupción'!$B$11:$B$100,0),63)="Moderado")),0,IF(OR(AND(AF71="Fuerte",H71="Indirectamente"),AND(AF71="Moderado",H71="Directamente"),AND(INDEX('[3]Riesgos de Corrupción'!$B$11:$BN$100,MATCH('Controles de Corrupción'!C71,'[3]Riesgos de Corrupción'!$B$11:$B$100,0),63)="Mayor")),1,IF(AND(AF71="Fuerte",H71="Directamente",AND(INDEX('[3]Riesgos de Corrupción'!$B$11:$BN$100,MATCH('Controles de Corrupción'!C71,'[3]Riesgos de Corrupción'!$B$11:$B$100,0),63)="Catastrófico")),2)))," ")</f>
        <v xml:space="preserve"> </v>
      </c>
      <c r="AK71" s="19" t="str">
        <f t="shared" si="19"/>
        <v xml:space="preserve"> </v>
      </c>
      <c r="AL71" s="19" t="str">
        <f>IFERROR(IF((INDEX('[3]Riesgos de Corrupción'!$B$11:$BN$100,MATCH('Controles de Corrupción'!C71,'[3]Riesgos de Corrupción'!$B$11:$B$100,0),62)-AK71&lt;=3),"Moderado",IF((INDEX('[3]Riesgos de Corrupción'!$B$11:$BN$100,MATCH('Controles de Corrupción'!C71,'[3]Riesgos de Corrupción'!$B$11:$B$100,0),62)-AK71&lt;=4),"Mayor",IF((INDEX('[3]Riesgos de Corrupción'!$B$11:$BN$100,MATCH('Controles de Corrupción'!C71,'[3]Riesgos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0" t="str">
        <f t="shared" si="0"/>
        <v>-</v>
      </c>
      <c r="C72" s="188"/>
      <c r="D72" s="170"/>
      <c r="E72" s="171"/>
      <c r="F72" s="129"/>
      <c r="G72" s="128"/>
      <c r="H72" s="23"/>
      <c r="I72" s="18"/>
      <c r="J72" s="80">
        <f t="shared" si="22"/>
        <v>0</v>
      </c>
      <c r="K72" s="18"/>
      <c r="L72" s="80">
        <f t="shared" si="23"/>
        <v>0</v>
      </c>
      <c r="M72" s="18"/>
      <c r="N72" s="80">
        <f t="shared" si="24"/>
        <v>0</v>
      </c>
      <c r="O72" s="18"/>
      <c r="P72" s="80">
        <f t="shared" si="25"/>
        <v>0</v>
      </c>
      <c r="Q72" s="18"/>
      <c r="R72" s="80">
        <f t="shared" si="26"/>
        <v>0</v>
      </c>
      <c r="S72" s="18"/>
      <c r="T72" s="80">
        <f t="shared" si="27"/>
        <v>0</v>
      </c>
      <c r="U72" s="18"/>
      <c r="V72" s="80">
        <f t="shared" si="7"/>
        <v>0</v>
      </c>
      <c r="W72" s="19" t="str">
        <f t="shared" si="8"/>
        <v xml:space="preserve"> </v>
      </c>
      <c r="X72" s="19" t="str">
        <f t="shared" si="9"/>
        <v xml:space="preserve"> </v>
      </c>
      <c r="Y72" s="19" t="str">
        <f t="shared" si="10"/>
        <v/>
      </c>
      <c r="Z72" s="23"/>
      <c r="AA72" s="19" t="str">
        <f t="shared" si="11"/>
        <v/>
      </c>
      <c r="AB72" s="19" t="str">
        <f t="shared" si="12"/>
        <v xml:space="preserve"> </v>
      </c>
      <c r="AC72" s="19" t="str">
        <f t="shared" si="13"/>
        <v/>
      </c>
      <c r="AD72" s="19" t="str">
        <f t="shared" si="14"/>
        <v xml:space="preserve"> </v>
      </c>
      <c r="AE72" s="125" t="str">
        <f t="shared" si="15"/>
        <v xml:space="preserve"> </v>
      </c>
      <c r="AF72" s="19" t="str">
        <f t="shared" si="16"/>
        <v xml:space="preserve"> </v>
      </c>
      <c r="AG72" s="50">
        <f t="shared" si="17"/>
        <v>0</v>
      </c>
      <c r="AH72" s="50" t="str">
        <f t="shared" si="18"/>
        <v xml:space="preserve"> </v>
      </c>
      <c r="AI72" s="36" t="str">
        <f>IFERROR(IF((INDEX('[3]Riesgos de Corrupción'!$B$11:$V$100,MATCH('Controles de Corrupción'!C72,'[3]Riesgos de Corrupción'!$B$11:$B$100,0),17)-AH72&lt;=1),"Rara vez",IF((INDEX('[3]Riesgos de Corrupción'!$B$11:$V$100,MATCH('Controles de Corrupción'!C72,'[3]Riesgos de Corrupción'!$B$11:$B$100,0),17)-AH72&lt;=2),"Improbable",IF((INDEX('[3]Riesgos de Corrupción'!$B$11:$V$100,MATCH('Controles de Corrupción'!C72,'[3]Riesgos de Corrupción'!$B$11:$B$100,0),17)-AH72&lt;=3),"Posible",IF((INDEX('[3]Riesgos de Corrupción'!$B$11:$V$100,MATCH('Controles de Corrupción'!C72,'[3]Riesgos de Corrupción'!$B$11:$B$100,0),17)-AH72&lt;=4),"Probable",IF((INDEX('[3]Riesgos de Corrupción'!$B$11:$V$100,MATCH('Controles de Corrupción'!C72,'[3]Riesgos de Corrupción'!$B$11:$B$100,0),17)-AH72&lt;=5),"Casi seguro")))))," ")</f>
        <v xml:space="preserve"> </v>
      </c>
      <c r="AJ72" s="8" t="str">
        <f>IFERROR(IF(OR(AND(AF72="Fuerte",H72="No disminuye"),AND(AF72="Moderado",H72="Indirectamente"),AND(AF72="Moderado",H72="No disminuye"),AND(INDEX('[3]Riesgos de Corrupción'!$B$11:$BN$100,MATCH('Controles de Corrupción'!C72,'[3]Riesgos de Corrupción'!$B$11:$B$100,0),63)="Moderado")),0,IF(OR(AND(AF72="Fuerte",H72="Indirectamente"),AND(AF72="Moderado",H72="Directamente"),AND(INDEX('[3]Riesgos de Corrupción'!$B$11:$BN$100,MATCH('Controles de Corrupción'!C72,'[3]Riesgos de Corrupción'!$B$11:$B$100,0),63)="Mayor")),1,IF(AND(AF72="Fuerte",H72="Directamente",AND(INDEX('[3]Riesgos de Corrupción'!$B$11:$BN$100,MATCH('Controles de Corrupción'!C72,'[3]Riesgos de Corrupción'!$B$11:$B$100,0),63)="Catastrófico")),2)))," ")</f>
        <v xml:space="preserve"> </v>
      </c>
      <c r="AK72" s="19" t="str">
        <f t="shared" si="19"/>
        <v xml:space="preserve"> </v>
      </c>
      <c r="AL72" s="19" t="str">
        <f>IFERROR(IF((INDEX('[3]Riesgos de Corrupción'!$B$11:$BN$100,MATCH('Controles de Corrupción'!C72,'[3]Riesgos de Corrupción'!$B$11:$B$100,0),62)-AK72&lt;=3),"Moderado",IF((INDEX('[3]Riesgos de Corrupción'!$B$11:$BN$100,MATCH('Controles de Corrupción'!C72,'[3]Riesgos de Corrupción'!$B$11:$B$100,0),62)-AK72&lt;=4),"Mayor",IF((INDEX('[3]Riesgos de Corrupción'!$B$11:$BN$100,MATCH('Controles de Corrupción'!C72,'[3]Riesgos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0" t="str">
        <f t="shared" si="0"/>
        <v>-</v>
      </c>
      <c r="C73" s="188"/>
      <c r="D73" s="170"/>
      <c r="E73" s="171"/>
      <c r="F73" s="129"/>
      <c r="G73" s="128"/>
      <c r="H73" s="23"/>
      <c r="I73" s="18"/>
      <c r="J73" s="80">
        <f t="shared" si="22"/>
        <v>0</v>
      </c>
      <c r="K73" s="18"/>
      <c r="L73" s="80">
        <f t="shared" si="23"/>
        <v>0</v>
      </c>
      <c r="M73" s="18"/>
      <c r="N73" s="80">
        <f t="shared" si="24"/>
        <v>0</v>
      </c>
      <c r="O73" s="18"/>
      <c r="P73" s="80">
        <f t="shared" si="25"/>
        <v>0</v>
      </c>
      <c r="Q73" s="18"/>
      <c r="R73" s="80">
        <f t="shared" si="26"/>
        <v>0</v>
      </c>
      <c r="S73" s="18"/>
      <c r="T73" s="80">
        <f t="shared" si="27"/>
        <v>0</v>
      </c>
      <c r="U73" s="18"/>
      <c r="V73" s="80">
        <f t="shared" si="7"/>
        <v>0</v>
      </c>
      <c r="W73" s="19" t="str">
        <f t="shared" si="8"/>
        <v xml:space="preserve"> </v>
      </c>
      <c r="X73" s="19" t="str">
        <f t="shared" si="9"/>
        <v xml:space="preserve"> </v>
      </c>
      <c r="Y73" s="19" t="str">
        <f t="shared" si="10"/>
        <v/>
      </c>
      <c r="Z73" s="23"/>
      <c r="AA73" s="19" t="str">
        <f t="shared" si="11"/>
        <v/>
      </c>
      <c r="AB73" s="19" t="str">
        <f t="shared" si="12"/>
        <v xml:space="preserve"> </v>
      </c>
      <c r="AC73" s="19" t="str">
        <f t="shared" si="13"/>
        <v/>
      </c>
      <c r="AD73" s="19" t="str">
        <f t="shared" si="14"/>
        <v xml:space="preserve"> </v>
      </c>
      <c r="AE73" s="125" t="str">
        <f t="shared" si="15"/>
        <v xml:space="preserve"> </v>
      </c>
      <c r="AF73" s="19" t="str">
        <f t="shared" si="16"/>
        <v xml:space="preserve"> </v>
      </c>
      <c r="AG73" s="50">
        <f t="shared" si="17"/>
        <v>0</v>
      </c>
      <c r="AH73" s="50" t="str">
        <f t="shared" si="18"/>
        <v xml:space="preserve"> </v>
      </c>
      <c r="AI73" s="36" t="str">
        <f>IFERROR(IF((INDEX('[3]Riesgos de Corrupción'!$B$11:$V$100,MATCH('Controles de Corrupción'!C73,'[3]Riesgos de Corrupción'!$B$11:$B$100,0),17)-AH73&lt;=1),"Rara vez",IF((INDEX('[3]Riesgos de Corrupción'!$B$11:$V$100,MATCH('Controles de Corrupción'!C73,'[3]Riesgos de Corrupción'!$B$11:$B$100,0),17)-AH73&lt;=2),"Improbable",IF((INDEX('[3]Riesgos de Corrupción'!$B$11:$V$100,MATCH('Controles de Corrupción'!C73,'[3]Riesgos de Corrupción'!$B$11:$B$100,0),17)-AH73&lt;=3),"Posible",IF((INDEX('[3]Riesgos de Corrupción'!$B$11:$V$100,MATCH('Controles de Corrupción'!C73,'[3]Riesgos de Corrupción'!$B$11:$B$100,0),17)-AH73&lt;=4),"Probable",IF((INDEX('[3]Riesgos de Corrupción'!$B$11:$V$100,MATCH('Controles de Corrupción'!C73,'[3]Riesgos de Corrupción'!$B$11:$B$100,0),17)-AH73&lt;=5),"Casi seguro")))))," ")</f>
        <v xml:space="preserve"> </v>
      </c>
      <c r="AJ73" s="8" t="str">
        <f>IFERROR(IF(OR(AND(AF73="Fuerte",H73="No disminuye"),AND(AF73="Moderado",H73="Indirectamente"),AND(AF73="Moderado",H73="No disminuye"),AND(INDEX('[3]Riesgos de Corrupción'!$B$11:$BN$100,MATCH('Controles de Corrupción'!C73,'[3]Riesgos de Corrupción'!$B$11:$B$100,0),63)="Moderado")),0,IF(OR(AND(AF73="Fuerte",H73="Indirectamente"),AND(AF73="Moderado",H73="Directamente"),AND(INDEX('[3]Riesgos de Corrupción'!$B$11:$BN$100,MATCH('Controles de Corrupción'!C73,'[3]Riesgos de Corrupción'!$B$11:$B$100,0),63)="Mayor")),1,IF(AND(AF73="Fuerte",H73="Directamente",AND(INDEX('[3]Riesgos de Corrupción'!$B$11:$BN$100,MATCH('Controles de Corrupción'!C73,'[3]Riesgos de Corrupción'!$B$11:$B$100,0),63)="Catastrófico")),2)))," ")</f>
        <v xml:space="preserve"> </v>
      </c>
      <c r="AK73" s="19" t="str">
        <f t="shared" si="19"/>
        <v xml:space="preserve"> </v>
      </c>
      <c r="AL73" s="19" t="str">
        <f>IFERROR(IF((INDEX('[3]Riesgos de Corrupción'!$B$11:$BN$100,MATCH('Controles de Corrupción'!C73,'[3]Riesgos de Corrupción'!$B$11:$B$100,0),62)-AK73&lt;=3),"Moderado",IF((INDEX('[3]Riesgos de Corrupción'!$B$11:$BN$100,MATCH('Controles de Corrupción'!C73,'[3]Riesgos de Corrupción'!$B$11:$B$100,0),62)-AK73&lt;=4),"Mayor",IF((INDEX('[3]Riesgos de Corrupción'!$B$11:$BN$100,MATCH('Controles de Corrupción'!C73,'[3]Riesgos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0" t="str">
        <f t="shared" ref="B74:B137" si="28">C74&amp;"-"&amp;E74</f>
        <v>-</v>
      </c>
      <c r="C74" s="188"/>
      <c r="D74" s="170"/>
      <c r="E74" s="171"/>
      <c r="F74" s="129"/>
      <c r="G74" s="128"/>
      <c r="H74" s="23"/>
      <c r="I74" s="18"/>
      <c r="J74" s="80">
        <f t="shared" si="22"/>
        <v>0</v>
      </c>
      <c r="K74" s="18"/>
      <c r="L74" s="80">
        <f t="shared" si="23"/>
        <v>0</v>
      </c>
      <c r="M74" s="18"/>
      <c r="N74" s="80">
        <f t="shared" si="24"/>
        <v>0</v>
      </c>
      <c r="O74" s="18"/>
      <c r="P74" s="80">
        <f t="shared" si="25"/>
        <v>0</v>
      </c>
      <c r="Q74" s="18"/>
      <c r="R74" s="80">
        <f t="shared" si="26"/>
        <v>0</v>
      </c>
      <c r="S74" s="18"/>
      <c r="T74" s="80">
        <f t="shared" si="27"/>
        <v>0</v>
      </c>
      <c r="U74" s="18"/>
      <c r="V74" s="80">
        <f t="shared" ref="V74:V137" si="29">IF(U74="Completa",10,IF(U74="Incompleta",5,IF(U74="No existe",0,IF(I74=0,0))))</f>
        <v>0</v>
      </c>
      <c r="W74" s="19" t="str">
        <f t="shared" ref="W74:W137" si="30">IF(G74=0," ",IF((J74+L74+N74+P74+R74+T74+V74)&gt;=0,(J74+L74+N74+P74+R74+T74+V74)))</f>
        <v xml:space="preserve"> </v>
      </c>
      <c r="X74" s="19" t="str">
        <f t="shared" ref="X74:X137" si="31">IF(W74=" "," ",IF(AND(W74&gt;=0,W74&lt;=85),"Débil",IF(AND(W74&gt;=86,W74&lt;=95),"Moderado",IF(AND(W74&gt;=96,W74&lt;=100),"Fuerte"," "))))</f>
        <v xml:space="preserve"> </v>
      </c>
      <c r="Y74" s="19" t="str">
        <f t="shared" ref="Y74:Y137" si="32">IF(Z74="Siempre se ejecuta", 100,IF(Z74="Algunas veces se ejecuta",50,IF(Z74="No se ejecuta",0,"")))</f>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5" t="str">
        <f t="shared" ref="AE74:AE137" si="37">IFERROR(IF(AD74=" "," ",IF(AVERAGE($AD$10:$AD$252)&gt;=0,AVERAGEIFS($AD$10:$AD$251,$C$10:$C$251,C74))),"  ")</f>
        <v xml:space="preserve"> </v>
      </c>
      <c r="AF74" s="19" t="str">
        <f t="shared" ref="AF74:AF137" si="38">IF(AE74=" "," ",IF(AE74=100,"Fuerte",IF(AE74&lt;50,"Débil",IF(AE74&gt;49,"Moderado"," "))))</f>
        <v xml:space="preserve"> </v>
      </c>
      <c r="AG74" s="50">
        <f t="shared" ref="AG74:AG137" si="39">IF(OR(AND(AF74="Fuerte",G74="No disminuye"),AND(AF74="Moderado",G74="No disminuye")),0,IF(AND(AF74="Fuerte",G74="Directamente"),2,IF(AND(AF74="Moderado",G74="Directamente"),1,0)))</f>
        <v>0</v>
      </c>
      <c r="AH74" s="50" t="str">
        <f t="shared" ref="AH74:AH137" si="40">IFERROR(AVERAGEIFS($AG$10:$AG$251,$C$10:$C$251,C74)," ")</f>
        <v xml:space="preserve"> </v>
      </c>
      <c r="AI74" s="36" t="str">
        <f>IFERROR(IF((INDEX('[3]Riesgos de Corrupción'!$B$11:$V$100,MATCH('Controles de Corrupción'!C74,'[3]Riesgos de Corrupción'!$B$11:$B$100,0),17)-AH74&lt;=1),"Rara vez",IF((INDEX('[3]Riesgos de Corrupción'!$B$11:$V$100,MATCH('Controles de Corrupción'!C74,'[3]Riesgos de Corrupción'!$B$11:$B$100,0),17)-AH74&lt;=2),"Improbable",IF((INDEX('[3]Riesgos de Corrupción'!$B$11:$V$100,MATCH('Controles de Corrupción'!C74,'[3]Riesgos de Corrupción'!$B$11:$B$100,0),17)-AH74&lt;=3),"Posible",IF((INDEX('[3]Riesgos de Corrupción'!$B$11:$V$100,MATCH('Controles de Corrupción'!C74,'[3]Riesgos de Corrupción'!$B$11:$B$100,0),17)-AH74&lt;=4),"Probable",IF((INDEX('[3]Riesgos de Corrupción'!$B$11:$V$100,MATCH('Controles de Corrupción'!C74,'[3]Riesgos de Corrupción'!$B$11:$B$100,0),17)-AH74&lt;=5),"Casi seguro")))))," ")</f>
        <v xml:space="preserve"> </v>
      </c>
      <c r="AJ74" s="8" t="str">
        <f>IFERROR(IF(OR(AND(AF74="Fuerte",H74="No disminuye"),AND(AF74="Moderado",H74="Indirectamente"),AND(AF74="Moderado",H74="No disminuye"),AND(INDEX('[3]Riesgos de Corrupción'!$B$11:$BN$100,MATCH('Controles de Corrupción'!C74,'[3]Riesgos de Corrupción'!$B$11:$B$100,0),63)="Moderado")),0,IF(OR(AND(AF74="Fuerte",H74="Indirectamente"),AND(AF74="Moderado",H74="Directamente"),AND(INDEX('[3]Riesgos de Corrupción'!$B$11:$BN$100,MATCH('Controles de Corrupción'!C74,'[3]Riesgos de Corrupción'!$B$11:$B$100,0),63)="Mayor")),1,IF(AND(AF74="Fuerte",H74="Directamente",AND(INDEX('[3]Riesgos de Corrupción'!$B$11:$BN$100,MATCH('Controles de Corrupción'!C74,'[3]Riesgos de Corrupción'!$B$11:$B$100,0),63)="Catastrófico")),2)))," ")</f>
        <v xml:space="preserve"> </v>
      </c>
      <c r="AK74" s="19" t="str">
        <f t="shared" ref="AK74:AK137" si="41">IFERROR(AVERAGEIFS($AJ$10:$AJ$251,$C$10:$C$251,C74)," ")</f>
        <v xml:space="preserve"> </v>
      </c>
      <c r="AL74" s="19" t="str">
        <f>IFERROR(IF((INDEX('[3]Riesgos de Corrupción'!$B$11:$BN$100,MATCH('Controles de Corrupción'!C74,'[3]Riesgos de Corrupción'!$B$11:$B$100,0),62)-AK74&lt;=3),"Moderado",IF((INDEX('[3]Riesgos de Corrupción'!$B$11:$BN$100,MATCH('Controles de Corrupción'!C74,'[3]Riesgos de Corrupción'!$B$11:$B$100,0),62)-AK74&lt;=4),"Mayor",IF((INDEX('[3]Riesgos de Corrupción'!$B$11:$BN$100,MATCH('Controles de Corrupción'!C74,'[3]Riesgos de Corrupción'!$B$11:$B$100,0),62)-AK74&lt;=5),"Catastrófico")))," ")</f>
        <v xml:space="preserve"> </v>
      </c>
      <c r="AM74" s="19"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2" t="str">
        <f t="shared" ref="AN74:AN137" si="43">IF(AM74="Zona Moderada","Reducir riesgo",IF(AM74="Zona Alta","Compartir riesgo",IF(AM74="Zona Extrema","Evitar riesgo"," ")))</f>
        <v xml:space="preserve"> </v>
      </c>
      <c r="AO74" s="76"/>
      <c r="AP74" s="76"/>
      <c r="AQ74" s="76"/>
      <c r="AR74" s="76"/>
      <c r="AS74" s="76"/>
      <c r="AT74" s="76"/>
      <c r="AU74" s="76"/>
      <c r="AV74" s="76"/>
      <c r="AW74" s="76"/>
      <c r="AX74" s="76"/>
      <c r="AY74" s="76"/>
      <c r="AZ74" s="76"/>
    </row>
    <row r="75" spans="2:52" ht="57.75" customHeight="1" x14ac:dyDescent="0.3">
      <c r="B75" s="120" t="str">
        <f t="shared" si="28"/>
        <v>-</v>
      </c>
      <c r="C75" s="188"/>
      <c r="D75" s="170"/>
      <c r="E75" s="171"/>
      <c r="F75" s="129"/>
      <c r="G75" s="128"/>
      <c r="H75" s="23"/>
      <c r="I75" s="18"/>
      <c r="J75" s="80">
        <f t="shared" si="22"/>
        <v>0</v>
      </c>
      <c r="K75" s="18"/>
      <c r="L75" s="80">
        <f t="shared" si="23"/>
        <v>0</v>
      </c>
      <c r="M75" s="18"/>
      <c r="N75" s="80">
        <f t="shared" si="24"/>
        <v>0</v>
      </c>
      <c r="O75" s="18"/>
      <c r="P75" s="80">
        <f t="shared" si="25"/>
        <v>0</v>
      </c>
      <c r="Q75" s="18"/>
      <c r="R75" s="80">
        <f t="shared" si="26"/>
        <v>0</v>
      </c>
      <c r="S75" s="18"/>
      <c r="T75" s="80">
        <f t="shared" si="27"/>
        <v>0</v>
      </c>
      <c r="U75" s="18"/>
      <c r="V75" s="80">
        <f t="shared" si="29"/>
        <v>0</v>
      </c>
      <c r="W75" s="19" t="str">
        <f t="shared" si="30"/>
        <v xml:space="preserve"> </v>
      </c>
      <c r="X75" s="19" t="str">
        <f t="shared" si="31"/>
        <v xml:space="preserve"> </v>
      </c>
      <c r="Y75" s="19" t="str">
        <f t="shared" si="32"/>
        <v/>
      </c>
      <c r="Z75" s="23"/>
      <c r="AA75" s="19" t="str">
        <f t="shared" si="33"/>
        <v/>
      </c>
      <c r="AB75" s="19" t="str">
        <f t="shared" si="34"/>
        <v xml:space="preserve"> </v>
      </c>
      <c r="AC75" s="19" t="str">
        <f t="shared" si="35"/>
        <v/>
      </c>
      <c r="AD75" s="19" t="str">
        <f t="shared" si="36"/>
        <v xml:space="preserve"> </v>
      </c>
      <c r="AE75" s="125" t="str">
        <f t="shared" si="37"/>
        <v xml:space="preserve"> </v>
      </c>
      <c r="AF75" s="19" t="str">
        <f t="shared" si="38"/>
        <v xml:space="preserve"> </v>
      </c>
      <c r="AG75" s="50">
        <f t="shared" si="39"/>
        <v>0</v>
      </c>
      <c r="AH75" s="50" t="str">
        <f t="shared" si="40"/>
        <v xml:space="preserve"> </v>
      </c>
      <c r="AI75" s="36" t="str">
        <f>IFERROR(IF((INDEX('[3]Riesgos de Corrupción'!$B$11:$V$100,MATCH('Controles de Corrupción'!C75,'[3]Riesgos de Corrupción'!$B$11:$B$100,0),17)-AH75&lt;=1),"Rara vez",IF((INDEX('[3]Riesgos de Corrupción'!$B$11:$V$100,MATCH('Controles de Corrupción'!C75,'[3]Riesgos de Corrupción'!$B$11:$B$100,0),17)-AH75&lt;=2),"Improbable",IF((INDEX('[3]Riesgos de Corrupción'!$B$11:$V$100,MATCH('Controles de Corrupción'!C75,'[3]Riesgos de Corrupción'!$B$11:$B$100,0),17)-AH75&lt;=3),"Posible",IF((INDEX('[3]Riesgos de Corrupción'!$B$11:$V$100,MATCH('Controles de Corrupción'!C75,'[3]Riesgos de Corrupción'!$B$11:$B$100,0),17)-AH75&lt;=4),"Probable",IF((INDEX('[3]Riesgos de Corrupción'!$B$11:$V$100,MATCH('Controles de Corrupción'!C75,'[3]Riesgos de Corrupción'!$B$11:$B$100,0),17)-AH75&lt;=5),"Casi seguro")))))," ")</f>
        <v xml:space="preserve"> </v>
      </c>
      <c r="AJ75" s="8" t="str">
        <f>IFERROR(IF(OR(AND(AF75="Fuerte",H75="No disminuye"),AND(AF75="Moderado",H75="Indirectamente"),AND(AF75="Moderado",H75="No disminuye"),AND(INDEX('[3]Riesgos de Corrupción'!$B$11:$BN$100,MATCH('Controles de Corrupción'!C75,'[3]Riesgos de Corrupción'!$B$11:$B$100,0),63)="Moderado")),0,IF(OR(AND(AF75="Fuerte",H75="Indirectamente"),AND(AF75="Moderado",H75="Directamente"),AND(INDEX('[3]Riesgos de Corrupción'!$B$11:$BN$100,MATCH('Controles de Corrupción'!C75,'[3]Riesgos de Corrupción'!$B$11:$B$100,0),63)="Mayor")),1,IF(AND(AF75="Fuerte",H75="Directamente",AND(INDEX('[3]Riesgos de Corrupción'!$B$11:$BN$100,MATCH('Controles de Corrupción'!C75,'[3]Riesgos de Corrupción'!$B$11:$B$100,0),63)="Catastrófico")),2)))," ")</f>
        <v xml:space="preserve"> </v>
      </c>
      <c r="AK75" s="19" t="str">
        <f t="shared" si="41"/>
        <v xml:space="preserve"> </v>
      </c>
      <c r="AL75" s="19" t="str">
        <f>IFERROR(IF((INDEX('[3]Riesgos de Corrupción'!$B$11:$BN$100,MATCH('Controles de Corrupción'!C75,'[3]Riesgos de Corrupción'!$B$11:$B$100,0),62)-AK75&lt;=3),"Moderado",IF((INDEX('[3]Riesgos de Corrupción'!$B$11:$BN$100,MATCH('Controles de Corrupción'!C75,'[3]Riesgos de Corrupción'!$B$11:$B$100,0),62)-AK75&lt;=4),"Mayor",IF((INDEX('[3]Riesgos de Corrupción'!$B$11:$BN$100,MATCH('Controles de Corrupción'!C75,'[3]Riesgos de Corrupción'!$B$11:$B$100,0),62)-AK75&lt;=5),"Catastrófico")))," ")</f>
        <v xml:space="preserve"> </v>
      </c>
      <c r="AM75" s="19" t="str">
        <f t="shared" si="42"/>
        <v xml:space="preserve"> </v>
      </c>
      <c r="AN75" s="22" t="str">
        <f t="shared" si="43"/>
        <v xml:space="preserve"> </v>
      </c>
      <c r="AO75" s="76"/>
      <c r="AP75" s="76"/>
      <c r="AQ75" s="76"/>
      <c r="AR75" s="76"/>
      <c r="AS75" s="76"/>
      <c r="AT75" s="76"/>
      <c r="AU75" s="76"/>
      <c r="AV75" s="76"/>
      <c r="AW75" s="76"/>
      <c r="AX75" s="76"/>
      <c r="AY75" s="76"/>
      <c r="AZ75" s="76"/>
    </row>
    <row r="76" spans="2:52" ht="57.75" customHeight="1" x14ac:dyDescent="0.3">
      <c r="B76" s="120" t="str">
        <f t="shared" si="28"/>
        <v>-</v>
      </c>
      <c r="C76" s="188"/>
      <c r="D76" s="170"/>
      <c r="E76" s="171"/>
      <c r="F76" s="129"/>
      <c r="G76" s="128"/>
      <c r="H76" s="23"/>
      <c r="I76" s="18"/>
      <c r="J76" s="80">
        <f t="shared" si="22"/>
        <v>0</v>
      </c>
      <c r="K76" s="18"/>
      <c r="L76" s="80">
        <f t="shared" si="23"/>
        <v>0</v>
      </c>
      <c r="M76" s="18"/>
      <c r="N76" s="80">
        <f t="shared" si="24"/>
        <v>0</v>
      </c>
      <c r="O76" s="18"/>
      <c r="P76" s="80">
        <f t="shared" si="25"/>
        <v>0</v>
      </c>
      <c r="Q76" s="18"/>
      <c r="R76" s="80">
        <f t="shared" si="26"/>
        <v>0</v>
      </c>
      <c r="S76" s="18"/>
      <c r="T76" s="80">
        <f t="shared" si="27"/>
        <v>0</v>
      </c>
      <c r="U76" s="18"/>
      <c r="V76" s="80">
        <f t="shared" si="29"/>
        <v>0</v>
      </c>
      <c r="W76" s="19" t="str">
        <f t="shared" si="30"/>
        <v xml:space="preserve"> </v>
      </c>
      <c r="X76" s="19" t="str">
        <f t="shared" si="31"/>
        <v xml:space="preserve"> </v>
      </c>
      <c r="Y76" s="19" t="str">
        <f t="shared" si="32"/>
        <v/>
      </c>
      <c r="Z76" s="23"/>
      <c r="AA76" s="19" t="str">
        <f t="shared" si="33"/>
        <v/>
      </c>
      <c r="AB76" s="19" t="str">
        <f t="shared" si="34"/>
        <v xml:space="preserve"> </v>
      </c>
      <c r="AC76" s="19" t="str">
        <f t="shared" si="35"/>
        <v/>
      </c>
      <c r="AD76" s="19" t="str">
        <f t="shared" si="36"/>
        <v xml:space="preserve"> </v>
      </c>
      <c r="AE76" s="125" t="str">
        <f t="shared" si="37"/>
        <v xml:space="preserve"> </v>
      </c>
      <c r="AF76" s="19" t="str">
        <f t="shared" si="38"/>
        <v xml:space="preserve"> </v>
      </c>
      <c r="AG76" s="50">
        <f t="shared" si="39"/>
        <v>0</v>
      </c>
      <c r="AH76" s="50" t="str">
        <f t="shared" si="40"/>
        <v xml:space="preserve"> </v>
      </c>
      <c r="AI76" s="36" t="str">
        <f>IFERROR(IF((INDEX('[3]Riesgos de Corrupción'!$B$11:$V$100,MATCH('Controles de Corrupción'!C76,'[3]Riesgos de Corrupción'!$B$11:$B$100,0),17)-AH76&lt;=1),"Rara vez",IF((INDEX('[3]Riesgos de Corrupción'!$B$11:$V$100,MATCH('Controles de Corrupción'!C76,'[3]Riesgos de Corrupción'!$B$11:$B$100,0),17)-AH76&lt;=2),"Improbable",IF((INDEX('[3]Riesgos de Corrupción'!$B$11:$V$100,MATCH('Controles de Corrupción'!C76,'[3]Riesgos de Corrupción'!$B$11:$B$100,0),17)-AH76&lt;=3),"Posible",IF((INDEX('[3]Riesgos de Corrupción'!$B$11:$V$100,MATCH('Controles de Corrupción'!C76,'[3]Riesgos de Corrupción'!$B$11:$B$100,0),17)-AH76&lt;=4),"Probable",IF((INDEX('[3]Riesgos de Corrupción'!$B$11:$V$100,MATCH('Controles de Corrupción'!C76,'[3]Riesgos de Corrupción'!$B$11:$B$100,0),17)-AH76&lt;=5),"Casi seguro")))))," ")</f>
        <v xml:space="preserve"> </v>
      </c>
      <c r="AJ76" s="8" t="str">
        <f>IFERROR(IF(OR(AND(AF76="Fuerte",H76="No disminuye"),AND(AF76="Moderado",H76="Indirectamente"),AND(AF76="Moderado",H76="No disminuye"),AND(INDEX('[3]Riesgos de Corrupción'!$B$11:$BN$100,MATCH('Controles de Corrupción'!C76,'[3]Riesgos de Corrupción'!$B$11:$B$100,0),63)="Moderado")),0,IF(OR(AND(AF76="Fuerte",H76="Indirectamente"),AND(AF76="Moderado",H76="Directamente"),AND(INDEX('[3]Riesgos de Corrupción'!$B$11:$BN$100,MATCH('Controles de Corrupción'!C76,'[3]Riesgos de Corrupción'!$B$11:$B$100,0),63)="Mayor")),1,IF(AND(AF76="Fuerte",H76="Directamente",AND(INDEX('[3]Riesgos de Corrupción'!$B$11:$BN$100,MATCH('Controles de Corrupción'!C76,'[3]Riesgos de Corrupción'!$B$11:$B$100,0),63)="Catastrófico")),2)))," ")</f>
        <v xml:space="preserve"> </v>
      </c>
      <c r="AK76" s="19" t="str">
        <f t="shared" si="41"/>
        <v xml:space="preserve"> </v>
      </c>
      <c r="AL76" s="19" t="str">
        <f>IFERROR(IF((INDEX('[3]Riesgos de Corrupción'!$B$11:$BN$100,MATCH('Controles de Corrupción'!C76,'[3]Riesgos de Corrupción'!$B$11:$B$100,0),62)-AK76&lt;=3),"Moderado",IF((INDEX('[3]Riesgos de Corrupción'!$B$11:$BN$100,MATCH('Controles de Corrupción'!C76,'[3]Riesgos de Corrupción'!$B$11:$B$100,0),62)-AK76&lt;=4),"Mayor",IF((INDEX('[3]Riesgos de Corrupción'!$B$11:$BN$100,MATCH('Controles de Corrupción'!C76,'[3]Riesgos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0" t="str">
        <f t="shared" si="28"/>
        <v>-</v>
      </c>
      <c r="C77" s="188"/>
      <c r="D77" s="170"/>
      <c r="E77" s="171"/>
      <c r="F77" s="129"/>
      <c r="G77" s="128"/>
      <c r="H77" s="23"/>
      <c r="I77" s="18"/>
      <c r="J77" s="80">
        <f t="shared" si="22"/>
        <v>0</v>
      </c>
      <c r="K77" s="18"/>
      <c r="L77" s="80">
        <f t="shared" si="23"/>
        <v>0</v>
      </c>
      <c r="M77" s="18"/>
      <c r="N77" s="80">
        <f t="shared" si="24"/>
        <v>0</v>
      </c>
      <c r="O77" s="18"/>
      <c r="P77" s="80">
        <f t="shared" si="25"/>
        <v>0</v>
      </c>
      <c r="Q77" s="18"/>
      <c r="R77" s="80">
        <f t="shared" si="26"/>
        <v>0</v>
      </c>
      <c r="S77" s="18"/>
      <c r="T77" s="80">
        <f t="shared" si="27"/>
        <v>0</v>
      </c>
      <c r="U77" s="18"/>
      <c r="V77" s="80">
        <f t="shared" si="29"/>
        <v>0</v>
      </c>
      <c r="W77" s="19" t="str">
        <f t="shared" si="30"/>
        <v xml:space="preserve"> </v>
      </c>
      <c r="X77" s="19" t="str">
        <f t="shared" si="31"/>
        <v xml:space="preserve"> </v>
      </c>
      <c r="Y77" s="19" t="str">
        <f t="shared" si="32"/>
        <v/>
      </c>
      <c r="Z77" s="23"/>
      <c r="AA77" s="19" t="str">
        <f t="shared" si="33"/>
        <v/>
      </c>
      <c r="AB77" s="19" t="str">
        <f t="shared" si="34"/>
        <v xml:space="preserve"> </v>
      </c>
      <c r="AC77" s="19" t="str">
        <f t="shared" si="35"/>
        <v/>
      </c>
      <c r="AD77" s="19" t="str">
        <f t="shared" si="36"/>
        <v xml:space="preserve"> </v>
      </c>
      <c r="AE77" s="125" t="str">
        <f t="shared" si="37"/>
        <v xml:space="preserve"> </v>
      </c>
      <c r="AF77" s="19" t="str">
        <f t="shared" si="38"/>
        <v xml:space="preserve"> </v>
      </c>
      <c r="AG77" s="50">
        <f t="shared" si="39"/>
        <v>0</v>
      </c>
      <c r="AH77" s="50" t="str">
        <f t="shared" si="40"/>
        <v xml:space="preserve"> </v>
      </c>
      <c r="AI77" s="36" t="str">
        <f>IFERROR(IF((INDEX('[3]Riesgos de Corrupción'!$B$11:$V$100,MATCH('Controles de Corrupción'!C77,'[3]Riesgos de Corrupción'!$B$11:$B$100,0),17)-AH77&lt;=1),"Rara vez",IF((INDEX('[3]Riesgos de Corrupción'!$B$11:$V$100,MATCH('Controles de Corrupción'!C77,'[3]Riesgos de Corrupción'!$B$11:$B$100,0),17)-AH77&lt;=2),"Improbable",IF((INDEX('[3]Riesgos de Corrupción'!$B$11:$V$100,MATCH('Controles de Corrupción'!C77,'[3]Riesgos de Corrupción'!$B$11:$B$100,0),17)-AH77&lt;=3),"Posible",IF((INDEX('[3]Riesgos de Corrupción'!$B$11:$V$100,MATCH('Controles de Corrupción'!C77,'[3]Riesgos de Corrupción'!$B$11:$B$100,0),17)-AH77&lt;=4),"Probable",IF((INDEX('[3]Riesgos de Corrupción'!$B$11:$V$100,MATCH('Controles de Corrupción'!C77,'[3]Riesgos de Corrupción'!$B$11:$B$100,0),17)-AH77&lt;=5),"Casi seguro")))))," ")</f>
        <v xml:space="preserve"> </v>
      </c>
      <c r="AJ77" s="8" t="str">
        <f>IFERROR(IF(OR(AND(AF77="Fuerte",H77="No disminuye"),AND(AF77="Moderado",H77="Indirectamente"),AND(AF77="Moderado",H77="No disminuye"),AND(INDEX('[3]Riesgos de Corrupción'!$B$11:$BN$100,MATCH('Controles de Corrupción'!C77,'[3]Riesgos de Corrupción'!$B$11:$B$100,0),63)="Moderado")),0,IF(OR(AND(AF77="Fuerte",H77="Indirectamente"),AND(AF77="Moderado",H77="Directamente"),AND(INDEX('[3]Riesgos de Corrupción'!$B$11:$BN$100,MATCH('Controles de Corrupción'!C77,'[3]Riesgos de Corrupción'!$B$11:$B$100,0),63)="Mayor")),1,IF(AND(AF77="Fuerte",H77="Directamente",AND(INDEX('[3]Riesgos de Corrupción'!$B$11:$BN$100,MATCH('Controles de Corrupción'!C77,'[3]Riesgos de Corrupción'!$B$11:$B$100,0),63)="Catastrófico")),2)))," ")</f>
        <v xml:space="preserve"> </v>
      </c>
      <c r="AK77" s="19" t="str">
        <f t="shared" si="41"/>
        <v xml:space="preserve"> </v>
      </c>
      <c r="AL77" s="19" t="str">
        <f>IFERROR(IF((INDEX('[3]Riesgos de Corrupción'!$B$11:$BN$100,MATCH('Controles de Corrupción'!C77,'[3]Riesgos de Corrupción'!$B$11:$B$100,0),62)-AK77&lt;=3),"Moderado",IF((INDEX('[3]Riesgos de Corrupción'!$B$11:$BN$100,MATCH('Controles de Corrupción'!C77,'[3]Riesgos de Corrupción'!$B$11:$B$100,0),62)-AK77&lt;=4),"Mayor",IF((INDEX('[3]Riesgos de Corrupción'!$B$11:$BN$100,MATCH('Controles de Corrupción'!C77,'[3]Riesgos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0" t="str">
        <f t="shared" si="28"/>
        <v>-</v>
      </c>
      <c r="C78" s="188"/>
      <c r="D78" s="170"/>
      <c r="E78" s="171"/>
      <c r="F78" s="129"/>
      <c r="G78" s="128"/>
      <c r="H78" s="23"/>
      <c r="I78" s="18"/>
      <c r="J78" s="80">
        <f t="shared" si="22"/>
        <v>0</v>
      </c>
      <c r="K78" s="18"/>
      <c r="L78" s="80">
        <f t="shared" si="23"/>
        <v>0</v>
      </c>
      <c r="M78" s="18"/>
      <c r="N78" s="80">
        <f t="shared" si="24"/>
        <v>0</v>
      </c>
      <c r="O78" s="18"/>
      <c r="P78" s="80">
        <f t="shared" si="25"/>
        <v>0</v>
      </c>
      <c r="Q78" s="18"/>
      <c r="R78" s="80">
        <f t="shared" si="26"/>
        <v>0</v>
      </c>
      <c r="S78" s="18"/>
      <c r="T78" s="80">
        <f t="shared" si="27"/>
        <v>0</v>
      </c>
      <c r="U78" s="18"/>
      <c r="V78" s="80">
        <f t="shared" si="29"/>
        <v>0</v>
      </c>
      <c r="W78" s="19" t="str">
        <f t="shared" si="30"/>
        <v xml:space="preserve"> </v>
      </c>
      <c r="X78" s="19" t="str">
        <f t="shared" si="31"/>
        <v xml:space="preserve"> </v>
      </c>
      <c r="Y78" s="19" t="str">
        <f t="shared" si="32"/>
        <v/>
      </c>
      <c r="Z78" s="23"/>
      <c r="AA78" s="19" t="str">
        <f t="shared" si="33"/>
        <v/>
      </c>
      <c r="AB78" s="19" t="str">
        <f t="shared" si="34"/>
        <v xml:space="preserve"> </v>
      </c>
      <c r="AC78" s="19" t="str">
        <f t="shared" si="35"/>
        <v/>
      </c>
      <c r="AD78" s="19" t="str">
        <f t="shared" si="36"/>
        <v xml:space="preserve"> </v>
      </c>
      <c r="AE78" s="125" t="str">
        <f t="shared" si="37"/>
        <v xml:space="preserve"> </v>
      </c>
      <c r="AF78" s="19" t="str">
        <f t="shared" si="38"/>
        <v xml:space="preserve"> </v>
      </c>
      <c r="AG78" s="50">
        <f t="shared" si="39"/>
        <v>0</v>
      </c>
      <c r="AH78" s="50" t="str">
        <f t="shared" si="40"/>
        <v xml:space="preserve"> </v>
      </c>
      <c r="AI78" s="36" t="str">
        <f>IFERROR(IF((INDEX('[3]Riesgos de Corrupción'!$B$11:$V$100,MATCH('Controles de Corrupción'!C78,'[3]Riesgos de Corrupción'!$B$11:$B$100,0),17)-AH78&lt;=1),"Rara vez",IF((INDEX('[3]Riesgos de Corrupción'!$B$11:$V$100,MATCH('Controles de Corrupción'!C78,'[3]Riesgos de Corrupción'!$B$11:$B$100,0),17)-AH78&lt;=2),"Improbable",IF((INDEX('[3]Riesgos de Corrupción'!$B$11:$V$100,MATCH('Controles de Corrupción'!C78,'[3]Riesgos de Corrupción'!$B$11:$B$100,0),17)-AH78&lt;=3),"Posible",IF((INDEX('[3]Riesgos de Corrupción'!$B$11:$V$100,MATCH('Controles de Corrupción'!C78,'[3]Riesgos de Corrupción'!$B$11:$B$100,0),17)-AH78&lt;=4),"Probable",IF((INDEX('[3]Riesgos de Corrupción'!$B$11:$V$100,MATCH('Controles de Corrupción'!C78,'[3]Riesgos de Corrupción'!$B$11:$B$100,0),17)-AH78&lt;=5),"Casi seguro")))))," ")</f>
        <v xml:space="preserve"> </v>
      </c>
      <c r="AJ78" s="8" t="str">
        <f>IFERROR(IF(OR(AND(AF78="Fuerte",H78="No disminuye"),AND(AF78="Moderado",H78="Indirectamente"),AND(AF78="Moderado",H78="No disminuye"),AND(INDEX('[3]Riesgos de Corrupción'!$B$11:$BN$100,MATCH('Controles de Corrupción'!C78,'[3]Riesgos de Corrupción'!$B$11:$B$100,0),63)="Moderado")),0,IF(OR(AND(AF78="Fuerte",H78="Indirectamente"),AND(AF78="Moderado",H78="Directamente"),AND(INDEX('[3]Riesgos de Corrupción'!$B$11:$BN$100,MATCH('Controles de Corrupción'!C78,'[3]Riesgos de Corrupción'!$B$11:$B$100,0),63)="Mayor")),1,IF(AND(AF78="Fuerte",H78="Directamente",AND(INDEX('[3]Riesgos de Corrupción'!$B$11:$BN$100,MATCH('Controles de Corrupción'!C78,'[3]Riesgos de Corrupción'!$B$11:$B$100,0),63)="Catastrófico")),2)))," ")</f>
        <v xml:space="preserve"> </v>
      </c>
      <c r="AK78" s="19" t="str">
        <f t="shared" si="41"/>
        <v xml:space="preserve"> </v>
      </c>
      <c r="AL78" s="19" t="str">
        <f>IFERROR(IF((INDEX('[3]Riesgos de Corrupción'!$B$11:$BN$100,MATCH('Controles de Corrupción'!C78,'[3]Riesgos de Corrupción'!$B$11:$B$100,0),62)-AK78&lt;=3),"Moderado",IF((INDEX('[3]Riesgos de Corrupción'!$B$11:$BN$100,MATCH('Controles de Corrupción'!C78,'[3]Riesgos de Corrupción'!$B$11:$B$100,0),62)-AK78&lt;=4),"Mayor",IF((INDEX('[3]Riesgos de Corrupción'!$B$11:$BN$100,MATCH('Controles de Corrupción'!C78,'[3]Riesgos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0" t="str">
        <f t="shared" si="28"/>
        <v>-</v>
      </c>
      <c r="C79" s="188"/>
      <c r="D79" s="170"/>
      <c r="E79" s="171"/>
      <c r="F79" s="129"/>
      <c r="G79" s="128"/>
      <c r="H79" s="23"/>
      <c r="I79" s="18"/>
      <c r="J79" s="80">
        <f t="shared" si="22"/>
        <v>0</v>
      </c>
      <c r="K79" s="18"/>
      <c r="L79" s="80">
        <f t="shared" si="23"/>
        <v>0</v>
      </c>
      <c r="M79" s="18"/>
      <c r="N79" s="80">
        <f t="shared" si="24"/>
        <v>0</v>
      </c>
      <c r="O79" s="18"/>
      <c r="P79" s="80">
        <f t="shared" si="25"/>
        <v>0</v>
      </c>
      <c r="Q79" s="18"/>
      <c r="R79" s="80">
        <f t="shared" si="26"/>
        <v>0</v>
      </c>
      <c r="S79" s="18"/>
      <c r="T79" s="80">
        <f t="shared" si="27"/>
        <v>0</v>
      </c>
      <c r="U79" s="18"/>
      <c r="V79" s="80">
        <f t="shared" si="29"/>
        <v>0</v>
      </c>
      <c r="W79" s="19" t="str">
        <f t="shared" si="30"/>
        <v xml:space="preserve"> </v>
      </c>
      <c r="X79" s="19" t="str">
        <f t="shared" si="31"/>
        <v xml:space="preserve"> </v>
      </c>
      <c r="Y79" s="19" t="str">
        <f t="shared" si="32"/>
        <v/>
      </c>
      <c r="Z79" s="23"/>
      <c r="AA79" s="19" t="str">
        <f t="shared" si="33"/>
        <v/>
      </c>
      <c r="AB79" s="19" t="str">
        <f t="shared" si="34"/>
        <v xml:space="preserve"> </v>
      </c>
      <c r="AC79" s="19" t="str">
        <f t="shared" si="35"/>
        <v/>
      </c>
      <c r="AD79" s="19" t="str">
        <f t="shared" si="36"/>
        <v xml:space="preserve"> </v>
      </c>
      <c r="AE79" s="125" t="str">
        <f t="shared" si="37"/>
        <v xml:space="preserve"> </v>
      </c>
      <c r="AF79" s="19" t="str">
        <f t="shared" si="38"/>
        <v xml:space="preserve"> </v>
      </c>
      <c r="AG79" s="50">
        <f t="shared" si="39"/>
        <v>0</v>
      </c>
      <c r="AH79" s="50" t="str">
        <f t="shared" si="40"/>
        <v xml:space="preserve"> </v>
      </c>
      <c r="AI79" s="36" t="str">
        <f>IFERROR(IF((INDEX('[3]Riesgos de Corrupción'!$B$11:$V$100,MATCH('Controles de Corrupción'!C79,'[3]Riesgos de Corrupción'!$B$11:$B$100,0),17)-AH79&lt;=1),"Rara vez",IF((INDEX('[3]Riesgos de Corrupción'!$B$11:$V$100,MATCH('Controles de Corrupción'!C79,'[3]Riesgos de Corrupción'!$B$11:$B$100,0),17)-AH79&lt;=2),"Improbable",IF((INDEX('[3]Riesgos de Corrupción'!$B$11:$V$100,MATCH('Controles de Corrupción'!C79,'[3]Riesgos de Corrupción'!$B$11:$B$100,0),17)-AH79&lt;=3),"Posible",IF((INDEX('[3]Riesgos de Corrupción'!$B$11:$V$100,MATCH('Controles de Corrupción'!C79,'[3]Riesgos de Corrupción'!$B$11:$B$100,0),17)-AH79&lt;=4),"Probable",IF((INDEX('[3]Riesgos de Corrupción'!$B$11:$V$100,MATCH('Controles de Corrupción'!C79,'[3]Riesgos de Corrupción'!$B$11:$B$100,0),17)-AH79&lt;=5),"Casi seguro")))))," ")</f>
        <v xml:space="preserve"> </v>
      </c>
      <c r="AJ79" s="8" t="str">
        <f>IFERROR(IF(OR(AND(AF79="Fuerte",H79="No disminuye"),AND(AF79="Moderado",H79="Indirectamente"),AND(AF79="Moderado",H79="No disminuye"),AND(INDEX('[3]Riesgos de Corrupción'!$B$11:$BN$100,MATCH('Controles de Corrupción'!C79,'[3]Riesgos de Corrupción'!$B$11:$B$100,0),63)="Moderado")),0,IF(OR(AND(AF79="Fuerte",H79="Indirectamente"),AND(AF79="Moderado",H79="Directamente"),AND(INDEX('[3]Riesgos de Corrupción'!$B$11:$BN$100,MATCH('Controles de Corrupción'!C79,'[3]Riesgos de Corrupción'!$B$11:$B$100,0),63)="Mayor")),1,IF(AND(AF79="Fuerte",H79="Directamente",AND(INDEX('[3]Riesgos de Corrupción'!$B$11:$BN$100,MATCH('Controles de Corrupción'!C79,'[3]Riesgos de Corrupción'!$B$11:$B$100,0),63)="Catastrófico")),2)))," ")</f>
        <v xml:space="preserve"> </v>
      </c>
      <c r="AK79" s="19" t="str">
        <f t="shared" si="41"/>
        <v xml:space="preserve"> </v>
      </c>
      <c r="AL79" s="19" t="str">
        <f>IFERROR(IF((INDEX('[3]Riesgos de Corrupción'!$B$11:$BN$100,MATCH('Controles de Corrupción'!C79,'[3]Riesgos de Corrupción'!$B$11:$B$100,0),62)-AK79&lt;=3),"Moderado",IF((INDEX('[3]Riesgos de Corrupción'!$B$11:$BN$100,MATCH('Controles de Corrupción'!C79,'[3]Riesgos de Corrupción'!$B$11:$B$100,0),62)-AK79&lt;=4),"Mayor",IF((INDEX('[3]Riesgos de Corrupción'!$B$11:$BN$100,MATCH('Controles de Corrupción'!C79,'[3]Riesgos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0" t="str">
        <f t="shared" si="28"/>
        <v>-</v>
      </c>
      <c r="C80" s="188"/>
      <c r="D80" s="170"/>
      <c r="E80" s="171"/>
      <c r="F80" s="129"/>
      <c r="G80" s="128"/>
      <c r="H80" s="23"/>
      <c r="I80" s="18"/>
      <c r="J80" s="80">
        <f t="shared" si="22"/>
        <v>0</v>
      </c>
      <c r="K80" s="18"/>
      <c r="L80" s="80">
        <f t="shared" si="23"/>
        <v>0</v>
      </c>
      <c r="M80" s="18"/>
      <c r="N80" s="80">
        <f t="shared" si="24"/>
        <v>0</v>
      </c>
      <c r="O80" s="18"/>
      <c r="P80" s="80">
        <f t="shared" si="25"/>
        <v>0</v>
      </c>
      <c r="Q80" s="18"/>
      <c r="R80" s="80">
        <f t="shared" si="26"/>
        <v>0</v>
      </c>
      <c r="S80" s="18"/>
      <c r="T80" s="80">
        <f t="shared" si="27"/>
        <v>0</v>
      </c>
      <c r="U80" s="18"/>
      <c r="V80" s="80">
        <f t="shared" si="29"/>
        <v>0</v>
      </c>
      <c r="W80" s="19" t="str">
        <f t="shared" si="30"/>
        <v xml:space="preserve"> </v>
      </c>
      <c r="X80" s="19" t="str">
        <f t="shared" si="31"/>
        <v xml:space="preserve"> </v>
      </c>
      <c r="Y80" s="19" t="str">
        <f t="shared" si="32"/>
        <v/>
      </c>
      <c r="Z80" s="23"/>
      <c r="AA80" s="19" t="str">
        <f t="shared" si="33"/>
        <v/>
      </c>
      <c r="AB80" s="19" t="str">
        <f t="shared" si="34"/>
        <v xml:space="preserve"> </v>
      </c>
      <c r="AC80" s="19" t="str">
        <f t="shared" si="35"/>
        <v/>
      </c>
      <c r="AD80" s="19" t="str">
        <f t="shared" si="36"/>
        <v xml:space="preserve"> </v>
      </c>
      <c r="AE80" s="125" t="str">
        <f t="shared" si="37"/>
        <v xml:space="preserve"> </v>
      </c>
      <c r="AF80" s="19" t="str">
        <f t="shared" si="38"/>
        <v xml:space="preserve"> </v>
      </c>
      <c r="AG80" s="50">
        <f t="shared" si="39"/>
        <v>0</v>
      </c>
      <c r="AH80" s="50" t="str">
        <f t="shared" si="40"/>
        <v xml:space="preserve"> </v>
      </c>
      <c r="AI80" s="36" t="str">
        <f>IFERROR(IF((INDEX('[3]Riesgos de Corrupción'!$B$11:$V$100,MATCH('Controles de Corrupción'!C80,'[3]Riesgos de Corrupción'!$B$11:$B$100,0),17)-AH80&lt;=1),"Rara vez",IF((INDEX('[3]Riesgos de Corrupción'!$B$11:$V$100,MATCH('Controles de Corrupción'!C80,'[3]Riesgos de Corrupción'!$B$11:$B$100,0),17)-AH80&lt;=2),"Improbable",IF((INDEX('[3]Riesgos de Corrupción'!$B$11:$V$100,MATCH('Controles de Corrupción'!C80,'[3]Riesgos de Corrupción'!$B$11:$B$100,0),17)-AH80&lt;=3),"Posible",IF((INDEX('[3]Riesgos de Corrupción'!$B$11:$V$100,MATCH('Controles de Corrupción'!C80,'[3]Riesgos de Corrupción'!$B$11:$B$100,0),17)-AH80&lt;=4),"Probable",IF((INDEX('[3]Riesgos de Corrupción'!$B$11:$V$100,MATCH('Controles de Corrupción'!C80,'[3]Riesgos de Corrupción'!$B$11:$B$100,0),17)-AH80&lt;=5),"Casi seguro")))))," ")</f>
        <v xml:space="preserve"> </v>
      </c>
      <c r="AJ80" s="8" t="str">
        <f>IFERROR(IF(OR(AND(AF80="Fuerte",H80="No disminuye"),AND(AF80="Moderado",H80="Indirectamente"),AND(AF80="Moderado",H80="No disminuye"),AND(INDEX('[3]Riesgos de Corrupción'!$B$11:$BN$100,MATCH('Controles de Corrupción'!C80,'[3]Riesgos de Corrupción'!$B$11:$B$100,0),63)="Moderado")),0,IF(OR(AND(AF80="Fuerte",H80="Indirectamente"),AND(AF80="Moderado",H80="Directamente"),AND(INDEX('[3]Riesgos de Corrupción'!$B$11:$BN$100,MATCH('Controles de Corrupción'!C80,'[3]Riesgos de Corrupción'!$B$11:$B$100,0),63)="Mayor")),1,IF(AND(AF80="Fuerte",H80="Directamente",AND(INDEX('[3]Riesgos de Corrupción'!$B$11:$BN$100,MATCH('Controles de Corrupción'!C80,'[3]Riesgos de Corrupción'!$B$11:$B$100,0),63)="Catastrófico")),2)))," ")</f>
        <v xml:space="preserve"> </v>
      </c>
      <c r="AK80" s="19" t="str">
        <f t="shared" si="41"/>
        <v xml:space="preserve"> </v>
      </c>
      <c r="AL80" s="19" t="str">
        <f>IFERROR(IF((INDEX('[3]Riesgos de Corrupción'!$B$11:$BN$100,MATCH('Controles de Corrupción'!C80,'[3]Riesgos de Corrupción'!$B$11:$B$100,0),62)-AK80&lt;=3),"Moderado",IF((INDEX('[3]Riesgos de Corrupción'!$B$11:$BN$100,MATCH('Controles de Corrupción'!C80,'[3]Riesgos de Corrupción'!$B$11:$B$100,0),62)-AK80&lt;=4),"Mayor",IF((INDEX('[3]Riesgos de Corrupción'!$B$11:$BN$100,MATCH('Controles de Corrupción'!C80,'[3]Riesgos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0" t="str">
        <f t="shared" si="28"/>
        <v>-</v>
      </c>
      <c r="C81" s="188"/>
      <c r="D81" s="170"/>
      <c r="E81" s="171"/>
      <c r="F81" s="129"/>
      <c r="G81" s="128"/>
      <c r="H81" s="23"/>
      <c r="I81" s="18"/>
      <c r="J81" s="80">
        <f t="shared" si="22"/>
        <v>0</v>
      </c>
      <c r="K81" s="18"/>
      <c r="L81" s="80">
        <f t="shared" si="23"/>
        <v>0</v>
      </c>
      <c r="M81" s="18"/>
      <c r="N81" s="80">
        <f t="shared" si="24"/>
        <v>0</v>
      </c>
      <c r="O81" s="18"/>
      <c r="P81" s="80">
        <f t="shared" si="25"/>
        <v>0</v>
      </c>
      <c r="Q81" s="18"/>
      <c r="R81" s="80">
        <f t="shared" si="26"/>
        <v>0</v>
      </c>
      <c r="S81" s="18"/>
      <c r="T81" s="80">
        <f t="shared" si="27"/>
        <v>0</v>
      </c>
      <c r="U81" s="18"/>
      <c r="V81" s="80">
        <f t="shared" si="29"/>
        <v>0</v>
      </c>
      <c r="W81" s="19" t="str">
        <f t="shared" si="30"/>
        <v xml:space="preserve"> </v>
      </c>
      <c r="X81" s="19" t="str">
        <f t="shared" si="31"/>
        <v xml:space="preserve"> </v>
      </c>
      <c r="Y81" s="19" t="str">
        <f t="shared" si="32"/>
        <v/>
      </c>
      <c r="Z81" s="23"/>
      <c r="AA81" s="19" t="str">
        <f t="shared" si="33"/>
        <v/>
      </c>
      <c r="AB81" s="19" t="str">
        <f t="shared" si="34"/>
        <v xml:space="preserve"> </v>
      </c>
      <c r="AC81" s="19" t="str">
        <f t="shared" si="35"/>
        <v/>
      </c>
      <c r="AD81" s="19" t="str">
        <f t="shared" si="36"/>
        <v xml:space="preserve"> </v>
      </c>
      <c r="AE81" s="125" t="str">
        <f t="shared" si="37"/>
        <v xml:space="preserve"> </v>
      </c>
      <c r="AF81" s="19" t="str">
        <f t="shared" si="38"/>
        <v xml:space="preserve"> </v>
      </c>
      <c r="AG81" s="50">
        <f t="shared" si="39"/>
        <v>0</v>
      </c>
      <c r="AH81" s="50" t="str">
        <f t="shared" si="40"/>
        <v xml:space="preserve"> </v>
      </c>
      <c r="AI81" s="36" t="str">
        <f>IFERROR(IF((INDEX('[3]Riesgos de Corrupción'!$B$11:$V$100,MATCH('Controles de Corrupción'!C81,'[3]Riesgos de Corrupción'!$B$11:$B$100,0),17)-AH81&lt;=1),"Rara vez",IF((INDEX('[3]Riesgos de Corrupción'!$B$11:$V$100,MATCH('Controles de Corrupción'!C81,'[3]Riesgos de Corrupción'!$B$11:$B$100,0),17)-AH81&lt;=2),"Improbable",IF((INDEX('[3]Riesgos de Corrupción'!$B$11:$V$100,MATCH('Controles de Corrupción'!C81,'[3]Riesgos de Corrupción'!$B$11:$B$100,0),17)-AH81&lt;=3),"Posible",IF((INDEX('[3]Riesgos de Corrupción'!$B$11:$V$100,MATCH('Controles de Corrupción'!C81,'[3]Riesgos de Corrupción'!$B$11:$B$100,0),17)-AH81&lt;=4),"Probable",IF((INDEX('[3]Riesgos de Corrupción'!$B$11:$V$100,MATCH('Controles de Corrupción'!C81,'[3]Riesgos de Corrupción'!$B$11:$B$100,0),17)-AH81&lt;=5),"Casi seguro")))))," ")</f>
        <v xml:space="preserve"> </v>
      </c>
      <c r="AJ81" s="8" t="str">
        <f>IFERROR(IF(OR(AND(AF81="Fuerte",H81="No disminuye"),AND(AF81="Moderado",H81="Indirectamente"),AND(AF81="Moderado",H81="No disminuye"),AND(INDEX('[3]Riesgos de Corrupción'!$B$11:$BN$100,MATCH('Controles de Corrupción'!C81,'[3]Riesgos de Corrupción'!$B$11:$B$100,0),63)="Moderado")),0,IF(OR(AND(AF81="Fuerte",H81="Indirectamente"),AND(AF81="Moderado",H81="Directamente"),AND(INDEX('[3]Riesgos de Corrupción'!$B$11:$BN$100,MATCH('Controles de Corrupción'!C81,'[3]Riesgos de Corrupción'!$B$11:$B$100,0),63)="Mayor")),1,IF(AND(AF81="Fuerte",H81="Directamente",AND(INDEX('[3]Riesgos de Corrupción'!$B$11:$BN$100,MATCH('Controles de Corrupción'!C81,'[3]Riesgos de Corrupción'!$B$11:$B$100,0),63)="Catastrófico")),2)))," ")</f>
        <v xml:space="preserve"> </v>
      </c>
      <c r="AK81" s="19" t="str">
        <f t="shared" si="41"/>
        <v xml:space="preserve"> </v>
      </c>
      <c r="AL81" s="19" t="str">
        <f>IFERROR(IF((INDEX('[3]Riesgos de Corrupción'!$B$11:$BN$100,MATCH('Controles de Corrupción'!C81,'[3]Riesgos de Corrupción'!$B$11:$B$100,0),62)-AK81&lt;=3),"Moderado",IF((INDEX('[3]Riesgos de Corrupción'!$B$11:$BN$100,MATCH('Controles de Corrupción'!C81,'[3]Riesgos de Corrupción'!$B$11:$B$100,0),62)-AK81&lt;=4),"Mayor",IF((INDEX('[3]Riesgos de Corrupción'!$B$11:$BN$100,MATCH('Controles de Corrupción'!C81,'[3]Riesgos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0" t="str">
        <f t="shared" si="28"/>
        <v>-</v>
      </c>
      <c r="C82" s="188"/>
      <c r="D82" s="170"/>
      <c r="E82" s="171"/>
      <c r="F82" s="129"/>
      <c r="G82" s="128"/>
      <c r="H82" s="23"/>
      <c r="I82" s="18"/>
      <c r="J82" s="80">
        <f t="shared" ref="J82:J145" si="44">IF(I82="Asignado",15,IF(I82="No asignado",0,IF(I82=0,0)))</f>
        <v>0</v>
      </c>
      <c r="K82" s="18"/>
      <c r="L82" s="80">
        <f t="shared" ref="L82:L145" si="45">IF(K82="Adecuado",15,IF(K82="Inadecuado",0,IF(I82=0,0)))</f>
        <v>0</v>
      </c>
      <c r="M82" s="18"/>
      <c r="N82" s="80">
        <f t="shared" ref="N82:N145" si="46">IF(M82="Oportuna",15,IF(M82="Inoportuna",0,IF(I82=0,0)))</f>
        <v>0</v>
      </c>
      <c r="O82" s="18"/>
      <c r="P82" s="80">
        <f t="shared" ref="P82:P145" si="47">IF(O82="Prevenir",15,IF(O82="Detectar",10,IF(O82="No es un control",0,IF(I82=0,0))))</f>
        <v>0</v>
      </c>
      <c r="Q82" s="18"/>
      <c r="R82" s="80">
        <f t="shared" ref="R82:R145" si="48">IF(Q82="Confiable",15,IF(Q82="No confiable",0,IF(I82=0,0)))</f>
        <v>0</v>
      </c>
      <c r="S82" s="18"/>
      <c r="T82" s="80">
        <f t="shared" ref="T82:T145" si="49">IF(S82="Se investigan y resuelven oportunamente",15,IF(S82="No se investigan y resuelven oportunamente",0,IF(I82=0,0)))</f>
        <v>0</v>
      </c>
      <c r="U82" s="18"/>
      <c r="V82" s="80">
        <f t="shared" si="29"/>
        <v>0</v>
      </c>
      <c r="W82" s="19" t="str">
        <f t="shared" si="30"/>
        <v xml:space="preserve"> </v>
      </c>
      <c r="X82" s="19" t="str">
        <f t="shared" si="31"/>
        <v xml:space="preserve"> </v>
      </c>
      <c r="Y82" s="19" t="str">
        <f t="shared" si="32"/>
        <v/>
      </c>
      <c r="Z82" s="23"/>
      <c r="AA82" s="19" t="str">
        <f t="shared" si="33"/>
        <v/>
      </c>
      <c r="AB82" s="19" t="str">
        <f t="shared" si="34"/>
        <v xml:space="preserve"> </v>
      </c>
      <c r="AC82" s="19" t="str">
        <f t="shared" si="35"/>
        <v/>
      </c>
      <c r="AD82" s="19" t="str">
        <f t="shared" si="36"/>
        <v xml:space="preserve"> </v>
      </c>
      <c r="AE82" s="125" t="str">
        <f t="shared" si="37"/>
        <v xml:space="preserve"> </v>
      </c>
      <c r="AF82" s="19" t="str">
        <f t="shared" si="38"/>
        <v xml:space="preserve"> </v>
      </c>
      <c r="AG82" s="50">
        <f t="shared" si="39"/>
        <v>0</v>
      </c>
      <c r="AH82" s="50" t="str">
        <f t="shared" si="40"/>
        <v xml:space="preserve"> </v>
      </c>
      <c r="AI82" s="36" t="str">
        <f>IFERROR(IF((INDEX('[3]Riesgos de Corrupción'!$B$11:$V$100,MATCH('Controles de Corrupción'!C82,'[3]Riesgos de Corrupción'!$B$11:$B$100,0),17)-AH82&lt;=1),"Rara vez",IF((INDEX('[3]Riesgos de Corrupción'!$B$11:$V$100,MATCH('Controles de Corrupción'!C82,'[3]Riesgos de Corrupción'!$B$11:$B$100,0),17)-AH82&lt;=2),"Improbable",IF((INDEX('[3]Riesgos de Corrupción'!$B$11:$V$100,MATCH('Controles de Corrupción'!C82,'[3]Riesgos de Corrupción'!$B$11:$B$100,0),17)-AH82&lt;=3),"Posible",IF((INDEX('[3]Riesgos de Corrupción'!$B$11:$V$100,MATCH('Controles de Corrupción'!C82,'[3]Riesgos de Corrupción'!$B$11:$B$100,0),17)-AH82&lt;=4),"Probable",IF((INDEX('[3]Riesgos de Corrupción'!$B$11:$V$100,MATCH('Controles de Corrupción'!C82,'[3]Riesgos de Corrupción'!$B$11:$B$100,0),17)-AH82&lt;=5),"Casi seguro")))))," ")</f>
        <v xml:space="preserve"> </v>
      </c>
      <c r="AJ82" s="8" t="str">
        <f>IFERROR(IF(OR(AND(AF82="Fuerte",H82="No disminuye"),AND(AF82="Moderado",H82="Indirectamente"),AND(AF82="Moderado",H82="No disminuye"),AND(INDEX('[3]Riesgos de Corrupción'!$B$11:$BN$100,MATCH('Controles de Corrupción'!C82,'[3]Riesgos de Corrupción'!$B$11:$B$100,0),63)="Moderado")),0,IF(OR(AND(AF82="Fuerte",H82="Indirectamente"),AND(AF82="Moderado",H82="Directamente"),AND(INDEX('[3]Riesgos de Corrupción'!$B$11:$BN$100,MATCH('Controles de Corrupción'!C82,'[3]Riesgos de Corrupción'!$B$11:$B$100,0),63)="Mayor")),1,IF(AND(AF82="Fuerte",H82="Directamente",AND(INDEX('[3]Riesgos de Corrupción'!$B$11:$BN$100,MATCH('Controles de Corrupción'!C82,'[3]Riesgos de Corrupción'!$B$11:$B$100,0),63)="Catastrófico")),2)))," ")</f>
        <v xml:space="preserve"> </v>
      </c>
      <c r="AK82" s="19" t="str">
        <f t="shared" si="41"/>
        <v xml:space="preserve"> </v>
      </c>
      <c r="AL82" s="19" t="str">
        <f>IFERROR(IF((INDEX('[3]Riesgos de Corrupción'!$B$11:$BN$100,MATCH('Controles de Corrupción'!C82,'[3]Riesgos de Corrupción'!$B$11:$B$100,0),62)-AK82&lt;=3),"Moderado",IF((INDEX('[3]Riesgos de Corrupción'!$B$11:$BN$100,MATCH('Controles de Corrupción'!C82,'[3]Riesgos de Corrupción'!$B$11:$B$100,0),62)-AK82&lt;=4),"Mayor",IF((INDEX('[3]Riesgos de Corrupción'!$B$11:$BN$100,MATCH('Controles de Corrupción'!C82,'[3]Riesgos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0" t="str">
        <f t="shared" si="28"/>
        <v>-</v>
      </c>
      <c r="C83" s="188"/>
      <c r="D83" s="170"/>
      <c r="E83" s="171"/>
      <c r="F83" s="129"/>
      <c r="G83" s="128"/>
      <c r="H83" s="23"/>
      <c r="I83" s="18"/>
      <c r="J83" s="80">
        <f t="shared" si="44"/>
        <v>0</v>
      </c>
      <c r="K83" s="18"/>
      <c r="L83" s="80">
        <f t="shared" si="45"/>
        <v>0</v>
      </c>
      <c r="M83" s="18"/>
      <c r="N83" s="80">
        <f t="shared" si="46"/>
        <v>0</v>
      </c>
      <c r="O83" s="18"/>
      <c r="P83" s="80">
        <f t="shared" si="47"/>
        <v>0</v>
      </c>
      <c r="Q83" s="18"/>
      <c r="R83" s="80">
        <f t="shared" si="48"/>
        <v>0</v>
      </c>
      <c r="S83" s="18"/>
      <c r="T83" s="80">
        <f t="shared" si="49"/>
        <v>0</v>
      </c>
      <c r="U83" s="18"/>
      <c r="V83" s="80">
        <f t="shared" si="29"/>
        <v>0</v>
      </c>
      <c r="W83" s="19" t="str">
        <f t="shared" si="30"/>
        <v xml:space="preserve"> </v>
      </c>
      <c r="X83" s="19" t="str">
        <f t="shared" si="31"/>
        <v xml:space="preserve"> </v>
      </c>
      <c r="Y83" s="19" t="str">
        <f t="shared" si="32"/>
        <v/>
      </c>
      <c r="Z83" s="23"/>
      <c r="AA83" s="19" t="str">
        <f t="shared" si="33"/>
        <v/>
      </c>
      <c r="AB83" s="19" t="str">
        <f t="shared" si="34"/>
        <v xml:space="preserve"> </v>
      </c>
      <c r="AC83" s="19" t="str">
        <f t="shared" si="35"/>
        <v/>
      </c>
      <c r="AD83" s="19" t="str">
        <f t="shared" si="36"/>
        <v xml:space="preserve"> </v>
      </c>
      <c r="AE83" s="125" t="str">
        <f t="shared" si="37"/>
        <v xml:space="preserve"> </v>
      </c>
      <c r="AF83" s="19" t="str">
        <f t="shared" si="38"/>
        <v xml:space="preserve"> </v>
      </c>
      <c r="AG83" s="50">
        <f t="shared" si="39"/>
        <v>0</v>
      </c>
      <c r="AH83" s="50" t="str">
        <f t="shared" si="40"/>
        <v xml:space="preserve"> </v>
      </c>
      <c r="AI83" s="36" t="str">
        <f>IFERROR(IF((INDEX('[3]Riesgos de Corrupción'!$B$11:$V$100,MATCH('Controles de Corrupción'!C83,'[3]Riesgos de Corrupción'!$B$11:$B$100,0),17)-AH83&lt;=1),"Rara vez",IF((INDEX('[3]Riesgos de Corrupción'!$B$11:$V$100,MATCH('Controles de Corrupción'!C83,'[3]Riesgos de Corrupción'!$B$11:$B$100,0),17)-AH83&lt;=2),"Improbable",IF((INDEX('[3]Riesgos de Corrupción'!$B$11:$V$100,MATCH('Controles de Corrupción'!C83,'[3]Riesgos de Corrupción'!$B$11:$B$100,0),17)-AH83&lt;=3),"Posible",IF((INDEX('[3]Riesgos de Corrupción'!$B$11:$V$100,MATCH('Controles de Corrupción'!C83,'[3]Riesgos de Corrupción'!$B$11:$B$100,0),17)-AH83&lt;=4),"Probable",IF((INDEX('[3]Riesgos de Corrupción'!$B$11:$V$100,MATCH('Controles de Corrupción'!C83,'[3]Riesgos de Corrupción'!$B$11:$B$100,0),17)-AH83&lt;=5),"Casi seguro")))))," ")</f>
        <v xml:space="preserve"> </v>
      </c>
      <c r="AJ83" s="8" t="str">
        <f>IFERROR(IF(OR(AND(AF83="Fuerte",H83="No disminuye"),AND(AF83="Moderado",H83="Indirectamente"),AND(AF83="Moderado",H83="No disminuye"),AND(INDEX('[3]Riesgos de Corrupción'!$B$11:$BN$100,MATCH('Controles de Corrupción'!C83,'[3]Riesgos de Corrupción'!$B$11:$B$100,0),63)="Moderado")),0,IF(OR(AND(AF83="Fuerte",H83="Indirectamente"),AND(AF83="Moderado",H83="Directamente"),AND(INDEX('[3]Riesgos de Corrupción'!$B$11:$BN$100,MATCH('Controles de Corrupción'!C83,'[3]Riesgos de Corrupción'!$B$11:$B$100,0),63)="Mayor")),1,IF(AND(AF83="Fuerte",H83="Directamente",AND(INDEX('[3]Riesgos de Corrupción'!$B$11:$BN$100,MATCH('Controles de Corrupción'!C83,'[3]Riesgos de Corrupción'!$B$11:$B$100,0),63)="Catastrófico")),2)))," ")</f>
        <v xml:space="preserve"> </v>
      </c>
      <c r="AK83" s="19" t="str">
        <f t="shared" si="41"/>
        <v xml:space="preserve"> </v>
      </c>
      <c r="AL83" s="19" t="str">
        <f>IFERROR(IF((INDEX('[3]Riesgos de Corrupción'!$B$11:$BN$100,MATCH('Controles de Corrupción'!C83,'[3]Riesgos de Corrupción'!$B$11:$B$100,0),62)-AK83&lt;=3),"Moderado",IF((INDEX('[3]Riesgos de Corrupción'!$B$11:$BN$100,MATCH('Controles de Corrupción'!C83,'[3]Riesgos de Corrupción'!$B$11:$B$100,0),62)-AK83&lt;=4),"Mayor",IF((INDEX('[3]Riesgos de Corrupción'!$B$11:$BN$100,MATCH('Controles de Corrupción'!C83,'[3]Riesgos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0" t="str">
        <f t="shared" si="28"/>
        <v>-</v>
      </c>
      <c r="C84" s="188"/>
      <c r="D84" s="170"/>
      <c r="E84" s="171"/>
      <c r="F84" s="129"/>
      <c r="G84" s="128"/>
      <c r="H84" s="23"/>
      <c r="I84" s="18"/>
      <c r="J84" s="80">
        <f t="shared" si="44"/>
        <v>0</v>
      </c>
      <c r="K84" s="18"/>
      <c r="L84" s="80">
        <f t="shared" si="45"/>
        <v>0</v>
      </c>
      <c r="M84" s="18"/>
      <c r="N84" s="80">
        <f t="shared" si="46"/>
        <v>0</v>
      </c>
      <c r="O84" s="18"/>
      <c r="P84" s="80">
        <f t="shared" si="47"/>
        <v>0</v>
      </c>
      <c r="Q84" s="18"/>
      <c r="R84" s="80">
        <f t="shared" si="48"/>
        <v>0</v>
      </c>
      <c r="S84" s="18"/>
      <c r="T84" s="80">
        <f t="shared" si="49"/>
        <v>0</v>
      </c>
      <c r="U84" s="18"/>
      <c r="V84" s="80">
        <f t="shared" si="29"/>
        <v>0</v>
      </c>
      <c r="W84" s="19" t="str">
        <f t="shared" si="30"/>
        <v xml:space="preserve"> </v>
      </c>
      <c r="X84" s="19" t="str">
        <f t="shared" si="31"/>
        <v xml:space="preserve"> </v>
      </c>
      <c r="Y84" s="19" t="str">
        <f t="shared" si="32"/>
        <v/>
      </c>
      <c r="Z84" s="23"/>
      <c r="AA84" s="19" t="str">
        <f t="shared" si="33"/>
        <v/>
      </c>
      <c r="AB84" s="19" t="str">
        <f t="shared" si="34"/>
        <v xml:space="preserve"> </v>
      </c>
      <c r="AC84" s="19" t="str">
        <f t="shared" si="35"/>
        <v/>
      </c>
      <c r="AD84" s="19" t="str">
        <f t="shared" si="36"/>
        <v xml:space="preserve"> </v>
      </c>
      <c r="AE84" s="125" t="str">
        <f t="shared" si="37"/>
        <v xml:space="preserve"> </v>
      </c>
      <c r="AF84" s="19" t="str">
        <f t="shared" si="38"/>
        <v xml:space="preserve"> </v>
      </c>
      <c r="AG84" s="50">
        <f t="shared" si="39"/>
        <v>0</v>
      </c>
      <c r="AH84" s="50" t="str">
        <f t="shared" si="40"/>
        <v xml:space="preserve"> </v>
      </c>
      <c r="AI84" s="36" t="str">
        <f>IFERROR(IF((INDEX('[3]Riesgos de Corrupción'!$B$11:$V$100,MATCH('Controles de Corrupción'!C84,'[3]Riesgos de Corrupción'!$B$11:$B$100,0),17)-AH84&lt;=1),"Rara vez",IF((INDEX('[3]Riesgos de Corrupción'!$B$11:$V$100,MATCH('Controles de Corrupción'!C84,'[3]Riesgos de Corrupción'!$B$11:$B$100,0),17)-AH84&lt;=2),"Improbable",IF((INDEX('[3]Riesgos de Corrupción'!$B$11:$V$100,MATCH('Controles de Corrupción'!C84,'[3]Riesgos de Corrupción'!$B$11:$B$100,0),17)-AH84&lt;=3),"Posible",IF((INDEX('[3]Riesgos de Corrupción'!$B$11:$V$100,MATCH('Controles de Corrupción'!C84,'[3]Riesgos de Corrupción'!$B$11:$B$100,0),17)-AH84&lt;=4),"Probable",IF((INDEX('[3]Riesgos de Corrupción'!$B$11:$V$100,MATCH('Controles de Corrupción'!C84,'[3]Riesgos de Corrupción'!$B$11:$B$100,0),17)-AH84&lt;=5),"Casi seguro")))))," ")</f>
        <v xml:space="preserve"> </v>
      </c>
      <c r="AJ84" s="8" t="str">
        <f>IFERROR(IF(OR(AND(AF84="Fuerte",H84="No disminuye"),AND(AF84="Moderado",H84="Indirectamente"),AND(AF84="Moderado",H84="No disminuye"),AND(INDEX('[3]Riesgos de Corrupción'!$B$11:$BN$100,MATCH('Controles de Corrupción'!C84,'[3]Riesgos de Corrupción'!$B$11:$B$100,0),63)="Moderado")),0,IF(OR(AND(AF84="Fuerte",H84="Indirectamente"),AND(AF84="Moderado",H84="Directamente"),AND(INDEX('[3]Riesgos de Corrupción'!$B$11:$BN$100,MATCH('Controles de Corrupción'!C84,'[3]Riesgos de Corrupción'!$B$11:$B$100,0),63)="Mayor")),1,IF(AND(AF84="Fuerte",H84="Directamente",AND(INDEX('[3]Riesgos de Corrupción'!$B$11:$BN$100,MATCH('Controles de Corrupción'!C84,'[3]Riesgos de Corrupción'!$B$11:$B$100,0),63)="Catastrófico")),2)))," ")</f>
        <v xml:space="preserve"> </v>
      </c>
      <c r="AK84" s="19" t="str">
        <f t="shared" si="41"/>
        <v xml:space="preserve"> </v>
      </c>
      <c r="AL84" s="19" t="str">
        <f>IFERROR(IF((INDEX('[3]Riesgos de Corrupción'!$B$11:$BN$100,MATCH('Controles de Corrupción'!C84,'[3]Riesgos de Corrupción'!$B$11:$B$100,0),62)-AK84&lt;=3),"Moderado",IF((INDEX('[3]Riesgos de Corrupción'!$B$11:$BN$100,MATCH('Controles de Corrupción'!C84,'[3]Riesgos de Corrupción'!$B$11:$B$100,0),62)-AK84&lt;=4),"Mayor",IF((INDEX('[3]Riesgos de Corrupción'!$B$11:$BN$100,MATCH('Controles de Corrupción'!C84,'[3]Riesgos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0" t="str">
        <f t="shared" si="28"/>
        <v>-</v>
      </c>
      <c r="C85" s="188"/>
      <c r="D85" s="170"/>
      <c r="E85" s="171"/>
      <c r="F85" s="129"/>
      <c r="G85" s="128"/>
      <c r="H85" s="23"/>
      <c r="I85" s="18"/>
      <c r="J85" s="80">
        <f t="shared" si="44"/>
        <v>0</v>
      </c>
      <c r="K85" s="18"/>
      <c r="L85" s="80">
        <f t="shared" si="45"/>
        <v>0</v>
      </c>
      <c r="M85" s="18"/>
      <c r="N85" s="80">
        <f t="shared" si="46"/>
        <v>0</v>
      </c>
      <c r="O85" s="18"/>
      <c r="P85" s="80">
        <f t="shared" si="47"/>
        <v>0</v>
      </c>
      <c r="Q85" s="18"/>
      <c r="R85" s="80">
        <f t="shared" si="48"/>
        <v>0</v>
      </c>
      <c r="S85" s="18"/>
      <c r="T85" s="80">
        <f t="shared" si="49"/>
        <v>0</v>
      </c>
      <c r="U85" s="18"/>
      <c r="V85" s="80">
        <f t="shared" si="29"/>
        <v>0</v>
      </c>
      <c r="W85" s="19" t="str">
        <f t="shared" si="30"/>
        <v xml:space="preserve"> </v>
      </c>
      <c r="X85" s="19" t="str">
        <f t="shared" si="31"/>
        <v xml:space="preserve"> </v>
      </c>
      <c r="Y85" s="19" t="str">
        <f t="shared" si="32"/>
        <v/>
      </c>
      <c r="Z85" s="23"/>
      <c r="AA85" s="19" t="str">
        <f t="shared" si="33"/>
        <v/>
      </c>
      <c r="AB85" s="19" t="str">
        <f t="shared" si="34"/>
        <v xml:space="preserve"> </v>
      </c>
      <c r="AC85" s="19" t="str">
        <f t="shared" si="35"/>
        <v/>
      </c>
      <c r="AD85" s="19" t="str">
        <f t="shared" si="36"/>
        <v xml:space="preserve"> </v>
      </c>
      <c r="AE85" s="125" t="str">
        <f t="shared" si="37"/>
        <v xml:space="preserve"> </v>
      </c>
      <c r="AF85" s="19" t="str">
        <f t="shared" si="38"/>
        <v xml:space="preserve"> </v>
      </c>
      <c r="AG85" s="50">
        <f t="shared" si="39"/>
        <v>0</v>
      </c>
      <c r="AH85" s="50" t="str">
        <f t="shared" si="40"/>
        <v xml:space="preserve"> </v>
      </c>
      <c r="AI85" s="36" t="str">
        <f>IFERROR(IF((INDEX('[3]Riesgos de Corrupción'!$B$11:$V$100,MATCH('Controles de Corrupción'!C85,'[3]Riesgos de Corrupción'!$B$11:$B$100,0),17)-AH85&lt;=1),"Rara vez",IF((INDEX('[3]Riesgos de Corrupción'!$B$11:$V$100,MATCH('Controles de Corrupción'!C85,'[3]Riesgos de Corrupción'!$B$11:$B$100,0),17)-AH85&lt;=2),"Improbable",IF((INDEX('[3]Riesgos de Corrupción'!$B$11:$V$100,MATCH('Controles de Corrupción'!C85,'[3]Riesgos de Corrupción'!$B$11:$B$100,0),17)-AH85&lt;=3),"Posible",IF((INDEX('[3]Riesgos de Corrupción'!$B$11:$V$100,MATCH('Controles de Corrupción'!C85,'[3]Riesgos de Corrupción'!$B$11:$B$100,0),17)-AH85&lt;=4),"Probable",IF((INDEX('[3]Riesgos de Corrupción'!$B$11:$V$100,MATCH('Controles de Corrupción'!C85,'[3]Riesgos de Corrupción'!$B$11:$B$100,0),17)-AH85&lt;=5),"Casi seguro")))))," ")</f>
        <v xml:space="preserve"> </v>
      </c>
      <c r="AJ85" s="8" t="str">
        <f>IFERROR(IF(OR(AND(AF85="Fuerte",H85="No disminuye"),AND(AF85="Moderado",H85="Indirectamente"),AND(AF85="Moderado",H85="No disminuye"),AND(INDEX('[3]Riesgos de Corrupción'!$B$11:$BN$100,MATCH('Controles de Corrupción'!C85,'[3]Riesgos de Corrupción'!$B$11:$B$100,0),63)="Moderado")),0,IF(OR(AND(AF85="Fuerte",H85="Indirectamente"),AND(AF85="Moderado",H85="Directamente"),AND(INDEX('[3]Riesgos de Corrupción'!$B$11:$BN$100,MATCH('Controles de Corrupción'!C85,'[3]Riesgos de Corrupción'!$B$11:$B$100,0),63)="Mayor")),1,IF(AND(AF85="Fuerte",H85="Directamente",AND(INDEX('[3]Riesgos de Corrupción'!$B$11:$BN$100,MATCH('Controles de Corrupción'!C85,'[3]Riesgos de Corrupción'!$B$11:$B$100,0),63)="Catastrófico")),2)))," ")</f>
        <v xml:space="preserve"> </v>
      </c>
      <c r="AK85" s="19" t="str">
        <f t="shared" si="41"/>
        <v xml:space="preserve"> </v>
      </c>
      <c r="AL85" s="19" t="str">
        <f>IFERROR(IF((INDEX('[3]Riesgos de Corrupción'!$B$11:$BN$100,MATCH('Controles de Corrupción'!C85,'[3]Riesgos de Corrupción'!$B$11:$B$100,0),62)-AK85&lt;=3),"Moderado",IF((INDEX('[3]Riesgos de Corrupción'!$B$11:$BN$100,MATCH('Controles de Corrupción'!C85,'[3]Riesgos de Corrupción'!$B$11:$B$100,0),62)-AK85&lt;=4),"Mayor",IF((INDEX('[3]Riesgos de Corrupción'!$B$11:$BN$100,MATCH('Controles de Corrupción'!C85,'[3]Riesgos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0" t="str">
        <f t="shared" si="28"/>
        <v>-</v>
      </c>
      <c r="C86" s="188"/>
      <c r="D86" s="170"/>
      <c r="E86" s="171"/>
      <c r="F86" s="129"/>
      <c r="G86" s="128"/>
      <c r="H86" s="23"/>
      <c r="I86" s="18"/>
      <c r="J86" s="80">
        <f t="shared" si="44"/>
        <v>0</v>
      </c>
      <c r="K86" s="18"/>
      <c r="L86" s="80">
        <f t="shared" si="45"/>
        <v>0</v>
      </c>
      <c r="M86" s="18"/>
      <c r="N86" s="80">
        <f t="shared" si="46"/>
        <v>0</v>
      </c>
      <c r="O86" s="18"/>
      <c r="P86" s="80">
        <f t="shared" si="47"/>
        <v>0</v>
      </c>
      <c r="Q86" s="18"/>
      <c r="R86" s="80">
        <f t="shared" si="48"/>
        <v>0</v>
      </c>
      <c r="S86" s="18"/>
      <c r="T86" s="80">
        <f t="shared" si="49"/>
        <v>0</v>
      </c>
      <c r="U86" s="18"/>
      <c r="V86" s="80">
        <f t="shared" si="29"/>
        <v>0</v>
      </c>
      <c r="W86" s="19" t="str">
        <f t="shared" si="30"/>
        <v xml:space="preserve"> </v>
      </c>
      <c r="X86" s="19" t="str">
        <f t="shared" si="31"/>
        <v xml:space="preserve"> </v>
      </c>
      <c r="Y86" s="19" t="str">
        <f t="shared" si="32"/>
        <v/>
      </c>
      <c r="Z86" s="23"/>
      <c r="AA86" s="19" t="str">
        <f t="shared" si="33"/>
        <v/>
      </c>
      <c r="AB86" s="19" t="str">
        <f t="shared" si="34"/>
        <v xml:space="preserve"> </v>
      </c>
      <c r="AC86" s="19" t="str">
        <f t="shared" si="35"/>
        <v/>
      </c>
      <c r="AD86" s="19" t="str">
        <f t="shared" si="36"/>
        <v xml:space="preserve"> </v>
      </c>
      <c r="AE86" s="125" t="str">
        <f t="shared" si="37"/>
        <v xml:space="preserve"> </v>
      </c>
      <c r="AF86" s="19" t="str">
        <f t="shared" si="38"/>
        <v xml:space="preserve"> </v>
      </c>
      <c r="AG86" s="50">
        <f t="shared" si="39"/>
        <v>0</v>
      </c>
      <c r="AH86" s="50" t="str">
        <f t="shared" si="40"/>
        <v xml:space="preserve"> </v>
      </c>
      <c r="AI86" s="36" t="str">
        <f>IFERROR(IF((INDEX('[3]Riesgos de Corrupción'!$B$11:$V$100,MATCH('Controles de Corrupción'!C86,'[3]Riesgos de Corrupción'!$B$11:$B$100,0),17)-AH86&lt;=1),"Rara vez",IF((INDEX('[3]Riesgos de Corrupción'!$B$11:$V$100,MATCH('Controles de Corrupción'!C86,'[3]Riesgos de Corrupción'!$B$11:$B$100,0),17)-AH86&lt;=2),"Improbable",IF((INDEX('[3]Riesgos de Corrupción'!$B$11:$V$100,MATCH('Controles de Corrupción'!C86,'[3]Riesgos de Corrupción'!$B$11:$B$100,0),17)-AH86&lt;=3),"Posible",IF((INDEX('[3]Riesgos de Corrupción'!$B$11:$V$100,MATCH('Controles de Corrupción'!C86,'[3]Riesgos de Corrupción'!$B$11:$B$100,0),17)-AH86&lt;=4),"Probable",IF((INDEX('[3]Riesgos de Corrupción'!$B$11:$V$100,MATCH('Controles de Corrupción'!C86,'[3]Riesgos de Corrupción'!$B$11:$B$100,0),17)-AH86&lt;=5),"Casi seguro")))))," ")</f>
        <v xml:space="preserve"> </v>
      </c>
      <c r="AJ86" s="8" t="str">
        <f>IFERROR(IF(OR(AND(AF86="Fuerte",H86="No disminuye"),AND(AF86="Moderado",H86="Indirectamente"),AND(AF86="Moderado",H86="No disminuye"),AND(INDEX('[3]Riesgos de Corrupción'!$B$11:$BN$100,MATCH('Controles de Corrupción'!C86,'[3]Riesgos de Corrupción'!$B$11:$B$100,0),63)="Moderado")),0,IF(OR(AND(AF86="Fuerte",H86="Indirectamente"),AND(AF86="Moderado",H86="Directamente"),AND(INDEX('[3]Riesgos de Corrupción'!$B$11:$BN$100,MATCH('Controles de Corrupción'!C86,'[3]Riesgos de Corrupción'!$B$11:$B$100,0),63)="Mayor")),1,IF(AND(AF86="Fuerte",H86="Directamente",AND(INDEX('[3]Riesgos de Corrupción'!$B$11:$BN$100,MATCH('Controles de Corrupción'!C86,'[3]Riesgos de Corrupción'!$B$11:$B$100,0),63)="Catastrófico")),2)))," ")</f>
        <v xml:space="preserve"> </v>
      </c>
      <c r="AK86" s="19" t="str">
        <f t="shared" si="41"/>
        <v xml:space="preserve"> </v>
      </c>
      <c r="AL86" s="19" t="str">
        <f>IFERROR(IF((INDEX('[3]Riesgos de Corrupción'!$B$11:$BN$100,MATCH('Controles de Corrupción'!C86,'[3]Riesgos de Corrupción'!$B$11:$B$100,0),62)-AK86&lt;=3),"Moderado",IF((INDEX('[3]Riesgos de Corrupción'!$B$11:$BN$100,MATCH('Controles de Corrupción'!C86,'[3]Riesgos de Corrupción'!$B$11:$B$100,0),62)-AK86&lt;=4),"Mayor",IF((INDEX('[3]Riesgos de Corrupción'!$B$11:$BN$100,MATCH('Controles de Corrupción'!C86,'[3]Riesgos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0" t="str">
        <f t="shared" si="28"/>
        <v>-</v>
      </c>
      <c r="C87" s="188"/>
      <c r="D87" s="170"/>
      <c r="E87" s="171"/>
      <c r="F87" s="129"/>
      <c r="G87" s="128"/>
      <c r="H87" s="23"/>
      <c r="I87" s="18"/>
      <c r="J87" s="80">
        <f t="shared" si="44"/>
        <v>0</v>
      </c>
      <c r="K87" s="18"/>
      <c r="L87" s="80">
        <f t="shared" si="45"/>
        <v>0</v>
      </c>
      <c r="M87" s="18"/>
      <c r="N87" s="80">
        <f t="shared" si="46"/>
        <v>0</v>
      </c>
      <c r="O87" s="18"/>
      <c r="P87" s="80">
        <f t="shared" si="47"/>
        <v>0</v>
      </c>
      <c r="Q87" s="18"/>
      <c r="R87" s="80">
        <f t="shared" si="48"/>
        <v>0</v>
      </c>
      <c r="S87" s="18"/>
      <c r="T87" s="80">
        <f t="shared" si="49"/>
        <v>0</v>
      </c>
      <c r="U87" s="18"/>
      <c r="V87" s="80">
        <f t="shared" si="29"/>
        <v>0</v>
      </c>
      <c r="W87" s="19" t="str">
        <f t="shared" si="30"/>
        <v xml:space="preserve"> </v>
      </c>
      <c r="X87" s="19" t="str">
        <f t="shared" si="31"/>
        <v xml:space="preserve"> </v>
      </c>
      <c r="Y87" s="19" t="str">
        <f t="shared" si="32"/>
        <v/>
      </c>
      <c r="Z87" s="23"/>
      <c r="AA87" s="19" t="str">
        <f t="shared" si="33"/>
        <v/>
      </c>
      <c r="AB87" s="19" t="str">
        <f t="shared" si="34"/>
        <v xml:space="preserve"> </v>
      </c>
      <c r="AC87" s="19" t="str">
        <f t="shared" si="35"/>
        <v/>
      </c>
      <c r="AD87" s="19" t="str">
        <f t="shared" si="36"/>
        <v xml:space="preserve"> </v>
      </c>
      <c r="AE87" s="125" t="str">
        <f t="shared" si="37"/>
        <v xml:space="preserve"> </v>
      </c>
      <c r="AF87" s="19" t="str">
        <f t="shared" si="38"/>
        <v xml:space="preserve"> </v>
      </c>
      <c r="AG87" s="50">
        <f t="shared" si="39"/>
        <v>0</v>
      </c>
      <c r="AH87" s="50" t="str">
        <f t="shared" si="40"/>
        <v xml:space="preserve"> </v>
      </c>
      <c r="AI87" s="36" t="str">
        <f>IFERROR(IF((INDEX('[3]Riesgos de Corrupción'!$B$11:$V$100,MATCH('Controles de Corrupción'!C87,'[3]Riesgos de Corrupción'!$B$11:$B$100,0),17)-AH87&lt;=1),"Rara vez",IF((INDEX('[3]Riesgos de Corrupción'!$B$11:$V$100,MATCH('Controles de Corrupción'!C87,'[3]Riesgos de Corrupción'!$B$11:$B$100,0),17)-AH87&lt;=2),"Improbable",IF((INDEX('[3]Riesgos de Corrupción'!$B$11:$V$100,MATCH('Controles de Corrupción'!C87,'[3]Riesgos de Corrupción'!$B$11:$B$100,0),17)-AH87&lt;=3),"Posible",IF((INDEX('[3]Riesgos de Corrupción'!$B$11:$V$100,MATCH('Controles de Corrupción'!C87,'[3]Riesgos de Corrupción'!$B$11:$B$100,0),17)-AH87&lt;=4),"Probable",IF((INDEX('[3]Riesgos de Corrupción'!$B$11:$V$100,MATCH('Controles de Corrupción'!C87,'[3]Riesgos de Corrupción'!$B$11:$B$100,0),17)-AH87&lt;=5),"Casi seguro")))))," ")</f>
        <v xml:space="preserve"> </v>
      </c>
      <c r="AJ87" s="8" t="str">
        <f>IFERROR(IF(OR(AND(AF87="Fuerte",H87="No disminuye"),AND(AF87="Moderado",H87="Indirectamente"),AND(AF87="Moderado",H87="No disminuye"),AND(INDEX('[3]Riesgos de Corrupción'!$B$11:$BN$100,MATCH('Controles de Corrupción'!C87,'[3]Riesgos de Corrupción'!$B$11:$B$100,0),63)="Moderado")),0,IF(OR(AND(AF87="Fuerte",H87="Indirectamente"),AND(AF87="Moderado",H87="Directamente"),AND(INDEX('[3]Riesgos de Corrupción'!$B$11:$BN$100,MATCH('Controles de Corrupción'!C87,'[3]Riesgos de Corrupción'!$B$11:$B$100,0),63)="Mayor")),1,IF(AND(AF87="Fuerte",H87="Directamente",AND(INDEX('[3]Riesgos de Corrupción'!$B$11:$BN$100,MATCH('Controles de Corrupción'!C87,'[3]Riesgos de Corrupción'!$B$11:$B$100,0),63)="Catastrófico")),2)))," ")</f>
        <v xml:space="preserve"> </v>
      </c>
      <c r="AK87" s="19" t="str">
        <f t="shared" si="41"/>
        <v xml:space="preserve"> </v>
      </c>
      <c r="AL87" s="19" t="str">
        <f>IFERROR(IF((INDEX('[3]Riesgos de Corrupción'!$B$11:$BN$100,MATCH('Controles de Corrupción'!C87,'[3]Riesgos de Corrupción'!$B$11:$B$100,0),62)-AK87&lt;=3),"Moderado",IF((INDEX('[3]Riesgos de Corrupción'!$B$11:$BN$100,MATCH('Controles de Corrupción'!C87,'[3]Riesgos de Corrupción'!$B$11:$B$100,0),62)-AK87&lt;=4),"Mayor",IF((INDEX('[3]Riesgos de Corrupción'!$B$11:$BN$100,MATCH('Controles de Corrupción'!C87,'[3]Riesgos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0" t="str">
        <f t="shared" si="28"/>
        <v>-</v>
      </c>
      <c r="C88" s="188"/>
      <c r="D88" s="170"/>
      <c r="E88" s="171"/>
      <c r="F88" s="129"/>
      <c r="G88" s="128"/>
      <c r="H88" s="23"/>
      <c r="I88" s="18"/>
      <c r="J88" s="80">
        <f t="shared" si="44"/>
        <v>0</v>
      </c>
      <c r="K88" s="18"/>
      <c r="L88" s="80">
        <f t="shared" si="45"/>
        <v>0</v>
      </c>
      <c r="M88" s="18"/>
      <c r="N88" s="80">
        <f t="shared" si="46"/>
        <v>0</v>
      </c>
      <c r="O88" s="18"/>
      <c r="P88" s="80">
        <f t="shared" si="47"/>
        <v>0</v>
      </c>
      <c r="Q88" s="18"/>
      <c r="R88" s="80">
        <f t="shared" si="48"/>
        <v>0</v>
      </c>
      <c r="S88" s="18"/>
      <c r="T88" s="80">
        <f t="shared" si="49"/>
        <v>0</v>
      </c>
      <c r="U88" s="18"/>
      <c r="V88" s="80">
        <f t="shared" si="29"/>
        <v>0</v>
      </c>
      <c r="W88" s="19" t="str">
        <f t="shared" si="30"/>
        <v xml:space="preserve"> </v>
      </c>
      <c r="X88" s="19" t="str">
        <f t="shared" si="31"/>
        <v xml:space="preserve"> </v>
      </c>
      <c r="Y88" s="19" t="str">
        <f t="shared" si="32"/>
        <v/>
      </c>
      <c r="Z88" s="23"/>
      <c r="AA88" s="19" t="str">
        <f t="shared" si="33"/>
        <v/>
      </c>
      <c r="AB88" s="19" t="str">
        <f t="shared" si="34"/>
        <v xml:space="preserve"> </v>
      </c>
      <c r="AC88" s="19" t="str">
        <f t="shared" si="35"/>
        <v/>
      </c>
      <c r="AD88" s="19" t="str">
        <f t="shared" si="36"/>
        <v xml:space="preserve"> </v>
      </c>
      <c r="AE88" s="125" t="str">
        <f t="shared" si="37"/>
        <v xml:space="preserve"> </v>
      </c>
      <c r="AF88" s="19" t="str">
        <f t="shared" si="38"/>
        <v xml:space="preserve"> </v>
      </c>
      <c r="AG88" s="50">
        <f t="shared" si="39"/>
        <v>0</v>
      </c>
      <c r="AH88" s="50" t="str">
        <f t="shared" si="40"/>
        <v xml:space="preserve"> </v>
      </c>
      <c r="AI88" s="36" t="str">
        <f>IFERROR(IF((INDEX('[3]Riesgos de Corrupción'!$B$11:$V$100,MATCH('Controles de Corrupción'!C88,'[3]Riesgos de Corrupción'!$B$11:$B$100,0),17)-AH88&lt;=1),"Rara vez",IF((INDEX('[3]Riesgos de Corrupción'!$B$11:$V$100,MATCH('Controles de Corrupción'!C88,'[3]Riesgos de Corrupción'!$B$11:$B$100,0),17)-AH88&lt;=2),"Improbable",IF((INDEX('[3]Riesgos de Corrupción'!$B$11:$V$100,MATCH('Controles de Corrupción'!C88,'[3]Riesgos de Corrupción'!$B$11:$B$100,0),17)-AH88&lt;=3),"Posible",IF((INDEX('[3]Riesgos de Corrupción'!$B$11:$V$100,MATCH('Controles de Corrupción'!C88,'[3]Riesgos de Corrupción'!$B$11:$B$100,0),17)-AH88&lt;=4),"Probable",IF((INDEX('[3]Riesgos de Corrupción'!$B$11:$V$100,MATCH('Controles de Corrupción'!C88,'[3]Riesgos de Corrupción'!$B$11:$B$100,0),17)-AH88&lt;=5),"Casi seguro")))))," ")</f>
        <v xml:space="preserve"> </v>
      </c>
      <c r="AJ88" s="8" t="str">
        <f>IFERROR(IF(OR(AND(AF88="Fuerte",H88="No disminuye"),AND(AF88="Moderado",H88="Indirectamente"),AND(AF88="Moderado",H88="No disminuye"),AND(INDEX('[3]Riesgos de Corrupción'!$B$11:$BN$100,MATCH('Controles de Corrupción'!C88,'[3]Riesgos de Corrupción'!$B$11:$B$100,0),63)="Moderado")),0,IF(OR(AND(AF88="Fuerte",H88="Indirectamente"),AND(AF88="Moderado",H88="Directamente"),AND(INDEX('[3]Riesgos de Corrupción'!$B$11:$BN$100,MATCH('Controles de Corrupción'!C88,'[3]Riesgos de Corrupción'!$B$11:$B$100,0),63)="Mayor")),1,IF(AND(AF88="Fuerte",H88="Directamente",AND(INDEX('[3]Riesgos de Corrupción'!$B$11:$BN$100,MATCH('Controles de Corrupción'!C88,'[3]Riesgos de Corrupción'!$B$11:$B$100,0),63)="Catastrófico")),2)))," ")</f>
        <v xml:space="preserve"> </v>
      </c>
      <c r="AK88" s="19" t="str">
        <f t="shared" si="41"/>
        <v xml:space="preserve"> </v>
      </c>
      <c r="AL88" s="19" t="str">
        <f>IFERROR(IF((INDEX('[3]Riesgos de Corrupción'!$B$11:$BN$100,MATCH('Controles de Corrupción'!C88,'[3]Riesgos de Corrupción'!$B$11:$B$100,0),62)-AK88&lt;=3),"Moderado",IF((INDEX('[3]Riesgos de Corrupción'!$B$11:$BN$100,MATCH('Controles de Corrupción'!C88,'[3]Riesgos de Corrupción'!$B$11:$B$100,0),62)-AK88&lt;=4),"Mayor",IF((INDEX('[3]Riesgos de Corrupción'!$B$11:$BN$100,MATCH('Controles de Corrupción'!C88,'[3]Riesgos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0" t="str">
        <f t="shared" si="28"/>
        <v>-</v>
      </c>
      <c r="C89" s="188"/>
      <c r="D89" s="170"/>
      <c r="E89" s="171"/>
      <c r="F89" s="129"/>
      <c r="G89" s="128"/>
      <c r="H89" s="23"/>
      <c r="I89" s="18"/>
      <c r="J89" s="80">
        <f t="shared" si="44"/>
        <v>0</v>
      </c>
      <c r="K89" s="18"/>
      <c r="L89" s="80">
        <f t="shared" si="45"/>
        <v>0</v>
      </c>
      <c r="M89" s="18"/>
      <c r="N89" s="80">
        <f t="shared" si="46"/>
        <v>0</v>
      </c>
      <c r="O89" s="18"/>
      <c r="P89" s="80">
        <f t="shared" si="47"/>
        <v>0</v>
      </c>
      <c r="Q89" s="18"/>
      <c r="R89" s="80">
        <f t="shared" si="48"/>
        <v>0</v>
      </c>
      <c r="S89" s="18"/>
      <c r="T89" s="80">
        <f t="shared" si="49"/>
        <v>0</v>
      </c>
      <c r="U89" s="18"/>
      <c r="V89" s="80">
        <f t="shared" si="29"/>
        <v>0</v>
      </c>
      <c r="W89" s="19" t="str">
        <f t="shared" si="30"/>
        <v xml:space="preserve"> </v>
      </c>
      <c r="X89" s="19" t="str">
        <f t="shared" si="31"/>
        <v xml:space="preserve"> </v>
      </c>
      <c r="Y89" s="19" t="str">
        <f t="shared" si="32"/>
        <v/>
      </c>
      <c r="Z89" s="23"/>
      <c r="AA89" s="19" t="str">
        <f t="shared" si="33"/>
        <v/>
      </c>
      <c r="AB89" s="19" t="str">
        <f t="shared" si="34"/>
        <v xml:space="preserve"> </v>
      </c>
      <c r="AC89" s="19" t="str">
        <f t="shared" si="35"/>
        <v/>
      </c>
      <c r="AD89" s="19" t="str">
        <f t="shared" si="36"/>
        <v xml:space="preserve"> </v>
      </c>
      <c r="AE89" s="125" t="str">
        <f t="shared" si="37"/>
        <v xml:space="preserve"> </v>
      </c>
      <c r="AF89" s="19" t="str">
        <f t="shared" si="38"/>
        <v xml:space="preserve"> </v>
      </c>
      <c r="AG89" s="50">
        <f t="shared" si="39"/>
        <v>0</v>
      </c>
      <c r="AH89" s="50" t="str">
        <f t="shared" si="40"/>
        <v xml:space="preserve"> </v>
      </c>
      <c r="AI89" s="36" t="str">
        <f>IFERROR(IF((INDEX('[3]Riesgos de Corrupción'!$B$11:$V$100,MATCH('Controles de Corrupción'!C89,'[3]Riesgos de Corrupción'!$B$11:$B$100,0),17)-AH89&lt;=1),"Rara vez",IF((INDEX('[3]Riesgos de Corrupción'!$B$11:$V$100,MATCH('Controles de Corrupción'!C89,'[3]Riesgos de Corrupción'!$B$11:$B$100,0),17)-AH89&lt;=2),"Improbable",IF((INDEX('[3]Riesgos de Corrupción'!$B$11:$V$100,MATCH('Controles de Corrupción'!C89,'[3]Riesgos de Corrupción'!$B$11:$B$100,0),17)-AH89&lt;=3),"Posible",IF((INDEX('[3]Riesgos de Corrupción'!$B$11:$V$100,MATCH('Controles de Corrupción'!C89,'[3]Riesgos de Corrupción'!$B$11:$B$100,0),17)-AH89&lt;=4),"Probable",IF((INDEX('[3]Riesgos de Corrupción'!$B$11:$V$100,MATCH('Controles de Corrupción'!C89,'[3]Riesgos de Corrupción'!$B$11:$B$100,0),17)-AH89&lt;=5),"Casi seguro")))))," ")</f>
        <v xml:space="preserve"> </v>
      </c>
      <c r="AJ89" s="8" t="str">
        <f>IFERROR(IF(OR(AND(AF89="Fuerte",H89="No disminuye"),AND(AF89="Moderado",H89="Indirectamente"),AND(AF89="Moderado",H89="No disminuye"),AND(INDEX('[3]Riesgos de Corrupción'!$B$11:$BN$100,MATCH('Controles de Corrupción'!C89,'[3]Riesgos de Corrupción'!$B$11:$B$100,0),63)="Moderado")),0,IF(OR(AND(AF89="Fuerte",H89="Indirectamente"),AND(AF89="Moderado",H89="Directamente"),AND(INDEX('[3]Riesgos de Corrupción'!$B$11:$BN$100,MATCH('Controles de Corrupción'!C89,'[3]Riesgos de Corrupción'!$B$11:$B$100,0),63)="Mayor")),1,IF(AND(AF89="Fuerte",H89="Directamente",AND(INDEX('[3]Riesgos de Corrupción'!$B$11:$BN$100,MATCH('Controles de Corrupción'!C89,'[3]Riesgos de Corrupción'!$B$11:$B$100,0),63)="Catastrófico")),2)))," ")</f>
        <v xml:space="preserve"> </v>
      </c>
      <c r="AK89" s="19" t="str">
        <f t="shared" si="41"/>
        <v xml:space="preserve"> </v>
      </c>
      <c r="AL89" s="19" t="str">
        <f>IFERROR(IF((INDEX('[3]Riesgos de Corrupción'!$B$11:$BN$100,MATCH('Controles de Corrupción'!C89,'[3]Riesgos de Corrupción'!$B$11:$B$100,0),62)-AK89&lt;=3),"Moderado",IF((INDEX('[3]Riesgos de Corrupción'!$B$11:$BN$100,MATCH('Controles de Corrupción'!C89,'[3]Riesgos de Corrupción'!$B$11:$B$100,0),62)-AK89&lt;=4),"Mayor",IF((INDEX('[3]Riesgos de Corrupción'!$B$11:$BN$100,MATCH('Controles de Corrupción'!C89,'[3]Riesgos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0" t="str">
        <f t="shared" si="28"/>
        <v>-</v>
      </c>
      <c r="C90" s="188"/>
      <c r="D90" s="170"/>
      <c r="E90" s="171"/>
      <c r="F90" s="129"/>
      <c r="G90" s="128"/>
      <c r="H90" s="23"/>
      <c r="I90" s="18"/>
      <c r="J90" s="80">
        <f t="shared" si="44"/>
        <v>0</v>
      </c>
      <c r="K90" s="18"/>
      <c r="L90" s="80">
        <f t="shared" si="45"/>
        <v>0</v>
      </c>
      <c r="M90" s="18"/>
      <c r="N90" s="80">
        <f t="shared" si="46"/>
        <v>0</v>
      </c>
      <c r="O90" s="18"/>
      <c r="P90" s="80">
        <f t="shared" si="47"/>
        <v>0</v>
      </c>
      <c r="Q90" s="18"/>
      <c r="R90" s="80">
        <f t="shared" si="48"/>
        <v>0</v>
      </c>
      <c r="S90" s="18"/>
      <c r="T90" s="80">
        <f t="shared" si="49"/>
        <v>0</v>
      </c>
      <c r="U90" s="18"/>
      <c r="V90" s="80">
        <f t="shared" si="29"/>
        <v>0</v>
      </c>
      <c r="W90" s="19" t="str">
        <f t="shared" si="30"/>
        <v xml:space="preserve"> </v>
      </c>
      <c r="X90" s="19" t="str">
        <f t="shared" si="31"/>
        <v xml:space="preserve"> </v>
      </c>
      <c r="Y90" s="19" t="str">
        <f t="shared" si="32"/>
        <v/>
      </c>
      <c r="Z90" s="23"/>
      <c r="AA90" s="19" t="str">
        <f t="shared" si="33"/>
        <v/>
      </c>
      <c r="AB90" s="19" t="str">
        <f t="shared" si="34"/>
        <v xml:space="preserve"> </v>
      </c>
      <c r="AC90" s="19" t="str">
        <f t="shared" si="35"/>
        <v/>
      </c>
      <c r="AD90" s="19" t="str">
        <f t="shared" si="36"/>
        <v xml:space="preserve"> </v>
      </c>
      <c r="AE90" s="125" t="str">
        <f t="shared" si="37"/>
        <v xml:space="preserve"> </v>
      </c>
      <c r="AF90" s="19" t="str">
        <f t="shared" si="38"/>
        <v xml:space="preserve"> </v>
      </c>
      <c r="AG90" s="50">
        <f t="shared" si="39"/>
        <v>0</v>
      </c>
      <c r="AH90" s="50" t="str">
        <f t="shared" si="40"/>
        <v xml:space="preserve"> </v>
      </c>
      <c r="AI90" s="36" t="str">
        <f>IFERROR(IF((INDEX('[3]Riesgos de Corrupción'!$B$11:$V$100,MATCH('Controles de Corrupción'!C90,'[3]Riesgos de Corrupción'!$B$11:$B$100,0),17)-AH90&lt;=1),"Rara vez",IF((INDEX('[3]Riesgos de Corrupción'!$B$11:$V$100,MATCH('Controles de Corrupción'!C90,'[3]Riesgos de Corrupción'!$B$11:$B$100,0),17)-AH90&lt;=2),"Improbable",IF((INDEX('[3]Riesgos de Corrupción'!$B$11:$V$100,MATCH('Controles de Corrupción'!C90,'[3]Riesgos de Corrupción'!$B$11:$B$100,0),17)-AH90&lt;=3),"Posible",IF((INDEX('[3]Riesgos de Corrupción'!$B$11:$V$100,MATCH('Controles de Corrupción'!C90,'[3]Riesgos de Corrupción'!$B$11:$B$100,0),17)-AH90&lt;=4),"Probable",IF((INDEX('[3]Riesgos de Corrupción'!$B$11:$V$100,MATCH('Controles de Corrupción'!C90,'[3]Riesgos de Corrupción'!$B$11:$B$100,0),17)-AH90&lt;=5),"Casi seguro")))))," ")</f>
        <v xml:space="preserve"> </v>
      </c>
      <c r="AJ90" s="8" t="str">
        <f>IFERROR(IF(OR(AND(AF90="Fuerte",H90="No disminuye"),AND(AF90="Moderado",H90="Indirectamente"),AND(AF90="Moderado",H90="No disminuye"),AND(INDEX('[3]Riesgos de Corrupción'!$B$11:$BN$100,MATCH('Controles de Corrupción'!C90,'[3]Riesgos de Corrupción'!$B$11:$B$100,0),63)="Moderado")),0,IF(OR(AND(AF90="Fuerte",H90="Indirectamente"),AND(AF90="Moderado",H90="Directamente"),AND(INDEX('[3]Riesgos de Corrupción'!$B$11:$BN$100,MATCH('Controles de Corrupción'!C90,'[3]Riesgos de Corrupción'!$B$11:$B$100,0),63)="Mayor")),1,IF(AND(AF90="Fuerte",H90="Directamente",AND(INDEX('[3]Riesgos de Corrupción'!$B$11:$BN$100,MATCH('Controles de Corrupción'!C90,'[3]Riesgos de Corrupción'!$B$11:$B$100,0),63)="Catastrófico")),2)))," ")</f>
        <v xml:space="preserve"> </v>
      </c>
      <c r="AK90" s="19" t="str">
        <f t="shared" si="41"/>
        <v xml:space="preserve"> </v>
      </c>
      <c r="AL90" s="19" t="str">
        <f>IFERROR(IF((INDEX('[3]Riesgos de Corrupción'!$B$11:$BN$100,MATCH('Controles de Corrupción'!C90,'[3]Riesgos de Corrupción'!$B$11:$B$100,0),62)-AK90&lt;=3),"Moderado",IF((INDEX('[3]Riesgos de Corrupción'!$B$11:$BN$100,MATCH('Controles de Corrupción'!C90,'[3]Riesgos de Corrupción'!$B$11:$B$100,0),62)-AK90&lt;=4),"Mayor",IF((INDEX('[3]Riesgos de Corrupción'!$B$11:$BN$100,MATCH('Controles de Corrupción'!C90,'[3]Riesgos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0" t="str">
        <f t="shared" si="28"/>
        <v>-</v>
      </c>
      <c r="C91" s="188"/>
      <c r="D91" s="170"/>
      <c r="E91" s="171"/>
      <c r="F91" s="129"/>
      <c r="G91" s="128"/>
      <c r="H91" s="23"/>
      <c r="I91" s="18"/>
      <c r="J91" s="80">
        <f t="shared" si="44"/>
        <v>0</v>
      </c>
      <c r="K91" s="18"/>
      <c r="L91" s="80">
        <f t="shared" si="45"/>
        <v>0</v>
      </c>
      <c r="M91" s="18"/>
      <c r="N91" s="80">
        <f t="shared" si="46"/>
        <v>0</v>
      </c>
      <c r="O91" s="18"/>
      <c r="P91" s="80">
        <f t="shared" si="47"/>
        <v>0</v>
      </c>
      <c r="Q91" s="18"/>
      <c r="R91" s="80">
        <f t="shared" si="48"/>
        <v>0</v>
      </c>
      <c r="S91" s="18"/>
      <c r="T91" s="80">
        <f t="shared" si="49"/>
        <v>0</v>
      </c>
      <c r="U91" s="18"/>
      <c r="V91" s="80">
        <f t="shared" si="29"/>
        <v>0</v>
      </c>
      <c r="W91" s="19" t="str">
        <f t="shared" si="30"/>
        <v xml:space="preserve"> </v>
      </c>
      <c r="X91" s="19" t="str">
        <f t="shared" si="31"/>
        <v xml:space="preserve"> </v>
      </c>
      <c r="Y91" s="19" t="str">
        <f t="shared" si="32"/>
        <v/>
      </c>
      <c r="Z91" s="23"/>
      <c r="AA91" s="19" t="str">
        <f t="shared" si="33"/>
        <v/>
      </c>
      <c r="AB91" s="19" t="str">
        <f t="shared" si="34"/>
        <v xml:space="preserve"> </v>
      </c>
      <c r="AC91" s="19" t="str">
        <f t="shared" si="35"/>
        <v/>
      </c>
      <c r="AD91" s="19" t="str">
        <f t="shared" si="36"/>
        <v xml:space="preserve"> </v>
      </c>
      <c r="AE91" s="125" t="str">
        <f t="shared" si="37"/>
        <v xml:space="preserve"> </v>
      </c>
      <c r="AF91" s="19" t="str">
        <f t="shared" si="38"/>
        <v xml:space="preserve"> </v>
      </c>
      <c r="AG91" s="50">
        <f t="shared" si="39"/>
        <v>0</v>
      </c>
      <c r="AH91" s="50" t="str">
        <f t="shared" si="40"/>
        <v xml:space="preserve"> </v>
      </c>
      <c r="AI91" s="36" t="str">
        <f>IFERROR(IF((INDEX('[3]Riesgos de Corrupción'!$B$11:$V$100,MATCH('Controles de Corrupción'!C91,'[3]Riesgos de Corrupción'!$B$11:$B$100,0),17)-AH91&lt;=1),"Rara vez",IF((INDEX('[3]Riesgos de Corrupción'!$B$11:$V$100,MATCH('Controles de Corrupción'!C91,'[3]Riesgos de Corrupción'!$B$11:$B$100,0),17)-AH91&lt;=2),"Improbable",IF((INDEX('[3]Riesgos de Corrupción'!$B$11:$V$100,MATCH('Controles de Corrupción'!C91,'[3]Riesgos de Corrupción'!$B$11:$B$100,0),17)-AH91&lt;=3),"Posible",IF((INDEX('[3]Riesgos de Corrupción'!$B$11:$V$100,MATCH('Controles de Corrupción'!C91,'[3]Riesgos de Corrupción'!$B$11:$B$100,0),17)-AH91&lt;=4),"Probable",IF((INDEX('[3]Riesgos de Corrupción'!$B$11:$V$100,MATCH('Controles de Corrupción'!C91,'[3]Riesgos de Corrupción'!$B$11:$B$100,0),17)-AH91&lt;=5),"Casi seguro")))))," ")</f>
        <v xml:space="preserve"> </v>
      </c>
      <c r="AJ91" s="8" t="str">
        <f>IFERROR(IF(OR(AND(AF91="Fuerte",H91="No disminuye"),AND(AF91="Moderado",H91="Indirectamente"),AND(AF91="Moderado",H91="No disminuye"),AND(INDEX('[3]Riesgos de Corrupción'!$B$11:$BN$100,MATCH('Controles de Corrupción'!C91,'[3]Riesgos de Corrupción'!$B$11:$B$100,0),63)="Moderado")),0,IF(OR(AND(AF91="Fuerte",H91="Indirectamente"),AND(AF91="Moderado",H91="Directamente"),AND(INDEX('[3]Riesgos de Corrupción'!$B$11:$BN$100,MATCH('Controles de Corrupción'!C91,'[3]Riesgos de Corrupción'!$B$11:$B$100,0),63)="Mayor")),1,IF(AND(AF91="Fuerte",H91="Directamente",AND(INDEX('[3]Riesgos de Corrupción'!$B$11:$BN$100,MATCH('Controles de Corrupción'!C91,'[3]Riesgos de Corrupción'!$B$11:$B$100,0),63)="Catastrófico")),2)))," ")</f>
        <v xml:space="preserve"> </v>
      </c>
      <c r="AK91" s="19" t="str">
        <f t="shared" si="41"/>
        <v xml:space="preserve"> </v>
      </c>
      <c r="AL91" s="19" t="str">
        <f>IFERROR(IF((INDEX('[3]Riesgos de Corrupción'!$B$11:$BN$100,MATCH('Controles de Corrupción'!C91,'[3]Riesgos de Corrupción'!$B$11:$B$100,0),62)-AK91&lt;=3),"Moderado",IF((INDEX('[3]Riesgos de Corrupción'!$B$11:$BN$100,MATCH('Controles de Corrupción'!C91,'[3]Riesgos de Corrupción'!$B$11:$B$100,0),62)-AK91&lt;=4),"Mayor",IF((INDEX('[3]Riesgos de Corrupción'!$B$11:$BN$100,MATCH('Controles de Corrupción'!C91,'[3]Riesgos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0" t="str">
        <f t="shared" si="28"/>
        <v>-</v>
      </c>
      <c r="C92" s="188"/>
      <c r="D92" s="170"/>
      <c r="E92" s="171"/>
      <c r="F92" s="129"/>
      <c r="G92" s="128"/>
      <c r="H92" s="23"/>
      <c r="I92" s="18"/>
      <c r="J92" s="80">
        <f t="shared" si="44"/>
        <v>0</v>
      </c>
      <c r="K92" s="18"/>
      <c r="L92" s="80">
        <f t="shared" si="45"/>
        <v>0</v>
      </c>
      <c r="M92" s="18"/>
      <c r="N92" s="80">
        <f t="shared" si="46"/>
        <v>0</v>
      </c>
      <c r="O92" s="18"/>
      <c r="P92" s="80">
        <f t="shared" si="47"/>
        <v>0</v>
      </c>
      <c r="Q92" s="18"/>
      <c r="R92" s="80">
        <f t="shared" si="48"/>
        <v>0</v>
      </c>
      <c r="S92" s="18"/>
      <c r="T92" s="80">
        <f t="shared" si="49"/>
        <v>0</v>
      </c>
      <c r="U92" s="18"/>
      <c r="V92" s="80">
        <f t="shared" si="29"/>
        <v>0</v>
      </c>
      <c r="W92" s="19" t="str">
        <f t="shared" si="30"/>
        <v xml:space="preserve"> </v>
      </c>
      <c r="X92" s="19" t="str">
        <f t="shared" si="31"/>
        <v xml:space="preserve"> </v>
      </c>
      <c r="Y92" s="19" t="str">
        <f t="shared" si="32"/>
        <v/>
      </c>
      <c r="Z92" s="23"/>
      <c r="AA92" s="19" t="str">
        <f t="shared" si="33"/>
        <v/>
      </c>
      <c r="AB92" s="19" t="str">
        <f t="shared" si="34"/>
        <v xml:space="preserve"> </v>
      </c>
      <c r="AC92" s="19" t="str">
        <f t="shared" si="35"/>
        <v/>
      </c>
      <c r="AD92" s="19" t="str">
        <f t="shared" si="36"/>
        <v xml:space="preserve"> </v>
      </c>
      <c r="AE92" s="125" t="str">
        <f t="shared" si="37"/>
        <v xml:space="preserve"> </v>
      </c>
      <c r="AF92" s="19" t="str">
        <f t="shared" si="38"/>
        <v xml:space="preserve"> </v>
      </c>
      <c r="AG92" s="50">
        <f t="shared" si="39"/>
        <v>0</v>
      </c>
      <c r="AH92" s="50" t="str">
        <f t="shared" si="40"/>
        <v xml:space="preserve"> </v>
      </c>
      <c r="AI92" s="36" t="str">
        <f>IFERROR(IF((INDEX('[3]Riesgos de Corrupción'!$B$11:$V$100,MATCH('Controles de Corrupción'!C92,'[3]Riesgos de Corrupción'!$B$11:$B$100,0),17)-AH92&lt;=1),"Rara vez",IF((INDEX('[3]Riesgos de Corrupción'!$B$11:$V$100,MATCH('Controles de Corrupción'!C92,'[3]Riesgos de Corrupción'!$B$11:$B$100,0),17)-AH92&lt;=2),"Improbable",IF((INDEX('[3]Riesgos de Corrupción'!$B$11:$V$100,MATCH('Controles de Corrupción'!C92,'[3]Riesgos de Corrupción'!$B$11:$B$100,0),17)-AH92&lt;=3),"Posible",IF((INDEX('[3]Riesgos de Corrupción'!$B$11:$V$100,MATCH('Controles de Corrupción'!C92,'[3]Riesgos de Corrupción'!$B$11:$B$100,0),17)-AH92&lt;=4),"Probable",IF((INDEX('[3]Riesgos de Corrupción'!$B$11:$V$100,MATCH('Controles de Corrupción'!C92,'[3]Riesgos de Corrupción'!$B$11:$B$100,0),17)-AH92&lt;=5),"Casi seguro")))))," ")</f>
        <v xml:space="preserve"> </v>
      </c>
      <c r="AJ92" s="8" t="str">
        <f>IFERROR(IF(OR(AND(AF92="Fuerte",H92="No disminuye"),AND(AF92="Moderado",H92="Indirectamente"),AND(AF92="Moderado",H92="No disminuye"),AND(INDEX('[3]Riesgos de Corrupción'!$B$11:$BN$100,MATCH('Controles de Corrupción'!C92,'[3]Riesgos de Corrupción'!$B$11:$B$100,0),63)="Moderado")),0,IF(OR(AND(AF92="Fuerte",H92="Indirectamente"),AND(AF92="Moderado",H92="Directamente"),AND(INDEX('[3]Riesgos de Corrupción'!$B$11:$BN$100,MATCH('Controles de Corrupción'!C92,'[3]Riesgos de Corrupción'!$B$11:$B$100,0),63)="Mayor")),1,IF(AND(AF92="Fuerte",H92="Directamente",AND(INDEX('[3]Riesgos de Corrupción'!$B$11:$BN$100,MATCH('Controles de Corrupción'!C92,'[3]Riesgos de Corrupción'!$B$11:$B$100,0),63)="Catastrófico")),2)))," ")</f>
        <v xml:space="preserve"> </v>
      </c>
      <c r="AK92" s="19" t="str">
        <f t="shared" si="41"/>
        <v xml:space="preserve"> </v>
      </c>
      <c r="AL92" s="19" t="str">
        <f>IFERROR(IF((INDEX('[3]Riesgos de Corrupción'!$B$11:$BN$100,MATCH('Controles de Corrupción'!C92,'[3]Riesgos de Corrupción'!$B$11:$B$100,0),62)-AK92&lt;=3),"Moderado",IF((INDEX('[3]Riesgos de Corrupción'!$B$11:$BN$100,MATCH('Controles de Corrupción'!C92,'[3]Riesgos de Corrupción'!$B$11:$B$100,0),62)-AK92&lt;=4),"Mayor",IF((INDEX('[3]Riesgos de Corrupción'!$B$11:$BN$100,MATCH('Controles de Corrupción'!C92,'[3]Riesgos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0" t="str">
        <f t="shared" si="28"/>
        <v>-</v>
      </c>
      <c r="C93" s="188"/>
      <c r="D93" s="170"/>
      <c r="E93" s="171"/>
      <c r="F93" s="129"/>
      <c r="G93" s="128"/>
      <c r="H93" s="23"/>
      <c r="I93" s="18"/>
      <c r="J93" s="80">
        <f t="shared" si="44"/>
        <v>0</v>
      </c>
      <c r="K93" s="18"/>
      <c r="L93" s="80">
        <f t="shared" si="45"/>
        <v>0</v>
      </c>
      <c r="M93" s="18"/>
      <c r="N93" s="80">
        <f t="shared" si="46"/>
        <v>0</v>
      </c>
      <c r="O93" s="18"/>
      <c r="P93" s="80">
        <f t="shared" si="47"/>
        <v>0</v>
      </c>
      <c r="Q93" s="18"/>
      <c r="R93" s="80">
        <f t="shared" si="48"/>
        <v>0</v>
      </c>
      <c r="S93" s="18"/>
      <c r="T93" s="80">
        <f t="shared" si="49"/>
        <v>0</v>
      </c>
      <c r="U93" s="18"/>
      <c r="V93" s="80">
        <f t="shared" si="29"/>
        <v>0</v>
      </c>
      <c r="W93" s="19" t="str">
        <f t="shared" si="30"/>
        <v xml:space="preserve"> </v>
      </c>
      <c r="X93" s="19" t="str">
        <f t="shared" si="31"/>
        <v xml:space="preserve"> </v>
      </c>
      <c r="Y93" s="19" t="str">
        <f t="shared" si="32"/>
        <v/>
      </c>
      <c r="Z93" s="23"/>
      <c r="AA93" s="19" t="str">
        <f t="shared" si="33"/>
        <v/>
      </c>
      <c r="AB93" s="19" t="str">
        <f t="shared" si="34"/>
        <v xml:space="preserve"> </v>
      </c>
      <c r="AC93" s="19" t="str">
        <f t="shared" si="35"/>
        <v/>
      </c>
      <c r="AD93" s="19" t="str">
        <f t="shared" si="36"/>
        <v xml:space="preserve"> </v>
      </c>
      <c r="AE93" s="125" t="str">
        <f t="shared" si="37"/>
        <v xml:space="preserve"> </v>
      </c>
      <c r="AF93" s="19" t="str">
        <f t="shared" si="38"/>
        <v xml:space="preserve"> </v>
      </c>
      <c r="AG93" s="50">
        <f t="shared" si="39"/>
        <v>0</v>
      </c>
      <c r="AH93" s="50" t="str">
        <f t="shared" si="40"/>
        <v xml:space="preserve"> </v>
      </c>
      <c r="AI93" s="36" t="str">
        <f>IFERROR(IF((INDEX('[3]Riesgos de Corrupción'!$B$11:$V$100,MATCH('Controles de Corrupción'!C93,'[3]Riesgos de Corrupción'!$B$11:$B$100,0),17)-AH93&lt;=1),"Rara vez",IF((INDEX('[3]Riesgos de Corrupción'!$B$11:$V$100,MATCH('Controles de Corrupción'!C93,'[3]Riesgos de Corrupción'!$B$11:$B$100,0),17)-AH93&lt;=2),"Improbable",IF((INDEX('[3]Riesgos de Corrupción'!$B$11:$V$100,MATCH('Controles de Corrupción'!C93,'[3]Riesgos de Corrupción'!$B$11:$B$100,0),17)-AH93&lt;=3),"Posible",IF((INDEX('[3]Riesgos de Corrupción'!$B$11:$V$100,MATCH('Controles de Corrupción'!C93,'[3]Riesgos de Corrupción'!$B$11:$B$100,0),17)-AH93&lt;=4),"Probable",IF((INDEX('[3]Riesgos de Corrupción'!$B$11:$V$100,MATCH('Controles de Corrupción'!C93,'[3]Riesgos de Corrupción'!$B$11:$B$100,0),17)-AH93&lt;=5),"Casi seguro")))))," ")</f>
        <v xml:space="preserve"> </v>
      </c>
      <c r="AJ93" s="8" t="str">
        <f>IFERROR(IF(OR(AND(AF93="Fuerte",H93="No disminuye"),AND(AF93="Moderado",H93="Indirectamente"),AND(AF93="Moderado",H93="No disminuye"),AND(INDEX('[3]Riesgos de Corrupción'!$B$11:$BN$100,MATCH('Controles de Corrupción'!C93,'[3]Riesgos de Corrupción'!$B$11:$B$100,0),63)="Moderado")),0,IF(OR(AND(AF93="Fuerte",H93="Indirectamente"),AND(AF93="Moderado",H93="Directamente"),AND(INDEX('[3]Riesgos de Corrupción'!$B$11:$BN$100,MATCH('Controles de Corrupción'!C93,'[3]Riesgos de Corrupción'!$B$11:$B$100,0),63)="Mayor")),1,IF(AND(AF93="Fuerte",H93="Directamente",AND(INDEX('[3]Riesgos de Corrupción'!$B$11:$BN$100,MATCH('Controles de Corrupción'!C93,'[3]Riesgos de Corrupción'!$B$11:$B$100,0),63)="Catastrófico")),2)))," ")</f>
        <v xml:space="preserve"> </v>
      </c>
      <c r="AK93" s="19" t="str">
        <f t="shared" si="41"/>
        <v xml:space="preserve"> </v>
      </c>
      <c r="AL93" s="19" t="str">
        <f>IFERROR(IF((INDEX('[3]Riesgos de Corrupción'!$B$11:$BN$100,MATCH('Controles de Corrupción'!C93,'[3]Riesgos de Corrupción'!$B$11:$B$100,0),62)-AK93&lt;=3),"Moderado",IF((INDEX('[3]Riesgos de Corrupción'!$B$11:$BN$100,MATCH('Controles de Corrupción'!C93,'[3]Riesgos de Corrupción'!$B$11:$B$100,0),62)-AK93&lt;=4),"Mayor",IF((INDEX('[3]Riesgos de Corrupción'!$B$11:$BN$100,MATCH('Controles de Corrupción'!C93,'[3]Riesgos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0" t="str">
        <f t="shared" si="28"/>
        <v>-</v>
      </c>
      <c r="C94" s="188"/>
      <c r="D94" s="170"/>
      <c r="E94" s="171"/>
      <c r="F94" s="129"/>
      <c r="G94" s="128"/>
      <c r="H94" s="23"/>
      <c r="I94" s="18"/>
      <c r="J94" s="80">
        <f t="shared" si="44"/>
        <v>0</v>
      </c>
      <c r="K94" s="18"/>
      <c r="L94" s="80">
        <f t="shared" si="45"/>
        <v>0</v>
      </c>
      <c r="M94" s="18"/>
      <c r="N94" s="80">
        <f t="shared" si="46"/>
        <v>0</v>
      </c>
      <c r="O94" s="18"/>
      <c r="P94" s="80">
        <f t="shared" si="47"/>
        <v>0</v>
      </c>
      <c r="Q94" s="18"/>
      <c r="R94" s="80">
        <f t="shared" si="48"/>
        <v>0</v>
      </c>
      <c r="S94" s="18"/>
      <c r="T94" s="80">
        <f t="shared" si="49"/>
        <v>0</v>
      </c>
      <c r="U94" s="18"/>
      <c r="V94" s="80">
        <f t="shared" si="29"/>
        <v>0</v>
      </c>
      <c r="W94" s="19" t="str">
        <f t="shared" si="30"/>
        <v xml:space="preserve"> </v>
      </c>
      <c r="X94" s="19" t="str">
        <f t="shared" si="31"/>
        <v xml:space="preserve"> </v>
      </c>
      <c r="Y94" s="19" t="str">
        <f t="shared" si="32"/>
        <v/>
      </c>
      <c r="Z94" s="23"/>
      <c r="AA94" s="19" t="str">
        <f t="shared" si="33"/>
        <v/>
      </c>
      <c r="AB94" s="19" t="str">
        <f t="shared" si="34"/>
        <v xml:space="preserve"> </v>
      </c>
      <c r="AC94" s="19" t="str">
        <f t="shared" si="35"/>
        <v/>
      </c>
      <c r="AD94" s="19" t="str">
        <f t="shared" si="36"/>
        <v xml:space="preserve"> </v>
      </c>
      <c r="AE94" s="125" t="str">
        <f t="shared" si="37"/>
        <v xml:space="preserve"> </v>
      </c>
      <c r="AF94" s="19" t="str">
        <f t="shared" si="38"/>
        <v xml:space="preserve"> </v>
      </c>
      <c r="AG94" s="50">
        <f t="shared" si="39"/>
        <v>0</v>
      </c>
      <c r="AH94" s="50" t="str">
        <f t="shared" si="40"/>
        <v xml:space="preserve"> </v>
      </c>
      <c r="AI94" s="36" t="str">
        <f>IFERROR(IF((INDEX('[3]Riesgos de Corrupción'!$B$11:$V$100,MATCH('Controles de Corrupción'!C94,'[3]Riesgos de Corrupción'!$B$11:$B$100,0),17)-AH94&lt;=1),"Rara vez",IF((INDEX('[3]Riesgos de Corrupción'!$B$11:$V$100,MATCH('Controles de Corrupción'!C94,'[3]Riesgos de Corrupción'!$B$11:$B$100,0),17)-AH94&lt;=2),"Improbable",IF((INDEX('[3]Riesgos de Corrupción'!$B$11:$V$100,MATCH('Controles de Corrupción'!C94,'[3]Riesgos de Corrupción'!$B$11:$B$100,0),17)-AH94&lt;=3),"Posible",IF((INDEX('[3]Riesgos de Corrupción'!$B$11:$V$100,MATCH('Controles de Corrupción'!C94,'[3]Riesgos de Corrupción'!$B$11:$B$100,0),17)-AH94&lt;=4),"Probable",IF((INDEX('[3]Riesgos de Corrupción'!$B$11:$V$100,MATCH('Controles de Corrupción'!C94,'[3]Riesgos de Corrupción'!$B$11:$B$100,0),17)-AH94&lt;=5),"Casi seguro")))))," ")</f>
        <v xml:space="preserve"> </v>
      </c>
      <c r="AJ94" s="8" t="str">
        <f>IFERROR(IF(OR(AND(AF94="Fuerte",H94="No disminuye"),AND(AF94="Moderado",H94="Indirectamente"),AND(AF94="Moderado",H94="No disminuye"),AND(INDEX('[3]Riesgos de Corrupción'!$B$11:$BN$100,MATCH('Controles de Corrupción'!C94,'[3]Riesgos de Corrupción'!$B$11:$B$100,0),63)="Moderado")),0,IF(OR(AND(AF94="Fuerte",H94="Indirectamente"),AND(AF94="Moderado",H94="Directamente"),AND(INDEX('[3]Riesgos de Corrupción'!$B$11:$BN$100,MATCH('Controles de Corrupción'!C94,'[3]Riesgos de Corrupción'!$B$11:$B$100,0),63)="Mayor")),1,IF(AND(AF94="Fuerte",H94="Directamente",AND(INDEX('[3]Riesgos de Corrupción'!$B$11:$BN$100,MATCH('Controles de Corrupción'!C94,'[3]Riesgos de Corrupción'!$B$11:$B$100,0),63)="Catastrófico")),2)))," ")</f>
        <v xml:space="preserve"> </v>
      </c>
      <c r="AK94" s="19" t="str">
        <f t="shared" si="41"/>
        <v xml:space="preserve"> </v>
      </c>
      <c r="AL94" s="19" t="str">
        <f>IFERROR(IF((INDEX('[3]Riesgos de Corrupción'!$B$11:$BN$100,MATCH('Controles de Corrupción'!C94,'[3]Riesgos de Corrupción'!$B$11:$B$100,0),62)-AK94&lt;=3),"Moderado",IF((INDEX('[3]Riesgos de Corrupción'!$B$11:$BN$100,MATCH('Controles de Corrupción'!C94,'[3]Riesgos de Corrupción'!$B$11:$B$100,0),62)-AK94&lt;=4),"Mayor",IF((INDEX('[3]Riesgos de Corrupción'!$B$11:$BN$100,MATCH('Controles de Corrupción'!C94,'[3]Riesgos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0" t="str">
        <f t="shared" si="28"/>
        <v>-</v>
      </c>
      <c r="C95" s="188"/>
      <c r="D95" s="170"/>
      <c r="E95" s="171"/>
      <c r="F95" s="129"/>
      <c r="G95" s="128"/>
      <c r="H95" s="23"/>
      <c r="I95" s="18"/>
      <c r="J95" s="80">
        <f t="shared" si="44"/>
        <v>0</v>
      </c>
      <c r="K95" s="18"/>
      <c r="L95" s="80">
        <f t="shared" si="45"/>
        <v>0</v>
      </c>
      <c r="M95" s="18"/>
      <c r="N95" s="80">
        <f t="shared" si="46"/>
        <v>0</v>
      </c>
      <c r="O95" s="18"/>
      <c r="P95" s="80">
        <f t="shared" si="47"/>
        <v>0</v>
      </c>
      <c r="Q95" s="18"/>
      <c r="R95" s="80">
        <f t="shared" si="48"/>
        <v>0</v>
      </c>
      <c r="S95" s="18"/>
      <c r="T95" s="80">
        <f t="shared" si="49"/>
        <v>0</v>
      </c>
      <c r="U95" s="18"/>
      <c r="V95" s="80">
        <f t="shared" si="29"/>
        <v>0</v>
      </c>
      <c r="W95" s="19" t="str">
        <f t="shared" si="30"/>
        <v xml:space="preserve"> </v>
      </c>
      <c r="X95" s="19" t="str">
        <f t="shared" si="31"/>
        <v xml:space="preserve"> </v>
      </c>
      <c r="Y95" s="19" t="str">
        <f t="shared" si="32"/>
        <v/>
      </c>
      <c r="Z95" s="23"/>
      <c r="AA95" s="19" t="str">
        <f t="shared" si="33"/>
        <v/>
      </c>
      <c r="AB95" s="19" t="str">
        <f t="shared" si="34"/>
        <v xml:space="preserve"> </v>
      </c>
      <c r="AC95" s="19" t="str">
        <f t="shared" si="35"/>
        <v/>
      </c>
      <c r="AD95" s="19" t="str">
        <f t="shared" si="36"/>
        <v xml:space="preserve"> </v>
      </c>
      <c r="AE95" s="125" t="str">
        <f t="shared" si="37"/>
        <v xml:space="preserve"> </v>
      </c>
      <c r="AF95" s="19" t="str">
        <f t="shared" si="38"/>
        <v xml:space="preserve"> </v>
      </c>
      <c r="AG95" s="50">
        <f t="shared" si="39"/>
        <v>0</v>
      </c>
      <c r="AH95" s="50" t="str">
        <f t="shared" si="40"/>
        <v xml:space="preserve"> </v>
      </c>
      <c r="AI95" s="36" t="str">
        <f>IFERROR(IF((INDEX('[3]Riesgos de Corrupción'!$B$11:$V$100,MATCH('Controles de Corrupción'!C95,'[3]Riesgos de Corrupción'!$B$11:$B$100,0),17)-AH95&lt;=1),"Rara vez",IF((INDEX('[3]Riesgos de Corrupción'!$B$11:$V$100,MATCH('Controles de Corrupción'!C95,'[3]Riesgos de Corrupción'!$B$11:$B$100,0),17)-AH95&lt;=2),"Improbable",IF((INDEX('[3]Riesgos de Corrupción'!$B$11:$V$100,MATCH('Controles de Corrupción'!C95,'[3]Riesgos de Corrupción'!$B$11:$B$100,0),17)-AH95&lt;=3),"Posible",IF((INDEX('[3]Riesgos de Corrupción'!$B$11:$V$100,MATCH('Controles de Corrupción'!C95,'[3]Riesgos de Corrupción'!$B$11:$B$100,0),17)-AH95&lt;=4),"Probable",IF((INDEX('[3]Riesgos de Corrupción'!$B$11:$V$100,MATCH('Controles de Corrupción'!C95,'[3]Riesgos de Corrupción'!$B$11:$B$100,0),17)-AH95&lt;=5),"Casi seguro")))))," ")</f>
        <v xml:space="preserve"> </v>
      </c>
      <c r="AJ95" s="8" t="str">
        <f>IFERROR(IF(OR(AND(AF95="Fuerte",H95="No disminuye"),AND(AF95="Moderado",H95="Indirectamente"),AND(AF95="Moderado",H95="No disminuye"),AND(INDEX('[3]Riesgos de Corrupción'!$B$11:$BN$100,MATCH('Controles de Corrupción'!C95,'[3]Riesgos de Corrupción'!$B$11:$B$100,0),63)="Moderado")),0,IF(OR(AND(AF95="Fuerte",H95="Indirectamente"),AND(AF95="Moderado",H95="Directamente"),AND(INDEX('[3]Riesgos de Corrupción'!$B$11:$BN$100,MATCH('Controles de Corrupción'!C95,'[3]Riesgos de Corrupción'!$B$11:$B$100,0),63)="Mayor")),1,IF(AND(AF95="Fuerte",H95="Directamente",AND(INDEX('[3]Riesgos de Corrupción'!$B$11:$BN$100,MATCH('Controles de Corrupción'!C95,'[3]Riesgos de Corrupción'!$B$11:$B$100,0),63)="Catastrófico")),2)))," ")</f>
        <v xml:space="preserve"> </v>
      </c>
      <c r="AK95" s="19" t="str">
        <f t="shared" si="41"/>
        <v xml:space="preserve"> </v>
      </c>
      <c r="AL95" s="19" t="str">
        <f>IFERROR(IF((INDEX('[3]Riesgos de Corrupción'!$B$11:$BN$100,MATCH('Controles de Corrupción'!C95,'[3]Riesgos de Corrupción'!$B$11:$B$100,0),62)-AK95&lt;=3),"Moderado",IF((INDEX('[3]Riesgos de Corrupción'!$B$11:$BN$100,MATCH('Controles de Corrupción'!C95,'[3]Riesgos de Corrupción'!$B$11:$B$100,0),62)-AK95&lt;=4),"Mayor",IF((INDEX('[3]Riesgos de Corrupción'!$B$11:$BN$100,MATCH('Controles de Corrupción'!C95,'[3]Riesgos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0" t="str">
        <f t="shared" si="28"/>
        <v>-</v>
      </c>
      <c r="C96" s="188"/>
      <c r="D96" s="170"/>
      <c r="E96" s="171"/>
      <c r="F96" s="129"/>
      <c r="G96" s="128"/>
      <c r="H96" s="23"/>
      <c r="I96" s="18"/>
      <c r="J96" s="80">
        <f t="shared" si="44"/>
        <v>0</v>
      </c>
      <c r="K96" s="18"/>
      <c r="L96" s="80">
        <f t="shared" si="45"/>
        <v>0</v>
      </c>
      <c r="M96" s="18"/>
      <c r="N96" s="80">
        <f t="shared" si="46"/>
        <v>0</v>
      </c>
      <c r="O96" s="18"/>
      <c r="P96" s="80">
        <f t="shared" si="47"/>
        <v>0</v>
      </c>
      <c r="Q96" s="18"/>
      <c r="R96" s="80">
        <f t="shared" si="48"/>
        <v>0</v>
      </c>
      <c r="S96" s="18"/>
      <c r="T96" s="80">
        <f t="shared" si="49"/>
        <v>0</v>
      </c>
      <c r="U96" s="18"/>
      <c r="V96" s="80">
        <f t="shared" si="29"/>
        <v>0</v>
      </c>
      <c r="W96" s="19" t="str">
        <f t="shared" si="30"/>
        <v xml:space="preserve"> </v>
      </c>
      <c r="X96" s="19" t="str">
        <f t="shared" si="31"/>
        <v xml:space="preserve"> </v>
      </c>
      <c r="Y96" s="19" t="str">
        <f t="shared" si="32"/>
        <v/>
      </c>
      <c r="Z96" s="23"/>
      <c r="AA96" s="19" t="str">
        <f t="shared" si="33"/>
        <v/>
      </c>
      <c r="AB96" s="19" t="str">
        <f t="shared" si="34"/>
        <v xml:space="preserve"> </v>
      </c>
      <c r="AC96" s="19" t="str">
        <f t="shared" si="35"/>
        <v/>
      </c>
      <c r="AD96" s="19" t="str">
        <f t="shared" si="36"/>
        <v xml:space="preserve"> </v>
      </c>
      <c r="AE96" s="125" t="str">
        <f t="shared" si="37"/>
        <v xml:space="preserve"> </v>
      </c>
      <c r="AF96" s="19" t="str">
        <f t="shared" si="38"/>
        <v xml:space="preserve"> </v>
      </c>
      <c r="AG96" s="50">
        <f t="shared" si="39"/>
        <v>0</v>
      </c>
      <c r="AH96" s="50" t="str">
        <f t="shared" si="40"/>
        <v xml:space="preserve"> </v>
      </c>
      <c r="AI96" s="36" t="str">
        <f>IFERROR(IF((INDEX('[3]Riesgos de Corrupción'!$B$11:$V$100,MATCH('Controles de Corrupción'!C96,'[3]Riesgos de Corrupción'!$B$11:$B$100,0),17)-AH96&lt;=1),"Rara vez",IF((INDEX('[3]Riesgos de Corrupción'!$B$11:$V$100,MATCH('Controles de Corrupción'!C96,'[3]Riesgos de Corrupción'!$B$11:$B$100,0),17)-AH96&lt;=2),"Improbable",IF((INDEX('[3]Riesgos de Corrupción'!$B$11:$V$100,MATCH('Controles de Corrupción'!C96,'[3]Riesgos de Corrupción'!$B$11:$B$100,0),17)-AH96&lt;=3),"Posible",IF((INDEX('[3]Riesgos de Corrupción'!$B$11:$V$100,MATCH('Controles de Corrupción'!C96,'[3]Riesgos de Corrupción'!$B$11:$B$100,0),17)-AH96&lt;=4),"Probable",IF((INDEX('[3]Riesgos de Corrupción'!$B$11:$V$100,MATCH('Controles de Corrupción'!C96,'[3]Riesgos de Corrupción'!$B$11:$B$100,0),17)-AH96&lt;=5),"Casi seguro")))))," ")</f>
        <v xml:space="preserve"> </v>
      </c>
      <c r="AJ96" s="8" t="str">
        <f>IFERROR(IF(OR(AND(AF96="Fuerte",H96="No disminuye"),AND(AF96="Moderado",H96="Indirectamente"),AND(AF96="Moderado",H96="No disminuye"),AND(INDEX('[3]Riesgos de Corrupción'!$B$11:$BN$100,MATCH('Controles de Corrupción'!C96,'[3]Riesgos de Corrupción'!$B$11:$B$100,0),63)="Moderado")),0,IF(OR(AND(AF96="Fuerte",H96="Indirectamente"),AND(AF96="Moderado",H96="Directamente"),AND(INDEX('[3]Riesgos de Corrupción'!$B$11:$BN$100,MATCH('Controles de Corrupción'!C96,'[3]Riesgos de Corrupción'!$B$11:$B$100,0),63)="Mayor")),1,IF(AND(AF96="Fuerte",H96="Directamente",AND(INDEX('[3]Riesgos de Corrupción'!$B$11:$BN$100,MATCH('Controles de Corrupción'!C96,'[3]Riesgos de Corrupción'!$B$11:$B$100,0),63)="Catastrófico")),2)))," ")</f>
        <v xml:space="preserve"> </v>
      </c>
      <c r="AK96" s="19" t="str">
        <f t="shared" si="41"/>
        <v xml:space="preserve"> </v>
      </c>
      <c r="AL96" s="19" t="str">
        <f>IFERROR(IF((INDEX('[3]Riesgos de Corrupción'!$B$11:$BN$100,MATCH('Controles de Corrupción'!C96,'[3]Riesgos de Corrupción'!$B$11:$B$100,0),62)-AK96&lt;=3),"Moderado",IF((INDEX('[3]Riesgos de Corrupción'!$B$11:$BN$100,MATCH('Controles de Corrupción'!C96,'[3]Riesgos de Corrupción'!$B$11:$B$100,0),62)-AK96&lt;=4),"Mayor",IF((INDEX('[3]Riesgos de Corrupción'!$B$11:$BN$100,MATCH('Controles de Corrupción'!C96,'[3]Riesgos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0" t="str">
        <f t="shared" si="28"/>
        <v>-</v>
      </c>
      <c r="C97" s="188"/>
      <c r="D97" s="170"/>
      <c r="E97" s="171"/>
      <c r="F97" s="129"/>
      <c r="G97" s="128"/>
      <c r="H97" s="23"/>
      <c r="I97" s="18"/>
      <c r="J97" s="80">
        <f t="shared" si="44"/>
        <v>0</v>
      </c>
      <c r="K97" s="18"/>
      <c r="L97" s="80">
        <f t="shared" si="45"/>
        <v>0</v>
      </c>
      <c r="M97" s="18"/>
      <c r="N97" s="80">
        <f t="shared" si="46"/>
        <v>0</v>
      </c>
      <c r="O97" s="18"/>
      <c r="P97" s="80">
        <f t="shared" si="47"/>
        <v>0</v>
      </c>
      <c r="Q97" s="18"/>
      <c r="R97" s="80">
        <f t="shared" si="48"/>
        <v>0</v>
      </c>
      <c r="S97" s="18"/>
      <c r="T97" s="80">
        <f t="shared" si="49"/>
        <v>0</v>
      </c>
      <c r="U97" s="18"/>
      <c r="V97" s="80">
        <f t="shared" si="29"/>
        <v>0</v>
      </c>
      <c r="W97" s="19" t="str">
        <f t="shared" si="30"/>
        <v xml:space="preserve"> </v>
      </c>
      <c r="X97" s="19" t="str">
        <f t="shared" si="31"/>
        <v xml:space="preserve"> </v>
      </c>
      <c r="Y97" s="19" t="str">
        <f t="shared" si="32"/>
        <v/>
      </c>
      <c r="Z97" s="23"/>
      <c r="AA97" s="19" t="str">
        <f t="shared" si="33"/>
        <v/>
      </c>
      <c r="AB97" s="19" t="str">
        <f t="shared" si="34"/>
        <v xml:space="preserve"> </v>
      </c>
      <c r="AC97" s="19" t="str">
        <f t="shared" si="35"/>
        <v/>
      </c>
      <c r="AD97" s="19" t="str">
        <f t="shared" si="36"/>
        <v xml:space="preserve"> </v>
      </c>
      <c r="AE97" s="125" t="str">
        <f t="shared" si="37"/>
        <v xml:space="preserve"> </v>
      </c>
      <c r="AF97" s="19" t="str">
        <f t="shared" si="38"/>
        <v xml:space="preserve"> </v>
      </c>
      <c r="AG97" s="50">
        <f t="shared" si="39"/>
        <v>0</v>
      </c>
      <c r="AH97" s="50" t="str">
        <f t="shared" si="40"/>
        <v xml:space="preserve"> </v>
      </c>
      <c r="AI97" s="36" t="str">
        <f>IFERROR(IF((INDEX('[3]Riesgos de Corrupción'!$B$11:$V$100,MATCH('Controles de Corrupción'!C97,'[3]Riesgos de Corrupción'!$B$11:$B$100,0),17)-AH97&lt;=1),"Rara vez",IF((INDEX('[3]Riesgos de Corrupción'!$B$11:$V$100,MATCH('Controles de Corrupción'!C97,'[3]Riesgos de Corrupción'!$B$11:$B$100,0),17)-AH97&lt;=2),"Improbable",IF((INDEX('[3]Riesgos de Corrupción'!$B$11:$V$100,MATCH('Controles de Corrupción'!C97,'[3]Riesgos de Corrupción'!$B$11:$B$100,0),17)-AH97&lt;=3),"Posible",IF((INDEX('[3]Riesgos de Corrupción'!$B$11:$V$100,MATCH('Controles de Corrupción'!C97,'[3]Riesgos de Corrupción'!$B$11:$B$100,0),17)-AH97&lt;=4),"Probable",IF((INDEX('[3]Riesgos de Corrupción'!$B$11:$V$100,MATCH('Controles de Corrupción'!C97,'[3]Riesgos de Corrupción'!$B$11:$B$100,0),17)-AH97&lt;=5),"Casi seguro")))))," ")</f>
        <v xml:space="preserve"> </v>
      </c>
      <c r="AJ97" s="8" t="str">
        <f>IFERROR(IF(OR(AND(AF97="Fuerte",H97="No disminuye"),AND(AF97="Moderado",H97="Indirectamente"),AND(AF97="Moderado",H97="No disminuye"),AND(INDEX('[3]Riesgos de Corrupción'!$B$11:$BN$100,MATCH('Controles de Corrupción'!C97,'[3]Riesgos de Corrupción'!$B$11:$B$100,0),63)="Moderado")),0,IF(OR(AND(AF97="Fuerte",H97="Indirectamente"),AND(AF97="Moderado",H97="Directamente"),AND(INDEX('[3]Riesgos de Corrupción'!$B$11:$BN$100,MATCH('Controles de Corrupción'!C97,'[3]Riesgos de Corrupción'!$B$11:$B$100,0),63)="Mayor")),1,IF(AND(AF97="Fuerte",H97="Directamente",AND(INDEX('[3]Riesgos de Corrupción'!$B$11:$BN$100,MATCH('Controles de Corrupción'!C97,'[3]Riesgos de Corrupción'!$B$11:$B$100,0),63)="Catastrófico")),2)))," ")</f>
        <v xml:space="preserve"> </v>
      </c>
      <c r="AK97" s="19" t="str">
        <f t="shared" si="41"/>
        <v xml:space="preserve"> </v>
      </c>
      <c r="AL97" s="19" t="str">
        <f>IFERROR(IF((INDEX('[3]Riesgos de Corrupción'!$B$11:$BN$100,MATCH('Controles de Corrupción'!C97,'[3]Riesgos de Corrupción'!$B$11:$B$100,0),62)-AK97&lt;=3),"Moderado",IF((INDEX('[3]Riesgos de Corrupción'!$B$11:$BN$100,MATCH('Controles de Corrupción'!C97,'[3]Riesgos de Corrupción'!$B$11:$B$100,0),62)-AK97&lt;=4),"Mayor",IF((INDEX('[3]Riesgos de Corrupción'!$B$11:$BN$100,MATCH('Controles de Corrupción'!C97,'[3]Riesgos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0" t="str">
        <f t="shared" si="28"/>
        <v>-</v>
      </c>
      <c r="C98" s="188"/>
      <c r="D98" s="170"/>
      <c r="E98" s="171"/>
      <c r="F98" s="129"/>
      <c r="G98" s="128"/>
      <c r="H98" s="23"/>
      <c r="I98" s="18"/>
      <c r="J98" s="80">
        <f t="shared" si="44"/>
        <v>0</v>
      </c>
      <c r="K98" s="18"/>
      <c r="L98" s="80">
        <f t="shared" si="45"/>
        <v>0</v>
      </c>
      <c r="M98" s="18"/>
      <c r="N98" s="80">
        <f t="shared" si="46"/>
        <v>0</v>
      </c>
      <c r="O98" s="18"/>
      <c r="P98" s="80">
        <f t="shared" si="47"/>
        <v>0</v>
      </c>
      <c r="Q98" s="18"/>
      <c r="R98" s="80">
        <f t="shared" si="48"/>
        <v>0</v>
      </c>
      <c r="S98" s="18"/>
      <c r="T98" s="80">
        <f t="shared" si="49"/>
        <v>0</v>
      </c>
      <c r="U98" s="18"/>
      <c r="V98" s="80">
        <f t="shared" si="29"/>
        <v>0</v>
      </c>
      <c r="W98" s="19" t="str">
        <f t="shared" si="30"/>
        <v xml:space="preserve"> </v>
      </c>
      <c r="X98" s="19" t="str">
        <f t="shared" si="31"/>
        <v xml:space="preserve"> </v>
      </c>
      <c r="Y98" s="19" t="str">
        <f t="shared" si="32"/>
        <v/>
      </c>
      <c r="Z98" s="23"/>
      <c r="AA98" s="19" t="str">
        <f t="shared" si="33"/>
        <v/>
      </c>
      <c r="AB98" s="19" t="str">
        <f t="shared" si="34"/>
        <v xml:space="preserve"> </v>
      </c>
      <c r="AC98" s="19" t="str">
        <f t="shared" si="35"/>
        <v/>
      </c>
      <c r="AD98" s="19" t="str">
        <f t="shared" si="36"/>
        <v xml:space="preserve"> </v>
      </c>
      <c r="AE98" s="125" t="str">
        <f t="shared" si="37"/>
        <v xml:space="preserve"> </v>
      </c>
      <c r="AF98" s="19" t="str">
        <f t="shared" si="38"/>
        <v xml:space="preserve"> </v>
      </c>
      <c r="AG98" s="50">
        <f t="shared" si="39"/>
        <v>0</v>
      </c>
      <c r="AH98" s="50" t="str">
        <f t="shared" si="40"/>
        <v xml:space="preserve"> </v>
      </c>
      <c r="AI98" s="36" t="str">
        <f>IFERROR(IF((INDEX('[3]Riesgos de Corrupción'!$B$11:$V$100,MATCH('Controles de Corrupción'!C98,'[3]Riesgos de Corrupción'!$B$11:$B$100,0),17)-AH98&lt;=1),"Rara vez",IF((INDEX('[3]Riesgos de Corrupción'!$B$11:$V$100,MATCH('Controles de Corrupción'!C98,'[3]Riesgos de Corrupción'!$B$11:$B$100,0),17)-AH98&lt;=2),"Improbable",IF((INDEX('[3]Riesgos de Corrupción'!$B$11:$V$100,MATCH('Controles de Corrupción'!C98,'[3]Riesgos de Corrupción'!$B$11:$B$100,0),17)-AH98&lt;=3),"Posible",IF((INDEX('[3]Riesgos de Corrupción'!$B$11:$V$100,MATCH('Controles de Corrupción'!C98,'[3]Riesgos de Corrupción'!$B$11:$B$100,0),17)-AH98&lt;=4),"Probable",IF((INDEX('[3]Riesgos de Corrupción'!$B$11:$V$100,MATCH('Controles de Corrupción'!C98,'[3]Riesgos de Corrupción'!$B$11:$B$100,0),17)-AH98&lt;=5),"Casi seguro")))))," ")</f>
        <v xml:space="preserve"> </v>
      </c>
      <c r="AJ98" s="8" t="str">
        <f>IFERROR(IF(OR(AND(AF98="Fuerte",H98="No disminuye"),AND(AF98="Moderado",H98="Indirectamente"),AND(AF98="Moderado",H98="No disminuye"),AND(INDEX('[3]Riesgos de Corrupción'!$B$11:$BN$100,MATCH('Controles de Corrupción'!C98,'[3]Riesgos de Corrupción'!$B$11:$B$100,0),63)="Moderado")),0,IF(OR(AND(AF98="Fuerte",H98="Indirectamente"),AND(AF98="Moderado",H98="Directamente"),AND(INDEX('[3]Riesgos de Corrupción'!$B$11:$BN$100,MATCH('Controles de Corrupción'!C98,'[3]Riesgos de Corrupción'!$B$11:$B$100,0),63)="Mayor")),1,IF(AND(AF98="Fuerte",H98="Directamente",AND(INDEX('[3]Riesgos de Corrupción'!$B$11:$BN$100,MATCH('Controles de Corrupción'!C98,'[3]Riesgos de Corrupción'!$B$11:$B$100,0),63)="Catastrófico")),2)))," ")</f>
        <v xml:space="preserve"> </v>
      </c>
      <c r="AK98" s="19" t="str">
        <f t="shared" si="41"/>
        <v xml:space="preserve"> </v>
      </c>
      <c r="AL98" s="19" t="str">
        <f>IFERROR(IF((INDEX('[3]Riesgos de Corrupción'!$B$11:$BN$100,MATCH('Controles de Corrupción'!C98,'[3]Riesgos de Corrupción'!$B$11:$B$100,0),62)-AK98&lt;=3),"Moderado",IF((INDEX('[3]Riesgos de Corrupción'!$B$11:$BN$100,MATCH('Controles de Corrupción'!C98,'[3]Riesgos de Corrupción'!$B$11:$B$100,0),62)-AK98&lt;=4),"Mayor",IF((INDEX('[3]Riesgos de Corrupción'!$B$11:$BN$100,MATCH('Controles de Corrupción'!C98,'[3]Riesgos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0" t="str">
        <f t="shared" si="28"/>
        <v>-</v>
      </c>
      <c r="C99" s="188"/>
      <c r="D99" s="170"/>
      <c r="E99" s="171"/>
      <c r="F99" s="129"/>
      <c r="G99" s="128"/>
      <c r="H99" s="23"/>
      <c r="I99" s="18"/>
      <c r="J99" s="80">
        <f t="shared" si="44"/>
        <v>0</v>
      </c>
      <c r="K99" s="18"/>
      <c r="L99" s="80">
        <f t="shared" si="45"/>
        <v>0</v>
      </c>
      <c r="M99" s="18"/>
      <c r="N99" s="80">
        <f t="shared" si="46"/>
        <v>0</v>
      </c>
      <c r="O99" s="18"/>
      <c r="P99" s="80">
        <f t="shared" si="47"/>
        <v>0</v>
      </c>
      <c r="Q99" s="18"/>
      <c r="R99" s="80">
        <f t="shared" si="48"/>
        <v>0</v>
      </c>
      <c r="S99" s="18"/>
      <c r="T99" s="80">
        <f t="shared" si="49"/>
        <v>0</v>
      </c>
      <c r="U99" s="18"/>
      <c r="V99" s="80">
        <f t="shared" si="29"/>
        <v>0</v>
      </c>
      <c r="W99" s="19" t="str">
        <f t="shared" si="30"/>
        <v xml:space="preserve"> </v>
      </c>
      <c r="X99" s="19" t="str">
        <f t="shared" si="31"/>
        <v xml:space="preserve"> </v>
      </c>
      <c r="Y99" s="19" t="str">
        <f t="shared" si="32"/>
        <v/>
      </c>
      <c r="Z99" s="23"/>
      <c r="AA99" s="19" t="str">
        <f t="shared" si="33"/>
        <v/>
      </c>
      <c r="AB99" s="19" t="str">
        <f t="shared" si="34"/>
        <v xml:space="preserve"> </v>
      </c>
      <c r="AC99" s="19" t="str">
        <f t="shared" si="35"/>
        <v/>
      </c>
      <c r="AD99" s="19" t="str">
        <f t="shared" si="36"/>
        <v xml:space="preserve"> </v>
      </c>
      <c r="AE99" s="125" t="str">
        <f t="shared" si="37"/>
        <v xml:space="preserve"> </v>
      </c>
      <c r="AF99" s="19" t="str">
        <f t="shared" si="38"/>
        <v xml:space="preserve"> </v>
      </c>
      <c r="AG99" s="50">
        <f t="shared" si="39"/>
        <v>0</v>
      </c>
      <c r="AH99" s="50" t="str">
        <f t="shared" si="40"/>
        <v xml:space="preserve"> </v>
      </c>
      <c r="AI99" s="36" t="str">
        <f>IFERROR(IF((INDEX('[3]Riesgos de Corrupción'!$B$11:$V$100,MATCH('Controles de Corrupción'!C99,'[3]Riesgos de Corrupción'!$B$11:$B$100,0),17)-AH99&lt;=1),"Rara vez",IF((INDEX('[3]Riesgos de Corrupción'!$B$11:$V$100,MATCH('Controles de Corrupción'!C99,'[3]Riesgos de Corrupción'!$B$11:$B$100,0),17)-AH99&lt;=2),"Improbable",IF((INDEX('[3]Riesgos de Corrupción'!$B$11:$V$100,MATCH('Controles de Corrupción'!C99,'[3]Riesgos de Corrupción'!$B$11:$B$100,0),17)-AH99&lt;=3),"Posible",IF((INDEX('[3]Riesgos de Corrupción'!$B$11:$V$100,MATCH('Controles de Corrupción'!C99,'[3]Riesgos de Corrupción'!$B$11:$B$100,0),17)-AH99&lt;=4),"Probable",IF((INDEX('[3]Riesgos de Corrupción'!$B$11:$V$100,MATCH('Controles de Corrupción'!C99,'[3]Riesgos de Corrupción'!$B$11:$B$100,0),17)-AH99&lt;=5),"Casi seguro")))))," ")</f>
        <v xml:space="preserve"> </v>
      </c>
      <c r="AJ99" s="8" t="str">
        <f>IFERROR(IF(OR(AND(AF99="Fuerte",H99="No disminuye"),AND(AF99="Moderado",H99="Indirectamente"),AND(AF99="Moderado",H99="No disminuye"),AND(INDEX('[3]Riesgos de Corrupción'!$B$11:$BN$100,MATCH('Controles de Corrupción'!C99,'[3]Riesgos de Corrupción'!$B$11:$B$100,0),63)="Moderado")),0,IF(OR(AND(AF99="Fuerte",H99="Indirectamente"),AND(AF99="Moderado",H99="Directamente"),AND(INDEX('[3]Riesgos de Corrupción'!$B$11:$BN$100,MATCH('Controles de Corrupción'!C99,'[3]Riesgos de Corrupción'!$B$11:$B$100,0),63)="Mayor")),1,IF(AND(AF99="Fuerte",H99="Directamente",AND(INDEX('[3]Riesgos de Corrupción'!$B$11:$BN$100,MATCH('Controles de Corrupción'!C99,'[3]Riesgos de Corrupción'!$B$11:$B$100,0),63)="Catastrófico")),2)))," ")</f>
        <v xml:space="preserve"> </v>
      </c>
      <c r="AK99" s="19" t="str">
        <f t="shared" si="41"/>
        <v xml:space="preserve"> </v>
      </c>
      <c r="AL99" s="19" t="str">
        <f>IFERROR(IF((INDEX('[3]Riesgos de Corrupción'!$B$11:$BN$100,MATCH('Controles de Corrupción'!C99,'[3]Riesgos de Corrupción'!$B$11:$B$100,0),62)-AK99&lt;=3),"Moderado",IF((INDEX('[3]Riesgos de Corrupción'!$B$11:$BN$100,MATCH('Controles de Corrupción'!C99,'[3]Riesgos de Corrupción'!$B$11:$B$100,0),62)-AK99&lt;=4),"Mayor",IF((INDEX('[3]Riesgos de Corrupción'!$B$11:$BN$100,MATCH('Controles de Corrupción'!C99,'[3]Riesgos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0" t="str">
        <f t="shared" si="28"/>
        <v>-</v>
      </c>
      <c r="C100" s="188"/>
      <c r="D100" s="170"/>
      <c r="E100" s="171"/>
      <c r="F100" s="129"/>
      <c r="G100" s="128"/>
      <c r="H100" s="23"/>
      <c r="I100" s="18"/>
      <c r="J100" s="80">
        <f t="shared" si="44"/>
        <v>0</v>
      </c>
      <c r="K100" s="18"/>
      <c r="L100" s="80">
        <f t="shared" si="45"/>
        <v>0</v>
      </c>
      <c r="M100" s="18"/>
      <c r="N100" s="80">
        <f t="shared" si="46"/>
        <v>0</v>
      </c>
      <c r="O100" s="18"/>
      <c r="P100" s="80">
        <f t="shared" si="47"/>
        <v>0</v>
      </c>
      <c r="Q100" s="18"/>
      <c r="R100" s="80">
        <f t="shared" si="48"/>
        <v>0</v>
      </c>
      <c r="S100" s="18"/>
      <c r="T100" s="80">
        <f t="shared" si="49"/>
        <v>0</v>
      </c>
      <c r="U100" s="18"/>
      <c r="V100" s="80">
        <f t="shared" si="29"/>
        <v>0</v>
      </c>
      <c r="W100" s="19" t="str">
        <f t="shared" si="30"/>
        <v xml:space="preserve"> </v>
      </c>
      <c r="X100" s="19" t="str">
        <f t="shared" si="31"/>
        <v xml:space="preserve"> </v>
      </c>
      <c r="Y100" s="19" t="str">
        <f t="shared" si="32"/>
        <v/>
      </c>
      <c r="Z100" s="23"/>
      <c r="AA100" s="19" t="str">
        <f t="shared" si="33"/>
        <v/>
      </c>
      <c r="AB100" s="19" t="str">
        <f t="shared" si="34"/>
        <v xml:space="preserve"> </v>
      </c>
      <c r="AC100" s="19" t="str">
        <f t="shared" si="35"/>
        <v/>
      </c>
      <c r="AD100" s="19" t="str">
        <f t="shared" si="36"/>
        <v xml:space="preserve"> </v>
      </c>
      <c r="AE100" s="125" t="str">
        <f t="shared" si="37"/>
        <v xml:space="preserve"> </v>
      </c>
      <c r="AF100" s="19" t="str">
        <f t="shared" si="38"/>
        <v xml:space="preserve"> </v>
      </c>
      <c r="AG100" s="50">
        <f t="shared" si="39"/>
        <v>0</v>
      </c>
      <c r="AH100" s="50" t="str">
        <f t="shared" si="40"/>
        <v xml:space="preserve"> </v>
      </c>
      <c r="AI100" s="36" t="str">
        <f>IFERROR(IF((INDEX('[3]Riesgos de Corrupción'!$B$11:$V$100,MATCH('Controles de Corrupción'!C100,'[3]Riesgos de Corrupción'!$B$11:$B$100,0),17)-AH100&lt;=1),"Rara vez",IF((INDEX('[3]Riesgos de Corrupción'!$B$11:$V$100,MATCH('Controles de Corrupción'!C100,'[3]Riesgos de Corrupción'!$B$11:$B$100,0),17)-AH100&lt;=2),"Improbable",IF((INDEX('[3]Riesgos de Corrupción'!$B$11:$V$100,MATCH('Controles de Corrupción'!C100,'[3]Riesgos de Corrupción'!$B$11:$B$100,0),17)-AH100&lt;=3),"Posible",IF((INDEX('[3]Riesgos de Corrupción'!$B$11:$V$100,MATCH('Controles de Corrupción'!C100,'[3]Riesgos de Corrupción'!$B$11:$B$100,0),17)-AH100&lt;=4),"Probable",IF((INDEX('[3]Riesgos de Corrupción'!$B$11:$V$100,MATCH('Controles de Corrupción'!C100,'[3]Riesgos de Corrupción'!$B$11:$B$100,0),17)-AH100&lt;=5),"Casi seguro")))))," ")</f>
        <v xml:space="preserve"> </v>
      </c>
      <c r="AJ100" s="8" t="str">
        <f>IFERROR(IF(OR(AND(AF100="Fuerte",H100="No disminuye"),AND(AF100="Moderado",H100="Indirectamente"),AND(AF100="Moderado",H100="No disminuye"),AND(INDEX('[3]Riesgos de Corrupción'!$B$11:$BN$100,MATCH('Controles de Corrupción'!C100,'[3]Riesgos de Corrupción'!$B$11:$B$100,0),63)="Moderado")),0,IF(OR(AND(AF100="Fuerte",H100="Indirectamente"),AND(AF100="Moderado",H100="Directamente"),AND(INDEX('[3]Riesgos de Corrupción'!$B$11:$BN$100,MATCH('Controles de Corrupción'!C100,'[3]Riesgos de Corrupción'!$B$11:$B$100,0),63)="Mayor")),1,IF(AND(AF100="Fuerte",H100="Directamente",AND(INDEX('[3]Riesgos de Corrupción'!$B$11:$BN$100,MATCH('Controles de Corrupción'!C100,'[3]Riesgos de Corrupción'!$B$11:$B$100,0),63)="Catastrófico")),2)))," ")</f>
        <v xml:space="preserve"> </v>
      </c>
      <c r="AK100" s="19" t="str">
        <f t="shared" si="41"/>
        <v xml:space="preserve"> </v>
      </c>
      <c r="AL100" s="19" t="str">
        <f>IFERROR(IF((INDEX('[3]Riesgos de Corrupción'!$B$11:$BN$100,MATCH('Controles de Corrupción'!C100,'[3]Riesgos de Corrupción'!$B$11:$B$100,0),62)-AK100&lt;=3),"Moderado",IF((INDEX('[3]Riesgos de Corrupción'!$B$11:$BN$100,MATCH('Controles de Corrupción'!C100,'[3]Riesgos de Corrupción'!$B$11:$B$100,0),62)-AK100&lt;=4),"Mayor",IF((INDEX('[3]Riesgos de Corrupción'!$B$11:$BN$100,MATCH('Controles de Corrupción'!C100,'[3]Riesgos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0" t="str">
        <f t="shared" si="28"/>
        <v>-</v>
      </c>
      <c r="C101" s="188"/>
      <c r="D101" s="170"/>
      <c r="E101" s="171"/>
      <c r="F101" s="129"/>
      <c r="G101" s="128"/>
      <c r="H101" s="23"/>
      <c r="I101" s="18"/>
      <c r="J101" s="80">
        <f t="shared" si="44"/>
        <v>0</v>
      </c>
      <c r="K101" s="18"/>
      <c r="L101" s="80">
        <f t="shared" si="45"/>
        <v>0</v>
      </c>
      <c r="M101" s="18"/>
      <c r="N101" s="80">
        <f t="shared" si="46"/>
        <v>0</v>
      </c>
      <c r="O101" s="18"/>
      <c r="P101" s="80">
        <f t="shared" si="47"/>
        <v>0</v>
      </c>
      <c r="Q101" s="18"/>
      <c r="R101" s="80">
        <f t="shared" si="48"/>
        <v>0</v>
      </c>
      <c r="S101" s="18"/>
      <c r="T101" s="80">
        <f t="shared" si="49"/>
        <v>0</v>
      </c>
      <c r="U101" s="18"/>
      <c r="V101" s="80">
        <f t="shared" si="29"/>
        <v>0</v>
      </c>
      <c r="W101" s="19" t="str">
        <f t="shared" si="30"/>
        <v xml:space="preserve"> </v>
      </c>
      <c r="X101" s="19" t="str">
        <f t="shared" si="31"/>
        <v xml:space="preserve"> </v>
      </c>
      <c r="Y101" s="19" t="str">
        <f t="shared" si="32"/>
        <v/>
      </c>
      <c r="Z101" s="23"/>
      <c r="AA101" s="19" t="str">
        <f t="shared" si="33"/>
        <v/>
      </c>
      <c r="AB101" s="19" t="str">
        <f t="shared" si="34"/>
        <v xml:space="preserve"> </v>
      </c>
      <c r="AC101" s="19" t="str">
        <f t="shared" si="35"/>
        <v/>
      </c>
      <c r="AD101" s="19" t="str">
        <f t="shared" si="36"/>
        <v xml:space="preserve"> </v>
      </c>
      <c r="AE101" s="125" t="str">
        <f t="shared" si="37"/>
        <v xml:space="preserve"> </v>
      </c>
      <c r="AF101" s="19" t="str">
        <f t="shared" si="38"/>
        <v xml:space="preserve"> </v>
      </c>
      <c r="AG101" s="50">
        <f t="shared" si="39"/>
        <v>0</v>
      </c>
      <c r="AH101" s="50" t="str">
        <f t="shared" si="40"/>
        <v xml:space="preserve"> </v>
      </c>
      <c r="AI101" s="36" t="str">
        <f>IFERROR(IF((INDEX('[3]Riesgos de Corrupción'!$B$11:$V$100,MATCH('Controles de Corrupción'!C101,'[3]Riesgos de Corrupción'!$B$11:$B$100,0),17)-AH101&lt;=1),"Rara vez",IF((INDEX('[3]Riesgos de Corrupción'!$B$11:$V$100,MATCH('Controles de Corrupción'!C101,'[3]Riesgos de Corrupción'!$B$11:$B$100,0),17)-AH101&lt;=2),"Improbable",IF((INDEX('[3]Riesgos de Corrupción'!$B$11:$V$100,MATCH('Controles de Corrupción'!C101,'[3]Riesgos de Corrupción'!$B$11:$B$100,0),17)-AH101&lt;=3),"Posible",IF((INDEX('[3]Riesgos de Corrupción'!$B$11:$V$100,MATCH('Controles de Corrupción'!C101,'[3]Riesgos de Corrupción'!$B$11:$B$100,0),17)-AH101&lt;=4),"Probable",IF((INDEX('[3]Riesgos de Corrupción'!$B$11:$V$100,MATCH('Controles de Corrupción'!C101,'[3]Riesgos de Corrupción'!$B$11:$B$100,0),17)-AH101&lt;=5),"Casi seguro")))))," ")</f>
        <v xml:space="preserve"> </v>
      </c>
      <c r="AJ101" s="8" t="str">
        <f>IFERROR(IF(OR(AND(AF101="Fuerte",H101="No disminuye"),AND(AF101="Moderado",H101="Indirectamente"),AND(AF101="Moderado",H101="No disminuye"),AND(INDEX('[3]Riesgos de Corrupción'!$B$11:$BN$100,MATCH('Controles de Corrupción'!C101,'[3]Riesgos de Corrupción'!$B$11:$B$100,0),63)="Moderado")),0,IF(OR(AND(AF101="Fuerte",H101="Indirectamente"),AND(AF101="Moderado",H101="Directamente"),AND(INDEX('[3]Riesgos de Corrupción'!$B$11:$BN$100,MATCH('Controles de Corrupción'!C101,'[3]Riesgos de Corrupción'!$B$11:$B$100,0),63)="Mayor")),1,IF(AND(AF101="Fuerte",H101="Directamente",AND(INDEX('[3]Riesgos de Corrupción'!$B$11:$BN$100,MATCH('Controles de Corrupción'!C101,'[3]Riesgos de Corrupción'!$B$11:$B$100,0),63)="Catastrófico")),2)))," ")</f>
        <v xml:space="preserve"> </v>
      </c>
      <c r="AK101" s="19" t="str">
        <f t="shared" si="41"/>
        <v xml:space="preserve"> </v>
      </c>
      <c r="AL101" s="19" t="str">
        <f>IFERROR(IF((INDEX('[3]Riesgos de Corrupción'!$B$11:$BN$100,MATCH('Controles de Corrupción'!C101,'[3]Riesgos de Corrupción'!$B$11:$B$100,0),62)-AK101&lt;=3),"Moderado",IF((INDEX('[3]Riesgos de Corrupción'!$B$11:$BN$100,MATCH('Controles de Corrupción'!C101,'[3]Riesgos de Corrupción'!$B$11:$B$100,0),62)-AK101&lt;=4),"Mayor",IF((INDEX('[3]Riesgos de Corrupción'!$B$11:$BN$100,MATCH('Controles de Corrupción'!C101,'[3]Riesgos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0" t="str">
        <f t="shared" si="28"/>
        <v>-</v>
      </c>
      <c r="C102" s="188"/>
      <c r="D102" s="170"/>
      <c r="E102" s="171"/>
      <c r="F102" s="129"/>
      <c r="G102" s="128"/>
      <c r="H102" s="23"/>
      <c r="I102" s="18"/>
      <c r="J102" s="80">
        <f t="shared" si="44"/>
        <v>0</v>
      </c>
      <c r="K102" s="18"/>
      <c r="L102" s="80">
        <f t="shared" si="45"/>
        <v>0</v>
      </c>
      <c r="M102" s="18"/>
      <c r="N102" s="80">
        <f t="shared" si="46"/>
        <v>0</v>
      </c>
      <c r="O102" s="18"/>
      <c r="P102" s="80">
        <f t="shared" si="47"/>
        <v>0</v>
      </c>
      <c r="Q102" s="18"/>
      <c r="R102" s="80">
        <f t="shared" si="48"/>
        <v>0</v>
      </c>
      <c r="S102" s="18"/>
      <c r="T102" s="80">
        <f t="shared" si="49"/>
        <v>0</v>
      </c>
      <c r="U102" s="18"/>
      <c r="V102" s="80">
        <f t="shared" si="29"/>
        <v>0</v>
      </c>
      <c r="W102" s="19" t="str">
        <f t="shared" si="30"/>
        <v xml:space="preserve"> </v>
      </c>
      <c r="X102" s="19" t="str">
        <f t="shared" si="31"/>
        <v xml:space="preserve"> </v>
      </c>
      <c r="Y102" s="19" t="str">
        <f t="shared" si="32"/>
        <v/>
      </c>
      <c r="Z102" s="23"/>
      <c r="AA102" s="19" t="str">
        <f t="shared" si="33"/>
        <v/>
      </c>
      <c r="AB102" s="19" t="str">
        <f t="shared" si="34"/>
        <v xml:space="preserve"> </v>
      </c>
      <c r="AC102" s="19" t="str">
        <f t="shared" si="35"/>
        <v/>
      </c>
      <c r="AD102" s="19" t="str">
        <f t="shared" si="36"/>
        <v xml:space="preserve"> </v>
      </c>
      <c r="AE102" s="125" t="str">
        <f t="shared" si="37"/>
        <v xml:space="preserve"> </v>
      </c>
      <c r="AF102" s="19" t="str">
        <f t="shared" si="38"/>
        <v xml:space="preserve"> </v>
      </c>
      <c r="AG102" s="50">
        <f t="shared" si="39"/>
        <v>0</v>
      </c>
      <c r="AH102" s="50" t="str">
        <f t="shared" si="40"/>
        <v xml:space="preserve"> </v>
      </c>
      <c r="AI102" s="36" t="str">
        <f>IFERROR(IF((INDEX('[3]Riesgos de Corrupción'!$B$11:$V$100,MATCH('Controles de Corrupción'!C102,'[3]Riesgos de Corrupción'!$B$11:$B$100,0),17)-AH102&lt;=1),"Rara vez",IF((INDEX('[3]Riesgos de Corrupción'!$B$11:$V$100,MATCH('Controles de Corrupción'!C102,'[3]Riesgos de Corrupción'!$B$11:$B$100,0),17)-AH102&lt;=2),"Improbable",IF((INDEX('[3]Riesgos de Corrupción'!$B$11:$V$100,MATCH('Controles de Corrupción'!C102,'[3]Riesgos de Corrupción'!$B$11:$B$100,0),17)-AH102&lt;=3),"Posible",IF((INDEX('[3]Riesgos de Corrupción'!$B$11:$V$100,MATCH('Controles de Corrupción'!C102,'[3]Riesgos de Corrupción'!$B$11:$B$100,0),17)-AH102&lt;=4),"Probable",IF((INDEX('[3]Riesgos de Corrupción'!$B$11:$V$100,MATCH('Controles de Corrupción'!C102,'[3]Riesgos de Corrupción'!$B$11:$B$100,0),17)-AH102&lt;=5),"Casi seguro")))))," ")</f>
        <v xml:space="preserve"> </v>
      </c>
      <c r="AJ102" s="8" t="str">
        <f>IFERROR(IF(OR(AND(AF102="Fuerte",H102="No disminuye"),AND(AF102="Moderado",H102="Indirectamente"),AND(AF102="Moderado",H102="No disminuye"),AND(INDEX('[3]Riesgos de Corrupción'!$B$11:$BN$100,MATCH('Controles de Corrupción'!C102,'[3]Riesgos de Corrupción'!$B$11:$B$100,0),63)="Moderado")),0,IF(OR(AND(AF102="Fuerte",H102="Indirectamente"),AND(AF102="Moderado",H102="Directamente"),AND(INDEX('[3]Riesgos de Corrupción'!$B$11:$BN$100,MATCH('Controles de Corrupción'!C102,'[3]Riesgos de Corrupción'!$B$11:$B$100,0),63)="Mayor")),1,IF(AND(AF102="Fuerte",H102="Directamente",AND(INDEX('[3]Riesgos de Corrupción'!$B$11:$BN$100,MATCH('Controles de Corrupción'!C102,'[3]Riesgos de Corrupción'!$B$11:$B$100,0),63)="Catastrófico")),2)))," ")</f>
        <v xml:space="preserve"> </v>
      </c>
      <c r="AK102" s="19" t="str">
        <f t="shared" si="41"/>
        <v xml:space="preserve"> </v>
      </c>
      <c r="AL102" s="19" t="str">
        <f>IFERROR(IF((INDEX('[3]Riesgos de Corrupción'!$B$11:$BN$100,MATCH('Controles de Corrupción'!C102,'[3]Riesgos de Corrupción'!$B$11:$B$100,0),62)-AK102&lt;=3),"Moderado",IF((INDEX('[3]Riesgos de Corrupción'!$B$11:$BN$100,MATCH('Controles de Corrupción'!C102,'[3]Riesgos de Corrupción'!$B$11:$B$100,0),62)-AK102&lt;=4),"Mayor",IF((INDEX('[3]Riesgos de Corrupción'!$B$11:$BN$100,MATCH('Controles de Corrupción'!C102,'[3]Riesgos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0" t="str">
        <f t="shared" si="28"/>
        <v>-</v>
      </c>
      <c r="C103" s="188"/>
      <c r="D103" s="170"/>
      <c r="E103" s="171"/>
      <c r="F103" s="129"/>
      <c r="G103" s="128"/>
      <c r="H103" s="23"/>
      <c r="I103" s="18"/>
      <c r="J103" s="80">
        <f t="shared" si="44"/>
        <v>0</v>
      </c>
      <c r="K103" s="18"/>
      <c r="L103" s="80">
        <f t="shared" si="45"/>
        <v>0</v>
      </c>
      <c r="M103" s="18"/>
      <c r="N103" s="80">
        <f t="shared" si="46"/>
        <v>0</v>
      </c>
      <c r="O103" s="18"/>
      <c r="P103" s="80">
        <f t="shared" si="47"/>
        <v>0</v>
      </c>
      <c r="Q103" s="18"/>
      <c r="R103" s="80">
        <f t="shared" si="48"/>
        <v>0</v>
      </c>
      <c r="S103" s="18"/>
      <c r="T103" s="80">
        <f t="shared" si="49"/>
        <v>0</v>
      </c>
      <c r="U103" s="18"/>
      <c r="V103" s="80">
        <f t="shared" si="29"/>
        <v>0</v>
      </c>
      <c r="W103" s="19" t="str">
        <f t="shared" si="30"/>
        <v xml:space="preserve"> </v>
      </c>
      <c r="X103" s="19" t="str">
        <f t="shared" si="31"/>
        <v xml:space="preserve"> </v>
      </c>
      <c r="Y103" s="19" t="str">
        <f t="shared" si="32"/>
        <v/>
      </c>
      <c r="Z103" s="23"/>
      <c r="AA103" s="19" t="str">
        <f t="shared" si="33"/>
        <v/>
      </c>
      <c r="AB103" s="19" t="str">
        <f t="shared" si="34"/>
        <v xml:space="preserve"> </v>
      </c>
      <c r="AC103" s="19" t="str">
        <f t="shared" si="35"/>
        <v/>
      </c>
      <c r="AD103" s="19" t="str">
        <f t="shared" si="36"/>
        <v xml:space="preserve"> </v>
      </c>
      <c r="AE103" s="125" t="str">
        <f t="shared" si="37"/>
        <v xml:space="preserve"> </v>
      </c>
      <c r="AF103" s="19" t="str">
        <f t="shared" si="38"/>
        <v xml:space="preserve"> </v>
      </c>
      <c r="AG103" s="50">
        <f t="shared" si="39"/>
        <v>0</v>
      </c>
      <c r="AH103" s="50" t="str">
        <f t="shared" si="40"/>
        <v xml:space="preserve"> </v>
      </c>
      <c r="AI103" s="36" t="str">
        <f>IFERROR(IF((INDEX('[3]Riesgos de Corrupción'!$B$11:$V$100,MATCH('Controles de Corrupción'!C103,'[3]Riesgos de Corrupción'!$B$11:$B$100,0),17)-AH103&lt;=1),"Rara vez",IF((INDEX('[3]Riesgos de Corrupción'!$B$11:$V$100,MATCH('Controles de Corrupción'!C103,'[3]Riesgos de Corrupción'!$B$11:$B$100,0),17)-AH103&lt;=2),"Improbable",IF((INDEX('[3]Riesgos de Corrupción'!$B$11:$V$100,MATCH('Controles de Corrupción'!C103,'[3]Riesgos de Corrupción'!$B$11:$B$100,0),17)-AH103&lt;=3),"Posible",IF((INDEX('[3]Riesgos de Corrupción'!$B$11:$V$100,MATCH('Controles de Corrupción'!C103,'[3]Riesgos de Corrupción'!$B$11:$B$100,0),17)-AH103&lt;=4),"Probable",IF((INDEX('[3]Riesgos de Corrupción'!$B$11:$V$100,MATCH('Controles de Corrupción'!C103,'[3]Riesgos de Corrupción'!$B$11:$B$100,0),17)-AH103&lt;=5),"Casi seguro")))))," ")</f>
        <v xml:space="preserve"> </v>
      </c>
      <c r="AJ103" s="8" t="str">
        <f>IFERROR(IF(OR(AND(AF103="Fuerte",H103="No disminuye"),AND(AF103="Moderado",H103="Indirectamente"),AND(AF103="Moderado",H103="No disminuye"),AND(INDEX('[3]Riesgos de Corrupción'!$B$11:$BN$100,MATCH('Controles de Corrupción'!C103,'[3]Riesgos de Corrupción'!$B$11:$B$100,0),63)="Moderado")),0,IF(OR(AND(AF103="Fuerte",H103="Indirectamente"),AND(AF103="Moderado",H103="Directamente"),AND(INDEX('[3]Riesgos de Corrupción'!$B$11:$BN$100,MATCH('Controles de Corrupción'!C103,'[3]Riesgos de Corrupción'!$B$11:$B$100,0),63)="Mayor")),1,IF(AND(AF103="Fuerte",H103="Directamente",AND(INDEX('[3]Riesgos de Corrupción'!$B$11:$BN$100,MATCH('Controles de Corrupción'!C103,'[3]Riesgos de Corrupción'!$B$11:$B$100,0),63)="Catastrófico")),2)))," ")</f>
        <v xml:space="preserve"> </v>
      </c>
      <c r="AK103" s="19" t="str">
        <f t="shared" si="41"/>
        <v xml:space="preserve"> </v>
      </c>
      <c r="AL103" s="19" t="str">
        <f>IFERROR(IF((INDEX('[3]Riesgos de Corrupción'!$B$11:$BN$100,MATCH('Controles de Corrupción'!C103,'[3]Riesgos de Corrupción'!$B$11:$B$100,0),62)-AK103&lt;=3),"Moderado",IF((INDEX('[3]Riesgos de Corrupción'!$B$11:$BN$100,MATCH('Controles de Corrupción'!C103,'[3]Riesgos de Corrupción'!$B$11:$B$100,0),62)-AK103&lt;=4),"Mayor",IF((INDEX('[3]Riesgos de Corrupción'!$B$11:$BN$100,MATCH('Controles de Corrupción'!C103,'[3]Riesgos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0" t="str">
        <f t="shared" si="28"/>
        <v>-</v>
      </c>
      <c r="C104" s="188"/>
      <c r="D104" s="170"/>
      <c r="E104" s="171"/>
      <c r="F104" s="129"/>
      <c r="G104" s="128"/>
      <c r="H104" s="23"/>
      <c r="I104" s="18"/>
      <c r="J104" s="80">
        <f t="shared" si="44"/>
        <v>0</v>
      </c>
      <c r="K104" s="18"/>
      <c r="L104" s="80">
        <f t="shared" si="45"/>
        <v>0</v>
      </c>
      <c r="M104" s="18"/>
      <c r="N104" s="80">
        <f t="shared" si="46"/>
        <v>0</v>
      </c>
      <c r="O104" s="18"/>
      <c r="P104" s="80">
        <f t="shared" si="47"/>
        <v>0</v>
      </c>
      <c r="Q104" s="18"/>
      <c r="R104" s="80">
        <f t="shared" si="48"/>
        <v>0</v>
      </c>
      <c r="S104" s="18"/>
      <c r="T104" s="80">
        <f t="shared" si="49"/>
        <v>0</v>
      </c>
      <c r="U104" s="18"/>
      <c r="V104" s="80">
        <f t="shared" si="29"/>
        <v>0</v>
      </c>
      <c r="W104" s="19" t="str">
        <f t="shared" si="30"/>
        <v xml:space="preserve"> </v>
      </c>
      <c r="X104" s="19" t="str">
        <f t="shared" si="31"/>
        <v xml:space="preserve"> </v>
      </c>
      <c r="Y104" s="19" t="str">
        <f t="shared" si="32"/>
        <v/>
      </c>
      <c r="Z104" s="23"/>
      <c r="AA104" s="19" t="str">
        <f t="shared" si="33"/>
        <v/>
      </c>
      <c r="AB104" s="19" t="str">
        <f t="shared" si="34"/>
        <v xml:space="preserve"> </v>
      </c>
      <c r="AC104" s="19" t="str">
        <f t="shared" si="35"/>
        <v/>
      </c>
      <c r="AD104" s="19" t="str">
        <f t="shared" si="36"/>
        <v xml:space="preserve"> </v>
      </c>
      <c r="AE104" s="125" t="str">
        <f t="shared" si="37"/>
        <v xml:space="preserve"> </v>
      </c>
      <c r="AF104" s="19" t="str">
        <f t="shared" si="38"/>
        <v xml:space="preserve"> </v>
      </c>
      <c r="AG104" s="50">
        <f t="shared" si="39"/>
        <v>0</v>
      </c>
      <c r="AH104" s="50" t="str">
        <f t="shared" si="40"/>
        <v xml:space="preserve"> </v>
      </c>
      <c r="AI104" s="36" t="str">
        <f>IFERROR(IF((INDEX('[3]Riesgos de Corrupción'!$B$11:$V$100,MATCH('Controles de Corrupción'!C104,'[3]Riesgos de Corrupción'!$B$11:$B$100,0),17)-AH104&lt;=1),"Rara vez",IF((INDEX('[3]Riesgos de Corrupción'!$B$11:$V$100,MATCH('Controles de Corrupción'!C104,'[3]Riesgos de Corrupción'!$B$11:$B$100,0),17)-AH104&lt;=2),"Improbable",IF((INDEX('[3]Riesgos de Corrupción'!$B$11:$V$100,MATCH('Controles de Corrupción'!C104,'[3]Riesgos de Corrupción'!$B$11:$B$100,0),17)-AH104&lt;=3),"Posible",IF((INDEX('[3]Riesgos de Corrupción'!$B$11:$V$100,MATCH('Controles de Corrupción'!C104,'[3]Riesgos de Corrupción'!$B$11:$B$100,0),17)-AH104&lt;=4),"Probable",IF((INDEX('[3]Riesgos de Corrupción'!$B$11:$V$100,MATCH('Controles de Corrupción'!C104,'[3]Riesgos de Corrupción'!$B$11:$B$100,0),17)-AH104&lt;=5),"Casi seguro")))))," ")</f>
        <v xml:space="preserve"> </v>
      </c>
      <c r="AJ104" s="8" t="str">
        <f>IFERROR(IF(OR(AND(AF104="Fuerte",H104="No disminuye"),AND(AF104="Moderado",H104="Indirectamente"),AND(AF104="Moderado",H104="No disminuye"),AND(INDEX('[3]Riesgos de Corrupción'!$B$11:$BN$100,MATCH('Controles de Corrupción'!C104,'[3]Riesgos de Corrupción'!$B$11:$B$100,0),63)="Moderado")),0,IF(OR(AND(AF104="Fuerte",H104="Indirectamente"),AND(AF104="Moderado",H104="Directamente"),AND(INDEX('[3]Riesgos de Corrupción'!$B$11:$BN$100,MATCH('Controles de Corrupción'!C104,'[3]Riesgos de Corrupción'!$B$11:$B$100,0),63)="Mayor")),1,IF(AND(AF104="Fuerte",H104="Directamente",AND(INDEX('[3]Riesgos de Corrupción'!$B$11:$BN$100,MATCH('Controles de Corrupción'!C104,'[3]Riesgos de Corrupción'!$B$11:$B$100,0),63)="Catastrófico")),2)))," ")</f>
        <v xml:space="preserve"> </v>
      </c>
      <c r="AK104" s="19" t="str">
        <f t="shared" si="41"/>
        <v xml:space="preserve"> </v>
      </c>
      <c r="AL104" s="19" t="str">
        <f>IFERROR(IF((INDEX('[3]Riesgos de Corrupción'!$B$11:$BN$100,MATCH('Controles de Corrupción'!C104,'[3]Riesgos de Corrupción'!$B$11:$B$100,0),62)-AK104&lt;=3),"Moderado",IF((INDEX('[3]Riesgos de Corrupción'!$B$11:$BN$100,MATCH('Controles de Corrupción'!C104,'[3]Riesgos de Corrupción'!$B$11:$B$100,0),62)-AK104&lt;=4),"Mayor",IF((INDEX('[3]Riesgos de Corrupción'!$B$11:$BN$100,MATCH('Controles de Corrupción'!C104,'[3]Riesgos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0" t="str">
        <f t="shared" si="28"/>
        <v>-</v>
      </c>
      <c r="C105" s="188"/>
      <c r="D105" s="170"/>
      <c r="E105" s="171"/>
      <c r="F105" s="129"/>
      <c r="G105" s="128"/>
      <c r="H105" s="23"/>
      <c r="I105" s="18"/>
      <c r="J105" s="80">
        <f t="shared" si="44"/>
        <v>0</v>
      </c>
      <c r="K105" s="18"/>
      <c r="L105" s="80">
        <f t="shared" si="45"/>
        <v>0</v>
      </c>
      <c r="M105" s="18"/>
      <c r="N105" s="80">
        <f t="shared" si="46"/>
        <v>0</v>
      </c>
      <c r="O105" s="18"/>
      <c r="P105" s="80">
        <f t="shared" si="47"/>
        <v>0</v>
      </c>
      <c r="Q105" s="18"/>
      <c r="R105" s="80">
        <f t="shared" si="48"/>
        <v>0</v>
      </c>
      <c r="S105" s="18"/>
      <c r="T105" s="80">
        <f t="shared" si="49"/>
        <v>0</v>
      </c>
      <c r="U105" s="18"/>
      <c r="V105" s="80">
        <f t="shared" si="29"/>
        <v>0</v>
      </c>
      <c r="W105" s="19" t="str">
        <f t="shared" si="30"/>
        <v xml:space="preserve"> </v>
      </c>
      <c r="X105" s="19" t="str">
        <f t="shared" si="31"/>
        <v xml:space="preserve"> </v>
      </c>
      <c r="Y105" s="19" t="str">
        <f t="shared" si="32"/>
        <v/>
      </c>
      <c r="Z105" s="23"/>
      <c r="AA105" s="19" t="str">
        <f t="shared" si="33"/>
        <v/>
      </c>
      <c r="AB105" s="19" t="str">
        <f t="shared" si="34"/>
        <v xml:space="preserve"> </v>
      </c>
      <c r="AC105" s="19" t="str">
        <f t="shared" si="35"/>
        <v/>
      </c>
      <c r="AD105" s="19" t="str">
        <f t="shared" si="36"/>
        <v xml:space="preserve"> </v>
      </c>
      <c r="AE105" s="125" t="str">
        <f t="shared" si="37"/>
        <v xml:space="preserve"> </v>
      </c>
      <c r="AF105" s="19" t="str">
        <f t="shared" si="38"/>
        <v xml:space="preserve"> </v>
      </c>
      <c r="AG105" s="50">
        <f t="shared" si="39"/>
        <v>0</v>
      </c>
      <c r="AH105" s="50" t="str">
        <f t="shared" si="40"/>
        <v xml:space="preserve"> </v>
      </c>
      <c r="AI105" s="36" t="str">
        <f>IFERROR(IF((INDEX('[3]Riesgos de Corrupción'!$B$11:$V$100,MATCH('Controles de Corrupción'!C105,'[3]Riesgos de Corrupción'!$B$11:$B$100,0),17)-AH105&lt;=1),"Rara vez",IF((INDEX('[3]Riesgos de Corrupción'!$B$11:$V$100,MATCH('Controles de Corrupción'!C105,'[3]Riesgos de Corrupción'!$B$11:$B$100,0),17)-AH105&lt;=2),"Improbable",IF((INDEX('[3]Riesgos de Corrupción'!$B$11:$V$100,MATCH('Controles de Corrupción'!C105,'[3]Riesgos de Corrupción'!$B$11:$B$100,0),17)-AH105&lt;=3),"Posible",IF((INDEX('[3]Riesgos de Corrupción'!$B$11:$V$100,MATCH('Controles de Corrupción'!C105,'[3]Riesgos de Corrupción'!$B$11:$B$100,0),17)-AH105&lt;=4),"Probable",IF((INDEX('[3]Riesgos de Corrupción'!$B$11:$V$100,MATCH('Controles de Corrupción'!C105,'[3]Riesgos de Corrupción'!$B$11:$B$100,0),17)-AH105&lt;=5),"Casi seguro")))))," ")</f>
        <v xml:space="preserve"> </v>
      </c>
      <c r="AJ105" s="8" t="str">
        <f>IFERROR(IF(OR(AND(AF105="Fuerte",H105="No disminuye"),AND(AF105="Moderado",H105="Indirectamente"),AND(AF105="Moderado",H105="No disminuye"),AND(INDEX('[3]Riesgos de Corrupción'!$B$11:$BN$100,MATCH('Controles de Corrupción'!C105,'[3]Riesgos de Corrupción'!$B$11:$B$100,0),63)="Moderado")),0,IF(OR(AND(AF105="Fuerte",H105="Indirectamente"),AND(AF105="Moderado",H105="Directamente"),AND(INDEX('[3]Riesgos de Corrupción'!$B$11:$BN$100,MATCH('Controles de Corrupción'!C105,'[3]Riesgos de Corrupción'!$B$11:$B$100,0),63)="Mayor")),1,IF(AND(AF105="Fuerte",H105="Directamente",AND(INDEX('[3]Riesgos de Corrupción'!$B$11:$BN$100,MATCH('Controles de Corrupción'!C105,'[3]Riesgos de Corrupción'!$B$11:$B$100,0),63)="Catastrófico")),2)))," ")</f>
        <v xml:space="preserve"> </v>
      </c>
      <c r="AK105" s="19" t="str">
        <f t="shared" si="41"/>
        <v xml:space="preserve"> </v>
      </c>
      <c r="AL105" s="19" t="str">
        <f>IFERROR(IF((INDEX('[3]Riesgos de Corrupción'!$B$11:$BN$100,MATCH('Controles de Corrupción'!C105,'[3]Riesgos de Corrupción'!$B$11:$B$100,0),62)-AK105&lt;=3),"Moderado",IF((INDEX('[3]Riesgos de Corrupción'!$B$11:$BN$100,MATCH('Controles de Corrupción'!C105,'[3]Riesgos de Corrupción'!$B$11:$B$100,0),62)-AK105&lt;=4),"Mayor",IF((INDEX('[3]Riesgos de Corrupción'!$B$11:$BN$100,MATCH('Controles de Corrupción'!C105,'[3]Riesgos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0" t="str">
        <f t="shared" si="28"/>
        <v>-</v>
      </c>
      <c r="C106" s="188"/>
      <c r="D106" s="170"/>
      <c r="E106" s="171"/>
      <c r="F106" s="129"/>
      <c r="G106" s="128"/>
      <c r="H106" s="23"/>
      <c r="I106" s="18"/>
      <c r="J106" s="80">
        <f t="shared" si="44"/>
        <v>0</v>
      </c>
      <c r="K106" s="18"/>
      <c r="L106" s="80">
        <f t="shared" si="45"/>
        <v>0</v>
      </c>
      <c r="M106" s="18"/>
      <c r="N106" s="80">
        <f t="shared" si="46"/>
        <v>0</v>
      </c>
      <c r="O106" s="18"/>
      <c r="P106" s="80">
        <f t="shared" si="47"/>
        <v>0</v>
      </c>
      <c r="Q106" s="18"/>
      <c r="R106" s="80">
        <f t="shared" si="48"/>
        <v>0</v>
      </c>
      <c r="S106" s="18"/>
      <c r="T106" s="80">
        <f t="shared" si="49"/>
        <v>0</v>
      </c>
      <c r="U106" s="18"/>
      <c r="V106" s="80">
        <f t="shared" si="29"/>
        <v>0</v>
      </c>
      <c r="W106" s="19" t="str">
        <f t="shared" si="30"/>
        <v xml:space="preserve"> </v>
      </c>
      <c r="X106" s="19" t="str">
        <f t="shared" si="31"/>
        <v xml:space="preserve"> </v>
      </c>
      <c r="Y106" s="19" t="str">
        <f t="shared" si="32"/>
        <v/>
      </c>
      <c r="Z106" s="23"/>
      <c r="AA106" s="19" t="str">
        <f t="shared" si="33"/>
        <v/>
      </c>
      <c r="AB106" s="19" t="str">
        <f t="shared" si="34"/>
        <v xml:space="preserve"> </v>
      </c>
      <c r="AC106" s="19" t="str">
        <f t="shared" si="35"/>
        <v/>
      </c>
      <c r="AD106" s="19" t="str">
        <f t="shared" si="36"/>
        <v xml:space="preserve"> </v>
      </c>
      <c r="AE106" s="125" t="str">
        <f t="shared" si="37"/>
        <v xml:space="preserve"> </v>
      </c>
      <c r="AF106" s="19" t="str">
        <f t="shared" si="38"/>
        <v xml:space="preserve"> </v>
      </c>
      <c r="AG106" s="50">
        <f t="shared" si="39"/>
        <v>0</v>
      </c>
      <c r="AH106" s="50" t="str">
        <f t="shared" si="40"/>
        <v xml:space="preserve"> </v>
      </c>
      <c r="AI106" s="36" t="str">
        <f>IFERROR(IF((INDEX('[3]Riesgos de Corrupción'!$B$11:$V$100,MATCH('Controles de Corrupción'!C106,'[3]Riesgos de Corrupción'!$B$11:$B$100,0),17)-AH106&lt;=1),"Rara vez",IF((INDEX('[3]Riesgos de Corrupción'!$B$11:$V$100,MATCH('Controles de Corrupción'!C106,'[3]Riesgos de Corrupción'!$B$11:$B$100,0),17)-AH106&lt;=2),"Improbable",IF((INDEX('[3]Riesgos de Corrupción'!$B$11:$V$100,MATCH('Controles de Corrupción'!C106,'[3]Riesgos de Corrupción'!$B$11:$B$100,0),17)-AH106&lt;=3),"Posible",IF((INDEX('[3]Riesgos de Corrupción'!$B$11:$V$100,MATCH('Controles de Corrupción'!C106,'[3]Riesgos de Corrupción'!$B$11:$B$100,0),17)-AH106&lt;=4),"Probable",IF((INDEX('[3]Riesgos de Corrupción'!$B$11:$V$100,MATCH('Controles de Corrupción'!C106,'[3]Riesgos de Corrupción'!$B$11:$B$100,0),17)-AH106&lt;=5),"Casi seguro")))))," ")</f>
        <v xml:space="preserve"> </v>
      </c>
      <c r="AJ106" s="8" t="str">
        <f>IFERROR(IF(OR(AND(AF106="Fuerte",H106="No disminuye"),AND(AF106="Moderado",H106="Indirectamente"),AND(AF106="Moderado",H106="No disminuye"),AND(INDEX('[3]Riesgos de Corrupción'!$B$11:$BN$100,MATCH('Controles de Corrupción'!C106,'[3]Riesgos de Corrupción'!$B$11:$B$100,0),63)="Moderado")),0,IF(OR(AND(AF106="Fuerte",H106="Indirectamente"),AND(AF106="Moderado",H106="Directamente"),AND(INDEX('[3]Riesgos de Corrupción'!$B$11:$BN$100,MATCH('Controles de Corrupción'!C106,'[3]Riesgos de Corrupción'!$B$11:$B$100,0),63)="Mayor")),1,IF(AND(AF106="Fuerte",H106="Directamente",AND(INDEX('[3]Riesgos de Corrupción'!$B$11:$BN$100,MATCH('Controles de Corrupción'!C106,'[3]Riesgos de Corrupción'!$B$11:$B$100,0),63)="Catastrófico")),2)))," ")</f>
        <v xml:space="preserve"> </v>
      </c>
      <c r="AK106" s="19" t="str">
        <f t="shared" si="41"/>
        <v xml:space="preserve"> </v>
      </c>
      <c r="AL106" s="19" t="str">
        <f>IFERROR(IF((INDEX('[3]Riesgos de Corrupción'!$B$11:$BN$100,MATCH('Controles de Corrupción'!C106,'[3]Riesgos de Corrupción'!$B$11:$B$100,0),62)-AK106&lt;=3),"Moderado",IF((INDEX('[3]Riesgos de Corrupción'!$B$11:$BN$100,MATCH('Controles de Corrupción'!C106,'[3]Riesgos de Corrupción'!$B$11:$B$100,0),62)-AK106&lt;=4),"Mayor",IF((INDEX('[3]Riesgos de Corrupción'!$B$11:$BN$100,MATCH('Controles de Corrupción'!C106,'[3]Riesgos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0" t="str">
        <f t="shared" si="28"/>
        <v>-</v>
      </c>
      <c r="C107" s="188"/>
      <c r="D107" s="170"/>
      <c r="E107" s="171"/>
      <c r="F107" s="129"/>
      <c r="G107" s="128"/>
      <c r="H107" s="23"/>
      <c r="I107" s="18"/>
      <c r="J107" s="80">
        <f t="shared" si="44"/>
        <v>0</v>
      </c>
      <c r="K107" s="18"/>
      <c r="L107" s="80">
        <f t="shared" si="45"/>
        <v>0</v>
      </c>
      <c r="M107" s="18"/>
      <c r="N107" s="80">
        <f t="shared" si="46"/>
        <v>0</v>
      </c>
      <c r="O107" s="18"/>
      <c r="P107" s="80">
        <f t="shared" si="47"/>
        <v>0</v>
      </c>
      <c r="Q107" s="18"/>
      <c r="R107" s="80">
        <f t="shared" si="48"/>
        <v>0</v>
      </c>
      <c r="S107" s="18"/>
      <c r="T107" s="80">
        <f t="shared" si="49"/>
        <v>0</v>
      </c>
      <c r="U107" s="18"/>
      <c r="V107" s="80">
        <f t="shared" si="29"/>
        <v>0</v>
      </c>
      <c r="W107" s="19" t="str">
        <f t="shared" si="30"/>
        <v xml:space="preserve"> </v>
      </c>
      <c r="X107" s="19" t="str">
        <f t="shared" si="31"/>
        <v xml:space="preserve"> </v>
      </c>
      <c r="Y107" s="19" t="str">
        <f t="shared" si="32"/>
        <v/>
      </c>
      <c r="Z107" s="23"/>
      <c r="AA107" s="19" t="str">
        <f t="shared" si="33"/>
        <v/>
      </c>
      <c r="AB107" s="19" t="str">
        <f t="shared" si="34"/>
        <v xml:space="preserve"> </v>
      </c>
      <c r="AC107" s="19" t="str">
        <f t="shared" si="35"/>
        <v/>
      </c>
      <c r="AD107" s="19" t="str">
        <f t="shared" si="36"/>
        <v xml:space="preserve"> </v>
      </c>
      <c r="AE107" s="125" t="str">
        <f t="shared" si="37"/>
        <v xml:space="preserve"> </v>
      </c>
      <c r="AF107" s="19" t="str">
        <f t="shared" si="38"/>
        <v xml:space="preserve"> </v>
      </c>
      <c r="AG107" s="50">
        <f t="shared" si="39"/>
        <v>0</v>
      </c>
      <c r="AH107" s="50" t="str">
        <f t="shared" si="40"/>
        <v xml:space="preserve"> </v>
      </c>
      <c r="AI107" s="36" t="str">
        <f>IFERROR(IF((INDEX('[3]Riesgos de Corrupción'!$B$11:$V$100,MATCH('Controles de Corrupción'!C107,'[3]Riesgos de Corrupción'!$B$11:$B$100,0),17)-AH107&lt;=1),"Rara vez",IF((INDEX('[3]Riesgos de Corrupción'!$B$11:$V$100,MATCH('Controles de Corrupción'!C107,'[3]Riesgos de Corrupción'!$B$11:$B$100,0),17)-AH107&lt;=2),"Improbable",IF((INDEX('[3]Riesgos de Corrupción'!$B$11:$V$100,MATCH('Controles de Corrupción'!C107,'[3]Riesgos de Corrupción'!$B$11:$B$100,0),17)-AH107&lt;=3),"Posible",IF((INDEX('[3]Riesgos de Corrupción'!$B$11:$V$100,MATCH('Controles de Corrupción'!C107,'[3]Riesgos de Corrupción'!$B$11:$B$100,0),17)-AH107&lt;=4),"Probable",IF((INDEX('[3]Riesgos de Corrupción'!$B$11:$V$100,MATCH('Controles de Corrupción'!C107,'[3]Riesgos de Corrupción'!$B$11:$B$100,0),17)-AH107&lt;=5),"Casi seguro")))))," ")</f>
        <v xml:space="preserve"> </v>
      </c>
      <c r="AJ107" s="8" t="str">
        <f>IFERROR(IF(OR(AND(AF107="Fuerte",H107="No disminuye"),AND(AF107="Moderado",H107="Indirectamente"),AND(AF107="Moderado",H107="No disminuye"),AND(INDEX('[3]Riesgos de Corrupción'!$B$11:$BN$100,MATCH('Controles de Corrupción'!C107,'[3]Riesgos de Corrupción'!$B$11:$B$100,0),63)="Moderado")),0,IF(OR(AND(AF107="Fuerte",H107="Indirectamente"),AND(AF107="Moderado",H107="Directamente"),AND(INDEX('[3]Riesgos de Corrupción'!$B$11:$BN$100,MATCH('Controles de Corrupción'!C107,'[3]Riesgos de Corrupción'!$B$11:$B$100,0),63)="Mayor")),1,IF(AND(AF107="Fuerte",H107="Directamente",AND(INDEX('[3]Riesgos de Corrupción'!$B$11:$BN$100,MATCH('Controles de Corrupción'!C107,'[3]Riesgos de Corrupción'!$B$11:$B$100,0),63)="Catastrófico")),2)))," ")</f>
        <v xml:space="preserve"> </v>
      </c>
      <c r="AK107" s="19" t="str">
        <f t="shared" si="41"/>
        <v xml:space="preserve"> </v>
      </c>
      <c r="AL107" s="19" t="str">
        <f>IFERROR(IF((INDEX('[3]Riesgos de Corrupción'!$B$11:$BN$100,MATCH('Controles de Corrupción'!C107,'[3]Riesgos de Corrupción'!$B$11:$B$100,0),62)-AK107&lt;=3),"Moderado",IF((INDEX('[3]Riesgos de Corrupción'!$B$11:$BN$100,MATCH('Controles de Corrupción'!C107,'[3]Riesgos de Corrupción'!$B$11:$B$100,0),62)-AK107&lt;=4),"Mayor",IF((INDEX('[3]Riesgos de Corrupción'!$B$11:$BN$100,MATCH('Controles de Corrupción'!C107,'[3]Riesgos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0" t="str">
        <f t="shared" si="28"/>
        <v>-</v>
      </c>
      <c r="C108" s="188"/>
      <c r="D108" s="170"/>
      <c r="E108" s="171"/>
      <c r="F108" s="129"/>
      <c r="G108" s="128"/>
      <c r="H108" s="23"/>
      <c r="I108" s="18"/>
      <c r="J108" s="80">
        <f t="shared" si="44"/>
        <v>0</v>
      </c>
      <c r="K108" s="18"/>
      <c r="L108" s="80">
        <f t="shared" si="45"/>
        <v>0</v>
      </c>
      <c r="M108" s="18"/>
      <c r="N108" s="80">
        <f t="shared" si="46"/>
        <v>0</v>
      </c>
      <c r="O108" s="18"/>
      <c r="P108" s="80">
        <f t="shared" si="47"/>
        <v>0</v>
      </c>
      <c r="Q108" s="18"/>
      <c r="R108" s="80">
        <f t="shared" si="48"/>
        <v>0</v>
      </c>
      <c r="S108" s="18"/>
      <c r="T108" s="80">
        <f t="shared" si="49"/>
        <v>0</v>
      </c>
      <c r="U108" s="18"/>
      <c r="V108" s="80">
        <f t="shared" si="29"/>
        <v>0</v>
      </c>
      <c r="W108" s="19" t="str">
        <f t="shared" si="30"/>
        <v xml:space="preserve"> </v>
      </c>
      <c r="X108" s="19" t="str">
        <f t="shared" si="31"/>
        <v xml:space="preserve"> </v>
      </c>
      <c r="Y108" s="19" t="str">
        <f t="shared" si="32"/>
        <v/>
      </c>
      <c r="Z108" s="23"/>
      <c r="AA108" s="19" t="str">
        <f t="shared" si="33"/>
        <v/>
      </c>
      <c r="AB108" s="19" t="str">
        <f t="shared" si="34"/>
        <v xml:space="preserve"> </v>
      </c>
      <c r="AC108" s="19" t="str">
        <f t="shared" si="35"/>
        <v/>
      </c>
      <c r="AD108" s="19" t="str">
        <f t="shared" si="36"/>
        <v xml:space="preserve"> </v>
      </c>
      <c r="AE108" s="125" t="str">
        <f t="shared" si="37"/>
        <v xml:space="preserve"> </v>
      </c>
      <c r="AF108" s="19" t="str">
        <f t="shared" si="38"/>
        <v xml:space="preserve"> </v>
      </c>
      <c r="AG108" s="50">
        <f t="shared" si="39"/>
        <v>0</v>
      </c>
      <c r="AH108" s="50" t="str">
        <f t="shared" si="40"/>
        <v xml:space="preserve"> </v>
      </c>
      <c r="AI108" s="36" t="str">
        <f>IFERROR(IF((INDEX('[3]Riesgos de Corrupción'!$B$11:$V$100,MATCH('Controles de Corrupción'!C108,'[3]Riesgos de Corrupción'!$B$11:$B$100,0),17)-AH108&lt;=1),"Rara vez",IF((INDEX('[3]Riesgos de Corrupción'!$B$11:$V$100,MATCH('Controles de Corrupción'!C108,'[3]Riesgos de Corrupción'!$B$11:$B$100,0),17)-AH108&lt;=2),"Improbable",IF((INDEX('[3]Riesgos de Corrupción'!$B$11:$V$100,MATCH('Controles de Corrupción'!C108,'[3]Riesgos de Corrupción'!$B$11:$B$100,0),17)-AH108&lt;=3),"Posible",IF((INDEX('[3]Riesgos de Corrupción'!$B$11:$V$100,MATCH('Controles de Corrupción'!C108,'[3]Riesgos de Corrupción'!$B$11:$B$100,0),17)-AH108&lt;=4),"Probable",IF((INDEX('[3]Riesgos de Corrupción'!$B$11:$V$100,MATCH('Controles de Corrupción'!C108,'[3]Riesgos de Corrupción'!$B$11:$B$100,0),17)-AH108&lt;=5),"Casi seguro")))))," ")</f>
        <v xml:space="preserve"> </v>
      </c>
      <c r="AJ108" s="8" t="str">
        <f>IFERROR(IF(OR(AND(AF108="Fuerte",H108="No disminuye"),AND(AF108="Moderado",H108="Indirectamente"),AND(AF108="Moderado",H108="No disminuye"),AND(INDEX('[3]Riesgos de Corrupción'!$B$11:$BN$100,MATCH('Controles de Corrupción'!C108,'[3]Riesgos de Corrupción'!$B$11:$B$100,0),63)="Moderado")),0,IF(OR(AND(AF108="Fuerte",H108="Indirectamente"),AND(AF108="Moderado",H108="Directamente"),AND(INDEX('[3]Riesgos de Corrupción'!$B$11:$BN$100,MATCH('Controles de Corrupción'!C108,'[3]Riesgos de Corrupción'!$B$11:$B$100,0),63)="Mayor")),1,IF(AND(AF108="Fuerte",H108="Directamente",AND(INDEX('[3]Riesgos de Corrupción'!$B$11:$BN$100,MATCH('Controles de Corrupción'!C108,'[3]Riesgos de Corrupción'!$B$11:$B$100,0),63)="Catastrófico")),2)))," ")</f>
        <v xml:space="preserve"> </v>
      </c>
      <c r="AK108" s="19" t="str">
        <f t="shared" si="41"/>
        <v xml:space="preserve"> </v>
      </c>
      <c r="AL108" s="19" t="str">
        <f>IFERROR(IF((INDEX('[3]Riesgos de Corrupción'!$B$11:$BN$100,MATCH('Controles de Corrupción'!C108,'[3]Riesgos de Corrupción'!$B$11:$B$100,0),62)-AK108&lt;=3),"Moderado",IF((INDEX('[3]Riesgos de Corrupción'!$B$11:$BN$100,MATCH('Controles de Corrupción'!C108,'[3]Riesgos de Corrupción'!$B$11:$B$100,0),62)-AK108&lt;=4),"Mayor",IF((INDEX('[3]Riesgos de Corrupción'!$B$11:$BN$100,MATCH('Controles de Corrupción'!C108,'[3]Riesgos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0" t="str">
        <f t="shared" si="28"/>
        <v>-</v>
      </c>
      <c r="C109" s="188"/>
      <c r="D109" s="170"/>
      <c r="E109" s="171"/>
      <c r="F109" s="129"/>
      <c r="G109" s="128"/>
      <c r="H109" s="23"/>
      <c r="I109" s="18"/>
      <c r="J109" s="80">
        <f t="shared" si="44"/>
        <v>0</v>
      </c>
      <c r="K109" s="18"/>
      <c r="L109" s="80">
        <f t="shared" si="45"/>
        <v>0</v>
      </c>
      <c r="M109" s="18"/>
      <c r="N109" s="80">
        <f t="shared" si="46"/>
        <v>0</v>
      </c>
      <c r="O109" s="18"/>
      <c r="P109" s="80">
        <f t="shared" si="47"/>
        <v>0</v>
      </c>
      <c r="Q109" s="18"/>
      <c r="R109" s="80">
        <f t="shared" si="48"/>
        <v>0</v>
      </c>
      <c r="S109" s="18"/>
      <c r="T109" s="80">
        <f t="shared" si="49"/>
        <v>0</v>
      </c>
      <c r="U109" s="18"/>
      <c r="V109" s="80">
        <f t="shared" si="29"/>
        <v>0</v>
      </c>
      <c r="W109" s="19" t="str">
        <f t="shared" si="30"/>
        <v xml:space="preserve"> </v>
      </c>
      <c r="X109" s="19" t="str">
        <f t="shared" si="31"/>
        <v xml:space="preserve"> </v>
      </c>
      <c r="Y109" s="19" t="str">
        <f t="shared" si="32"/>
        <v/>
      </c>
      <c r="Z109" s="23"/>
      <c r="AA109" s="19" t="str">
        <f t="shared" si="33"/>
        <v/>
      </c>
      <c r="AB109" s="19" t="str">
        <f t="shared" si="34"/>
        <v xml:space="preserve"> </v>
      </c>
      <c r="AC109" s="19" t="str">
        <f t="shared" si="35"/>
        <v/>
      </c>
      <c r="AD109" s="19" t="str">
        <f t="shared" si="36"/>
        <v xml:space="preserve"> </v>
      </c>
      <c r="AE109" s="125" t="str">
        <f t="shared" si="37"/>
        <v xml:space="preserve"> </v>
      </c>
      <c r="AF109" s="19" t="str">
        <f t="shared" si="38"/>
        <v xml:space="preserve"> </v>
      </c>
      <c r="AG109" s="50">
        <f t="shared" si="39"/>
        <v>0</v>
      </c>
      <c r="AH109" s="50" t="str">
        <f t="shared" si="40"/>
        <v xml:space="preserve"> </v>
      </c>
      <c r="AI109" s="36" t="str">
        <f>IFERROR(IF((INDEX('[3]Riesgos de Corrupción'!$B$11:$V$100,MATCH('Controles de Corrupción'!C109,'[3]Riesgos de Corrupción'!$B$11:$B$100,0),17)-AH109&lt;=1),"Rara vez",IF((INDEX('[3]Riesgos de Corrupción'!$B$11:$V$100,MATCH('Controles de Corrupción'!C109,'[3]Riesgos de Corrupción'!$B$11:$B$100,0),17)-AH109&lt;=2),"Improbable",IF((INDEX('[3]Riesgos de Corrupción'!$B$11:$V$100,MATCH('Controles de Corrupción'!C109,'[3]Riesgos de Corrupción'!$B$11:$B$100,0),17)-AH109&lt;=3),"Posible",IF((INDEX('[3]Riesgos de Corrupción'!$B$11:$V$100,MATCH('Controles de Corrupción'!C109,'[3]Riesgos de Corrupción'!$B$11:$B$100,0),17)-AH109&lt;=4),"Probable",IF((INDEX('[3]Riesgos de Corrupción'!$B$11:$V$100,MATCH('Controles de Corrupción'!C109,'[3]Riesgos de Corrupción'!$B$11:$B$100,0),17)-AH109&lt;=5),"Casi seguro")))))," ")</f>
        <v xml:space="preserve"> </v>
      </c>
      <c r="AJ109" s="8" t="str">
        <f>IFERROR(IF(OR(AND(AF109="Fuerte",H109="No disminuye"),AND(AF109="Moderado",H109="Indirectamente"),AND(AF109="Moderado",H109="No disminuye"),AND(INDEX('[3]Riesgos de Corrupción'!$B$11:$BN$100,MATCH('Controles de Corrupción'!C109,'[3]Riesgos de Corrupción'!$B$11:$B$100,0),63)="Moderado")),0,IF(OR(AND(AF109="Fuerte",H109="Indirectamente"),AND(AF109="Moderado",H109="Directamente"),AND(INDEX('[3]Riesgos de Corrupción'!$B$11:$BN$100,MATCH('Controles de Corrupción'!C109,'[3]Riesgos de Corrupción'!$B$11:$B$100,0),63)="Mayor")),1,IF(AND(AF109="Fuerte",H109="Directamente",AND(INDEX('[3]Riesgos de Corrupción'!$B$11:$BN$100,MATCH('Controles de Corrupción'!C109,'[3]Riesgos de Corrupción'!$B$11:$B$100,0),63)="Catastrófico")),2)))," ")</f>
        <v xml:space="preserve"> </v>
      </c>
      <c r="AK109" s="19" t="str">
        <f t="shared" si="41"/>
        <v xml:space="preserve"> </v>
      </c>
      <c r="AL109" s="19" t="str">
        <f>IFERROR(IF((INDEX('[3]Riesgos de Corrupción'!$B$11:$BN$100,MATCH('Controles de Corrupción'!C109,'[3]Riesgos de Corrupción'!$B$11:$B$100,0),62)-AK109&lt;=3),"Moderado",IF((INDEX('[3]Riesgos de Corrupción'!$B$11:$BN$100,MATCH('Controles de Corrupción'!C109,'[3]Riesgos de Corrupción'!$B$11:$B$100,0),62)-AK109&lt;=4),"Mayor",IF((INDEX('[3]Riesgos de Corrupción'!$B$11:$BN$100,MATCH('Controles de Corrupción'!C109,'[3]Riesgos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0" t="str">
        <f t="shared" si="28"/>
        <v>-</v>
      </c>
      <c r="C110" s="188"/>
      <c r="D110" s="170"/>
      <c r="E110" s="171"/>
      <c r="F110" s="129"/>
      <c r="G110" s="128"/>
      <c r="H110" s="23"/>
      <c r="I110" s="18"/>
      <c r="J110" s="80">
        <f t="shared" si="44"/>
        <v>0</v>
      </c>
      <c r="K110" s="18"/>
      <c r="L110" s="80">
        <f t="shared" si="45"/>
        <v>0</v>
      </c>
      <c r="M110" s="18"/>
      <c r="N110" s="80">
        <f t="shared" si="46"/>
        <v>0</v>
      </c>
      <c r="O110" s="18"/>
      <c r="P110" s="80">
        <f t="shared" si="47"/>
        <v>0</v>
      </c>
      <c r="Q110" s="18"/>
      <c r="R110" s="80">
        <f t="shared" si="48"/>
        <v>0</v>
      </c>
      <c r="S110" s="18"/>
      <c r="T110" s="80">
        <f t="shared" si="49"/>
        <v>0</v>
      </c>
      <c r="U110" s="18"/>
      <c r="V110" s="80">
        <f t="shared" si="29"/>
        <v>0</v>
      </c>
      <c r="W110" s="19" t="str">
        <f t="shared" si="30"/>
        <v xml:space="preserve"> </v>
      </c>
      <c r="X110" s="19" t="str">
        <f t="shared" si="31"/>
        <v xml:space="preserve"> </v>
      </c>
      <c r="Y110" s="19" t="str">
        <f t="shared" si="32"/>
        <v/>
      </c>
      <c r="Z110" s="23"/>
      <c r="AA110" s="19" t="str">
        <f t="shared" si="33"/>
        <v/>
      </c>
      <c r="AB110" s="19" t="str">
        <f t="shared" si="34"/>
        <v xml:space="preserve"> </v>
      </c>
      <c r="AC110" s="19" t="str">
        <f t="shared" si="35"/>
        <v/>
      </c>
      <c r="AD110" s="19" t="str">
        <f t="shared" si="36"/>
        <v xml:space="preserve"> </v>
      </c>
      <c r="AE110" s="125" t="str">
        <f t="shared" si="37"/>
        <v xml:space="preserve"> </v>
      </c>
      <c r="AF110" s="19" t="str">
        <f t="shared" si="38"/>
        <v xml:space="preserve"> </v>
      </c>
      <c r="AG110" s="50">
        <f t="shared" si="39"/>
        <v>0</v>
      </c>
      <c r="AH110" s="50" t="str">
        <f t="shared" si="40"/>
        <v xml:space="preserve"> </v>
      </c>
      <c r="AI110" s="36" t="str">
        <f>IFERROR(IF((INDEX('[3]Riesgos de Corrupción'!$B$11:$V$100,MATCH('Controles de Corrupción'!C110,'[3]Riesgos de Corrupción'!$B$11:$B$100,0),17)-AH110&lt;=1),"Rara vez",IF((INDEX('[3]Riesgos de Corrupción'!$B$11:$V$100,MATCH('Controles de Corrupción'!C110,'[3]Riesgos de Corrupción'!$B$11:$B$100,0),17)-AH110&lt;=2),"Improbable",IF((INDEX('[3]Riesgos de Corrupción'!$B$11:$V$100,MATCH('Controles de Corrupción'!C110,'[3]Riesgos de Corrupción'!$B$11:$B$100,0),17)-AH110&lt;=3),"Posible",IF((INDEX('[3]Riesgos de Corrupción'!$B$11:$V$100,MATCH('Controles de Corrupción'!C110,'[3]Riesgos de Corrupción'!$B$11:$B$100,0),17)-AH110&lt;=4),"Probable",IF((INDEX('[3]Riesgos de Corrupción'!$B$11:$V$100,MATCH('Controles de Corrupción'!C110,'[3]Riesgos de Corrupción'!$B$11:$B$100,0),17)-AH110&lt;=5),"Casi seguro")))))," ")</f>
        <v xml:space="preserve"> </v>
      </c>
      <c r="AJ110" s="8" t="str">
        <f>IFERROR(IF(OR(AND(AF110="Fuerte",H110="No disminuye"),AND(AF110="Moderado",H110="Indirectamente"),AND(AF110="Moderado",H110="No disminuye"),AND(INDEX('[3]Riesgos de Corrupción'!$B$11:$BN$100,MATCH('Controles de Corrupción'!C110,'[3]Riesgos de Corrupción'!$B$11:$B$100,0),63)="Moderado")),0,IF(OR(AND(AF110="Fuerte",H110="Indirectamente"),AND(AF110="Moderado",H110="Directamente"),AND(INDEX('[3]Riesgos de Corrupción'!$B$11:$BN$100,MATCH('Controles de Corrupción'!C110,'[3]Riesgos de Corrupción'!$B$11:$B$100,0),63)="Mayor")),1,IF(AND(AF110="Fuerte",H110="Directamente",AND(INDEX('[3]Riesgos de Corrupción'!$B$11:$BN$100,MATCH('Controles de Corrupción'!C110,'[3]Riesgos de Corrupción'!$B$11:$B$100,0),63)="Catastrófico")),2)))," ")</f>
        <v xml:space="preserve"> </v>
      </c>
      <c r="AK110" s="19" t="str">
        <f t="shared" si="41"/>
        <v xml:space="preserve"> </v>
      </c>
      <c r="AL110" s="19" t="str">
        <f>IFERROR(IF((INDEX('[3]Riesgos de Corrupción'!$B$11:$BN$100,MATCH('Controles de Corrupción'!C110,'[3]Riesgos de Corrupción'!$B$11:$B$100,0),62)-AK110&lt;=3),"Moderado",IF((INDEX('[3]Riesgos de Corrupción'!$B$11:$BN$100,MATCH('Controles de Corrupción'!C110,'[3]Riesgos de Corrupción'!$B$11:$B$100,0),62)-AK110&lt;=4),"Mayor",IF((INDEX('[3]Riesgos de Corrupción'!$B$11:$BN$100,MATCH('Controles de Corrupción'!C110,'[3]Riesgos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0" t="str">
        <f t="shared" si="28"/>
        <v>-</v>
      </c>
      <c r="C111" s="188"/>
      <c r="D111" s="170"/>
      <c r="E111" s="171"/>
      <c r="F111" s="129"/>
      <c r="G111" s="128"/>
      <c r="H111" s="23"/>
      <c r="I111" s="18"/>
      <c r="J111" s="80">
        <f t="shared" si="44"/>
        <v>0</v>
      </c>
      <c r="K111" s="18"/>
      <c r="L111" s="80">
        <f t="shared" si="45"/>
        <v>0</v>
      </c>
      <c r="M111" s="18"/>
      <c r="N111" s="80">
        <f t="shared" si="46"/>
        <v>0</v>
      </c>
      <c r="O111" s="18"/>
      <c r="P111" s="80">
        <f t="shared" si="47"/>
        <v>0</v>
      </c>
      <c r="Q111" s="18"/>
      <c r="R111" s="80">
        <f t="shared" si="48"/>
        <v>0</v>
      </c>
      <c r="S111" s="18"/>
      <c r="T111" s="80">
        <f t="shared" si="49"/>
        <v>0</v>
      </c>
      <c r="U111" s="18"/>
      <c r="V111" s="80">
        <f t="shared" si="29"/>
        <v>0</v>
      </c>
      <c r="W111" s="19" t="str">
        <f t="shared" si="30"/>
        <v xml:space="preserve"> </v>
      </c>
      <c r="X111" s="19" t="str">
        <f t="shared" si="31"/>
        <v xml:space="preserve"> </v>
      </c>
      <c r="Y111" s="19" t="str">
        <f t="shared" si="32"/>
        <v/>
      </c>
      <c r="Z111" s="23"/>
      <c r="AA111" s="19" t="str">
        <f t="shared" si="33"/>
        <v/>
      </c>
      <c r="AB111" s="19" t="str">
        <f t="shared" si="34"/>
        <v xml:space="preserve"> </v>
      </c>
      <c r="AC111" s="19" t="str">
        <f t="shared" si="35"/>
        <v/>
      </c>
      <c r="AD111" s="19" t="str">
        <f t="shared" si="36"/>
        <v xml:space="preserve"> </v>
      </c>
      <c r="AE111" s="125" t="str">
        <f t="shared" si="37"/>
        <v xml:space="preserve"> </v>
      </c>
      <c r="AF111" s="19" t="str">
        <f t="shared" si="38"/>
        <v xml:space="preserve"> </v>
      </c>
      <c r="AG111" s="50">
        <f t="shared" si="39"/>
        <v>0</v>
      </c>
      <c r="AH111" s="50" t="str">
        <f t="shared" si="40"/>
        <v xml:space="preserve"> </v>
      </c>
      <c r="AI111" s="36" t="str">
        <f>IFERROR(IF((INDEX('[3]Riesgos de Corrupción'!$B$11:$V$100,MATCH('Controles de Corrupción'!C111,'[3]Riesgos de Corrupción'!$B$11:$B$100,0),17)-AH111&lt;=1),"Rara vez",IF((INDEX('[3]Riesgos de Corrupción'!$B$11:$V$100,MATCH('Controles de Corrupción'!C111,'[3]Riesgos de Corrupción'!$B$11:$B$100,0),17)-AH111&lt;=2),"Improbable",IF((INDEX('[3]Riesgos de Corrupción'!$B$11:$V$100,MATCH('Controles de Corrupción'!C111,'[3]Riesgos de Corrupción'!$B$11:$B$100,0),17)-AH111&lt;=3),"Posible",IF((INDEX('[3]Riesgos de Corrupción'!$B$11:$V$100,MATCH('Controles de Corrupción'!C111,'[3]Riesgos de Corrupción'!$B$11:$B$100,0),17)-AH111&lt;=4),"Probable",IF((INDEX('[3]Riesgos de Corrupción'!$B$11:$V$100,MATCH('Controles de Corrupción'!C111,'[3]Riesgos de Corrupción'!$B$11:$B$100,0),17)-AH111&lt;=5),"Casi seguro")))))," ")</f>
        <v xml:space="preserve"> </v>
      </c>
      <c r="AJ111" s="8" t="str">
        <f>IFERROR(IF(OR(AND(AF111="Fuerte",H111="No disminuye"),AND(AF111="Moderado",H111="Indirectamente"),AND(AF111="Moderado",H111="No disminuye"),AND(INDEX('[3]Riesgos de Corrupción'!$B$11:$BN$100,MATCH('Controles de Corrupción'!C111,'[3]Riesgos de Corrupción'!$B$11:$B$100,0),63)="Moderado")),0,IF(OR(AND(AF111="Fuerte",H111="Indirectamente"),AND(AF111="Moderado",H111="Directamente"),AND(INDEX('[3]Riesgos de Corrupción'!$B$11:$BN$100,MATCH('Controles de Corrupción'!C111,'[3]Riesgos de Corrupción'!$B$11:$B$100,0),63)="Mayor")),1,IF(AND(AF111="Fuerte",H111="Directamente",AND(INDEX('[3]Riesgos de Corrupción'!$B$11:$BN$100,MATCH('Controles de Corrupción'!C111,'[3]Riesgos de Corrupción'!$B$11:$B$100,0),63)="Catastrófico")),2)))," ")</f>
        <v xml:space="preserve"> </v>
      </c>
      <c r="AK111" s="19" t="str">
        <f t="shared" si="41"/>
        <v xml:space="preserve"> </v>
      </c>
      <c r="AL111" s="19" t="str">
        <f>IFERROR(IF((INDEX('[3]Riesgos de Corrupción'!$B$11:$BN$100,MATCH('Controles de Corrupción'!C111,'[3]Riesgos de Corrupción'!$B$11:$B$100,0),62)-AK111&lt;=3),"Moderado",IF((INDEX('[3]Riesgos de Corrupción'!$B$11:$BN$100,MATCH('Controles de Corrupción'!C111,'[3]Riesgos de Corrupción'!$B$11:$B$100,0),62)-AK111&lt;=4),"Mayor",IF((INDEX('[3]Riesgos de Corrupción'!$B$11:$BN$100,MATCH('Controles de Corrupción'!C111,'[3]Riesgos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0" t="str">
        <f t="shared" si="28"/>
        <v>-</v>
      </c>
      <c r="C112" s="188"/>
      <c r="D112" s="170"/>
      <c r="E112" s="171"/>
      <c r="F112" s="129"/>
      <c r="G112" s="128"/>
      <c r="H112" s="23"/>
      <c r="I112" s="18"/>
      <c r="J112" s="80">
        <f t="shared" si="44"/>
        <v>0</v>
      </c>
      <c r="K112" s="18"/>
      <c r="L112" s="80">
        <f t="shared" si="45"/>
        <v>0</v>
      </c>
      <c r="M112" s="18"/>
      <c r="N112" s="80">
        <f t="shared" si="46"/>
        <v>0</v>
      </c>
      <c r="O112" s="18"/>
      <c r="P112" s="80">
        <f t="shared" si="47"/>
        <v>0</v>
      </c>
      <c r="Q112" s="18"/>
      <c r="R112" s="80">
        <f t="shared" si="48"/>
        <v>0</v>
      </c>
      <c r="S112" s="18"/>
      <c r="T112" s="80">
        <f t="shared" si="49"/>
        <v>0</v>
      </c>
      <c r="U112" s="18"/>
      <c r="V112" s="80">
        <f t="shared" si="29"/>
        <v>0</v>
      </c>
      <c r="W112" s="19" t="str">
        <f t="shared" si="30"/>
        <v xml:space="preserve"> </v>
      </c>
      <c r="X112" s="19" t="str">
        <f t="shared" si="31"/>
        <v xml:space="preserve"> </v>
      </c>
      <c r="Y112" s="19" t="str">
        <f t="shared" si="32"/>
        <v/>
      </c>
      <c r="Z112" s="23"/>
      <c r="AA112" s="19" t="str">
        <f t="shared" si="33"/>
        <v/>
      </c>
      <c r="AB112" s="19" t="str">
        <f t="shared" si="34"/>
        <v xml:space="preserve"> </v>
      </c>
      <c r="AC112" s="19" t="str">
        <f t="shared" si="35"/>
        <v/>
      </c>
      <c r="AD112" s="19" t="str">
        <f t="shared" si="36"/>
        <v xml:space="preserve"> </v>
      </c>
      <c r="AE112" s="125" t="str">
        <f t="shared" si="37"/>
        <v xml:space="preserve"> </v>
      </c>
      <c r="AF112" s="19" t="str">
        <f t="shared" si="38"/>
        <v xml:space="preserve"> </v>
      </c>
      <c r="AG112" s="50">
        <f t="shared" si="39"/>
        <v>0</v>
      </c>
      <c r="AH112" s="50" t="str">
        <f t="shared" si="40"/>
        <v xml:space="preserve"> </v>
      </c>
      <c r="AI112" s="36" t="str">
        <f>IFERROR(IF((INDEX('[3]Riesgos de Corrupción'!$B$11:$V$100,MATCH('Controles de Corrupción'!C112,'[3]Riesgos de Corrupción'!$B$11:$B$100,0),17)-AH112&lt;=1),"Rara vez",IF((INDEX('[3]Riesgos de Corrupción'!$B$11:$V$100,MATCH('Controles de Corrupción'!C112,'[3]Riesgos de Corrupción'!$B$11:$B$100,0),17)-AH112&lt;=2),"Improbable",IF((INDEX('[3]Riesgos de Corrupción'!$B$11:$V$100,MATCH('Controles de Corrupción'!C112,'[3]Riesgos de Corrupción'!$B$11:$B$100,0),17)-AH112&lt;=3),"Posible",IF((INDEX('[3]Riesgos de Corrupción'!$B$11:$V$100,MATCH('Controles de Corrupción'!C112,'[3]Riesgos de Corrupción'!$B$11:$B$100,0),17)-AH112&lt;=4),"Probable",IF((INDEX('[3]Riesgos de Corrupción'!$B$11:$V$100,MATCH('Controles de Corrupción'!C112,'[3]Riesgos de Corrupción'!$B$11:$B$100,0),17)-AH112&lt;=5),"Casi seguro")))))," ")</f>
        <v xml:space="preserve"> </v>
      </c>
      <c r="AJ112" s="8" t="str">
        <f>IFERROR(IF(OR(AND(AF112="Fuerte",H112="No disminuye"),AND(AF112="Moderado",H112="Indirectamente"),AND(AF112="Moderado",H112="No disminuye"),AND(INDEX('[3]Riesgos de Corrupción'!$B$11:$BN$100,MATCH('Controles de Corrupción'!C112,'[3]Riesgos de Corrupción'!$B$11:$B$100,0),63)="Moderado")),0,IF(OR(AND(AF112="Fuerte",H112="Indirectamente"),AND(AF112="Moderado",H112="Directamente"),AND(INDEX('[3]Riesgos de Corrupción'!$B$11:$BN$100,MATCH('Controles de Corrupción'!C112,'[3]Riesgos de Corrupción'!$B$11:$B$100,0),63)="Mayor")),1,IF(AND(AF112="Fuerte",H112="Directamente",AND(INDEX('[3]Riesgos de Corrupción'!$B$11:$BN$100,MATCH('Controles de Corrupción'!C112,'[3]Riesgos de Corrupción'!$B$11:$B$100,0),63)="Catastrófico")),2)))," ")</f>
        <v xml:space="preserve"> </v>
      </c>
      <c r="AK112" s="19" t="str">
        <f t="shared" si="41"/>
        <v xml:space="preserve"> </v>
      </c>
      <c r="AL112" s="19" t="str">
        <f>IFERROR(IF((INDEX('[3]Riesgos de Corrupción'!$B$11:$BN$100,MATCH('Controles de Corrupción'!C112,'[3]Riesgos de Corrupción'!$B$11:$B$100,0),62)-AK112&lt;=3),"Moderado",IF((INDEX('[3]Riesgos de Corrupción'!$B$11:$BN$100,MATCH('Controles de Corrupción'!C112,'[3]Riesgos de Corrupción'!$B$11:$B$100,0),62)-AK112&lt;=4),"Mayor",IF((INDEX('[3]Riesgos de Corrupción'!$B$11:$BN$100,MATCH('Controles de Corrupción'!C112,'[3]Riesgos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0" t="str">
        <f t="shared" si="28"/>
        <v>-</v>
      </c>
      <c r="C113" s="188"/>
      <c r="D113" s="170"/>
      <c r="E113" s="171"/>
      <c r="F113" s="129"/>
      <c r="G113" s="128"/>
      <c r="H113" s="23"/>
      <c r="I113" s="18"/>
      <c r="J113" s="80">
        <f t="shared" si="44"/>
        <v>0</v>
      </c>
      <c r="K113" s="18"/>
      <c r="L113" s="80">
        <f t="shared" si="45"/>
        <v>0</v>
      </c>
      <c r="M113" s="18"/>
      <c r="N113" s="80">
        <f t="shared" si="46"/>
        <v>0</v>
      </c>
      <c r="O113" s="18"/>
      <c r="P113" s="80">
        <f t="shared" si="47"/>
        <v>0</v>
      </c>
      <c r="Q113" s="18"/>
      <c r="R113" s="80">
        <f t="shared" si="48"/>
        <v>0</v>
      </c>
      <c r="S113" s="18"/>
      <c r="T113" s="80">
        <f t="shared" si="49"/>
        <v>0</v>
      </c>
      <c r="U113" s="18"/>
      <c r="V113" s="80">
        <f t="shared" si="29"/>
        <v>0</v>
      </c>
      <c r="W113" s="19" t="str">
        <f t="shared" si="30"/>
        <v xml:space="preserve"> </v>
      </c>
      <c r="X113" s="19" t="str">
        <f t="shared" si="31"/>
        <v xml:space="preserve"> </v>
      </c>
      <c r="Y113" s="19" t="str">
        <f t="shared" si="32"/>
        <v/>
      </c>
      <c r="Z113" s="23"/>
      <c r="AA113" s="19" t="str">
        <f t="shared" si="33"/>
        <v/>
      </c>
      <c r="AB113" s="19" t="str">
        <f t="shared" si="34"/>
        <v xml:space="preserve"> </v>
      </c>
      <c r="AC113" s="19" t="str">
        <f t="shared" si="35"/>
        <v/>
      </c>
      <c r="AD113" s="19" t="str">
        <f t="shared" si="36"/>
        <v xml:space="preserve"> </v>
      </c>
      <c r="AE113" s="125" t="str">
        <f t="shared" si="37"/>
        <v xml:space="preserve"> </v>
      </c>
      <c r="AF113" s="19" t="str">
        <f t="shared" si="38"/>
        <v xml:space="preserve"> </v>
      </c>
      <c r="AG113" s="50">
        <f t="shared" si="39"/>
        <v>0</v>
      </c>
      <c r="AH113" s="50" t="str">
        <f t="shared" si="40"/>
        <v xml:space="preserve"> </v>
      </c>
      <c r="AI113" s="36" t="str">
        <f>IFERROR(IF((INDEX('[3]Riesgos de Corrupción'!$B$11:$V$100,MATCH('Controles de Corrupción'!C113,'[3]Riesgos de Corrupción'!$B$11:$B$100,0),17)-AH113&lt;=1),"Rara vez",IF((INDEX('[3]Riesgos de Corrupción'!$B$11:$V$100,MATCH('Controles de Corrupción'!C113,'[3]Riesgos de Corrupción'!$B$11:$B$100,0),17)-AH113&lt;=2),"Improbable",IF((INDEX('[3]Riesgos de Corrupción'!$B$11:$V$100,MATCH('Controles de Corrupción'!C113,'[3]Riesgos de Corrupción'!$B$11:$B$100,0),17)-AH113&lt;=3),"Posible",IF((INDEX('[3]Riesgos de Corrupción'!$B$11:$V$100,MATCH('Controles de Corrupción'!C113,'[3]Riesgos de Corrupción'!$B$11:$B$100,0),17)-AH113&lt;=4),"Probable",IF((INDEX('[3]Riesgos de Corrupción'!$B$11:$V$100,MATCH('Controles de Corrupción'!C113,'[3]Riesgos de Corrupción'!$B$11:$B$100,0),17)-AH113&lt;=5),"Casi seguro")))))," ")</f>
        <v xml:space="preserve"> </v>
      </c>
      <c r="AJ113" s="8" t="str">
        <f>IFERROR(IF(OR(AND(AF113="Fuerte",H113="No disminuye"),AND(AF113="Moderado",H113="Indirectamente"),AND(AF113="Moderado",H113="No disminuye"),AND(INDEX('[3]Riesgos de Corrupción'!$B$11:$BN$100,MATCH('Controles de Corrupción'!C113,'[3]Riesgos de Corrupción'!$B$11:$B$100,0),63)="Moderado")),0,IF(OR(AND(AF113="Fuerte",H113="Indirectamente"),AND(AF113="Moderado",H113="Directamente"),AND(INDEX('[3]Riesgos de Corrupción'!$B$11:$BN$100,MATCH('Controles de Corrupción'!C113,'[3]Riesgos de Corrupción'!$B$11:$B$100,0),63)="Mayor")),1,IF(AND(AF113="Fuerte",H113="Directamente",AND(INDEX('[3]Riesgos de Corrupción'!$B$11:$BN$100,MATCH('Controles de Corrupción'!C113,'[3]Riesgos de Corrupción'!$B$11:$B$100,0),63)="Catastrófico")),2)))," ")</f>
        <v xml:space="preserve"> </v>
      </c>
      <c r="AK113" s="19" t="str">
        <f t="shared" si="41"/>
        <v xml:space="preserve"> </v>
      </c>
      <c r="AL113" s="19" t="str">
        <f>IFERROR(IF((INDEX('[3]Riesgos de Corrupción'!$B$11:$BN$100,MATCH('Controles de Corrupción'!C113,'[3]Riesgos de Corrupción'!$B$11:$B$100,0),62)-AK113&lt;=3),"Moderado",IF((INDEX('[3]Riesgos de Corrupción'!$B$11:$BN$100,MATCH('Controles de Corrupción'!C113,'[3]Riesgos de Corrupción'!$B$11:$B$100,0),62)-AK113&lt;=4),"Mayor",IF((INDEX('[3]Riesgos de Corrupción'!$B$11:$BN$100,MATCH('Controles de Corrupción'!C113,'[3]Riesgos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0" t="str">
        <f t="shared" si="28"/>
        <v>-</v>
      </c>
      <c r="C114" s="188"/>
      <c r="D114" s="170"/>
      <c r="E114" s="171"/>
      <c r="F114" s="129"/>
      <c r="G114" s="128"/>
      <c r="H114" s="23"/>
      <c r="I114" s="18"/>
      <c r="J114" s="80">
        <f t="shared" si="44"/>
        <v>0</v>
      </c>
      <c r="K114" s="18"/>
      <c r="L114" s="80">
        <f t="shared" si="45"/>
        <v>0</v>
      </c>
      <c r="M114" s="18"/>
      <c r="N114" s="80">
        <f t="shared" si="46"/>
        <v>0</v>
      </c>
      <c r="O114" s="18"/>
      <c r="P114" s="80">
        <f t="shared" si="47"/>
        <v>0</v>
      </c>
      <c r="Q114" s="18"/>
      <c r="R114" s="80">
        <f t="shared" si="48"/>
        <v>0</v>
      </c>
      <c r="S114" s="18"/>
      <c r="T114" s="80">
        <f t="shared" si="49"/>
        <v>0</v>
      </c>
      <c r="U114" s="18"/>
      <c r="V114" s="80">
        <f t="shared" si="29"/>
        <v>0</v>
      </c>
      <c r="W114" s="19" t="str">
        <f t="shared" si="30"/>
        <v xml:space="preserve"> </v>
      </c>
      <c r="X114" s="19" t="str">
        <f t="shared" si="31"/>
        <v xml:space="preserve"> </v>
      </c>
      <c r="Y114" s="19" t="str">
        <f t="shared" si="32"/>
        <v/>
      </c>
      <c r="Z114" s="23"/>
      <c r="AA114" s="19" t="str">
        <f t="shared" si="33"/>
        <v/>
      </c>
      <c r="AB114" s="19" t="str">
        <f t="shared" si="34"/>
        <v xml:space="preserve"> </v>
      </c>
      <c r="AC114" s="19" t="str">
        <f t="shared" si="35"/>
        <v/>
      </c>
      <c r="AD114" s="19" t="str">
        <f t="shared" si="36"/>
        <v xml:space="preserve"> </v>
      </c>
      <c r="AE114" s="125" t="str">
        <f t="shared" si="37"/>
        <v xml:space="preserve"> </v>
      </c>
      <c r="AF114" s="19" t="str">
        <f t="shared" si="38"/>
        <v xml:space="preserve"> </v>
      </c>
      <c r="AG114" s="50">
        <f t="shared" si="39"/>
        <v>0</v>
      </c>
      <c r="AH114" s="50" t="str">
        <f t="shared" si="40"/>
        <v xml:space="preserve"> </v>
      </c>
      <c r="AI114" s="36" t="str">
        <f>IFERROR(IF((INDEX('[3]Riesgos de Corrupción'!$B$11:$V$100,MATCH('Controles de Corrupción'!C114,'[3]Riesgos de Corrupción'!$B$11:$B$100,0),17)-AH114&lt;=1),"Rara vez",IF((INDEX('[3]Riesgos de Corrupción'!$B$11:$V$100,MATCH('Controles de Corrupción'!C114,'[3]Riesgos de Corrupción'!$B$11:$B$100,0),17)-AH114&lt;=2),"Improbable",IF((INDEX('[3]Riesgos de Corrupción'!$B$11:$V$100,MATCH('Controles de Corrupción'!C114,'[3]Riesgos de Corrupción'!$B$11:$B$100,0),17)-AH114&lt;=3),"Posible",IF((INDEX('[3]Riesgos de Corrupción'!$B$11:$V$100,MATCH('Controles de Corrupción'!C114,'[3]Riesgos de Corrupción'!$B$11:$B$100,0),17)-AH114&lt;=4),"Probable",IF((INDEX('[3]Riesgos de Corrupción'!$B$11:$V$100,MATCH('Controles de Corrupción'!C114,'[3]Riesgos de Corrupción'!$B$11:$B$100,0),17)-AH114&lt;=5),"Casi seguro")))))," ")</f>
        <v xml:space="preserve"> </v>
      </c>
      <c r="AJ114" s="8" t="str">
        <f>IFERROR(IF(OR(AND(AF114="Fuerte",H114="No disminuye"),AND(AF114="Moderado",H114="Indirectamente"),AND(AF114="Moderado",H114="No disminuye"),AND(INDEX('[3]Riesgos de Corrupción'!$B$11:$BN$100,MATCH('Controles de Corrupción'!C114,'[3]Riesgos de Corrupción'!$B$11:$B$100,0),63)="Moderado")),0,IF(OR(AND(AF114="Fuerte",H114="Indirectamente"),AND(AF114="Moderado",H114="Directamente"),AND(INDEX('[3]Riesgos de Corrupción'!$B$11:$BN$100,MATCH('Controles de Corrupción'!C114,'[3]Riesgos de Corrupción'!$B$11:$B$100,0),63)="Mayor")),1,IF(AND(AF114="Fuerte",H114="Directamente",AND(INDEX('[3]Riesgos de Corrupción'!$B$11:$BN$100,MATCH('Controles de Corrupción'!C114,'[3]Riesgos de Corrupción'!$B$11:$B$100,0),63)="Catastrófico")),2)))," ")</f>
        <v xml:space="preserve"> </v>
      </c>
      <c r="AK114" s="19" t="str">
        <f t="shared" si="41"/>
        <v xml:space="preserve"> </v>
      </c>
      <c r="AL114" s="19" t="str">
        <f>IFERROR(IF((INDEX('[3]Riesgos de Corrupción'!$B$11:$BN$100,MATCH('Controles de Corrupción'!C114,'[3]Riesgos de Corrupción'!$B$11:$B$100,0),62)-AK114&lt;=3),"Moderado",IF((INDEX('[3]Riesgos de Corrupción'!$B$11:$BN$100,MATCH('Controles de Corrupción'!C114,'[3]Riesgos de Corrupción'!$B$11:$B$100,0),62)-AK114&lt;=4),"Mayor",IF((INDEX('[3]Riesgos de Corrupción'!$B$11:$BN$100,MATCH('Controles de Corrupción'!C114,'[3]Riesgos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0" t="str">
        <f t="shared" si="28"/>
        <v>-</v>
      </c>
      <c r="C115" s="188"/>
      <c r="D115" s="170"/>
      <c r="E115" s="171"/>
      <c r="F115" s="129"/>
      <c r="G115" s="128"/>
      <c r="H115" s="23"/>
      <c r="I115" s="18"/>
      <c r="J115" s="80">
        <f t="shared" si="44"/>
        <v>0</v>
      </c>
      <c r="K115" s="18"/>
      <c r="L115" s="80">
        <f t="shared" si="45"/>
        <v>0</v>
      </c>
      <c r="M115" s="18"/>
      <c r="N115" s="80">
        <f t="shared" si="46"/>
        <v>0</v>
      </c>
      <c r="O115" s="18"/>
      <c r="P115" s="80">
        <f t="shared" si="47"/>
        <v>0</v>
      </c>
      <c r="Q115" s="18"/>
      <c r="R115" s="80">
        <f t="shared" si="48"/>
        <v>0</v>
      </c>
      <c r="S115" s="18"/>
      <c r="T115" s="80">
        <f t="shared" si="49"/>
        <v>0</v>
      </c>
      <c r="U115" s="18"/>
      <c r="V115" s="80">
        <f t="shared" si="29"/>
        <v>0</v>
      </c>
      <c r="W115" s="19" t="str">
        <f t="shared" si="30"/>
        <v xml:space="preserve"> </v>
      </c>
      <c r="X115" s="19" t="str">
        <f t="shared" si="31"/>
        <v xml:space="preserve"> </v>
      </c>
      <c r="Y115" s="19" t="str">
        <f t="shared" si="32"/>
        <v/>
      </c>
      <c r="Z115" s="23"/>
      <c r="AA115" s="19" t="str">
        <f t="shared" si="33"/>
        <v/>
      </c>
      <c r="AB115" s="19" t="str">
        <f t="shared" si="34"/>
        <v xml:space="preserve"> </v>
      </c>
      <c r="AC115" s="19" t="str">
        <f t="shared" si="35"/>
        <v/>
      </c>
      <c r="AD115" s="19" t="str">
        <f t="shared" si="36"/>
        <v xml:space="preserve"> </v>
      </c>
      <c r="AE115" s="125" t="str">
        <f t="shared" si="37"/>
        <v xml:space="preserve"> </v>
      </c>
      <c r="AF115" s="19" t="str">
        <f t="shared" si="38"/>
        <v xml:space="preserve"> </v>
      </c>
      <c r="AG115" s="50">
        <f t="shared" si="39"/>
        <v>0</v>
      </c>
      <c r="AH115" s="50" t="str">
        <f t="shared" si="40"/>
        <v xml:space="preserve"> </v>
      </c>
      <c r="AI115" s="36" t="str">
        <f>IFERROR(IF((INDEX('[3]Riesgos de Corrupción'!$B$11:$V$100,MATCH('Controles de Corrupción'!C115,'[3]Riesgos de Corrupción'!$B$11:$B$100,0),17)-AH115&lt;=1),"Rara vez",IF((INDEX('[3]Riesgos de Corrupción'!$B$11:$V$100,MATCH('Controles de Corrupción'!C115,'[3]Riesgos de Corrupción'!$B$11:$B$100,0),17)-AH115&lt;=2),"Improbable",IF((INDEX('[3]Riesgos de Corrupción'!$B$11:$V$100,MATCH('Controles de Corrupción'!C115,'[3]Riesgos de Corrupción'!$B$11:$B$100,0),17)-AH115&lt;=3),"Posible",IF((INDEX('[3]Riesgos de Corrupción'!$B$11:$V$100,MATCH('Controles de Corrupción'!C115,'[3]Riesgos de Corrupción'!$B$11:$B$100,0),17)-AH115&lt;=4),"Probable",IF((INDEX('[3]Riesgos de Corrupción'!$B$11:$V$100,MATCH('Controles de Corrupción'!C115,'[3]Riesgos de Corrupción'!$B$11:$B$100,0),17)-AH115&lt;=5),"Casi seguro")))))," ")</f>
        <v xml:space="preserve"> </v>
      </c>
      <c r="AJ115" s="8" t="str">
        <f>IFERROR(IF(OR(AND(AF115="Fuerte",H115="No disminuye"),AND(AF115="Moderado",H115="Indirectamente"),AND(AF115="Moderado",H115="No disminuye"),AND(INDEX('[3]Riesgos de Corrupción'!$B$11:$BN$100,MATCH('Controles de Corrupción'!C115,'[3]Riesgos de Corrupción'!$B$11:$B$100,0),63)="Moderado")),0,IF(OR(AND(AF115="Fuerte",H115="Indirectamente"),AND(AF115="Moderado",H115="Directamente"),AND(INDEX('[3]Riesgos de Corrupción'!$B$11:$BN$100,MATCH('Controles de Corrupción'!C115,'[3]Riesgos de Corrupción'!$B$11:$B$100,0),63)="Mayor")),1,IF(AND(AF115="Fuerte",H115="Directamente",AND(INDEX('[3]Riesgos de Corrupción'!$B$11:$BN$100,MATCH('Controles de Corrupción'!C115,'[3]Riesgos de Corrupción'!$B$11:$B$100,0),63)="Catastrófico")),2)))," ")</f>
        <v xml:space="preserve"> </v>
      </c>
      <c r="AK115" s="19" t="str">
        <f t="shared" si="41"/>
        <v xml:space="preserve"> </v>
      </c>
      <c r="AL115" s="19" t="str">
        <f>IFERROR(IF((INDEX('[3]Riesgos de Corrupción'!$B$11:$BN$100,MATCH('Controles de Corrupción'!C115,'[3]Riesgos de Corrupción'!$B$11:$B$100,0),62)-AK115&lt;=3),"Moderado",IF((INDEX('[3]Riesgos de Corrupción'!$B$11:$BN$100,MATCH('Controles de Corrupción'!C115,'[3]Riesgos de Corrupción'!$B$11:$B$100,0),62)-AK115&lt;=4),"Mayor",IF((INDEX('[3]Riesgos de Corrupción'!$B$11:$BN$100,MATCH('Controles de Corrupción'!C115,'[3]Riesgos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0" t="str">
        <f t="shared" si="28"/>
        <v>-</v>
      </c>
      <c r="C116" s="188"/>
      <c r="D116" s="170"/>
      <c r="E116" s="171"/>
      <c r="F116" s="129"/>
      <c r="G116" s="128"/>
      <c r="H116" s="23"/>
      <c r="I116" s="18"/>
      <c r="J116" s="80">
        <f t="shared" si="44"/>
        <v>0</v>
      </c>
      <c r="K116" s="18"/>
      <c r="L116" s="80">
        <f t="shared" si="45"/>
        <v>0</v>
      </c>
      <c r="M116" s="18"/>
      <c r="N116" s="80">
        <f t="shared" si="46"/>
        <v>0</v>
      </c>
      <c r="O116" s="18"/>
      <c r="P116" s="80">
        <f t="shared" si="47"/>
        <v>0</v>
      </c>
      <c r="Q116" s="18"/>
      <c r="R116" s="80">
        <f t="shared" si="48"/>
        <v>0</v>
      </c>
      <c r="S116" s="18"/>
      <c r="T116" s="80">
        <f t="shared" si="49"/>
        <v>0</v>
      </c>
      <c r="U116" s="18"/>
      <c r="V116" s="80">
        <f t="shared" si="29"/>
        <v>0</v>
      </c>
      <c r="W116" s="19" t="str">
        <f t="shared" si="30"/>
        <v xml:space="preserve"> </v>
      </c>
      <c r="X116" s="19" t="str">
        <f t="shared" si="31"/>
        <v xml:space="preserve"> </v>
      </c>
      <c r="Y116" s="19" t="str">
        <f t="shared" si="32"/>
        <v/>
      </c>
      <c r="Z116" s="23"/>
      <c r="AA116" s="19" t="str">
        <f t="shared" si="33"/>
        <v/>
      </c>
      <c r="AB116" s="19" t="str">
        <f t="shared" si="34"/>
        <v xml:space="preserve"> </v>
      </c>
      <c r="AC116" s="19" t="str">
        <f t="shared" si="35"/>
        <v/>
      </c>
      <c r="AD116" s="19" t="str">
        <f t="shared" si="36"/>
        <v xml:space="preserve"> </v>
      </c>
      <c r="AE116" s="125" t="str">
        <f t="shared" si="37"/>
        <v xml:space="preserve"> </v>
      </c>
      <c r="AF116" s="19" t="str">
        <f t="shared" si="38"/>
        <v xml:space="preserve"> </v>
      </c>
      <c r="AG116" s="50">
        <f t="shared" si="39"/>
        <v>0</v>
      </c>
      <c r="AH116" s="50" t="str">
        <f t="shared" si="40"/>
        <v xml:space="preserve"> </v>
      </c>
      <c r="AI116" s="36" t="str">
        <f>IFERROR(IF((INDEX('[3]Riesgos de Corrupción'!$B$11:$V$100,MATCH('Controles de Corrupción'!C116,'[3]Riesgos de Corrupción'!$B$11:$B$100,0),17)-AH116&lt;=1),"Rara vez",IF((INDEX('[3]Riesgos de Corrupción'!$B$11:$V$100,MATCH('Controles de Corrupción'!C116,'[3]Riesgos de Corrupción'!$B$11:$B$100,0),17)-AH116&lt;=2),"Improbable",IF((INDEX('[3]Riesgos de Corrupción'!$B$11:$V$100,MATCH('Controles de Corrupción'!C116,'[3]Riesgos de Corrupción'!$B$11:$B$100,0),17)-AH116&lt;=3),"Posible",IF((INDEX('[3]Riesgos de Corrupción'!$B$11:$V$100,MATCH('Controles de Corrupción'!C116,'[3]Riesgos de Corrupción'!$B$11:$B$100,0),17)-AH116&lt;=4),"Probable",IF((INDEX('[3]Riesgos de Corrupción'!$B$11:$V$100,MATCH('Controles de Corrupción'!C116,'[3]Riesgos de Corrupción'!$B$11:$B$100,0),17)-AH116&lt;=5),"Casi seguro")))))," ")</f>
        <v xml:space="preserve"> </v>
      </c>
      <c r="AJ116" s="8" t="str">
        <f>IFERROR(IF(OR(AND(AF116="Fuerte",H116="No disminuye"),AND(AF116="Moderado",H116="Indirectamente"),AND(AF116="Moderado",H116="No disminuye"),AND(INDEX('[3]Riesgos de Corrupción'!$B$11:$BN$100,MATCH('Controles de Corrupción'!C116,'[3]Riesgos de Corrupción'!$B$11:$B$100,0),63)="Moderado")),0,IF(OR(AND(AF116="Fuerte",H116="Indirectamente"),AND(AF116="Moderado",H116="Directamente"),AND(INDEX('[3]Riesgos de Corrupción'!$B$11:$BN$100,MATCH('Controles de Corrupción'!C116,'[3]Riesgos de Corrupción'!$B$11:$B$100,0),63)="Mayor")),1,IF(AND(AF116="Fuerte",H116="Directamente",AND(INDEX('[3]Riesgos de Corrupción'!$B$11:$BN$100,MATCH('Controles de Corrupción'!C116,'[3]Riesgos de Corrupción'!$B$11:$B$100,0),63)="Catastrófico")),2)))," ")</f>
        <v xml:space="preserve"> </v>
      </c>
      <c r="AK116" s="19" t="str">
        <f t="shared" si="41"/>
        <v xml:space="preserve"> </v>
      </c>
      <c r="AL116" s="19" t="str">
        <f>IFERROR(IF((INDEX('[3]Riesgos de Corrupción'!$B$11:$BN$100,MATCH('Controles de Corrupción'!C116,'[3]Riesgos de Corrupción'!$B$11:$B$100,0),62)-AK116&lt;=3),"Moderado",IF((INDEX('[3]Riesgos de Corrupción'!$B$11:$BN$100,MATCH('Controles de Corrupción'!C116,'[3]Riesgos de Corrupción'!$B$11:$B$100,0),62)-AK116&lt;=4),"Mayor",IF((INDEX('[3]Riesgos de Corrupción'!$B$11:$BN$100,MATCH('Controles de Corrupción'!C116,'[3]Riesgos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0" t="str">
        <f t="shared" si="28"/>
        <v>-</v>
      </c>
      <c r="C117" s="188"/>
      <c r="D117" s="170"/>
      <c r="E117" s="171"/>
      <c r="F117" s="129"/>
      <c r="G117" s="128"/>
      <c r="H117" s="23"/>
      <c r="I117" s="18"/>
      <c r="J117" s="80">
        <f t="shared" si="44"/>
        <v>0</v>
      </c>
      <c r="K117" s="18"/>
      <c r="L117" s="80">
        <f t="shared" si="45"/>
        <v>0</v>
      </c>
      <c r="M117" s="18"/>
      <c r="N117" s="80">
        <f t="shared" si="46"/>
        <v>0</v>
      </c>
      <c r="O117" s="18"/>
      <c r="P117" s="80">
        <f t="shared" si="47"/>
        <v>0</v>
      </c>
      <c r="Q117" s="18"/>
      <c r="R117" s="80">
        <f t="shared" si="48"/>
        <v>0</v>
      </c>
      <c r="S117" s="18"/>
      <c r="T117" s="80">
        <f t="shared" si="49"/>
        <v>0</v>
      </c>
      <c r="U117" s="18"/>
      <c r="V117" s="80">
        <f t="shared" si="29"/>
        <v>0</v>
      </c>
      <c r="W117" s="19" t="str">
        <f t="shared" si="30"/>
        <v xml:space="preserve"> </v>
      </c>
      <c r="X117" s="19" t="str">
        <f t="shared" si="31"/>
        <v xml:space="preserve"> </v>
      </c>
      <c r="Y117" s="19" t="str">
        <f t="shared" si="32"/>
        <v/>
      </c>
      <c r="Z117" s="23"/>
      <c r="AA117" s="19" t="str">
        <f t="shared" si="33"/>
        <v/>
      </c>
      <c r="AB117" s="19" t="str">
        <f t="shared" si="34"/>
        <v xml:space="preserve"> </v>
      </c>
      <c r="AC117" s="19" t="str">
        <f t="shared" si="35"/>
        <v/>
      </c>
      <c r="AD117" s="19" t="str">
        <f t="shared" si="36"/>
        <v xml:space="preserve"> </v>
      </c>
      <c r="AE117" s="125" t="str">
        <f t="shared" si="37"/>
        <v xml:space="preserve"> </v>
      </c>
      <c r="AF117" s="19" t="str">
        <f t="shared" si="38"/>
        <v xml:space="preserve"> </v>
      </c>
      <c r="AG117" s="50">
        <f t="shared" si="39"/>
        <v>0</v>
      </c>
      <c r="AH117" s="50" t="str">
        <f t="shared" si="40"/>
        <v xml:space="preserve"> </v>
      </c>
      <c r="AI117" s="36" t="str">
        <f>IFERROR(IF((INDEX('[3]Riesgos de Corrupción'!$B$11:$V$100,MATCH('Controles de Corrupción'!C117,'[3]Riesgos de Corrupción'!$B$11:$B$100,0),17)-AH117&lt;=1),"Rara vez",IF((INDEX('[3]Riesgos de Corrupción'!$B$11:$V$100,MATCH('Controles de Corrupción'!C117,'[3]Riesgos de Corrupción'!$B$11:$B$100,0),17)-AH117&lt;=2),"Improbable",IF((INDEX('[3]Riesgos de Corrupción'!$B$11:$V$100,MATCH('Controles de Corrupción'!C117,'[3]Riesgos de Corrupción'!$B$11:$B$100,0),17)-AH117&lt;=3),"Posible",IF((INDEX('[3]Riesgos de Corrupción'!$B$11:$V$100,MATCH('Controles de Corrupción'!C117,'[3]Riesgos de Corrupción'!$B$11:$B$100,0),17)-AH117&lt;=4),"Probable",IF((INDEX('[3]Riesgos de Corrupción'!$B$11:$V$100,MATCH('Controles de Corrupción'!C117,'[3]Riesgos de Corrupción'!$B$11:$B$100,0),17)-AH117&lt;=5),"Casi seguro")))))," ")</f>
        <v xml:space="preserve"> </v>
      </c>
      <c r="AJ117" s="8" t="str">
        <f>IFERROR(IF(OR(AND(AF117="Fuerte",H117="No disminuye"),AND(AF117="Moderado",H117="Indirectamente"),AND(AF117="Moderado",H117="No disminuye"),AND(INDEX('[3]Riesgos de Corrupción'!$B$11:$BN$100,MATCH('Controles de Corrupción'!C117,'[3]Riesgos de Corrupción'!$B$11:$B$100,0),63)="Moderado")),0,IF(OR(AND(AF117="Fuerte",H117="Indirectamente"),AND(AF117="Moderado",H117="Directamente"),AND(INDEX('[3]Riesgos de Corrupción'!$B$11:$BN$100,MATCH('Controles de Corrupción'!C117,'[3]Riesgos de Corrupción'!$B$11:$B$100,0),63)="Mayor")),1,IF(AND(AF117="Fuerte",H117="Directamente",AND(INDEX('[3]Riesgos de Corrupción'!$B$11:$BN$100,MATCH('Controles de Corrupción'!C117,'[3]Riesgos de Corrupción'!$B$11:$B$100,0),63)="Catastrófico")),2)))," ")</f>
        <v xml:space="preserve"> </v>
      </c>
      <c r="AK117" s="19" t="str">
        <f t="shared" si="41"/>
        <v xml:space="preserve"> </v>
      </c>
      <c r="AL117" s="19" t="str">
        <f>IFERROR(IF((INDEX('[3]Riesgos de Corrupción'!$B$11:$BN$100,MATCH('Controles de Corrupción'!C117,'[3]Riesgos de Corrupción'!$B$11:$B$100,0),62)-AK117&lt;=3),"Moderado",IF((INDEX('[3]Riesgos de Corrupción'!$B$11:$BN$100,MATCH('Controles de Corrupción'!C117,'[3]Riesgos de Corrupción'!$B$11:$B$100,0),62)-AK117&lt;=4),"Mayor",IF((INDEX('[3]Riesgos de Corrupción'!$B$11:$BN$100,MATCH('Controles de Corrupción'!C117,'[3]Riesgos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0" t="str">
        <f t="shared" si="28"/>
        <v>-</v>
      </c>
      <c r="C118" s="188"/>
      <c r="D118" s="170"/>
      <c r="E118" s="171"/>
      <c r="F118" s="129"/>
      <c r="G118" s="128"/>
      <c r="H118" s="23"/>
      <c r="I118" s="18"/>
      <c r="J118" s="80">
        <f t="shared" si="44"/>
        <v>0</v>
      </c>
      <c r="K118" s="18"/>
      <c r="L118" s="80">
        <f t="shared" si="45"/>
        <v>0</v>
      </c>
      <c r="M118" s="18"/>
      <c r="N118" s="80">
        <f t="shared" si="46"/>
        <v>0</v>
      </c>
      <c r="O118" s="18"/>
      <c r="P118" s="80">
        <f t="shared" si="47"/>
        <v>0</v>
      </c>
      <c r="Q118" s="18"/>
      <c r="R118" s="80">
        <f t="shared" si="48"/>
        <v>0</v>
      </c>
      <c r="S118" s="18"/>
      <c r="T118" s="80">
        <f t="shared" si="49"/>
        <v>0</v>
      </c>
      <c r="U118" s="18"/>
      <c r="V118" s="80">
        <f t="shared" si="29"/>
        <v>0</v>
      </c>
      <c r="W118" s="19" t="str">
        <f t="shared" si="30"/>
        <v xml:space="preserve"> </v>
      </c>
      <c r="X118" s="19" t="str">
        <f t="shared" si="31"/>
        <v xml:space="preserve"> </v>
      </c>
      <c r="Y118" s="19" t="str">
        <f t="shared" si="32"/>
        <v/>
      </c>
      <c r="Z118" s="23"/>
      <c r="AA118" s="19" t="str">
        <f t="shared" si="33"/>
        <v/>
      </c>
      <c r="AB118" s="19" t="str">
        <f t="shared" si="34"/>
        <v xml:space="preserve"> </v>
      </c>
      <c r="AC118" s="19" t="str">
        <f t="shared" si="35"/>
        <v/>
      </c>
      <c r="AD118" s="19" t="str">
        <f t="shared" si="36"/>
        <v xml:space="preserve"> </v>
      </c>
      <c r="AE118" s="125" t="str">
        <f t="shared" si="37"/>
        <v xml:space="preserve"> </v>
      </c>
      <c r="AF118" s="19" t="str">
        <f t="shared" si="38"/>
        <v xml:space="preserve"> </v>
      </c>
      <c r="AG118" s="50">
        <f t="shared" si="39"/>
        <v>0</v>
      </c>
      <c r="AH118" s="50" t="str">
        <f t="shared" si="40"/>
        <v xml:space="preserve"> </v>
      </c>
      <c r="AI118" s="36" t="str">
        <f>IFERROR(IF((INDEX('[3]Riesgos de Corrupción'!$B$11:$V$100,MATCH('Controles de Corrupción'!C118,'[3]Riesgos de Corrupción'!$B$11:$B$100,0),17)-AH118&lt;=1),"Rara vez",IF((INDEX('[3]Riesgos de Corrupción'!$B$11:$V$100,MATCH('Controles de Corrupción'!C118,'[3]Riesgos de Corrupción'!$B$11:$B$100,0),17)-AH118&lt;=2),"Improbable",IF((INDEX('[3]Riesgos de Corrupción'!$B$11:$V$100,MATCH('Controles de Corrupción'!C118,'[3]Riesgos de Corrupción'!$B$11:$B$100,0),17)-AH118&lt;=3),"Posible",IF((INDEX('[3]Riesgos de Corrupción'!$B$11:$V$100,MATCH('Controles de Corrupción'!C118,'[3]Riesgos de Corrupción'!$B$11:$B$100,0),17)-AH118&lt;=4),"Probable",IF((INDEX('[3]Riesgos de Corrupción'!$B$11:$V$100,MATCH('Controles de Corrupción'!C118,'[3]Riesgos de Corrupción'!$B$11:$B$100,0),17)-AH118&lt;=5),"Casi seguro")))))," ")</f>
        <v xml:space="preserve"> </v>
      </c>
      <c r="AJ118" s="8" t="str">
        <f>IFERROR(IF(OR(AND(AF118="Fuerte",H118="No disminuye"),AND(AF118="Moderado",H118="Indirectamente"),AND(AF118="Moderado",H118="No disminuye"),AND(INDEX('[3]Riesgos de Corrupción'!$B$11:$BN$100,MATCH('Controles de Corrupción'!C118,'[3]Riesgos de Corrupción'!$B$11:$B$100,0),63)="Moderado")),0,IF(OR(AND(AF118="Fuerte",H118="Indirectamente"),AND(AF118="Moderado",H118="Directamente"),AND(INDEX('[3]Riesgos de Corrupción'!$B$11:$BN$100,MATCH('Controles de Corrupción'!C118,'[3]Riesgos de Corrupción'!$B$11:$B$100,0),63)="Mayor")),1,IF(AND(AF118="Fuerte",H118="Directamente",AND(INDEX('[3]Riesgos de Corrupción'!$B$11:$BN$100,MATCH('Controles de Corrupción'!C118,'[3]Riesgos de Corrupción'!$B$11:$B$100,0),63)="Catastrófico")),2)))," ")</f>
        <v xml:space="preserve"> </v>
      </c>
      <c r="AK118" s="19" t="str">
        <f t="shared" si="41"/>
        <v xml:space="preserve"> </v>
      </c>
      <c r="AL118" s="19" t="str">
        <f>IFERROR(IF((INDEX('[3]Riesgos de Corrupción'!$B$11:$BN$100,MATCH('Controles de Corrupción'!C118,'[3]Riesgos de Corrupción'!$B$11:$B$100,0),62)-AK118&lt;=3),"Moderado",IF((INDEX('[3]Riesgos de Corrupción'!$B$11:$BN$100,MATCH('Controles de Corrupción'!C118,'[3]Riesgos de Corrupción'!$B$11:$B$100,0),62)-AK118&lt;=4),"Mayor",IF((INDEX('[3]Riesgos de Corrupción'!$B$11:$BN$100,MATCH('Controles de Corrupción'!C118,'[3]Riesgos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0" t="str">
        <f t="shared" si="28"/>
        <v>-</v>
      </c>
      <c r="C119" s="188"/>
      <c r="D119" s="170"/>
      <c r="E119" s="171"/>
      <c r="F119" s="129"/>
      <c r="G119" s="128"/>
      <c r="H119" s="23"/>
      <c r="I119" s="18"/>
      <c r="J119" s="80">
        <f t="shared" si="44"/>
        <v>0</v>
      </c>
      <c r="K119" s="18"/>
      <c r="L119" s="80">
        <f t="shared" si="45"/>
        <v>0</v>
      </c>
      <c r="M119" s="18"/>
      <c r="N119" s="80">
        <f t="shared" si="46"/>
        <v>0</v>
      </c>
      <c r="O119" s="18"/>
      <c r="P119" s="80">
        <f t="shared" si="47"/>
        <v>0</v>
      </c>
      <c r="Q119" s="18"/>
      <c r="R119" s="80">
        <f t="shared" si="48"/>
        <v>0</v>
      </c>
      <c r="S119" s="18"/>
      <c r="T119" s="80">
        <f t="shared" si="49"/>
        <v>0</v>
      </c>
      <c r="U119" s="18"/>
      <c r="V119" s="80">
        <f t="shared" si="29"/>
        <v>0</v>
      </c>
      <c r="W119" s="19" t="str">
        <f t="shared" si="30"/>
        <v xml:space="preserve"> </v>
      </c>
      <c r="X119" s="19" t="str">
        <f t="shared" si="31"/>
        <v xml:space="preserve"> </v>
      </c>
      <c r="Y119" s="19" t="str">
        <f t="shared" si="32"/>
        <v/>
      </c>
      <c r="Z119" s="23"/>
      <c r="AA119" s="19" t="str">
        <f t="shared" si="33"/>
        <v/>
      </c>
      <c r="AB119" s="19" t="str">
        <f t="shared" si="34"/>
        <v xml:space="preserve"> </v>
      </c>
      <c r="AC119" s="19" t="str">
        <f t="shared" si="35"/>
        <v/>
      </c>
      <c r="AD119" s="19" t="str">
        <f t="shared" si="36"/>
        <v xml:space="preserve"> </v>
      </c>
      <c r="AE119" s="125" t="str">
        <f t="shared" si="37"/>
        <v xml:space="preserve"> </v>
      </c>
      <c r="AF119" s="19" t="str">
        <f t="shared" si="38"/>
        <v xml:space="preserve"> </v>
      </c>
      <c r="AG119" s="50">
        <f t="shared" si="39"/>
        <v>0</v>
      </c>
      <c r="AH119" s="50" t="str">
        <f t="shared" si="40"/>
        <v xml:space="preserve"> </v>
      </c>
      <c r="AI119" s="36" t="str">
        <f>IFERROR(IF((INDEX('[3]Riesgos de Corrupción'!$B$11:$V$100,MATCH('Controles de Corrupción'!C119,'[3]Riesgos de Corrupción'!$B$11:$B$100,0),17)-AH119&lt;=1),"Rara vez",IF((INDEX('[3]Riesgos de Corrupción'!$B$11:$V$100,MATCH('Controles de Corrupción'!C119,'[3]Riesgos de Corrupción'!$B$11:$B$100,0),17)-AH119&lt;=2),"Improbable",IF((INDEX('[3]Riesgos de Corrupción'!$B$11:$V$100,MATCH('Controles de Corrupción'!C119,'[3]Riesgos de Corrupción'!$B$11:$B$100,0),17)-AH119&lt;=3),"Posible",IF((INDEX('[3]Riesgos de Corrupción'!$B$11:$V$100,MATCH('Controles de Corrupción'!C119,'[3]Riesgos de Corrupción'!$B$11:$B$100,0),17)-AH119&lt;=4),"Probable",IF((INDEX('[3]Riesgos de Corrupción'!$B$11:$V$100,MATCH('Controles de Corrupción'!C119,'[3]Riesgos de Corrupción'!$B$11:$B$100,0),17)-AH119&lt;=5),"Casi seguro")))))," ")</f>
        <v xml:space="preserve"> </v>
      </c>
      <c r="AJ119" s="8" t="str">
        <f>IFERROR(IF(OR(AND(AF119="Fuerte",H119="No disminuye"),AND(AF119="Moderado",H119="Indirectamente"),AND(AF119="Moderado",H119="No disminuye"),AND(INDEX('[3]Riesgos de Corrupción'!$B$11:$BN$100,MATCH('Controles de Corrupción'!C119,'[3]Riesgos de Corrupción'!$B$11:$B$100,0),63)="Moderado")),0,IF(OR(AND(AF119="Fuerte",H119="Indirectamente"),AND(AF119="Moderado",H119="Directamente"),AND(INDEX('[3]Riesgos de Corrupción'!$B$11:$BN$100,MATCH('Controles de Corrupción'!C119,'[3]Riesgos de Corrupción'!$B$11:$B$100,0),63)="Mayor")),1,IF(AND(AF119="Fuerte",H119="Directamente",AND(INDEX('[3]Riesgos de Corrupción'!$B$11:$BN$100,MATCH('Controles de Corrupción'!C119,'[3]Riesgos de Corrupción'!$B$11:$B$100,0),63)="Catastrófico")),2)))," ")</f>
        <v xml:space="preserve"> </v>
      </c>
      <c r="AK119" s="19" t="str">
        <f t="shared" si="41"/>
        <v xml:space="preserve"> </v>
      </c>
      <c r="AL119" s="19" t="str">
        <f>IFERROR(IF((INDEX('[3]Riesgos de Corrupción'!$B$11:$BN$100,MATCH('Controles de Corrupción'!C119,'[3]Riesgos de Corrupción'!$B$11:$B$100,0),62)-AK119&lt;=3),"Moderado",IF((INDEX('[3]Riesgos de Corrupción'!$B$11:$BN$100,MATCH('Controles de Corrupción'!C119,'[3]Riesgos de Corrupción'!$B$11:$B$100,0),62)-AK119&lt;=4),"Mayor",IF((INDEX('[3]Riesgos de Corrupción'!$B$11:$BN$100,MATCH('Controles de Corrupción'!C119,'[3]Riesgos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0" t="str">
        <f t="shared" si="28"/>
        <v>-</v>
      </c>
      <c r="C120" s="188"/>
      <c r="D120" s="170"/>
      <c r="E120" s="171"/>
      <c r="F120" s="129"/>
      <c r="G120" s="128"/>
      <c r="H120" s="23"/>
      <c r="I120" s="18"/>
      <c r="J120" s="80">
        <f t="shared" si="44"/>
        <v>0</v>
      </c>
      <c r="K120" s="18"/>
      <c r="L120" s="80">
        <f t="shared" si="45"/>
        <v>0</v>
      </c>
      <c r="M120" s="18"/>
      <c r="N120" s="80">
        <f t="shared" si="46"/>
        <v>0</v>
      </c>
      <c r="O120" s="18"/>
      <c r="P120" s="80">
        <f t="shared" si="47"/>
        <v>0</v>
      </c>
      <c r="Q120" s="18"/>
      <c r="R120" s="80">
        <f t="shared" si="48"/>
        <v>0</v>
      </c>
      <c r="S120" s="18"/>
      <c r="T120" s="80">
        <f t="shared" si="49"/>
        <v>0</v>
      </c>
      <c r="U120" s="18"/>
      <c r="V120" s="80">
        <f t="shared" si="29"/>
        <v>0</v>
      </c>
      <c r="W120" s="19" t="str">
        <f t="shared" si="30"/>
        <v xml:space="preserve"> </v>
      </c>
      <c r="X120" s="19" t="str">
        <f t="shared" si="31"/>
        <v xml:space="preserve"> </v>
      </c>
      <c r="Y120" s="19" t="str">
        <f t="shared" si="32"/>
        <v/>
      </c>
      <c r="Z120" s="23"/>
      <c r="AA120" s="19" t="str">
        <f t="shared" si="33"/>
        <v/>
      </c>
      <c r="AB120" s="19" t="str">
        <f t="shared" si="34"/>
        <v xml:space="preserve"> </v>
      </c>
      <c r="AC120" s="19" t="str">
        <f t="shared" si="35"/>
        <v/>
      </c>
      <c r="AD120" s="19" t="str">
        <f t="shared" si="36"/>
        <v xml:space="preserve"> </v>
      </c>
      <c r="AE120" s="125" t="str">
        <f t="shared" si="37"/>
        <v xml:space="preserve"> </v>
      </c>
      <c r="AF120" s="19" t="str">
        <f t="shared" si="38"/>
        <v xml:space="preserve"> </v>
      </c>
      <c r="AG120" s="50">
        <f t="shared" si="39"/>
        <v>0</v>
      </c>
      <c r="AH120" s="50" t="str">
        <f t="shared" si="40"/>
        <v xml:space="preserve"> </v>
      </c>
      <c r="AI120" s="36" t="str">
        <f>IFERROR(IF((INDEX('[3]Riesgos de Corrupción'!$B$11:$V$100,MATCH('Controles de Corrupción'!C120,'[3]Riesgos de Corrupción'!$B$11:$B$100,0),17)-AH120&lt;=1),"Rara vez",IF((INDEX('[3]Riesgos de Corrupción'!$B$11:$V$100,MATCH('Controles de Corrupción'!C120,'[3]Riesgos de Corrupción'!$B$11:$B$100,0),17)-AH120&lt;=2),"Improbable",IF((INDEX('[3]Riesgos de Corrupción'!$B$11:$V$100,MATCH('Controles de Corrupción'!C120,'[3]Riesgos de Corrupción'!$B$11:$B$100,0),17)-AH120&lt;=3),"Posible",IF((INDEX('[3]Riesgos de Corrupción'!$B$11:$V$100,MATCH('Controles de Corrupción'!C120,'[3]Riesgos de Corrupción'!$B$11:$B$100,0),17)-AH120&lt;=4),"Probable",IF((INDEX('[3]Riesgos de Corrupción'!$B$11:$V$100,MATCH('Controles de Corrupción'!C120,'[3]Riesgos de Corrupción'!$B$11:$B$100,0),17)-AH120&lt;=5),"Casi seguro")))))," ")</f>
        <v xml:space="preserve"> </v>
      </c>
      <c r="AJ120" s="8" t="str">
        <f>IFERROR(IF(OR(AND(AF120="Fuerte",H120="No disminuye"),AND(AF120="Moderado",H120="Indirectamente"),AND(AF120="Moderado",H120="No disminuye"),AND(INDEX('[3]Riesgos de Corrupción'!$B$11:$BN$100,MATCH('Controles de Corrupción'!C120,'[3]Riesgos de Corrupción'!$B$11:$B$100,0),63)="Moderado")),0,IF(OR(AND(AF120="Fuerte",H120="Indirectamente"),AND(AF120="Moderado",H120="Directamente"),AND(INDEX('[3]Riesgos de Corrupción'!$B$11:$BN$100,MATCH('Controles de Corrupción'!C120,'[3]Riesgos de Corrupción'!$B$11:$B$100,0),63)="Mayor")),1,IF(AND(AF120="Fuerte",H120="Directamente",AND(INDEX('[3]Riesgos de Corrupción'!$B$11:$BN$100,MATCH('Controles de Corrupción'!C120,'[3]Riesgos de Corrupción'!$B$11:$B$100,0),63)="Catastrófico")),2)))," ")</f>
        <v xml:space="preserve"> </v>
      </c>
      <c r="AK120" s="19" t="str">
        <f t="shared" si="41"/>
        <v xml:space="preserve"> </v>
      </c>
      <c r="AL120" s="19" t="str">
        <f>IFERROR(IF((INDEX('[3]Riesgos de Corrupción'!$B$11:$BN$100,MATCH('Controles de Corrupción'!C120,'[3]Riesgos de Corrupción'!$B$11:$B$100,0),62)-AK120&lt;=3),"Moderado",IF((INDEX('[3]Riesgos de Corrupción'!$B$11:$BN$100,MATCH('Controles de Corrupción'!C120,'[3]Riesgos de Corrupción'!$B$11:$B$100,0),62)-AK120&lt;=4),"Mayor",IF((INDEX('[3]Riesgos de Corrupción'!$B$11:$BN$100,MATCH('Controles de Corrupción'!C120,'[3]Riesgos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0" t="str">
        <f t="shared" si="28"/>
        <v>-</v>
      </c>
      <c r="C121" s="188"/>
      <c r="D121" s="170"/>
      <c r="E121" s="171"/>
      <c r="F121" s="129"/>
      <c r="G121" s="128"/>
      <c r="H121" s="23"/>
      <c r="I121" s="18"/>
      <c r="J121" s="80">
        <f t="shared" si="44"/>
        <v>0</v>
      </c>
      <c r="K121" s="18"/>
      <c r="L121" s="80">
        <f t="shared" si="45"/>
        <v>0</v>
      </c>
      <c r="M121" s="18"/>
      <c r="N121" s="80">
        <f t="shared" si="46"/>
        <v>0</v>
      </c>
      <c r="O121" s="18"/>
      <c r="P121" s="80">
        <f t="shared" si="47"/>
        <v>0</v>
      </c>
      <c r="Q121" s="18"/>
      <c r="R121" s="80">
        <f t="shared" si="48"/>
        <v>0</v>
      </c>
      <c r="S121" s="18"/>
      <c r="T121" s="80">
        <f t="shared" si="49"/>
        <v>0</v>
      </c>
      <c r="U121" s="18"/>
      <c r="V121" s="80">
        <f t="shared" si="29"/>
        <v>0</v>
      </c>
      <c r="W121" s="19" t="str">
        <f t="shared" si="30"/>
        <v xml:space="preserve"> </v>
      </c>
      <c r="X121" s="19" t="str">
        <f t="shared" si="31"/>
        <v xml:space="preserve"> </v>
      </c>
      <c r="Y121" s="19" t="str">
        <f t="shared" si="32"/>
        <v/>
      </c>
      <c r="Z121" s="23"/>
      <c r="AA121" s="19" t="str">
        <f t="shared" si="33"/>
        <v/>
      </c>
      <c r="AB121" s="19" t="str">
        <f t="shared" si="34"/>
        <v xml:space="preserve"> </v>
      </c>
      <c r="AC121" s="19" t="str">
        <f t="shared" si="35"/>
        <v/>
      </c>
      <c r="AD121" s="19" t="str">
        <f t="shared" si="36"/>
        <v xml:space="preserve"> </v>
      </c>
      <c r="AE121" s="125" t="str">
        <f t="shared" si="37"/>
        <v xml:space="preserve"> </v>
      </c>
      <c r="AF121" s="19" t="str">
        <f t="shared" si="38"/>
        <v xml:space="preserve"> </v>
      </c>
      <c r="AG121" s="50">
        <f t="shared" si="39"/>
        <v>0</v>
      </c>
      <c r="AH121" s="50" t="str">
        <f t="shared" si="40"/>
        <v xml:space="preserve"> </v>
      </c>
      <c r="AI121" s="36" t="str">
        <f>IFERROR(IF((INDEX('[3]Riesgos de Corrupción'!$B$11:$V$100,MATCH('Controles de Corrupción'!C121,'[3]Riesgos de Corrupción'!$B$11:$B$100,0),17)-AH121&lt;=1),"Rara vez",IF((INDEX('[3]Riesgos de Corrupción'!$B$11:$V$100,MATCH('Controles de Corrupción'!C121,'[3]Riesgos de Corrupción'!$B$11:$B$100,0),17)-AH121&lt;=2),"Improbable",IF((INDEX('[3]Riesgos de Corrupción'!$B$11:$V$100,MATCH('Controles de Corrupción'!C121,'[3]Riesgos de Corrupción'!$B$11:$B$100,0),17)-AH121&lt;=3),"Posible",IF((INDEX('[3]Riesgos de Corrupción'!$B$11:$V$100,MATCH('Controles de Corrupción'!C121,'[3]Riesgos de Corrupción'!$B$11:$B$100,0),17)-AH121&lt;=4),"Probable",IF((INDEX('[3]Riesgos de Corrupción'!$B$11:$V$100,MATCH('Controles de Corrupción'!C121,'[3]Riesgos de Corrupción'!$B$11:$B$100,0),17)-AH121&lt;=5),"Casi seguro")))))," ")</f>
        <v xml:space="preserve"> </v>
      </c>
      <c r="AJ121" s="8" t="str">
        <f>IFERROR(IF(OR(AND(AF121="Fuerte",H121="No disminuye"),AND(AF121="Moderado",H121="Indirectamente"),AND(AF121="Moderado",H121="No disminuye"),AND(INDEX('[3]Riesgos de Corrupción'!$B$11:$BN$100,MATCH('Controles de Corrupción'!C121,'[3]Riesgos de Corrupción'!$B$11:$B$100,0),63)="Moderado")),0,IF(OR(AND(AF121="Fuerte",H121="Indirectamente"),AND(AF121="Moderado",H121="Directamente"),AND(INDEX('[3]Riesgos de Corrupción'!$B$11:$BN$100,MATCH('Controles de Corrupción'!C121,'[3]Riesgos de Corrupción'!$B$11:$B$100,0),63)="Mayor")),1,IF(AND(AF121="Fuerte",H121="Directamente",AND(INDEX('[3]Riesgos de Corrupción'!$B$11:$BN$100,MATCH('Controles de Corrupción'!C121,'[3]Riesgos de Corrupción'!$B$11:$B$100,0),63)="Catastrófico")),2)))," ")</f>
        <v xml:space="preserve"> </v>
      </c>
      <c r="AK121" s="19" t="str">
        <f t="shared" si="41"/>
        <v xml:space="preserve"> </v>
      </c>
      <c r="AL121" s="19" t="str">
        <f>IFERROR(IF((INDEX('[3]Riesgos de Corrupción'!$B$11:$BN$100,MATCH('Controles de Corrupción'!C121,'[3]Riesgos de Corrupción'!$B$11:$B$100,0),62)-AK121&lt;=3),"Moderado",IF((INDEX('[3]Riesgos de Corrupción'!$B$11:$BN$100,MATCH('Controles de Corrupción'!C121,'[3]Riesgos de Corrupción'!$B$11:$B$100,0),62)-AK121&lt;=4),"Mayor",IF((INDEX('[3]Riesgos de Corrupción'!$B$11:$BN$100,MATCH('Controles de Corrupción'!C121,'[3]Riesgos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0" t="str">
        <f t="shared" si="28"/>
        <v>-</v>
      </c>
      <c r="C122" s="188"/>
      <c r="D122" s="170"/>
      <c r="E122" s="171"/>
      <c r="F122" s="129"/>
      <c r="G122" s="128"/>
      <c r="H122" s="23"/>
      <c r="I122" s="18"/>
      <c r="J122" s="80">
        <f t="shared" si="44"/>
        <v>0</v>
      </c>
      <c r="K122" s="18"/>
      <c r="L122" s="80">
        <f t="shared" si="45"/>
        <v>0</v>
      </c>
      <c r="M122" s="18"/>
      <c r="N122" s="80">
        <f t="shared" si="46"/>
        <v>0</v>
      </c>
      <c r="O122" s="18"/>
      <c r="P122" s="80">
        <f t="shared" si="47"/>
        <v>0</v>
      </c>
      <c r="Q122" s="18"/>
      <c r="R122" s="80">
        <f t="shared" si="48"/>
        <v>0</v>
      </c>
      <c r="S122" s="18"/>
      <c r="T122" s="80">
        <f t="shared" si="49"/>
        <v>0</v>
      </c>
      <c r="U122" s="18"/>
      <c r="V122" s="80">
        <f t="shared" si="29"/>
        <v>0</v>
      </c>
      <c r="W122" s="19" t="str">
        <f t="shared" si="30"/>
        <v xml:space="preserve"> </v>
      </c>
      <c r="X122" s="19" t="str">
        <f t="shared" si="31"/>
        <v xml:space="preserve"> </v>
      </c>
      <c r="Y122" s="19" t="str">
        <f t="shared" si="32"/>
        <v/>
      </c>
      <c r="Z122" s="23"/>
      <c r="AA122" s="19" t="str">
        <f t="shared" si="33"/>
        <v/>
      </c>
      <c r="AB122" s="19" t="str">
        <f t="shared" si="34"/>
        <v xml:space="preserve"> </v>
      </c>
      <c r="AC122" s="19" t="str">
        <f t="shared" si="35"/>
        <v/>
      </c>
      <c r="AD122" s="19" t="str">
        <f t="shared" si="36"/>
        <v xml:space="preserve"> </v>
      </c>
      <c r="AE122" s="125" t="str">
        <f t="shared" si="37"/>
        <v xml:space="preserve"> </v>
      </c>
      <c r="AF122" s="19" t="str">
        <f t="shared" si="38"/>
        <v xml:space="preserve"> </v>
      </c>
      <c r="AG122" s="50">
        <f t="shared" si="39"/>
        <v>0</v>
      </c>
      <c r="AH122" s="50" t="str">
        <f t="shared" si="40"/>
        <v xml:space="preserve"> </v>
      </c>
      <c r="AI122" s="36" t="str">
        <f>IFERROR(IF((INDEX('[3]Riesgos de Corrupción'!$B$11:$V$100,MATCH('Controles de Corrupción'!C122,'[3]Riesgos de Corrupción'!$B$11:$B$100,0),17)-AH122&lt;=1),"Rara vez",IF((INDEX('[3]Riesgos de Corrupción'!$B$11:$V$100,MATCH('Controles de Corrupción'!C122,'[3]Riesgos de Corrupción'!$B$11:$B$100,0),17)-AH122&lt;=2),"Improbable",IF((INDEX('[3]Riesgos de Corrupción'!$B$11:$V$100,MATCH('Controles de Corrupción'!C122,'[3]Riesgos de Corrupción'!$B$11:$B$100,0),17)-AH122&lt;=3),"Posible",IF((INDEX('[3]Riesgos de Corrupción'!$B$11:$V$100,MATCH('Controles de Corrupción'!C122,'[3]Riesgos de Corrupción'!$B$11:$B$100,0),17)-AH122&lt;=4),"Probable",IF((INDEX('[3]Riesgos de Corrupción'!$B$11:$V$100,MATCH('Controles de Corrupción'!C122,'[3]Riesgos de Corrupción'!$B$11:$B$100,0),17)-AH122&lt;=5),"Casi seguro")))))," ")</f>
        <v xml:space="preserve"> </v>
      </c>
      <c r="AJ122" s="8" t="str">
        <f>IFERROR(IF(OR(AND(AF122="Fuerte",H122="No disminuye"),AND(AF122="Moderado",H122="Indirectamente"),AND(AF122="Moderado",H122="No disminuye"),AND(INDEX('[3]Riesgos de Corrupción'!$B$11:$BN$100,MATCH('Controles de Corrupción'!C122,'[3]Riesgos de Corrupción'!$B$11:$B$100,0),63)="Moderado")),0,IF(OR(AND(AF122="Fuerte",H122="Indirectamente"),AND(AF122="Moderado",H122="Directamente"),AND(INDEX('[3]Riesgos de Corrupción'!$B$11:$BN$100,MATCH('Controles de Corrupción'!C122,'[3]Riesgos de Corrupción'!$B$11:$B$100,0),63)="Mayor")),1,IF(AND(AF122="Fuerte",H122="Directamente",AND(INDEX('[3]Riesgos de Corrupción'!$B$11:$BN$100,MATCH('Controles de Corrupción'!C122,'[3]Riesgos de Corrupción'!$B$11:$B$100,0),63)="Catastrófico")),2)))," ")</f>
        <v xml:space="preserve"> </v>
      </c>
      <c r="AK122" s="19" t="str">
        <f t="shared" si="41"/>
        <v xml:space="preserve"> </v>
      </c>
      <c r="AL122" s="19" t="str">
        <f>IFERROR(IF((INDEX('[3]Riesgos de Corrupción'!$B$11:$BN$100,MATCH('Controles de Corrupción'!C122,'[3]Riesgos de Corrupción'!$B$11:$B$100,0),62)-AK122&lt;=3),"Moderado",IF((INDEX('[3]Riesgos de Corrupción'!$B$11:$BN$100,MATCH('Controles de Corrupción'!C122,'[3]Riesgos de Corrupción'!$B$11:$B$100,0),62)-AK122&lt;=4),"Mayor",IF((INDEX('[3]Riesgos de Corrupción'!$B$11:$BN$100,MATCH('Controles de Corrupción'!C122,'[3]Riesgos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0" t="str">
        <f t="shared" si="28"/>
        <v>-</v>
      </c>
      <c r="C123" s="188"/>
      <c r="D123" s="170"/>
      <c r="E123" s="171"/>
      <c r="F123" s="129"/>
      <c r="G123" s="128"/>
      <c r="H123" s="23"/>
      <c r="I123" s="18"/>
      <c r="J123" s="80">
        <f t="shared" si="44"/>
        <v>0</v>
      </c>
      <c r="K123" s="18"/>
      <c r="L123" s="80">
        <f t="shared" si="45"/>
        <v>0</v>
      </c>
      <c r="M123" s="18"/>
      <c r="N123" s="80">
        <f t="shared" si="46"/>
        <v>0</v>
      </c>
      <c r="O123" s="18"/>
      <c r="P123" s="80">
        <f t="shared" si="47"/>
        <v>0</v>
      </c>
      <c r="Q123" s="18"/>
      <c r="R123" s="80">
        <f t="shared" si="48"/>
        <v>0</v>
      </c>
      <c r="S123" s="18"/>
      <c r="T123" s="80">
        <f t="shared" si="49"/>
        <v>0</v>
      </c>
      <c r="U123" s="18"/>
      <c r="V123" s="80">
        <f t="shared" si="29"/>
        <v>0</v>
      </c>
      <c r="W123" s="19" t="str">
        <f t="shared" si="30"/>
        <v xml:space="preserve"> </v>
      </c>
      <c r="X123" s="19" t="str">
        <f t="shared" si="31"/>
        <v xml:space="preserve"> </v>
      </c>
      <c r="Y123" s="19" t="str">
        <f t="shared" si="32"/>
        <v/>
      </c>
      <c r="Z123" s="23"/>
      <c r="AA123" s="19" t="str">
        <f t="shared" si="33"/>
        <v/>
      </c>
      <c r="AB123" s="19" t="str">
        <f t="shared" si="34"/>
        <v xml:space="preserve"> </v>
      </c>
      <c r="AC123" s="19" t="str">
        <f t="shared" si="35"/>
        <v/>
      </c>
      <c r="AD123" s="19" t="str">
        <f t="shared" si="36"/>
        <v xml:space="preserve"> </v>
      </c>
      <c r="AE123" s="125" t="str">
        <f t="shared" si="37"/>
        <v xml:space="preserve"> </v>
      </c>
      <c r="AF123" s="19" t="str">
        <f t="shared" si="38"/>
        <v xml:space="preserve"> </v>
      </c>
      <c r="AG123" s="50">
        <f t="shared" si="39"/>
        <v>0</v>
      </c>
      <c r="AH123" s="50" t="str">
        <f t="shared" si="40"/>
        <v xml:space="preserve"> </v>
      </c>
      <c r="AI123" s="36" t="str">
        <f>IFERROR(IF((INDEX('[3]Riesgos de Corrupción'!$B$11:$V$100,MATCH('Controles de Corrupción'!C123,'[3]Riesgos de Corrupción'!$B$11:$B$100,0),17)-AH123&lt;=1),"Rara vez",IF((INDEX('[3]Riesgos de Corrupción'!$B$11:$V$100,MATCH('Controles de Corrupción'!C123,'[3]Riesgos de Corrupción'!$B$11:$B$100,0),17)-AH123&lt;=2),"Improbable",IF((INDEX('[3]Riesgos de Corrupción'!$B$11:$V$100,MATCH('Controles de Corrupción'!C123,'[3]Riesgos de Corrupción'!$B$11:$B$100,0),17)-AH123&lt;=3),"Posible",IF((INDEX('[3]Riesgos de Corrupción'!$B$11:$V$100,MATCH('Controles de Corrupción'!C123,'[3]Riesgos de Corrupción'!$B$11:$B$100,0),17)-AH123&lt;=4),"Probable",IF((INDEX('[3]Riesgos de Corrupción'!$B$11:$V$100,MATCH('Controles de Corrupción'!C123,'[3]Riesgos de Corrupción'!$B$11:$B$100,0),17)-AH123&lt;=5),"Casi seguro")))))," ")</f>
        <v xml:space="preserve"> </v>
      </c>
      <c r="AJ123" s="8" t="str">
        <f>IFERROR(IF(OR(AND(AF123="Fuerte",H123="No disminuye"),AND(AF123="Moderado",H123="Indirectamente"),AND(AF123="Moderado",H123="No disminuye"),AND(INDEX('[3]Riesgos de Corrupción'!$B$11:$BN$100,MATCH('Controles de Corrupción'!C123,'[3]Riesgos de Corrupción'!$B$11:$B$100,0),63)="Moderado")),0,IF(OR(AND(AF123="Fuerte",H123="Indirectamente"),AND(AF123="Moderado",H123="Directamente"),AND(INDEX('[3]Riesgos de Corrupción'!$B$11:$BN$100,MATCH('Controles de Corrupción'!C123,'[3]Riesgos de Corrupción'!$B$11:$B$100,0),63)="Mayor")),1,IF(AND(AF123="Fuerte",H123="Directamente",AND(INDEX('[3]Riesgos de Corrupción'!$B$11:$BN$100,MATCH('Controles de Corrupción'!C123,'[3]Riesgos de Corrupción'!$B$11:$B$100,0),63)="Catastrófico")),2)))," ")</f>
        <v xml:space="preserve"> </v>
      </c>
      <c r="AK123" s="19" t="str">
        <f t="shared" si="41"/>
        <v xml:space="preserve"> </v>
      </c>
      <c r="AL123" s="19" t="str">
        <f>IFERROR(IF((INDEX('[3]Riesgos de Corrupción'!$B$11:$BN$100,MATCH('Controles de Corrupción'!C123,'[3]Riesgos de Corrupción'!$B$11:$B$100,0),62)-AK123&lt;=3),"Moderado",IF((INDEX('[3]Riesgos de Corrupción'!$B$11:$BN$100,MATCH('Controles de Corrupción'!C123,'[3]Riesgos de Corrupción'!$B$11:$B$100,0),62)-AK123&lt;=4),"Mayor",IF((INDEX('[3]Riesgos de Corrupción'!$B$11:$BN$100,MATCH('Controles de Corrupción'!C123,'[3]Riesgos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0" t="str">
        <f t="shared" si="28"/>
        <v>-</v>
      </c>
      <c r="C124" s="188"/>
      <c r="D124" s="170"/>
      <c r="E124" s="171"/>
      <c r="F124" s="129"/>
      <c r="G124" s="128"/>
      <c r="H124" s="23"/>
      <c r="I124" s="18"/>
      <c r="J124" s="80">
        <f t="shared" si="44"/>
        <v>0</v>
      </c>
      <c r="K124" s="18"/>
      <c r="L124" s="80">
        <f t="shared" si="45"/>
        <v>0</v>
      </c>
      <c r="M124" s="18"/>
      <c r="N124" s="80">
        <f t="shared" si="46"/>
        <v>0</v>
      </c>
      <c r="O124" s="18"/>
      <c r="P124" s="80">
        <f t="shared" si="47"/>
        <v>0</v>
      </c>
      <c r="Q124" s="18"/>
      <c r="R124" s="80">
        <f t="shared" si="48"/>
        <v>0</v>
      </c>
      <c r="S124" s="18"/>
      <c r="T124" s="80">
        <f t="shared" si="49"/>
        <v>0</v>
      </c>
      <c r="U124" s="18"/>
      <c r="V124" s="80">
        <f t="shared" si="29"/>
        <v>0</v>
      </c>
      <c r="W124" s="19" t="str">
        <f t="shared" si="30"/>
        <v xml:space="preserve"> </v>
      </c>
      <c r="X124" s="19" t="str">
        <f t="shared" si="31"/>
        <v xml:space="preserve"> </v>
      </c>
      <c r="Y124" s="19" t="str">
        <f t="shared" si="32"/>
        <v/>
      </c>
      <c r="Z124" s="23"/>
      <c r="AA124" s="19" t="str">
        <f t="shared" si="33"/>
        <v/>
      </c>
      <c r="AB124" s="19" t="str">
        <f t="shared" si="34"/>
        <v xml:space="preserve"> </v>
      </c>
      <c r="AC124" s="19" t="str">
        <f t="shared" si="35"/>
        <v/>
      </c>
      <c r="AD124" s="19" t="str">
        <f t="shared" si="36"/>
        <v xml:space="preserve"> </v>
      </c>
      <c r="AE124" s="125" t="str">
        <f t="shared" si="37"/>
        <v xml:space="preserve"> </v>
      </c>
      <c r="AF124" s="19" t="str">
        <f t="shared" si="38"/>
        <v xml:space="preserve"> </v>
      </c>
      <c r="AG124" s="50">
        <f t="shared" si="39"/>
        <v>0</v>
      </c>
      <c r="AH124" s="50" t="str">
        <f t="shared" si="40"/>
        <v xml:space="preserve"> </v>
      </c>
      <c r="AI124" s="36" t="str">
        <f>IFERROR(IF((INDEX('[3]Riesgos de Corrupción'!$B$11:$V$100,MATCH('Controles de Corrupción'!C124,'[3]Riesgos de Corrupción'!$B$11:$B$100,0),17)-AH124&lt;=1),"Rara vez",IF((INDEX('[3]Riesgos de Corrupción'!$B$11:$V$100,MATCH('Controles de Corrupción'!C124,'[3]Riesgos de Corrupción'!$B$11:$B$100,0),17)-AH124&lt;=2),"Improbable",IF((INDEX('[3]Riesgos de Corrupción'!$B$11:$V$100,MATCH('Controles de Corrupción'!C124,'[3]Riesgos de Corrupción'!$B$11:$B$100,0),17)-AH124&lt;=3),"Posible",IF((INDEX('[3]Riesgos de Corrupción'!$B$11:$V$100,MATCH('Controles de Corrupción'!C124,'[3]Riesgos de Corrupción'!$B$11:$B$100,0),17)-AH124&lt;=4),"Probable",IF((INDEX('[3]Riesgos de Corrupción'!$B$11:$V$100,MATCH('Controles de Corrupción'!C124,'[3]Riesgos de Corrupción'!$B$11:$B$100,0),17)-AH124&lt;=5),"Casi seguro")))))," ")</f>
        <v xml:space="preserve"> </v>
      </c>
      <c r="AJ124" s="8" t="str">
        <f>IFERROR(IF(OR(AND(AF124="Fuerte",H124="No disminuye"),AND(AF124="Moderado",H124="Indirectamente"),AND(AF124="Moderado",H124="No disminuye"),AND(INDEX('[3]Riesgos de Corrupción'!$B$11:$BN$100,MATCH('Controles de Corrupción'!C124,'[3]Riesgos de Corrupción'!$B$11:$B$100,0),63)="Moderado")),0,IF(OR(AND(AF124="Fuerte",H124="Indirectamente"),AND(AF124="Moderado",H124="Directamente"),AND(INDEX('[3]Riesgos de Corrupción'!$B$11:$BN$100,MATCH('Controles de Corrupción'!C124,'[3]Riesgos de Corrupción'!$B$11:$B$100,0),63)="Mayor")),1,IF(AND(AF124="Fuerte",H124="Directamente",AND(INDEX('[3]Riesgos de Corrupción'!$B$11:$BN$100,MATCH('Controles de Corrupción'!C124,'[3]Riesgos de Corrupción'!$B$11:$B$100,0),63)="Catastrófico")),2)))," ")</f>
        <v xml:space="preserve"> </v>
      </c>
      <c r="AK124" s="19" t="str">
        <f t="shared" si="41"/>
        <v xml:space="preserve"> </v>
      </c>
      <c r="AL124" s="19" t="str">
        <f>IFERROR(IF((INDEX('[3]Riesgos de Corrupción'!$B$11:$BN$100,MATCH('Controles de Corrupción'!C124,'[3]Riesgos de Corrupción'!$B$11:$B$100,0),62)-AK124&lt;=3),"Moderado",IF((INDEX('[3]Riesgos de Corrupción'!$B$11:$BN$100,MATCH('Controles de Corrupción'!C124,'[3]Riesgos de Corrupción'!$B$11:$B$100,0),62)-AK124&lt;=4),"Mayor",IF((INDEX('[3]Riesgos de Corrupción'!$B$11:$BN$100,MATCH('Controles de Corrupción'!C124,'[3]Riesgos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0" t="str">
        <f t="shared" si="28"/>
        <v>-</v>
      </c>
      <c r="C125" s="188"/>
      <c r="D125" s="170"/>
      <c r="E125" s="171"/>
      <c r="F125" s="129"/>
      <c r="G125" s="128"/>
      <c r="H125" s="23"/>
      <c r="I125" s="18"/>
      <c r="J125" s="80">
        <f t="shared" si="44"/>
        <v>0</v>
      </c>
      <c r="K125" s="18"/>
      <c r="L125" s="80">
        <f t="shared" si="45"/>
        <v>0</v>
      </c>
      <c r="M125" s="18"/>
      <c r="N125" s="80">
        <f t="shared" si="46"/>
        <v>0</v>
      </c>
      <c r="O125" s="18"/>
      <c r="P125" s="80">
        <f t="shared" si="47"/>
        <v>0</v>
      </c>
      <c r="Q125" s="18"/>
      <c r="R125" s="80">
        <f t="shared" si="48"/>
        <v>0</v>
      </c>
      <c r="S125" s="18"/>
      <c r="T125" s="80">
        <f t="shared" si="49"/>
        <v>0</v>
      </c>
      <c r="U125" s="18"/>
      <c r="V125" s="80">
        <f t="shared" si="29"/>
        <v>0</v>
      </c>
      <c r="W125" s="19" t="str">
        <f t="shared" si="30"/>
        <v xml:space="preserve"> </v>
      </c>
      <c r="X125" s="19" t="str">
        <f t="shared" si="31"/>
        <v xml:space="preserve"> </v>
      </c>
      <c r="Y125" s="19" t="str">
        <f t="shared" si="32"/>
        <v/>
      </c>
      <c r="Z125" s="23"/>
      <c r="AA125" s="19" t="str">
        <f t="shared" si="33"/>
        <v/>
      </c>
      <c r="AB125" s="19" t="str">
        <f t="shared" si="34"/>
        <v xml:space="preserve"> </v>
      </c>
      <c r="AC125" s="19" t="str">
        <f t="shared" si="35"/>
        <v/>
      </c>
      <c r="AD125" s="19" t="str">
        <f t="shared" si="36"/>
        <v xml:space="preserve"> </v>
      </c>
      <c r="AE125" s="125" t="str">
        <f t="shared" si="37"/>
        <v xml:space="preserve"> </v>
      </c>
      <c r="AF125" s="19" t="str">
        <f t="shared" si="38"/>
        <v xml:space="preserve"> </v>
      </c>
      <c r="AG125" s="50">
        <f t="shared" si="39"/>
        <v>0</v>
      </c>
      <c r="AH125" s="50" t="str">
        <f t="shared" si="40"/>
        <v xml:space="preserve"> </v>
      </c>
      <c r="AI125" s="36" t="str">
        <f>IFERROR(IF((INDEX('[3]Riesgos de Corrupción'!$B$11:$V$100,MATCH('Controles de Corrupción'!C125,'[3]Riesgos de Corrupción'!$B$11:$B$100,0),17)-AH125&lt;=1),"Rara vez",IF((INDEX('[3]Riesgos de Corrupción'!$B$11:$V$100,MATCH('Controles de Corrupción'!C125,'[3]Riesgos de Corrupción'!$B$11:$B$100,0),17)-AH125&lt;=2),"Improbable",IF((INDEX('[3]Riesgos de Corrupción'!$B$11:$V$100,MATCH('Controles de Corrupción'!C125,'[3]Riesgos de Corrupción'!$B$11:$B$100,0),17)-AH125&lt;=3),"Posible",IF((INDEX('[3]Riesgos de Corrupción'!$B$11:$V$100,MATCH('Controles de Corrupción'!C125,'[3]Riesgos de Corrupción'!$B$11:$B$100,0),17)-AH125&lt;=4),"Probable",IF((INDEX('[3]Riesgos de Corrupción'!$B$11:$V$100,MATCH('Controles de Corrupción'!C125,'[3]Riesgos de Corrupción'!$B$11:$B$100,0),17)-AH125&lt;=5),"Casi seguro")))))," ")</f>
        <v xml:space="preserve"> </v>
      </c>
      <c r="AJ125" s="8" t="str">
        <f>IFERROR(IF(OR(AND(AF125="Fuerte",H125="No disminuye"),AND(AF125="Moderado",H125="Indirectamente"),AND(AF125="Moderado",H125="No disminuye"),AND(INDEX('[3]Riesgos de Corrupción'!$B$11:$BN$100,MATCH('Controles de Corrupción'!C125,'[3]Riesgos de Corrupción'!$B$11:$B$100,0),63)="Moderado")),0,IF(OR(AND(AF125="Fuerte",H125="Indirectamente"),AND(AF125="Moderado",H125="Directamente"),AND(INDEX('[3]Riesgos de Corrupción'!$B$11:$BN$100,MATCH('Controles de Corrupción'!C125,'[3]Riesgos de Corrupción'!$B$11:$B$100,0),63)="Mayor")),1,IF(AND(AF125="Fuerte",H125="Directamente",AND(INDEX('[3]Riesgos de Corrupción'!$B$11:$BN$100,MATCH('Controles de Corrupción'!C125,'[3]Riesgos de Corrupción'!$B$11:$B$100,0),63)="Catastrófico")),2)))," ")</f>
        <v xml:space="preserve"> </v>
      </c>
      <c r="AK125" s="19" t="str">
        <f t="shared" si="41"/>
        <v xml:space="preserve"> </v>
      </c>
      <c r="AL125" s="19" t="str">
        <f>IFERROR(IF((INDEX('[3]Riesgos de Corrupción'!$B$11:$BN$100,MATCH('Controles de Corrupción'!C125,'[3]Riesgos de Corrupción'!$B$11:$B$100,0),62)-AK125&lt;=3),"Moderado",IF((INDEX('[3]Riesgos de Corrupción'!$B$11:$BN$100,MATCH('Controles de Corrupción'!C125,'[3]Riesgos de Corrupción'!$B$11:$B$100,0),62)-AK125&lt;=4),"Mayor",IF((INDEX('[3]Riesgos de Corrupción'!$B$11:$BN$100,MATCH('Controles de Corrupción'!C125,'[3]Riesgos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0" t="str">
        <f t="shared" si="28"/>
        <v>-</v>
      </c>
      <c r="C126" s="188"/>
      <c r="D126" s="170"/>
      <c r="E126" s="171"/>
      <c r="F126" s="129"/>
      <c r="G126" s="128"/>
      <c r="H126" s="23"/>
      <c r="I126" s="18"/>
      <c r="J126" s="80">
        <f t="shared" si="44"/>
        <v>0</v>
      </c>
      <c r="K126" s="18"/>
      <c r="L126" s="80">
        <f t="shared" si="45"/>
        <v>0</v>
      </c>
      <c r="M126" s="18"/>
      <c r="N126" s="80">
        <f t="shared" si="46"/>
        <v>0</v>
      </c>
      <c r="O126" s="18"/>
      <c r="P126" s="80">
        <f t="shared" si="47"/>
        <v>0</v>
      </c>
      <c r="Q126" s="18"/>
      <c r="R126" s="80">
        <f t="shared" si="48"/>
        <v>0</v>
      </c>
      <c r="S126" s="18"/>
      <c r="T126" s="80">
        <f t="shared" si="49"/>
        <v>0</v>
      </c>
      <c r="U126" s="18"/>
      <c r="V126" s="80">
        <f t="shared" si="29"/>
        <v>0</v>
      </c>
      <c r="W126" s="19" t="str">
        <f t="shared" si="30"/>
        <v xml:space="preserve"> </v>
      </c>
      <c r="X126" s="19" t="str">
        <f t="shared" si="31"/>
        <v xml:space="preserve"> </v>
      </c>
      <c r="Y126" s="19" t="str">
        <f t="shared" si="32"/>
        <v/>
      </c>
      <c r="Z126" s="23"/>
      <c r="AA126" s="19" t="str">
        <f t="shared" si="33"/>
        <v/>
      </c>
      <c r="AB126" s="19" t="str">
        <f t="shared" si="34"/>
        <v xml:space="preserve"> </v>
      </c>
      <c r="AC126" s="19" t="str">
        <f t="shared" si="35"/>
        <v/>
      </c>
      <c r="AD126" s="19" t="str">
        <f t="shared" si="36"/>
        <v xml:space="preserve"> </v>
      </c>
      <c r="AE126" s="125" t="str">
        <f t="shared" si="37"/>
        <v xml:space="preserve"> </v>
      </c>
      <c r="AF126" s="19" t="str">
        <f t="shared" si="38"/>
        <v xml:space="preserve"> </v>
      </c>
      <c r="AG126" s="50">
        <f t="shared" si="39"/>
        <v>0</v>
      </c>
      <c r="AH126" s="50" t="str">
        <f t="shared" si="40"/>
        <v xml:space="preserve"> </v>
      </c>
      <c r="AI126" s="36" t="str">
        <f>IFERROR(IF((INDEX('[3]Riesgos de Corrupción'!$B$11:$V$100,MATCH('Controles de Corrupción'!C126,'[3]Riesgos de Corrupción'!$B$11:$B$100,0),17)-AH126&lt;=1),"Rara vez",IF((INDEX('[3]Riesgos de Corrupción'!$B$11:$V$100,MATCH('Controles de Corrupción'!C126,'[3]Riesgos de Corrupción'!$B$11:$B$100,0),17)-AH126&lt;=2),"Improbable",IF((INDEX('[3]Riesgos de Corrupción'!$B$11:$V$100,MATCH('Controles de Corrupción'!C126,'[3]Riesgos de Corrupción'!$B$11:$B$100,0),17)-AH126&lt;=3),"Posible",IF((INDEX('[3]Riesgos de Corrupción'!$B$11:$V$100,MATCH('Controles de Corrupción'!C126,'[3]Riesgos de Corrupción'!$B$11:$B$100,0),17)-AH126&lt;=4),"Probable",IF((INDEX('[3]Riesgos de Corrupción'!$B$11:$V$100,MATCH('Controles de Corrupción'!C126,'[3]Riesgos de Corrupción'!$B$11:$B$100,0),17)-AH126&lt;=5),"Casi seguro")))))," ")</f>
        <v xml:space="preserve"> </v>
      </c>
      <c r="AJ126" s="8" t="str">
        <f>IFERROR(IF(OR(AND(AF126="Fuerte",H126="No disminuye"),AND(AF126="Moderado",H126="Indirectamente"),AND(AF126="Moderado",H126="No disminuye"),AND(INDEX('[3]Riesgos de Corrupción'!$B$11:$BN$100,MATCH('Controles de Corrupción'!C126,'[3]Riesgos de Corrupción'!$B$11:$B$100,0),63)="Moderado")),0,IF(OR(AND(AF126="Fuerte",H126="Indirectamente"),AND(AF126="Moderado",H126="Directamente"),AND(INDEX('[3]Riesgos de Corrupción'!$B$11:$BN$100,MATCH('Controles de Corrupción'!C126,'[3]Riesgos de Corrupción'!$B$11:$B$100,0),63)="Mayor")),1,IF(AND(AF126="Fuerte",H126="Directamente",AND(INDEX('[3]Riesgos de Corrupción'!$B$11:$BN$100,MATCH('Controles de Corrupción'!C126,'[3]Riesgos de Corrupción'!$B$11:$B$100,0),63)="Catastrófico")),2)))," ")</f>
        <v xml:space="preserve"> </v>
      </c>
      <c r="AK126" s="19" t="str">
        <f t="shared" si="41"/>
        <v xml:space="preserve"> </v>
      </c>
      <c r="AL126" s="19" t="str">
        <f>IFERROR(IF((INDEX('[3]Riesgos de Corrupción'!$B$11:$BN$100,MATCH('Controles de Corrupción'!C126,'[3]Riesgos de Corrupción'!$B$11:$B$100,0),62)-AK126&lt;=3),"Moderado",IF((INDEX('[3]Riesgos de Corrupción'!$B$11:$BN$100,MATCH('Controles de Corrupción'!C126,'[3]Riesgos de Corrupción'!$B$11:$B$100,0),62)-AK126&lt;=4),"Mayor",IF((INDEX('[3]Riesgos de Corrupción'!$B$11:$BN$100,MATCH('Controles de Corrupción'!C126,'[3]Riesgos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0" t="str">
        <f t="shared" si="28"/>
        <v>-</v>
      </c>
      <c r="C127" s="188"/>
      <c r="D127" s="170"/>
      <c r="E127" s="171"/>
      <c r="F127" s="129"/>
      <c r="G127" s="128"/>
      <c r="H127" s="23"/>
      <c r="I127" s="18"/>
      <c r="J127" s="80">
        <f t="shared" si="44"/>
        <v>0</v>
      </c>
      <c r="K127" s="18"/>
      <c r="L127" s="80">
        <f t="shared" si="45"/>
        <v>0</v>
      </c>
      <c r="M127" s="18"/>
      <c r="N127" s="80">
        <f t="shared" si="46"/>
        <v>0</v>
      </c>
      <c r="O127" s="18"/>
      <c r="P127" s="80">
        <f t="shared" si="47"/>
        <v>0</v>
      </c>
      <c r="Q127" s="18"/>
      <c r="R127" s="80">
        <f t="shared" si="48"/>
        <v>0</v>
      </c>
      <c r="S127" s="18"/>
      <c r="T127" s="80">
        <f t="shared" si="49"/>
        <v>0</v>
      </c>
      <c r="U127" s="18"/>
      <c r="V127" s="80">
        <f t="shared" si="29"/>
        <v>0</v>
      </c>
      <c r="W127" s="19" t="str">
        <f t="shared" si="30"/>
        <v xml:space="preserve"> </v>
      </c>
      <c r="X127" s="19" t="str">
        <f t="shared" si="31"/>
        <v xml:space="preserve"> </v>
      </c>
      <c r="Y127" s="19" t="str">
        <f t="shared" si="32"/>
        <v/>
      </c>
      <c r="Z127" s="23"/>
      <c r="AA127" s="19" t="str">
        <f t="shared" si="33"/>
        <v/>
      </c>
      <c r="AB127" s="19" t="str">
        <f t="shared" si="34"/>
        <v xml:space="preserve"> </v>
      </c>
      <c r="AC127" s="19" t="str">
        <f t="shared" si="35"/>
        <v/>
      </c>
      <c r="AD127" s="19" t="str">
        <f t="shared" si="36"/>
        <v xml:space="preserve"> </v>
      </c>
      <c r="AE127" s="125" t="str">
        <f t="shared" si="37"/>
        <v xml:space="preserve"> </v>
      </c>
      <c r="AF127" s="19" t="str">
        <f t="shared" si="38"/>
        <v xml:space="preserve"> </v>
      </c>
      <c r="AG127" s="50">
        <f t="shared" si="39"/>
        <v>0</v>
      </c>
      <c r="AH127" s="50" t="str">
        <f t="shared" si="40"/>
        <v xml:space="preserve"> </v>
      </c>
      <c r="AI127" s="36" t="str">
        <f>IFERROR(IF((INDEX('[3]Riesgos de Corrupción'!$B$11:$V$100,MATCH('Controles de Corrupción'!C127,'[3]Riesgos de Corrupción'!$B$11:$B$100,0),17)-AH127&lt;=1),"Rara vez",IF((INDEX('[3]Riesgos de Corrupción'!$B$11:$V$100,MATCH('Controles de Corrupción'!C127,'[3]Riesgos de Corrupción'!$B$11:$B$100,0),17)-AH127&lt;=2),"Improbable",IF((INDEX('[3]Riesgos de Corrupción'!$B$11:$V$100,MATCH('Controles de Corrupción'!C127,'[3]Riesgos de Corrupción'!$B$11:$B$100,0),17)-AH127&lt;=3),"Posible",IF((INDEX('[3]Riesgos de Corrupción'!$B$11:$V$100,MATCH('Controles de Corrupción'!C127,'[3]Riesgos de Corrupción'!$B$11:$B$100,0),17)-AH127&lt;=4),"Probable",IF((INDEX('[3]Riesgos de Corrupción'!$B$11:$V$100,MATCH('Controles de Corrupción'!C127,'[3]Riesgos de Corrupción'!$B$11:$B$100,0),17)-AH127&lt;=5),"Casi seguro")))))," ")</f>
        <v xml:space="preserve"> </v>
      </c>
      <c r="AJ127" s="8" t="str">
        <f>IFERROR(IF(OR(AND(AF127="Fuerte",H127="No disminuye"),AND(AF127="Moderado",H127="Indirectamente"),AND(AF127="Moderado",H127="No disminuye"),AND(INDEX('[3]Riesgos de Corrupción'!$B$11:$BN$100,MATCH('Controles de Corrupción'!C127,'[3]Riesgos de Corrupción'!$B$11:$B$100,0),63)="Moderado")),0,IF(OR(AND(AF127="Fuerte",H127="Indirectamente"),AND(AF127="Moderado",H127="Directamente"),AND(INDEX('[3]Riesgos de Corrupción'!$B$11:$BN$100,MATCH('Controles de Corrupción'!C127,'[3]Riesgos de Corrupción'!$B$11:$B$100,0),63)="Mayor")),1,IF(AND(AF127="Fuerte",H127="Directamente",AND(INDEX('[3]Riesgos de Corrupción'!$B$11:$BN$100,MATCH('Controles de Corrupción'!C127,'[3]Riesgos de Corrupción'!$B$11:$B$100,0),63)="Catastrófico")),2)))," ")</f>
        <v xml:space="preserve"> </v>
      </c>
      <c r="AK127" s="19" t="str">
        <f t="shared" si="41"/>
        <v xml:space="preserve"> </v>
      </c>
      <c r="AL127" s="19" t="str">
        <f>IFERROR(IF((INDEX('[3]Riesgos de Corrupción'!$B$11:$BN$100,MATCH('Controles de Corrupción'!C127,'[3]Riesgos de Corrupción'!$B$11:$B$100,0),62)-AK127&lt;=3),"Moderado",IF((INDEX('[3]Riesgos de Corrupción'!$B$11:$BN$100,MATCH('Controles de Corrupción'!C127,'[3]Riesgos de Corrupción'!$B$11:$B$100,0),62)-AK127&lt;=4),"Mayor",IF((INDEX('[3]Riesgos de Corrupción'!$B$11:$BN$100,MATCH('Controles de Corrupción'!C127,'[3]Riesgos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0" t="str">
        <f t="shared" si="28"/>
        <v>-</v>
      </c>
      <c r="C128" s="188"/>
      <c r="D128" s="170"/>
      <c r="E128" s="171"/>
      <c r="F128" s="129"/>
      <c r="G128" s="128"/>
      <c r="H128" s="23"/>
      <c r="I128" s="18"/>
      <c r="J128" s="80">
        <f t="shared" si="44"/>
        <v>0</v>
      </c>
      <c r="K128" s="18"/>
      <c r="L128" s="80">
        <f t="shared" si="45"/>
        <v>0</v>
      </c>
      <c r="M128" s="18"/>
      <c r="N128" s="80">
        <f t="shared" si="46"/>
        <v>0</v>
      </c>
      <c r="O128" s="18"/>
      <c r="P128" s="80">
        <f t="shared" si="47"/>
        <v>0</v>
      </c>
      <c r="Q128" s="18"/>
      <c r="R128" s="80">
        <f t="shared" si="48"/>
        <v>0</v>
      </c>
      <c r="S128" s="18"/>
      <c r="T128" s="80">
        <f t="shared" si="49"/>
        <v>0</v>
      </c>
      <c r="U128" s="18"/>
      <c r="V128" s="80">
        <f t="shared" si="29"/>
        <v>0</v>
      </c>
      <c r="W128" s="19" t="str">
        <f t="shared" si="30"/>
        <v xml:space="preserve"> </v>
      </c>
      <c r="X128" s="19" t="str">
        <f t="shared" si="31"/>
        <v xml:space="preserve"> </v>
      </c>
      <c r="Y128" s="19" t="str">
        <f t="shared" si="32"/>
        <v/>
      </c>
      <c r="Z128" s="23"/>
      <c r="AA128" s="19" t="str">
        <f t="shared" si="33"/>
        <v/>
      </c>
      <c r="AB128" s="19" t="str">
        <f t="shared" si="34"/>
        <v xml:space="preserve"> </v>
      </c>
      <c r="AC128" s="19" t="str">
        <f t="shared" si="35"/>
        <v/>
      </c>
      <c r="AD128" s="19" t="str">
        <f t="shared" si="36"/>
        <v xml:space="preserve"> </v>
      </c>
      <c r="AE128" s="125" t="str">
        <f t="shared" si="37"/>
        <v xml:space="preserve"> </v>
      </c>
      <c r="AF128" s="19" t="str">
        <f t="shared" si="38"/>
        <v xml:space="preserve"> </v>
      </c>
      <c r="AG128" s="50">
        <f t="shared" si="39"/>
        <v>0</v>
      </c>
      <c r="AH128" s="50" t="str">
        <f t="shared" si="40"/>
        <v xml:space="preserve"> </v>
      </c>
      <c r="AI128" s="36" t="str">
        <f>IFERROR(IF((INDEX('[3]Riesgos de Corrupción'!$B$11:$V$100,MATCH('Controles de Corrupción'!C128,'[3]Riesgos de Corrupción'!$B$11:$B$100,0),17)-AH128&lt;=1),"Rara vez",IF((INDEX('[3]Riesgos de Corrupción'!$B$11:$V$100,MATCH('Controles de Corrupción'!C128,'[3]Riesgos de Corrupción'!$B$11:$B$100,0),17)-AH128&lt;=2),"Improbable",IF((INDEX('[3]Riesgos de Corrupción'!$B$11:$V$100,MATCH('Controles de Corrupción'!C128,'[3]Riesgos de Corrupción'!$B$11:$B$100,0),17)-AH128&lt;=3),"Posible",IF((INDEX('[3]Riesgos de Corrupción'!$B$11:$V$100,MATCH('Controles de Corrupción'!C128,'[3]Riesgos de Corrupción'!$B$11:$B$100,0),17)-AH128&lt;=4),"Probable",IF((INDEX('[3]Riesgos de Corrupción'!$B$11:$V$100,MATCH('Controles de Corrupción'!C128,'[3]Riesgos de Corrupción'!$B$11:$B$100,0),17)-AH128&lt;=5),"Casi seguro")))))," ")</f>
        <v xml:space="preserve"> </v>
      </c>
      <c r="AJ128" s="8" t="str">
        <f>IFERROR(IF(OR(AND(AF128="Fuerte",H128="No disminuye"),AND(AF128="Moderado",H128="Indirectamente"),AND(AF128="Moderado",H128="No disminuye"),AND(INDEX('[3]Riesgos de Corrupción'!$B$11:$BN$100,MATCH('Controles de Corrupción'!C128,'[3]Riesgos de Corrupción'!$B$11:$B$100,0),63)="Moderado")),0,IF(OR(AND(AF128="Fuerte",H128="Indirectamente"),AND(AF128="Moderado",H128="Directamente"),AND(INDEX('[3]Riesgos de Corrupción'!$B$11:$BN$100,MATCH('Controles de Corrupción'!C128,'[3]Riesgos de Corrupción'!$B$11:$B$100,0),63)="Mayor")),1,IF(AND(AF128="Fuerte",H128="Directamente",AND(INDEX('[3]Riesgos de Corrupción'!$B$11:$BN$100,MATCH('Controles de Corrupción'!C128,'[3]Riesgos de Corrupción'!$B$11:$B$100,0),63)="Catastrófico")),2)))," ")</f>
        <v xml:space="preserve"> </v>
      </c>
      <c r="AK128" s="19" t="str">
        <f t="shared" si="41"/>
        <v xml:space="preserve"> </v>
      </c>
      <c r="AL128" s="19" t="str">
        <f>IFERROR(IF((INDEX('[3]Riesgos de Corrupción'!$B$11:$BN$100,MATCH('Controles de Corrupción'!C128,'[3]Riesgos de Corrupción'!$B$11:$B$100,0),62)-AK128&lt;=3),"Moderado",IF((INDEX('[3]Riesgos de Corrupción'!$B$11:$BN$100,MATCH('Controles de Corrupción'!C128,'[3]Riesgos de Corrupción'!$B$11:$B$100,0),62)-AK128&lt;=4),"Mayor",IF((INDEX('[3]Riesgos de Corrupción'!$B$11:$BN$100,MATCH('Controles de Corrupción'!C128,'[3]Riesgos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0" t="str">
        <f t="shared" si="28"/>
        <v>-</v>
      </c>
      <c r="C129" s="188"/>
      <c r="D129" s="170"/>
      <c r="E129" s="171"/>
      <c r="F129" s="129"/>
      <c r="G129" s="128"/>
      <c r="H129" s="23"/>
      <c r="I129" s="18"/>
      <c r="J129" s="80">
        <f t="shared" si="44"/>
        <v>0</v>
      </c>
      <c r="K129" s="18"/>
      <c r="L129" s="80">
        <f t="shared" si="45"/>
        <v>0</v>
      </c>
      <c r="M129" s="18"/>
      <c r="N129" s="80">
        <f t="shared" si="46"/>
        <v>0</v>
      </c>
      <c r="O129" s="18"/>
      <c r="P129" s="80">
        <f t="shared" si="47"/>
        <v>0</v>
      </c>
      <c r="Q129" s="18"/>
      <c r="R129" s="80">
        <f t="shared" si="48"/>
        <v>0</v>
      </c>
      <c r="S129" s="18"/>
      <c r="T129" s="80">
        <f t="shared" si="49"/>
        <v>0</v>
      </c>
      <c r="U129" s="18"/>
      <c r="V129" s="80">
        <f t="shared" si="29"/>
        <v>0</v>
      </c>
      <c r="W129" s="19" t="str">
        <f t="shared" si="30"/>
        <v xml:space="preserve"> </v>
      </c>
      <c r="X129" s="19" t="str">
        <f t="shared" si="31"/>
        <v xml:space="preserve"> </v>
      </c>
      <c r="Y129" s="19" t="str">
        <f t="shared" si="32"/>
        <v/>
      </c>
      <c r="Z129" s="23"/>
      <c r="AA129" s="19" t="str">
        <f t="shared" si="33"/>
        <v/>
      </c>
      <c r="AB129" s="19" t="str">
        <f t="shared" si="34"/>
        <v xml:space="preserve"> </v>
      </c>
      <c r="AC129" s="19" t="str">
        <f t="shared" si="35"/>
        <v/>
      </c>
      <c r="AD129" s="19" t="str">
        <f t="shared" si="36"/>
        <v xml:space="preserve"> </v>
      </c>
      <c r="AE129" s="125" t="str">
        <f t="shared" si="37"/>
        <v xml:space="preserve"> </v>
      </c>
      <c r="AF129" s="19" t="str">
        <f t="shared" si="38"/>
        <v xml:space="preserve"> </v>
      </c>
      <c r="AG129" s="50">
        <f t="shared" si="39"/>
        <v>0</v>
      </c>
      <c r="AH129" s="50" t="str">
        <f t="shared" si="40"/>
        <v xml:space="preserve"> </v>
      </c>
      <c r="AI129" s="36" t="str">
        <f>IFERROR(IF((INDEX('[3]Riesgos de Corrupción'!$B$11:$V$100,MATCH('Controles de Corrupción'!C129,'[3]Riesgos de Corrupción'!$B$11:$B$100,0),17)-AH129&lt;=1),"Rara vez",IF((INDEX('[3]Riesgos de Corrupción'!$B$11:$V$100,MATCH('Controles de Corrupción'!C129,'[3]Riesgos de Corrupción'!$B$11:$B$100,0),17)-AH129&lt;=2),"Improbable",IF((INDEX('[3]Riesgos de Corrupción'!$B$11:$V$100,MATCH('Controles de Corrupción'!C129,'[3]Riesgos de Corrupción'!$B$11:$B$100,0),17)-AH129&lt;=3),"Posible",IF((INDEX('[3]Riesgos de Corrupción'!$B$11:$V$100,MATCH('Controles de Corrupción'!C129,'[3]Riesgos de Corrupción'!$B$11:$B$100,0),17)-AH129&lt;=4),"Probable",IF((INDEX('[3]Riesgos de Corrupción'!$B$11:$V$100,MATCH('Controles de Corrupción'!C129,'[3]Riesgos de Corrupción'!$B$11:$B$100,0),17)-AH129&lt;=5),"Casi seguro")))))," ")</f>
        <v xml:space="preserve"> </v>
      </c>
      <c r="AJ129" s="8" t="str">
        <f>IFERROR(IF(OR(AND(AF129="Fuerte",H129="No disminuye"),AND(AF129="Moderado",H129="Indirectamente"),AND(AF129="Moderado",H129="No disminuye"),AND(INDEX('[3]Riesgos de Corrupción'!$B$11:$BN$100,MATCH('Controles de Corrupción'!C129,'[3]Riesgos de Corrupción'!$B$11:$B$100,0),63)="Moderado")),0,IF(OR(AND(AF129="Fuerte",H129="Indirectamente"),AND(AF129="Moderado",H129="Directamente"),AND(INDEX('[3]Riesgos de Corrupción'!$B$11:$BN$100,MATCH('Controles de Corrupción'!C129,'[3]Riesgos de Corrupción'!$B$11:$B$100,0),63)="Mayor")),1,IF(AND(AF129="Fuerte",H129="Directamente",AND(INDEX('[3]Riesgos de Corrupción'!$B$11:$BN$100,MATCH('Controles de Corrupción'!C129,'[3]Riesgos de Corrupción'!$B$11:$B$100,0),63)="Catastrófico")),2)))," ")</f>
        <v xml:space="preserve"> </v>
      </c>
      <c r="AK129" s="19" t="str">
        <f t="shared" si="41"/>
        <v xml:space="preserve"> </v>
      </c>
      <c r="AL129" s="19" t="str">
        <f>IFERROR(IF((INDEX('[3]Riesgos de Corrupción'!$B$11:$BN$100,MATCH('Controles de Corrupción'!C129,'[3]Riesgos de Corrupción'!$B$11:$B$100,0),62)-AK129&lt;=3),"Moderado",IF((INDEX('[3]Riesgos de Corrupción'!$B$11:$BN$100,MATCH('Controles de Corrupción'!C129,'[3]Riesgos de Corrupción'!$B$11:$B$100,0),62)-AK129&lt;=4),"Mayor",IF((INDEX('[3]Riesgos de Corrupción'!$B$11:$BN$100,MATCH('Controles de Corrupción'!C129,'[3]Riesgos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0" t="str">
        <f t="shared" si="28"/>
        <v>-</v>
      </c>
      <c r="C130" s="188"/>
      <c r="D130" s="170"/>
      <c r="E130" s="171"/>
      <c r="F130" s="129"/>
      <c r="G130" s="128"/>
      <c r="H130" s="23"/>
      <c r="I130" s="18"/>
      <c r="J130" s="80">
        <f t="shared" si="44"/>
        <v>0</v>
      </c>
      <c r="K130" s="18"/>
      <c r="L130" s="80">
        <f t="shared" si="45"/>
        <v>0</v>
      </c>
      <c r="M130" s="18"/>
      <c r="N130" s="80">
        <f t="shared" si="46"/>
        <v>0</v>
      </c>
      <c r="O130" s="18"/>
      <c r="P130" s="80">
        <f t="shared" si="47"/>
        <v>0</v>
      </c>
      <c r="Q130" s="18"/>
      <c r="R130" s="80">
        <f t="shared" si="48"/>
        <v>0</v>
      </c>
      <c r="S130" s="18"/>
      <c r="T130" s="80">
        <f t="shared" si="49"/>
        <v>0</v>
      </c>
      <c r="U130" s="18"/>
      <c r="V130" s="80">
        <f t="shared" si="29"/>
        <v>0</v>
      </c>
      <c r="W130" s="19" t="str">
        <f t="shared" si="30"/>
        <v xml:space="preserve"> </v>
      </c>
      <c r="X130" s="19" t="str">
        <f t="shared" si="31"/>
        <v xml:space="preserve"> </v>
      </c>
      <c r="Y130" s="19" t="str">
        <f t="shared" si="32"/>
        <v/>
      </c>
      <c r="Z130" s="23"/>
      <c r="AA130" s="19" t="str">
        <f t="shared" si="33"/>
        <v/>
      </c>
      <c r="AB130" s="19" t="str">
        <f t="shared" si="34"/>
        <v xml:space="preserve"> </v>
      </c>
      <c r="AC130" s="19" t="str">
        <f t="shared" si="35"/>
        <v/>
      </c>
      <c r="AD130" s="19" t="str">
        <f t="shared" si="36"/>
        <v xml:space="preserve"> </v>
      </c>
      <c r="AE130" s="125" t="str">
        <f t="shared" si="37"/>
        <v xml:space="preserve"> </v>
      </c>
      <c r="AF130" s="19" t="str">
        <f t="shared" si="38"/>
        <v xml:space="preserve"> </v>
      </c>
      <c r="AG130" s="50">
        <f t="shared" si="39"/>
        <v>0</v>
      </c>
      <c r="AH130" s="50" t="str">
        <f t="shared" si="40"/>
        <v xml:space="preserve"> </v>
      </c>
      <c r="AI130" s="36" t="str">
        <f>IFERROR(IF((INDEX('[3]Riesgos de Corrupción'!$B$11:$V$100,MATCH('Controles de Corrupción'!C130,'[3]Riesgos de Corrupción'!$B$11:$B$100,0),17)-AH130&lt;=1),"Rara vez",IF((INDEX('[3]Riesgos de Corrupción'!$B$11:$V$100,MATCH('Controles de Corrupción'!C130,'[3]Riesgos de Corrupción'!$B$11:$B$100,0),17)-AH130&lt;=2),"Improbable",IF((INDEX('[3]Riesgos de Corrupción'!$B$11:$V$100,MATCH('Controles de Corrupción'!C130,'[3]Riesgos de Corrupción'!$B$11:$B$100,0),17)-AH130&lt;=3),"Posible",IF((INDEX('[3]Riesgos de Corrupción'!$B$11:$V$100,MATCH('Controles de Corrupción'!C130,'[3]Riesgos de Corrupción'!$B$11:$B$100,0),17)-AH130&lt;=4),"Probable",IF((INDEX('[3]Riesgos de Corrupción'!$B$11:$V$100,MATCH('Controles de Corrupción'!C130,'[3]Riesgos de Corrupción'!$B$11:$B$100,0),17)-AH130&lt;=5),"Casi seguro")))))," ")</f>
        <v xml:space="preserve"> </v>
      </c>
      <c r="AJ130" s="8" t="str">
        <f>IFERROR(IF(OR(AND(AF130="Fuerte",H130="No disminuye"),AND(AF130="Moderado",H130="Indirectamente"),AND(AF130="Moderado",H130="No disminuye"),AND(INDEX('[3]Riesgos de Corrupción'!$B$11:$BN$100,MATCH('Controles de Corrupción'!C130,'[3]Riesgos de Corrupción'!$B$11:$B$100,0),63)="Moderado")),0,IF(OR(AND(AF130="Fuerte",H130="Indirectamente"),AND(AF130="Moderado",H130="Directamente"),AND(INDEX('[3]Riesgos de Corrupción'!$B$11:$BN$100,MATCH('Controles de Corrupción'!C130,'[3]Riesgos de Corrupción'!$B$11:$B$100,0),63)="Mayor")),1,IF(AND(AF130="Fuerte",H130="Directamente",AND(INDEX('[3]Riesgos de Corrupción'!$B$11:$BN$100,MATCH('Controles de Corrupción'!C130,'[3]Riesgos de Corrupción'!$B$11:$B$100,0),63)="Catastrófico")),2)))," ")</f>
        <v xml:space="preserve"> </v>
      </c>
      <c r="AK130" s="19" t="str">
        <f t="shared" si="41"/>
        <v xml:space="preserve"> </v>
      </c>
      <c r="AL130" s="19" t="str">
        <f>IFERROR(IF((INDEX('[3]Riesgos de Corrupción'!$B$11:$BN$100,MATCH('Controles de Corrupción'!C130,'[3]Riesgos de Corrupción'!$B$11:$B$100,0),62)-AK130&lt;=3),"Moderado",IF((INDEX('[3]Riesgos de Corrupción'!$B$11:$BN$100,MATCH('Controles de Corrupción'!C130,'[3]Riesgos de Corrupción'!$B$11:$B$100,0),62)-AK130&lt;=4),"Mayor",IF((INDEX('[3]Riesgos de Corrupción'!$B$11:$BN$100,MATCH('Controles de Corrupción'!C130,'[3]Riesgos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0" t="str">
        <f t="shared" si="28"/>
        <v>-</v>
      </c>
      <c r="C131" s="188"/>
      <c r="D131" s="170"/>
      <c r="E131" s="171"/>
      <c r="F131" s="129"/>
      <c r="G131" s="128"/>
      <c r="H131" s="23"/>
      <c r="I131" s="18"/>
      <c r="J131" s="80">
        <f t="shared" si="44"/>
        <v>0</v>
      </c>
      <c r="K131" s="18"/>
      <c r="L131" s="80">
        <f t="shared" si="45"/>
        <v>0</v>
      </c>
      <c r="M131" s="18"/>
      <c r="N131" s="80">
        <f t="shared" si="46"/>
        <v>0</v>
      </c>
      <c r="O131" s="18"/>
      <c r="P131" s="80">
        <f t="shared" si="47"/>
        <v>0</v>
      </c>
      <c r="Q131" s="18"/>
      <c r="R131" s="80">
        <f t="shared" si="48"/>
        <v>0</v>
      </c>
      <c r="S131" s="18"/>
      <c r="T131" s="80">
        <f t="shared" si="49"/>
        <v>0</v>
      </c>
      <c r="U131" s="18"/>
      <c r="V131" s="80">
        <f t="shared" si="29"/>
        <v>0</v>
      </c>
      <c r="W131" s="19" t="str">
        <f t="shared" si="30"/>
        <v xml:space="preserve"> </v>
      </c>
      <c r="X131" s="19" t="str">
        <f t="shared" si="31"/>
        <v xml:space="preserve"> </v>
      </c>
      <c r="Y131" s="19" t="str">
        <f t="shared" si="32"/>
        <v/>
      </c>
      <c r="Z131" s="23"/>
      <c r="AA131" s="19" t="str">
        <f t="shared" si="33"/>
        <v/>
      </c>
      <c r="AB131" s="19" t="str">
        <f t="shared" si="34"/>
        <v xml:space="preserve"> </v>
      </c>
      <c r="AC131" s="19" t="str">
        <f t="shared" si="35"/>
        <v/>
      </c>
      <c r="AD131" s="19" t="str">
        <f t="shared" si="36"/>
        <v xml:space="preserve"> </v>
      </c>
      <c r="AE131" s="125" t="str">
        <f t="shared" si="37"/>
        <v xml:space="preserve"> </v>
      </c>
      <c r="AF131" s="19" t="str">
        <f t="shared" si="38"/>
        <v xml:space="preserve"> </v>
      </c>
      <c r="AG131" s="50">
        <f t="shared" si="39"/>
        <v>0</v>
      </c>
      <c r="AH131" s="50" t="str">
        <f t="shared" si="40"/>
        <v xml:space="preserve"> </v>
      </c>
      <c r="AI131" s="36" t="str">
        <f>IFERROR(IF((INDEX('[3]Riesgos de Corrupción'!$B$11:$V$100,MATCH('Controles de Corrupción'!C131,'[3]Riesgos de Corrupción'!$B$11:$B$100,0),17)-AH131&lt;=1),"Rara vez",IF((INDEX('[3]Riesgos de Corrupción'!$B$11:$V$100,MATCH('Controles de Corrupción'!C131,'[3]Riesgos de Corrupción'!$B$11:$B$100,0),17)-AH131&lt;=2),"Improbable",IF((INDEX('[3]Riesgos de Corrupción'!$B$11:$V$100,MATCH('Controles de Corrupción'!C131,'[3]Riesgos de Corrupción'!$B$11:$B$100,0),17)-AH131&lt;=3),"Posible",IF((INDEX('[3]Riesgos de Corrupción'!$B$11:$V$100,MATCH('Controles de Corrupción'!C131,'[3]Riesgos de Corrupción'!$B$11:$B$100,0),17)-AH131&lt;=4),"Probable",IF((INDEX('[3]Riesgos de Corrupción'!$B$11:$V$100,MATCH('Controles de Corrupción'!C131,'[3]Riesgos de Corrupción'!$B$11:$B$100,0),17)-AH131&lt;=5),"Casi seguro")))))," ")</f>
        <v xml:space="preserve"> </v>
      </c>
      <c r="AJ131" s="8" t="str">
        <f>IFERROR(IF(OR(AND(AF131="Fuerte",H131="No disminuye"),AND(AF131="Moderado",H131="Indirectamente"),AND(AF131="Moderado",H131="No disminuye"),AND(INDEX('[3]Riesgos de Corrupción'!$B$11:$BN$100,MATCH('Controles de Corrupción'!C131,'[3]Riesgos de Corrupción'!$B$11:$B$100,0),63)="Moderado")),0,IF(OR(AND(AF131="Fuerte",H131="Indirectamente"),AND(AF131="Moderado",H131="Directamente"),AND(INDEX('[3]Riesgos de Corrupción'!$B$11:$BN$100,MATCH('Controles de Corrupción'!C131,'[3]Riesgos de Corrupción'!$B$11:$B$100,0),63)="Mayor")),1,IF(AND(AF131="Fuerte",H131="Directamente",AND(INDEX('[3]Riesgos de Corrupción'!$B$11:$BN$100,MATCH('Controles de Corrupción'!C131,'[3]Riesgos de Corrupción'!$B$11:$B$100,0),63)="Catastrófico")),2)))," ")</f>
        <v xml:space="preserve"> </v>
      </c>
      <c r="AK131" s="19" t="str">
        <f t="shared" si="41"/>
        <v xml:space="preserve"> </v>
      </c>
      <c r="AL131" s="19" t="str">
        <f>IFERROR(IF((INDEX('[3]Riesgos de Corrupción'!$B$11:$BN$100,MATCH('Controles de Corrupción'!C131,'[3]Riesgos de Corrupción'!$B$11:$B$100,0),62)-AK131&lt;=3),"Moderado",IF((INDEX('[3]Riesgos de Corrupción'!$B$11:$BN$100,MATCH('Controles de Corrupción'!C131,'[3]Riesgos de Corrupción'!$B$11:$B$100,0),62)-AK131&lt;=4),"Mayor",IF((INDEX('[3]Riesgos de Corrupción'!$B$11:$BN$100,MATCH('Controles de Corrupción'!C131,'[3]Riesgos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0" t="str">
        <f t="shared" si="28"/>
        <v>-</v>
      </c>
      <c r="C132" s="188"/>
      <c r="D132" s="170"/>
      <c r="E132" s="171"/>
      <c r="F132" s="129"/>
      <c r="G132" s="128"/>
      <c r="H132" s="23"/>
      <c r="I132" s="18"/>
      <c r="J132" s="80">
        <f t="shared" si="44"/>
        <v>0</v>
      </c>
      <c r="K132" s="18"/>
      <c r="L132" s="80">
        <f t="shared" si="45"/>
        <v>0</v>
      </c>
      <c r="M132" s="18"/>
      <c r="N132" s="80">
        <f t="shared" si="46"/>
        <v>0</v>
      </c>
      <c r="O132" s="18"/>
      <c r="P132" s="80">
        <f t="shared" si="47"/>
        <v>0</v>
      </c>
      <c r="Q132" s="18"/>
      <c r="R132" s="80">
        <f t="shared" si="48"/>
        <v>0</v>
      </c>
      <c r="S132" s="18"/>
      <c r="T132" s="80">
        <f t="shared" si="49"/>
        <v>0</v>
      </c>
      <c r="U132" s="18"/>
      <c r="V132" s="80">
        <f t="shared" si="29"/>
        <v>0</v>
      </c>
      <c r="W132" s="19" t="str">
        <f t="shared" si="30"/>
        <v xml:space="preserve"> </v>
      </c>
      <c r="X132" s="19" t="str">
        <f t="shared" si="31"/>
        <v xml:space="preserve"> </v>
      </c>
      <c r="Y132" s="19" t="str">
        <f t="shared" si="32"/>
        <v/>
      </c>
      <c r="Z132" s="23"/>
      <c r="AA132" s="19" t="str">
        <f t="shared" si="33"/>
        <v/>
      </c>
      <c r="AB132" s="19" t="str">
        <f t="shared" si="34"/>
        <v xml:space="preserve"> </v>
      </c>
      <c r="AC132" s="19" t="str">
        <f t="shared" si="35"/>
        <v/>
      </c>
      <c r="AD132" s="19" t="str">
        <f t="shared" si="36"/>
        <v xml:space="preserve"> </v>
      </c>
      <c r="AE132" s="125" t="str">
        <f t="shared" si="37"/>
        <v xml:space="preserve"> </v>
      </c>
      <c r="AF132" s="19" t="str">
        <f t="shared" si="38"/>
        <v xml:space="preserve"> </v>
      </c>
      <c r="AG132" s="50">
        <f t="shared" si="39"/>
        <v>0</v>
      </c>
      <c r="AH132" s="50" t="str">
        <f t="shared" si="40"/>
        <v xml:space="preserve"> </v>
      </c>
      <c r="AI132" s="36" t="str">
        <f>IFERROR(IF((INDEX('[3]Riesgos de Corrupción'!$B$11:$V$100,MATCH('Controles de Corrupción'!C132,'[3]Riesgos de Corrupción'!$B$11:$B$100,0),17)-AH132&lt;=1),"Rara vez",IF((INDEX('[3]Riesgos de Corrupción'!$B$11:$V$100,MATCH('Controles de Corrupción'!C132,'[3]Riesgos de Corrupción'!$B$11:$B$100,0),17)-AH132&lt;=2),"Improbable",IF((INDEX('[3]Riesgos de Corrupción'!$B$11:$V$100,MATCH('Controles de Corrupción'!C132,'[3]Riesgos de Corrupción'!$B$11:$B$100,0),17)-AH132&lt;=3),"Posible",IF((INDEX('[3]Riesgos de Corrupción'!$B$11:$V$100,MATCH('Controles de Corrupción'!C132,'[3]Riesgos de Corrupción'!$B$11:$B$100,0),17)-AH132&lt;=4),"Probable",IF((INDEX('[3]Riesgos de Corrupción'!$B$11:$V$100,MATCH('Controles de Corrupción'!C132,'[3]Riesgos de Corrupción'!$B$11:$B$100,0),17)-AH132&lt;=5),"Casi seguro")))))," ")</f>
        <v xml:space="preserve"> </v>
      </c>
      <c r="AJ132" s="8" t="str">
        <f>IFERROR(IF(OR(AND(AF132="Fuerte",H132="No disminuye"),AND(AF132="Moderado",H132="Indirectamente"),AND(AF132="Moderado",H132="No disminuye"),AND(INDEX('[3]Riesgos de Corrupción'!$B$11:$BN$100,MATCH('Controles de Corrupción'!C132,'[3]Riesgos de Corrupción'!$B$11:$B$100,0),63)="Moderado")),0,IF(OR(AND(AF132="Fuerte",H132="Indirectamente"),AND(AF132="Moderado",H132="Directamente"),AND(INDEX('[3]Riesgos de Corrupción'!$B$11:$BN$100,MATCH('Controles de Corrupción'!C132,'[3]Riesgos de Corrupción'!$B$11:$B$100,0),63)="Mayor")),1,IF(AND(AF132="Fuerte",H132="Directamente",AND(INDEX('[3]Riesgos de Corrupción'!$B$11:$BN$100,MATCH('Controles de Corrupción'!C132,'[3]Riesgos de Corrupción'!$B$11:$B$100,0),63)="Catastrófico")),2)))," ")</f>
        <v xml:space="preserve"> </v>
      </c>
      <c r="AK132" s="19" t="str">
        <f t="shared" si="41"/>
        <v xml:space="preserve"> </v>
      </c>
      <c r="AL132" s="19" t="str">
        <f>IFERROR(IF((INDEX('[3]Riesgos de Corrupción'!$B$11:$BN$100,MATCH('Controles de Corrupción'!C132,'[3]Riesgos de Corrupción'!$B$11:$B$100,0),62)-AK132&lt;=3),"Moderado",IF((INDEX('[3]Riesgos de Corrupción'!$B$11:$BN$100,MATCH('Controles de Corrupción'!C132,'[3]Riesgos de Corrupción'!$B$11:$B$100,0),62)-AK132&lt;=4),"Mayor",IF((INDEX('[3]Riesgos de Corrupción'!$B$11:$BN$100,MATCH('Controles de Corrupción'!C132,'[3]Riesgos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0" t="str">
        <f t="shared" si="28"/>
        <v>-</v>
      </c>
      <c r="C133" s="188"/>
      <c r="D133" s="170"/>
      <c r="E133" s="171"/>
      <c r="F133" s="129"/>
      <c r="G133" s="128"/>
      <c r="H133" s="23"/>
      <c r="I133" s="18"/>
      <c r="J133" s="80">
        <f t="shared" si="44"/>
        <v>0</v>
      </c>
      <c r="K133" s="18"/>
      <c r="L133" s="80">
        <f t="shared" si="45"/>
        <v>0</v>
      </c>
      <c r="M133" s="18"/>
      <c r="N133" s="80">
        <f t="shared" si="46"/>
        <v>0</v>
      </c>
      <c r="O133" s="18"/>
      <c r="P133" s="80">
        <f t="shared" si="47"/>
        <v>0</v>
      </c>
      <c r="Q133" s="18"/>
      <c r="R133" s="80">
        <f t="shared" si="48"/>
        <v>0</v>
      </c>
      <c r="S133" s="18"/>
      <c r="T133" s="80">
        <f t="shared" si="49"/>
        <v>0</v>
      </c>
      <c r="U133" s="18"/>
      <c r="V133" s="80">
        <f t="shared" si="29"/>
        <v>0</v>
      </c>
      <c r="W133" s="19" t="str">
        <f t="shared" si="30"/>
        <v xml:space="preserve"> </v>
      </c>
      <c r="X133" s="19" t="str">
        <f t="shared" si="31"/>
        <v xml:space="preserve"> </v>
      </c>
      <c r="Y133" s="19" t="str">
        <f t="shared" si="32"/>
        <v/>
      </c>
      <c r="Z133" s="23"/>
      <c r="AA133" s="19" t="str">
        <f t="shared" si="33"/>
        <v/>
      </c>
      <c r="AB133" s="19" t="str">
        <f t="shared" si="34"/>
        <v xml:space="preserve"> </v>
      </c>
      <c r="AC133" s="19" t="str">
        <f t="shared" si="35"/>
        <v/>
      </c>
      <c r="AD133" s="19" t="str">
        <f t="shared" si="36"/>
        <v xml:space="preserve"> </v>
      </c>
      <c r="AE133" s="125" t="str">
        <f t="shared" si="37"/>
        <v xml:space="preserve"> </v>
      </c>
      <c r="AF133" s="19" t="str">
        <f t="shared" si="38"/>
        <v xml:space="preserve"> </v>
      </c>
      <c r="AG133" s="50">
        <f t="shared" si="39"/>
        <v>0</v>
      </c>
      <c r="AH133" s="50" t="str">
        <f t="shared" si="40"/>
        <v xml:space="preserve"> </v>
      </c>
      <c r="AI133" s="36" t="str">
        <f>IFERROR(IF((INDEX('[3]Riesgos de Corrupción'!$B$11:$V$100,MATCH('Controles de Corrupción'!C133,'[3]Riesgos de Corrupción'!$B$11:$B$100,0),17)-AH133&lt;=1),"Rara vez",IF((INDEX('[3]Riesgos de Corrupción'!$B$11:$V$100,MATCH('Controles de Corrupción'!C133,'[3]Riesgos de Corrupción'!$B$11:$B$100,0),17)-AH133&lt;=2),"Improbable",IF((INDEX('[3]Riesgos de Corrupción'!$B$11:$V$100,MATCH('Controles de Corrupción'!C133,'[3]Riesgos de Corrupción'!$B$11:$B$100,0),17)-AH133&lt;=3),"Posible",IF((INDEX('[3]Riesgos de Corrupción'!$B$11:$V$100,MATCH('Controles de Corrupción'!C133,'[3]Riesgos de Corrupción'!$B$11:$B$100,0),17)-AH133&lt;=4),"Probable",IF((INDEX('[3]Riesgos de Corrupción'!$B$11:$V$100,MATCH('Controles de Corrupción'!C133,'[3]Riesgos de Corrupción'!$B$11:$B$100,0),17)-AH133&lt;=5),"Casi seguro")))))," ")</f>
        <v xml:space="preserve"> </v>
      </c>
      <c r="AJ133" s="8" t="str">
        <f>IFERROR(IF(OR(AND(AF133="Fuerte",H133="No disminuye"),AND(AF133="Moderado",H133="Indirectamente"),AND(AF133="Moderado",H133="No disminuye"),AND(INDEX('[3]Riesgos de Corrupción'!$B$11:$BN$100,MATCH('Controles de Corrupción'!C133,'[3]Riesgos de Corrupción'!$B$11:$B$100,0),63)="Moderado")),0,IF(OR(AND(AF133="Fuerte",H133="Indirectamente"),AND(AF133="Moderado",H133="Directamente"),AND(INDEX('[3]Riesgos de Corrupción'!$B$11:$BN$100,MATCH('Controles de Corrupción'!C133,'[3]Riesgos de Corrupción'!$B$11:$B$100,0),63)="Mayor")),1,IF(AND(AF133="Fuerte",H133="Directamente",AND(INDEX('[3]Riesgos de Corrupción'!$B$11:$BN$100,MATCH('Controles de Corrupción'!C133,'[3]Riesgos de Corrupción'!$B$11:$B$100,0),63)="Catastrófico")),2)))," ")</f>
        <v xml:space="preserve"> </v>
      </c>
      <c r="AK133" s="19" t="str">
        <f t="shared" si="41"/>
        <v xml:space="preserve"> </v>
      </c>
      <c r="AL133" s="19" t="str">
        <f>IFERROR(IF((INDEX('[3]Riesgos de Corrupción'!$B$11:$BN$100,MATCH('Controles de Corrupción'!C133,'[3]Riesgos de Corrupción'!$B$11:$B$100,0),62)-AK133&lt;=3),"Moderado",IF((INDEX('[3]Riesgos de Corrupción'!$B$11:$BN$100,MATCH('Controles de Corrupción'!C133,'[3]Riesgos de Corrupción'!$B$11:$B$100,0),62)-AK133&lt;=4),"Mayor",IF((INDEX('[3]Riesgos de Corrupción'!$B$11:$BN$100,MATCH('Controles de Corrupción'!C133,'[3]Riesgos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0" t="str">
        <f t="shared" si="28"/>
        <v>-</v>
      </c>
      <c r="C134" s="188"/>
      <c r="D134" s="170"/>
      <c r="E134" s="171"/>
      <c r="F134" s="129"/>
      <c r="G134" s="128"/>
      <c r="H134" s="23"/>
      <c r="I134" s="18"/>
      <c r="J134" s="80">
        <f t="shared" si="44"/>
        <v>0</v>
      </c>
      <c r="K134" s="18"/>
      <c r="L134" s="80">
        <f t="shared" si="45"/>
        <v>0</v>
      </c>
      <c r="M134" s="18"/>
      <c r="N134" s="80">
        <f t="shared" si="46"/>
        <v>0</v>
      </c>
      <c r="O134" s="18"/>
      <c r="P134" s="80">
        <f t="shared" si="47"/>
        <v>0</v>
      </c>
      <c r="Q134" s="18"/>
      <c r="R134" s="80">
        <f t="shared" si="48"/>
        <v>0</v>
      </c>
      <c r="S134" s="18"/>
      <c r="T134" s="80">
        <f t="shared" si="49"/>
        <v>0</v>
      </c>
      <c r="U134" s="18"/>
      <c r="V134" s="80">
        <f t="shared" si="29"/>
        <v>0</v>
      </c>
      <c r="W134" s="19" t="str">
        <f t="shared" si="30"/>
        <v xml:space="preserve"> </v>
      </c>
      <c r="X134" s="19" t="str">
        <f t="shared" si="31"/>
        <v xml:space="preserve"> </v>
      </c>
      <c r="Y134" s="19" t="str">
        <f t="shared" si="32"/>
        <v/>
      </c>
      <c r="Z134" s="23"/>
      <c r="AA134" s="19" t="str">
        <f t="shared" si="33"/>
        <v/>
      </c>
      <c r="AB134" s="19" t="str">
        <f t="shared" si="34"/>
        <v xml:space="preserve"> </v>
      </c>
      <c r="AC134" s="19" t="str">
        <f t="shared" si="35"/>
        <v/>
      </c>
      <c r="AD134" s="19" t="str">
        <f t="shared" si="36"/>
        <v xml:space="preserve"> </v>
      </c>
      <c r="AE134" s="125" t="str">
        <f t="shared" si="37"/>
        <v xml:space="preserve"> </v>
      </c>
      <c r="AF134" s="19" t="str">
        <f t="shared" si="38"/>
        <v xml:space="preserve"> </v>
      </c>
      <c r="AG134" s="50">
        <f t="shared" si="39"/>
        <v>0</v>
      </c>
      <c r="AH134" s="50" t="str">
        <f t="shared" si="40"/>
        <v xml:space="preserve"> </v>
      </c>
      <c r="AI134" s="36" t="str">
        <f>IFERROR(IF((INDEX('[3]Riesgos de Corrupción'!$B$11:$V$100,MATCH('Controles de Corrupción'!C134,'[3]Riesgos de Corrupción'!$B$11:$B$100,0),17)-AH134&lt;=1),"Rara vez",IF((INDEX('[3]Riesgos de Corrupción'!$B$11:$V$100,MATCH('Controles de Corrupción'!C134,'[3]Riesgos de Corrupción'!$B$11:$B$100,0),17)-AH134&lt;=2),"Improbable",IF((INDEX('[3]Riesgos de Corrupción'!$B$11:$V$100,MATCH('Controles de Corrupción'!C134,'[3]Riesgos de Corrupción'!$B$11:$B$100,0),17)-AH134&lt;=3),"Posible",IF((INDEX('[3]Riesgos de Corrupción'!$B$11:$V$100,MATCH('Controles de Corrupción'!C134,'[3]Riesgos de Corrupción'!$B$11:$B$100,0),17)-AH134&lt;=4),"Probable",IF((INDEX('[3]Riesgos de Corrupción'!$B$11:$V$100,MATCH('Controles de Corrupción'!C134,'[3]Riesgos de Corrupción'!$B$11:$B$100,0),17)-AH134&lt;=5),"Casi seguro")))))," ")</f>
        <v xml:space="preserve"> </v>
      </c>
      <c r="AJ134" s="8" t="str">
        <f>IFERROR(IF(OR(AND(AF134="Fuerte",H134="No disminuye"),AND(AF134="Moderado",H134="Indirectamente"),AND(AF134="Moderado",H134="No disminuye"),AND(INDEX('[3]Riesgos de Corrupción'!$B$11:$BN$100,MATCH('Controles de Corrupción'!C134,'[3]Riesgos de Corrupción'!$B$11:$B$100,0),63)="Moderado")),0,IF(OR(AND(AF134="Fuerte",H134="Indirectamente"),AND(AF134="Moderado",H134="Directamente"),AND(INDEX('[3]Riesgos de Corrupción'!$B$11:$BN$100,MATCH('Controles de Corrupción'!C134,'[3]Riesgos de Corrupción'!$B$11:$B$100,0),63)="Mayor")),1,IF(AND(AF134="Fuerte",H134="Directamente",AND(INDEX('[3]Riesgos de Corrupción'!$B$11:$BN$100,MATCH('Controles de Corrupción'!C134,'[3]Riesgos de Corrupción'!$B$11:$B$100,0),63)="Catastrófico")),2)))," ")</f>
        <v xml:space="preserve"> </v>
      </c>
      <c r="AK134" s="19" t="str">
        <f t="shared" si="41"/>
        <v xml:space="preserve"> </v>
      </c>
      <c r="AL134" s="19" t="str">
        <f>IFERROR(IF((INDEX('[3]Riesgos de Corrupción'!$B$11:$BN$100,MATCH('Controles de Corrupción'!C134,'[3]Riesgos de Corrupción'!$B$11:$B$100,0),62)-AK134&lt;=3),"Moderado",IF((INDEX('[3]Riesgos de Corrupción'!$B$11:$BN$100,MATCH('Controles de Corrupción'!C134,'[3]Riesgos de Corrupción'!$B$11:$B$100,0),62)-AK134&lt;=4),"Mayor",IF((INDEX('[3]Riesgos de Corrupción'!$B$11:$BN$100,MATCH('Controles de Corrupción'!C134,'[3]Riesgos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0" t="str">
        <f t="shared" si="28"/>
        <v>-</v>
      </c>
      <c r="C135" s="188"/>
      <c r="D135" s="170"/>
      <c r="E135" s="171"/>
      <c r="F135" s="129"/>
      <c r="G135" s="128"/>
      <c r="H135" s="23"/>
      <c r="I135" s="18"/>
      <c r="J135" s="80">
        <f t="shared" si="44"/>
        <v>0</v>
      </c>
      <c r="K135" s="18"/>
      <c r="L135" s="80">
        <f t="shared" si="45"/>
        <v>0</v>
      </c>
      <c r="M135" s="18"/>
      <c r="N135" s="80">
        <f t="shared" si="46"/>
        <v>0</v>
      </c>
      <c r="O135" s="18"/>
      <c r="P135" s="80">
        <f t="shared" si="47"/>
        <v>0</v>
      </c>
      <c r="Q135" s="18"/>
      <c r="R135" s="80">
        <f t="shared" si="48"/>
        <v>0</v>
      </c>
      <c r="S135" s="18"/>
      <c r="T135" s="80">
        <f t="shared" si="49"/>
        <v>0</v>
      </c>
      <c r="U135" s="18"/>
      <c r="V135" s="80">
        <f t="shared" si="29"/>
        <v>0</v>
      </c>
      <c r="W135" s="19" t="str">
        <f t="shared" si="30"/>
        <v xml:space="preserve"> </v>
      </c>
      <c r="X135" s="19" t="str">
        <f t="shared" si="31"/>
        <v xml:space="preserve"> </v>
      </c>
      <c r="Y135" s="19" t="str">
        <f t="shared" si="32"/>
        <v/>
      </c>
      <c r="Z135" s="23"/>
      <c r="AA135" s="19" t="str">
        <f t="shared" si="33"/>
        <v/>
      </c>
      <c r="AB135" s="19" t="str">
        <f t="shared" si="34"/>
        <v xml:space="preserve"> </v>
      </c>
      <c r="AC135" s="19" t="str">
        <f t="shared" si="35"/>
        <v/>
      </c>
      <c r="AD135" s="19" t="str">
        <f t="shared" si="36"/>
        <v xml:space="preserve"> </v>
      </c>
      <c r="AE135" s="125" t="str">
        <f t="shared" si="37"/>
        <v xml:space="preserve"> </v>
      </c>
      <c r="AF135" s="19" t="str">
        <f t="shared" si="38"/>
        <v xml:space="preserve"> </v>
      </c>
      <c r="AG135" s="50">
        <f t="shared" si="39"/>
        <v>0</v>
      </c>
      <c r="AH135" s="50" t="str">
        <f t="shared" si="40"/>
        <v xml:space="preserve"> </v>
      </c>
      <c r="AI135" s="36" t="str">
        <f>IFERROR(IF((INDEX('[3]Riesgos de Corrupción'!$B$11:$V$100,MATCH('Controles de Corrupción'!C135,'[3]Riesgos de Corrupción'!$B$11:$B$100,0),17)-AH135&lt;=1),"Rara vez",IF((INDEX('[3]Riesgos de Corrupción'!$B$11:$V$100,MATCH('Controles de Corrupción'!C135,'[3]Riesgos de Corrupción'!$B$11:$B$100,0),17)-AH135&lt;=2),"Improbable",IF((INDEX('[3]Riesgos de Corrupción'!$B$11:$V$100,MATCH('Controles de Corrupción'!C135,'[3]Riesgos de Corrupción'!$B$11:$B$100,0),17)-AH135&lt;=3),"Posible",IF((INDEX('[3]Riesgos de Corrupción'!$B$11:$V$100,MATCH('Controles de Corrupción'!C135,'[3]Riesgos de Corrupción'!$B$11:$B$100,0),17)-AH135&lt;=4),"Probable",IF((INDEX('[3]Riesgos de Corrupción'!$B$11:$V$100,MATCH('Controles de Corrupción'!C135,'[3]Riesgos de Corrupción'!$B$11:$B$100,0),17)-AH135&lt;=5),"Casi seguro")))))," ")</f>
        <v xml:space="preserve"> </v>
      </c>
      <c r="AJ135" s="8" t="str">
        <f>IFERROR(IF(OR(AND(AF135="Fuerte",H135="No disminuye"),AND(AF135="Moderado",H135="Indirectamente"),AND(AF135="Moderado",H135="No disminuye"),AND(INDEX('[3]Riesgos de Corrupción'!$B$11:$BN$100,MATCH('Controles de Corrupción'!C135,'[3]Riesgos de Corrupción'!$B$11:$B$100,0),63)="Moderado")),0,IF(OR(AND(AF135="Fuerte",H135="Indirectamente"),AND(AF135="Moderado",H135="Directamente"),AND(INDEX('[3]Riesgos de Corrupción'!$B$11:$BN$100,MATCH('Controles de Corrupción'!C135,'[3]Riesgos de Corrupción'!$B$11:$B$100,0),63)="Mayor")),1,IF(AND(AF135="Fuerte",H135="Directamente",AND(INDEX('[3]Riesgos de Corrupción'!$B$11:$BN$100,MATCH('Controles de Corrupción'!C135,'[3]Riesgos de Corrupción'!$B$11:$B$100,0),63)="Catastrófico")),2)))," ")</f>
        <v xml:space="preserve"> </v>
      </c>
      <c r="AK135" s="19" t="str">
        <f t="shared" si="41"/>
        <v xml:space="preserve"> </v>
      </c>
      <c r="AL135" s="19" t="str">
        <f>IFERROR(IF((INDEX('[3]Riesgos de Corrupción'!$B$11:$BN$100,MATCH('Controles de Corrupción'!C135,'[3]Riesgos de Corrupción'!$B$11:$B$100,0),62)-AK135&lt;=3),"Moderado",IF((INDEX('[3]Riesgos de Corrupción'!$B$11:$BN$100,MATCH('Controles de Corrupción'!C135,'[3]Riesgos de Corrupción'!$B$11:$B$100,0),62)-AK135&lt;=4),"Mayor",IF((INDEX('[3]Riesgos de Corrupción'!$B$11:$BN$100,MATCH('Controles de Corrupción'!C135,'[3]Riesgos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0" t="str">
        <f t="shared" si="28"/>
        <v>-</v>
      </c>
      <c r="C136" s="188"/>
      <c r="D136" s="170"/>
      <c r="E136" s="171"/>
      <c r="F136" s="129"/>
      <c r="G136" s="128"/>
      <c r="H136" s="23"/>
      <c r="I136" s="18"/>
      <c r="J136" s="80">
        <f t="shared" si="44"/>
        <v>0</v>
      </c>
      <c r="K136" s="18"/>
      <c r="L136" s="80">
        <f t="shared" si="45"/>
        <v>0</v>
      </c>
      <c r="M136" s="18"/>
      <c r="N136" s="80">
        <f t="shared" si="46"/>
        <v>0</v>
      </c>
      <c r="O136" s="18"/>
      <c r="P136" s="80">
        <f t="shared" si="47"/>
        <v>0</v>
      </c>
      <c r="Q136" s="18"/>
      <c r="R136" s="80">
        <f t="shared" si="48"/>
        <v>0</v>
      </c>
      <c r="S136" s="18"/>
      <c r="T136" s="80">
        <f t="shared" si="49"/>
        <v>0</v>
      </c>
      <c r="U136" s="18"/>
      <c r="V136" s="80">
        <f t="shared" si="29"/>
        <v>0</v>
      </c>
      <c r="W136" s="19" t="str">
        <f t="shared" si="30"/>
        <v xml:space="preserve"> </v>
      </c>
      <c r="X136" s="19" t="str">
        <f t="shared" si="31"/>
        <v xml:space="preserve"> </v>
      </c>
      <c r="Y136" s="19" t="str">
        <f t="shared" si="32"/>
        <v/>
      </c>
      <c r="Z136" s="23"/>
      <c r="AA136" s="19" t="str">
        <f t="shared" si="33"/>
        <v/>
      </c>
      <c r="AB136" s="19" t="str">
        <f t="shared" si="34"/>
        <v xml:space="preserve"> </v>
      </c>
      <c r="AC136" s="19" t="str">
        <f t="shared" si="35"/>
        <v/>
      </c>
      <c r="AD136" s="19" t="str">
        <f t="shared" si="36"/>
        <v xml:space="preserve"> </v>
      </c>
      <c r="AE136" s="125" t="str">
        <f t="shared" si="37"/>
        <v xml:space="preserve"> </v>
      </c>
      <c r="AF136" s="19" t="str">
        <f t="shared" si="38"/>
        <v xml:space="preserve"> </v>
      </c>
      <c r="AG136" s="50">
        <f t="shared" si="39"/>
        <v>0</v>
      </c>
      <c r="AH136" s="50" t="str">
        <f t="shared" si="40"/>
        <v xml:space="preserve"> </v>
      </c>
      <c r="AI136" s="36" t="str">
        <f>IFERROR(IF((INDEX('[3]Riesgos de Corrupción'!$B$11:$V$100,MATCH('Controles de Corrupción'!C136,'[3]Riesgos de Corrupción'!$B$11:$B$100,0),17)-AH136&lt;=1),"Rara vez",IF((INDEX('[3]Riesgos de Corrupción'!$B$11:$V$100,MATCH('Controles de Corrupción'!C136,'[3]Riesgos de Corrupción'!$B$11:$B$100,0),17)-AH136&lt;=2),"Improbable",IF((INDEX('[3]Riesgos de Corrupción'!$B$11:$V$100,MATCH('Controles de Corrupción'!C136,'[3]Riesgos de Corrupción'!$B$11:$B$100,0),17)-AH136&lt;=3),"Posible",IF((INDEX('[3]Riesgos de Corrupción'!$B$11:$V$100,MATCH('Controles de Corrupción'!C136,'[3]Riesgos de Corrupción'!$B$11:$B$100,0),17)-AH136&lt;=4),"Probable",IF((INDEX('[3]Riesgos de Corrupción'!$B$11:$V$100,MATCH('Controles de Corrupción'!C136,'[3]Riesgos de Corrupción'!$B$11:$B$100,0),17)-AH136&lt;=5),"Casi seguro")))))," ")</f>
        <v xml:space="preserve"> </v>
      </c>
      <c r="AJ136" s="8" t="str">
        <f>IFERROR(IF(OR(AND(AF136="Fuerte",H136="No disminuye"),AND(AF136="Moderado",H136="Indirectamente"),AND(AF136="Moderado",H136="No disminuye"),AND(INDEX('[3]Riesgos de Corrupción'!$B$11:$BN$100,MATCH('Controles de Corrupción'!C136,'[3]Riesgos de Corrupción'!$B$11:$B$100,0),63)="Moderado")),0,IF(OR(AND(AF136="Fuerte",H136="Indirectamente"),AND(AF136="Moderado",H136="Directamente"),AND(INDEX('[3]Riesgos de Corrupción'!$B$11:$BN$100,MATCH('Controles de Corrupción'!C136,'[3]Riesgos de Corrupción'!$B$11:$B$100,0),63)="Mayor")),1,IF(AND(AF136="Fuerte",H136="Directamente",AND(INDEX('[3]Riesgos de Corrupción'!$B$11:$BN$100,MATCH('Controles de Corrupción'!C136,'[3]Riesgos de Corrupción'!$B$11:$B$100,0),63)="Catastrófico")),2)))," ")</f>
        <v xml:space="preserve"> </v>
      </c>
      <c r="AK136" s="19" t="str">
        <f t="shared" si="41"/>
        <v xml:space="preserve"> </v>
      </c>
      <c r="AL136" s="19" t="str">
        <f>IFERROR(IF((INDEX('[3]Riesgos de Corrupción'!$B$11:$BN$100,MATCH('Controles de Corrupción'!C136,'[3]Riesgos de Corrupción'!$B$11:$B$100,0),62)-AK136&lt;=3),"Moderado",IF((INDEX('[3]Riesgos de Corrupción'!$B$11:$BN$100,MATCH('Controles de Corrupción'!C136,'[3]Riesgos de Corrupción'!$B$11:$B$100,0),62)-AK136&lt;=4),"Mayor",IF((INDEX('[3]Riesgos de Corrupción'!$B$11:$BN$100,MATCH('Controles de Corrupción'!C136,'[3]Riesgos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0" t="str">
        <f t="shared" si="28"/>
        <v>-</v>
      </c>
      <c r="C137" s="188"/>
      <c r="D137" s="170"/>
      <c r="E137" s="171"/>
      <c r="F137" s="129"/>
      <c r="G137" s="128"/>
      <c r="H137" s="23"/>
      <c r="I137" s="18"/>
      <c r="J137" s="80">
        <f t="shared" si="44"/>
        <v>0</v>
      </c>
      <c r="K137" s="18"/>
      <c r="L137" s="80">
        <f t="shared" si="45"/>
        <v>0</v>
      </c>
      <c r="M137" s="18"/>
      <c r="N137" s="80">
        <f t="shared" si="46"/>
        <v>0</v>
      </c>
      <c r="O137" s="18"/>
      <c r="P137" s="80">
        <f t="shared" si="47"/>
        <v>0</v>
      </c>
      <c r="Q137" s="18"/>
      <c r="R137" s="80">
        <f t="shared" si="48"/>
        <v>0</v>
      </c>
      <c r="S137" s="18"/>
      <c r="T137" s="80">
        <f t="shared" si="49"/>
        <v>0</v>
      </c>
      <c r="U137" s="18"/>
      <c r="V137" s="80">
        <f t="shared" si="29"/>
        <v>0</v>
      </c>
      <c r="W137" s="19" t="str">
        <f t="shared" si="30"/>
        <v xml:space="preserve"> </v>
      </c>
      <c r="X137" s="19" t="str">
        <f t="shared" si="31"/>
        <v xml:space="preserve"> </v>
      </c>
      <c r="Y137" s="19" t="str">
        <f t="shared" si="32"/>
        <v/>
      </c>
      <c r="Z137" s="23"/>
      <c r="AA137" s="19" t="str">
        <f t="shared" si="33"/>
        <v/>
      </c>
      <c r="AB137" s="19" t="str">
        <f t="shared" si="34"/>
        <v xml:space="preserve"> </v>
      </c>
      <c r="AC137" s="19" t="str">
        <f t="shared" si="35"/>
        <v/>
      </c>
      <c r="AD137" s="19" t="str">
        <f t="shared" si="36"/>
        <v xml:space="preserve"> </v>
      </c>
      <c r="AE137" s="125" t="str">
        <f t="shared" si="37"/>
        <v xml:space="preserve"> </v>
      </c>
      <c r="AF137" s="19" t="str">
        <f t="shared" si="38"/>
        <v xml:space="preserve"> </v>
      </c>
      <c r="AG137" s="50">
        <f t="shared" si="39"/>
        <v>0</v>
      </c>
      <c r="AH137" s="50" t="str">
        <f t="shared" si="40"/>
        <v xml:space="preserve"> </v>
      </c>
      <c r="AI137" s="36" t="str">
        <f>IFERROR(IF((INDEX('[3]Riesgos de Corrupción'!$B$11:$V$100,MATCH('Controles de Corrupción'!C137,'[3]Riesgos de Corrupción'!$B$11:$B$100,0),17)-AH137&lt;=1),"Rara vez",IF((INDEX('[3]Riesgos de Corrupción'!$B$11:$V$100,MATCH('Controles de Corrupción'!C137,'[3]Riesgos de Corrupción'!$B$11:$B$100,0),17)-AH137&lt;=2),"Improbable",IF((INDEX('[3]Riesgos de Corrupción'!$B$11:$V$100,MATCH('Controles de Corrupción'!C137,'[3]Riesgos de Corrupción'!$B$11:$B$100,0),17)-AH137&lt;=3),"Posible",IF((INDEX('[3]Riesgos de Corrupción'!$B$11:$V$100,MATCH('Controles de Corrupción'!C137,'[3]Riesgos de Corrupción'!$B$11:$B$100,0),17)-AH137&lt;=4),"Probable",IF((INDEX('[3]Riesgos de Corrupción'!$B$11:$V$100,MATCH('Controles de Corrupción'!C137,'[3]Riesgos de Corrupción'!$B$11:$B$100,0),17)-AH137&lt;=5),"Casi seguro")))))," ")</f>
        <v xml:space="preserve"> </v>
      </c>
      <c r="AJ137" s="8" t="str">
        <f>IFERROR(IF(OR(AND(AF137="Fuerte",H137="No disminuye"),AND(AF137="Moderado",H137="Indirectamente"),AND(AF137="Moderado",H137="No disminuye"),AND(INDEX('[3]Riesgos de Corrupción'!$B$11:$BN$100,MATCH('Controles de Corrupción'!C137,'[3]Riesgos de Corrupción'!$B$11:$B$100,0),63)="Moderado")),0,IF(OR(AND(AF137="Fuerte",H137="Indirectamente"),AND(AF137="Moderado",H137="Directamente"),AND(INDEX('[3]Riesgos de Corrupción'!$B$11:$BN$100,MATCH('Controles de Corrupción'!C137,'[3]Riesgos de Corrupción'!$B$11:$B$100,0),63)="Mayor")),1,IF(AND(AF137="Fuerte",H137="Directamente",AND(INDEX('[3]Riesgos de Corrupción'!$B$11:$BN$100,MATCH('Controles de Corrupción'!C137,'[3]Riesgos de Corrupción'!$B$11:$B$100,0),63)="Catastrófico")),2)))," ")</f>
        <v xml:space="preserve"> </v>
      </c>
      <c r="AK137" s="19" t="str">
        <f t="shared" si="41"/>
        <v xml:space="preserve"> </v>
      </c>
      <c r="AL137" s="19" t="str">
        <f>IFERROR(IF((INDEX('[3]Riesgos de Corrupción'!$B$11:$BN$100,MATCH('Controles de Corrupción'!C137,'[3]Riesgos de Corrupción'!$B$11:$B$100,0),62)-AK137&lt;=3),"Moderado",IF((INDEX('[3]Riesgos de Corrupción'!$B$11:$BN$100,MATCH('Controles de Corrupción'!C137,'[3]Riesgos de Corrupción'!$B$11:$B$100,0),62)-AK137&lt;=4),"Mayor",IF((INDEX('[3]Riesgos de Corrupción'!$B$11:$BN$100,MATCH('Controles de Corrupción'!C137,'[3]Riesgos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0" t="str">
        <f t="shared" ref="B138:B201" si="50">C138&amp;"-"&amp;E138</f>
        <v>-</v>
      </c>
      <c r="C138" s="188"/>
      <c r="D138" s="170"/>
      <c r="E138" s="171"/>
      <c r="F138" s="129"/>
      <c r="G138" s="128"/>
      <c r="H138" s="23"/>
      <c r="I138" s="18"/>
      <c r="J138" s="80">
        <f t="shared" si="44"/>
        <v>0</v>
      </c>
      <c r="K138" s="18"/>
      <c r="L138" s="80">
        <f t="shared" si="45"/>
        <v>0</v>
      </c>
      <c r="M138" s="18"/>
      <c r="N138" s="80">
        <f t="shared" si="46"/>
        <v>0</v>
      </c>
      <c r="O138" s="18"/>
      <c r="P138" s="80">
        <f t="shared" si="47"/>
        <v>0</v>
      </c>
      <c r="Q138" s="18"/>
      <c r="R138" s="80">
        <f t="shared" si="48"/>
        <v>0</v>
      </c>
      <c r="S138" s="18"/>
      <c r="T138" s="80">
        <f t="shared" si="49"/>
        <v>0</v>
      </c>
      <c r="U138" s="18"/>
      <c r="V138" s="80">
        <f t="shared" ref="V138:V201" si="51">IF(U138="Completa",10,IF(U138="Incompleta",5,IF(U138="No existe",0,IF(I138=0,0))))</f>
        <v>0</v>
      </c>
      <c r="W138" s="19" t="str">
        <f t="shared" ref="W138:W201" si="52">IF(G138=0," ",IF((J138+L138+N138+P138+R138+T138+V138)&gt;=0,(J138+L138+N138+P138+R138+T138+V138)))</f>
        <v xml:space="preserve"> </v>
      </c>
      <c r="X138" s="19" t="str">
        <f t="shared" ref="X138:X201" si="53">IF(W138=" "," ",IF(AND(W138&gt;=0,W138&lt;=85),"Débil",IF(AND(W138&gt;=86,W138&lt;=95),"Moderado",IF(AND(W138&gt;=96,W138&lt;=100),"Fuerte"," "))))</f>
        <v xml:space="preserve"> </v>
      </c>
      <c r="Y138" s="19" t="str">
        <f t="shared" ref="Y138:Y201" si="54">IF(Z138="Siempre se ejecuta", 100,IF(Z138="Algunas veces se ejecuta",50,IF(Z138="No se ejecuta",0,"")))</f>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5" t="str">
        <f t="shared" ref="AE138:AE201" si="59">IFERROR(IF(AD138=" "," ",IF(AVERAGE($AD$10:$AD$252)&gt;=0,AVERAGEIFS($AD$10:$AD$251,$C$10:$C$251,C138))),"  ")</f>
        <v xml:space="preserve"> </v>
      </c>
      <c r="AF138" s="19" t="str">
        <f t="shared" ref="AF138:AF201" si="60">IF(AE138=" "," ",IF(AE138=100,"Fuerte",IF(AE138&lt;50,"Débil",IF(AE138&gt;49,"Moderado"," "))))</f>
        <v xml:space="preserve"> </v>
      </c>
      <c r="AG138" s="50">
        <f t="shared" ref="AG138:AG201" si="61">IF(OR(AND(AF138="Fuerte",G138="No disminuye"),AND(AF138="Moderado",G138="No disminuye")),0,IF(AND(AF138="Fuerte",G138="Directamente"),2,IF(AND(AF138="Moderado",G138="Directamente"),1,0)))</f>
        <v>0</v>
      </c>
      <c r="AH138" s="50" t="str">
        <f t="shared" ref="AH138:AH201" si="62">IFERROR(AVERAGEIFS($AG$10:$AG$251,$C$10:$C$251,C138)," ")</f>
        <v xml:space="preserve"> </v>
      </c>
      <c r="AI138" s="36" t="str">
        <f>IFERROR(IF((INDEX('[3]Riesgos de Corrupción'!$B$11:$V$100,MATCH('Controles de Corrupción'!C138,'[3]Riesgos de Corrupción'!$B$11:$B$100,0),17)-AH138&lt;=1),"Rara vez",IF((INDEX('[3]Riesgos de Corrupción'!$B$11:$V$100,MATCH('Controles de Corrupción'!C138,'[3]Riesgos de Corrupción'!$B$11:$B$100,0),17)-AH138&lt;=2),"Improbable",IF((INDEX('[3]Riesgos de Corrupción'!$B$11:$V$100,MATCH('Controles de Corrupción'!C138,'[3]Riesgos de Corrupción'!$B$11:$B$100,0),17)-AH138&lt;=3),"Posible",IF((INDEX('[3]Riesgos de Corrupción'!$B$11:$V$100,MATCH('Controles de Corrupción'!C138,'[3]Riesgos de Corrupción'!$B$11:$B$100,0),17)-AH138&lt;=4),"Probable",IF((INDEX('[3]Riesgos de Corrupción'!$B$11:$V$100,MATCH('Controles de Corrupción'!C138,'[3]Riesgos de Corrupción'!$B$11:$B$100,0),17)-AH138&lt;=5),"Casi seguro")))))," ")</f>
        <v xml:space="preserve"> </v>
      </c>
      <c r="AJ138" s="8" t="str">
        <f>IFERROR(IF(OR(AND(AF138="Fuerte",H138="No disminuye"),AND(AF138="Moderado",H138="Indirectamente"),AND(AF138="Moderado",H138="No disminuye"),AND(INDEX('[3]Riesgos de Corrupción'!$B$11:$BN$100,MATCH('Controles de Corrupción'!C138,'[3]Riesgos de Corrupción'!$B$11:$B$100,0),63)="Moderado")),0,IF(OR(AND(AF138="Fuerte",H138="Indirectamente"),AND(AF138="Moderado",H138="Directamente"),AND(INDEX('[3]Riesgos de Corrupción'!$B$11:$BN$100,MATCH('Controles de Corrupción'!C138,'[3]Riesgos de Corrupción'!$B$11:$B$100,0),63)="Mayor")),1,IF(AND(AF138="Fuerte",H138="Directamente",AND(INDEX('[3]Riesgos de Corrupción'!$B$11:$BN$100,MATCH('Controles de Corrupción'!C138,'[3]Riesgos de Corrupción'!$B$11:$B$100,0),63)="Catastrófico")),2)))," ")</f>
        <v xml:space="preserve"> </v>
      </c>
      <c r="AK138" s="19" t="str">
        <f t="shared" ref="AK138:AK201" si="63">IFERROR(AVERAGEIFS($AJ$10:$AJ$251,$C$10:$C$251,C138)," ")</f>
        <v xml:space="preserve"> </v>
      </c>
      <c r="AL138" s="19" t="str">
        <f>IFERROR(IF((INDEX('[3]Riesgos de Corrupción'!$B$11:$BN$100,MATCH('Controles de Corrupción'!C138,'[3]Riesgos de Corrupción'!$B$11:$B$100,0),62)-AK138&lt;=3),"Moderado",IF((INDEX('[3]Riesgos de Corrupción'!$B$11:$BN$100,MATCH('Controles de Corrupción'!C138,'[3]Riesgos de Corrupción'!$B$11:$B$100,0),62)-AK138&lt;=4),"Mayor",IF((INDEX('[3]Riesgos de Corrupción'!$B$11:$BN$100,MATCH('Controles de Corrupción'!C138,'[3]Riesgos de Corrupción'!$B$11:$B$100,0),62)-AK138&lt;=5),"Catastrófico")))," ")</f>
        <v xml:space="preserve"> </v>
      </c>
      <c r="AM138" s="19"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2" t="str">
        <f t="shared" ref="AN138:AN201" si="65">IF(AM138="Zona Moderada","Reducir riesgo",IF(AM138="Zona Alta","Compartir riesgo",IF(AM138="Zona Extrema","Evitar riesgo"," ")))</f>
        <v xml:space="preserve"> </v>
      </c>
      <c r="AO138" s="76"/>
      <c r="AP138" s="76"/>
      <c r="AQ138" s="76"/>
      <c r="AR138" s="76"/>
      <c r="AS138" s="76"/>
      <c r="AT138" s="76"/>
      <c r="AU138" s="76"/>
      <c r="AV138" s="76"/>
      <c r="AW138" s="76"/>
      <c r="AX138" s="76"/>
      <c r="AY138" s="76"/>
      <c r="AZ138" s="76"/>
    </row>
    <row r="139" spans="2:52" ht="57.75" customHeight="1" x14ac:dyDescent="0.3">
      <c r="B139" s="120" t="str">
        <f t="shared" si="50"/>
        <v>-</v>
      </c>
      <c r="C139" s="188"/>
      <c r="D139" s="170"/>
      <c r="E139" s="171"/>
      <c r="F139" s="129"/>
      <c r="G139" s="128"/>
      <c r="H139" s="23"/>
      <c r="I139" s="18"/>
      <c r="J139" s="80">
        <f t="shared" si="44"/>
        <v>0</v>
      </c>
      <c r="K139" s="18"/>
      <c r="L139" s="80">
        <f t="shared" si="45"/>
        <v>0</v>
      </c>
      <c r="M139" s="18"/>
      <c r="N139" s="80">
        <f t="shared" si="46"/>
        <v>0</v>
      </c>
      <c r="O139" s="18"/>
      <c r="P139" s="80">
        <f t="shared" si="47"/>
        <v>0</v>
      </c>
      <c r="Q139" s="18"/>
      <c r="R139" s="80">
        <f t="shared" si="48"/>
        <v>0</v>
      </c>
      <c r="S139" s="18"/>
      <c r="T139" s="80">
        <f t="shared" si="49"/>
        <v>0</v>
      </c>
      <c r="U139" s="18"/>
      <c r="V139" s="80">
        <f t="shared" si="51"/>
        <v>0</v>
      </c>
      <c r="W139" s="19" t="str">
        <f t="shared" si="52"/>
        <v xml:space="preserve"> </v>
      </c>
      <c r="X139" s="19" t="str">
        <f t="shared" si="53"/>
        <v xml:space="preserve"> </v>
      </c>
      <c r="Y139" s="19" t="str">
        <f t="shared" si="54"/>
        <v/>
      </c>
      <c r="Z139" s="23"/>
      <c r="AA139" s="19" t="str">
        <f t="shared" si="55"/>
        <v/>
      </c>
      <c r="AB139" s="19" t="str">
        <f t="shared" si="56"/>
        <v xml:space="preserve"> </v>
      </c>
      <c r="AC139" s="19" t="str">
        <f t="shared" si="57"/>
        <v/>
      </c>
      <c r="AD139" s="19" t="str">
        <f t="shared" si="58"/>
        <v xml:space="preserve"> </v>
      </c>
      <c r="AE139" s="125" t="str">
        <f t="shared" si="59"/>
        <v xml:space="preserve"> </v>
      </c>
      <c r="AF139" s="19" t="str">
        <f t="shared" si="60"/>
        <v xml:space="preserve"> </v>
      </c>
      <c r="AG139" s="50">
        <f t="shared" si="61"/>
        <v>0</v>
      </c>
      <c r="AH139" s="50" t="str">
        <f t="shared" si="62"/>
        <v xml:space="preserve"> </v>
      </c>
      <c r="AI139" s="36" t="str">
        <f>IFERROR(IF((INDEX('[3]Riesgos de Corrupción'!$B$11:$V$100,MATCH('Controles de Corrupción'!C139,'[3]Riesgos de Corrupción'!$B$11:$B$100,0),17)-AH139&lt;=1),"Rara vez",IF((INDEX('[3]Riesgos de Corrupción'!$B$11:$V$100,MATCH('Controles de Corrupción'!C139,'[3]Riesgos de Corrupción'!$B$11:$B$100,0),17)-AH139&lt;=2),"Improbable",IF((INDEX('[3]Riesgos de Corrupción'!$B$11:$V$100,MATCH('Controles de Corrupción'!C139,'[3]Riesgos de Corrupción'!$B$11:$B$100,0),17)-AH139&lt;=3),"Posible",IF((INDEX('[3]Riesgos de Corrupción'!$B$11:$V$100,MATCH('Controles de Corrupción'!C139,'[3]Riesgos de Corrupción'!$B$11:$B$100,0),17)-AH139&lt;=4),"Probable",IF((INDEX('[3]Riesgos de Corrupción'!$B$11:$V$100,MATCH('Controles de Corrupción'!C139,'[3]Riesgos de Corrupción'!$B$11:$B$100,0),17)-AH139&lt;=5),"Casi seguro")))))," ")</f>
        <v xml:space="preserve"> </v>
      </c>
      <c r="AJ139" s="8" t="str">
        <f>IFERROR(IF(OR(AND(AF139="Fuerte",H139="No disminuye"),AND(AF139="Moderado",H139="Indirectamente"),AND(AF139="Moderado",H139="No disminuye"),AND(INDEX('[3]Riesgos de Corrupción'!$B$11:$BN$100,MATCH('Controles de Corrupción'!C139,'[3]Riesgos de Corrupción'!$B$11:$B$100,0),63)="Moderado")),0,IF(OR(AND(AF139="Fuerte",H139="Indirectamente"),AND(AF139="Moderado",H139="Directamente"),AND(INDEX('[3]Riesgos de Corrupción'!$B$11:$BN$100,MATCH('Controles de Corrupción'!C139,'[3]Riesgos de Corrupción'!$B$11:$B$100,0),63)="Mayor")),1,IF(AND(AF139="Fuerte",H139="Directamente",AND(INDEX('[3]Riesgos de Corrupción'!$B$11:$BN$100,MATCH('Controles de Corrupción'!C139,'[3]Riesgos de Corrupción'!$B$11:$B$100,0),63)="Catastrófico")),2)))," ")</f>
        <v xml:space="preserve"> </v>
      </c>
      <c r="AK139" s="19" t="str">
        <f t="shared" si="63"/>
        <v xml:space="preserve"> </v>
      </c>
      <c r="AL139" s="19" t="str">
        <f>IFERROR(IF((INDEX('[3]Riesgos de Corrupción'!$B$11:$BN$100,MATCH('Controles de Corrupción'!C139,'[3]Riesgos de Corrupción'!$B$11:$B$100,0),62)-AK139&lt;=3),"Moderado",IF((INDEX('[3]Riesgos de Corrupción'!$B$11:$BN$100,MATCH('Controles de Corrupción'!C139,'[3]Riesgos de Corrupción'!$B$11:$B$100,0),62)-AK139&lt;=4),"Mayor",IF((INDEX('[3]Riesgos de Corrupción'!$B$11:$BN$100,MATCH('Controles de Corrupción'!C139,'[3]Riesgos de Corrupción'!$B$11:$B$100,0),62)-AK139&lt;=5),"Catastrófico")))," ")</f>
        <v xml:space="preserve"> </v>
      </c>
      <c r="AM139" s="19" t="str">
        <f t="shared" si="64"/>
        <v xml:space="preserve"> </v>
      </c>
      <c r="AN139" s="22" t="str">
        <f t="shared" si="65"/>
        <v xml:space="preserve"> </v>
      </c>
      <c r="AO139" s="76"/>
      <c r="AP139" s="76"/>
      <c r="AQ139" s="76"/>
      <c r="AR139" s="76"/>
      <c r="AS139" s="76"/>
      <c r="AT139" s="76"/>
      <c r="AU139" s="76"/>
      <c r="AV139" s="76"/>
      <c r="AW139" s="76"/>
      <c r="AX139" s="76"/>
      <c r="AY139" s="76"/>
      <c r="AZ139" s="76"/>
    </row>
    <row r="140" spans="2:52" ht="57.75" customHeight="1" x14ac:dyDescent="0.3">
      <c r="B140" s="120" t="str">
        <f t="shared" si="50"/>
        <v>-</v>
      </c>
      <c r="C140" s="188"/>
      <c r="D140" s="170"/>
      <c r="E140" s="171"/>
      <c r="F140" s="129"/>
      <c r="G140" s="128"/>
      <c r="H140" s="23"/>
      <c r="I140" s="18"/>
      <c r="J140" s="80">
        <f t="shared" si="44"/>
        <v>0</v>
      </c>
      <c r="K140" s="18"/>
      <c r="L140" s="80">
        <f t="shared" si="45"/>
        <v>0</v>
      </c>
      <c r="M140" s="18"/>
      <c r="N140" s="80">
        <f t="shared" si="46"/>
        <v>0</v>
      </c>
      <c r="O140" s="18"/>
      <c r="P140" s="80">
        <f t="shared" si="47"/>
        <v>0</v>
      </c>
      <c r="Q140" s="18"/>
      <c r="R140" s="80">
        <f t="shared" si="48"/>
        <v>0</v>
      </c>
      <c r="S140" s="18"/>
      <c r="T140" s="80">
        <f t="shared" si="49"/>
        <v>0</v>
      </c>
      <c r="U140" s="18"/>
      <c r="V140" s="80">
        <f t="shared" si="51"/>
        <v>0</v>
      </c>
      <c r="W140" s="19" t="str">
        <f t="shared" si="52"/>
        <v xml:space="preserve"> </v>
      </c>
      <c r="X140" s="19" t="str">
        <f t="shared" si="53"/>
        <v xml:space="preserve"> </v>
      </c>
      <c r="Y140" s="19" t="str">
        <f t="shared" si="54"/>
        <v/>
      </c>
      <c r="Z140" s="23"/>
      <c r="AA140" s="19" t="str">
        <f t="shared" si="55"/>
        <v/>
      </c>
      <c r="AB140" s="19" t="str">
        <f t="shared" si="56"/>
        <v xml:space="preserve"> </v>
      </c>
      <c r="AC140" s="19" t="str">
        <f t="shared" si="57"/>
        <v/>
      </c>
      <c r="AD140" s="19" t="str">
        <f t="shared" si="58"/>
        <v xml:space="preserve"> </v>
      </c>
      <c r="AE140" s="125" t="str">
        <f t="shared" si="59"/>
        <v xml:space="preserve"> </v>
      </c>
      <c r="AF140" s="19" t="str">
        <f t="shared" si="60"/>
        <v xml:space="preserve"> </v>
      </c>
      <c r="AG140" s="50">
        <f t="shared" si="61"/>
        <v>0</v>
      </c>
      <c r="AH140" s="50" t="str">
        <f t="shared" si="62"/>
        <v xml:space="preserve"> </v>
      </c>
      <c r="AI140" s="36" t="str">
        <f>IFERROR(IF((INDEX('[3]Riesgos de Corrupción'!$B$11:$V$100,MATCH('Controles de Corrupción'!C140,'[3]Riesgos de Corrupción'!$B$11:$B$100,0),17)-AH140&lt;=1),"Rara vez",IF((INDEX('[3]Riesgos de Corrupción'!$B$11:$V$100,MATCH('Controles de Corrupción'!C140,'[3]Riesgos de Corrupción'!$B$11:$B$100,0),17)-AH140&lt;=2),"Improbable",IF((INDEX('[3]Riesgos de Corrupción'!$B$11:$V$100,MATCH('Controles de Corrupción'!C140,'[3]Riesgos de Corrupción'!$B$11:$B$100,0),17)-AH140&lt;=3),"Posible",IF((INDEX('[3]Riesgos de Corrupción'!$B$11:$V$100,MATCH('Controles de Corrupción'!C140,'[3]Riesgos de Corrupción'!$B$11:$B$100,0),17)-AH140&lt;=4),"Probable",IF((INDEX('[3]Riesgos de Corrupción'!$B$11:$V$100,MATCH('Controles de Corrupción'!C140,'[3]Riesgos de Corrupción'!$B$11:$B$100,0),17)-AH140&lt;=5),"Casi seguro")))))," ")</f>
        <v xml:space="preserve"> </v>
      </c>
      <c r="AJ140" s="8" t="str">
        <f>IFERROR(IF(OR(AND(AF140="Fuerte",H140="No disminuye"),AND(AF140="Moderado",H140="Indirectamente"),AND(AF140="Moderado",H140="No disminuye"),AND(INDEX('[3]Riesgos de Corrupción'!$B$11:$BN$100,MATCH('Controles de Corrupción'!C140,'[3]Riesgos de Corrupción'!$B$11:$B$100,0),63)="Moderado")),0,IF(OR(AND(AF140="Fuerte",H140="Indirectamente"),AND(AF140="Moderado",H140="Directamente"),AND(INDEX('[3]Riesgos de Corrupción'!$B$11:$BN$100,MATCH('Controles de Corrupción'!C140,'[3]Riesgos de Corrupción'!$B$11:$B$100,0),63)="Mayor")),1,IF(AND(AF140="Fuerte",H140="Directamente",AND(INDEX('[3]Riesgos de Corrupción'!$B$11:$BN$100,MATCH('Controles de Corrupción'!C140,'[3]Riesgos de Corrupción'!$B$11:$B$100,0),63)="Catastrófico")),2)))," ")</f>
        <v xml:space="preserve"> </v>
      </c>
      <c r="AK140" s="19" t="str">
        <f t="shared" si="63"/>
        <v xml:space="preserve"> </v>
      </c>
      <c r="AL140" s="19" t="str">
        <f>IFERROR(IF((INDEX('[3]Riesgos de Corrupción'!$B$11:$BN$100,MATCH('Controles de Corrupción'!C140,'[3]Riesgos de Corrupción'!$B$11:$B$100,0),62)-AK140&lt;=3),"Moderado",IF((INDEX('[3]Riesgos de Corrupción'!$B$11:$BN$100,MATCH('Controles de Corrupción'!C140,'[3]Riesgos de Corrupción'!$B$11:$B$100,0),62)-AK140&lt;=4),"Mayor",IF((INDEX('[3]Riesgos de Corrupción'!$B$11:$BN$100,MATCH('Controles de Corrupción'!C140,'[3]Riesgos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0" t="str">
        <f t="shared" si="50"/>
        <v>-</v>
      </c>
      <c r="C141" s="188"/>
      <c r="D141" s="170"/>
      <c r="E141" s="171"/>
      <c r="F141" s="129"/>
      <c r="G141" s="128"/>
      <c r="H141" s="23"/>
      <c r="I141" s="18"/>
      <c r="J141" s="80">
        <f t="shared" si="44"/>
        <v>0</v>
      </c>
      <c r="K141" s="18"/>
      <c r="L141" s="80">
        <f t="shared" si="45"/>
        <v>0</v>
      </c>
      <c r="M141" s="18"/>
      <c r="N141" s="80">
        <f t="shared" si="46"/>
        <v>0</v>
      </c>
      <c r="O141" s="18"/>
      <c r="P141" s="80">
        <f t="shared" si="47"/>
        <v>0</v>
      </c>
      <c r="Q141" s="18"/>
      <c r="R141" s="80">
        <f t="shared" si="48"/>
        <v>0</v>
      </c>
      <c r="S141" s="18"/>
      <c r="T141" s="80">
        <f t="shared" si="49"/>
        <v>0</v>
      </c>
      <c r="U141" s="18"/>
      <c r="V141" s="80">
        <f t="shared" si="51"/>
        <v>0</v>
      </c>
      <c r="W141" s="19" t="str">
        <f t="shared" si="52"/>
        <v xml:space="preserve"> </v>
      </c>
      <c r="X141" s="19" t="str">
        <f t="shared" si="53"/>
        <v xml:space="preserve"> </v>
      </c>
      <c r="Y141" s="19" t="str">
        <f t="shared" si="54"/>
        <v/>
      </c>
      <c r="Z141" s="23"/>
      <c r="AA141" s="19" t="str">
        <f t="shared" si="55"/>
        <v/>
      </c>
      <c r="AB141" s="19" t="str">
        <f t="shared" si="56"/>
        <v xml:space="preserve"> </v>
      </c>
      <c r="AC141" s="19" t="str">
        <f t="shared" si="57"/>
        <v/>
      </c>
      <c r="AD141" s="19" t="str">
        <f t="shared" si="58"/>
        <v xml:space="preserve"> </v>
      </c>
      <c r="AE141" s="125" t="str">
        <f t="shared" si="59"/>
        <v xml:space="preserve"> </v>
      </c>
      <c r="AF141" s="19" t="str">
        <f t="shared" si="60"/>
        <v xml:space="preserve"> </v>
      </c>
      <c r="AG141" s="50">
        <f t="shared" si="61"/>
        <v>0</v>
      </c>
      <c r="AH141" s="50" t="str">
        <f t="shared" si="62"/>
        <v xml:space="preserve"> </v>
      </c>
      <c r="AI141" s="36" t="str">
        <f>IFERROR(IF((INDEX('[3]Riesgos de Corrupción'!$B$11:$V$100,MATCH('Controles de Corrupción'!C141,'[3]Riesgos de Corrupción'!$B$11:$B$100,0),17)-AH141&lt;=1),"Rara vez",IF((INDEX('[3]Riesgos de Corrupción'!$B$11:$V$100,MATCH('Controles de Corrupción'!C141,'[3]Riesgos de Corrupción'!$B$11:$B$100,0),17)-AH141&lt;=2),"Improbable",IF((INDEX('[3]Riesgos de Corrupción'!$B$11:$V$100,MATCH('Controles de Corrupción'!C141,'[3]Riesgos de Corrupción'!$B$11:$B$100,0),17)-AH141&lt;=3),"Posible",IF((INDEX('[3]Riesgos de Corrupción'!$B$11:$V$100,MATCH('Controles de Corrupción'!C141,'[3]Riesgos de Corrupción'!$B$11:$B$100,0),17)-AH141&lt;=4),"Probable",IF((INDEX('[3]Riesgos de Corrupción'!$B$11:$V$100,MATCH('Controles de Corrupción'!C141,'[3]Riesgos de Corrupción'!$B$11:$B$100,0),17)-AH141&lt;=5),"Casi seguro")))))," ")</f>
        <v xml:space="preserve"> </v>
      </c>
      <c r="AJ141" s="8" t="str">
        <f>IFERROR(IF(OR(AND(AF141="Fuerte",H141="No disminuye"),AND(AF141="Moderado",H141="Indirectamente"),AND(AF141="Moderado",H141="No disminuye"),AND(INDEX('[3]Riesgos de Corrupción'!$B$11:$BN$100,MATCH('Controles de Corrupción'!C141,'[3]Riesgos de Corrupción'!$B$11:$B$100,0),63)="Moderado")),0,IF(OR(AND(AF141="Fuerte",H141="Indirectamente"),AND(AF141="Moderado",H141="Directamente"),AND(INDEX('[3]Riesgos de Corrupción'!$B$11:$BN$100,MATCH('Controles de Corrupción'!C141,'[3]Riesgos de Corrupción'!$B$11:$B$100,0),63)="Mayor")),1,IF(AND(AF141="Fuerte",H141="Directamente",AND(INDEX('[3]Riesgos de Corrupción'!$B$11:$BN$100,MATCH('Controles de Corrupción'!C141,'[3]Riesgos de Corrupción'!$B$11:$B$100,0),63)="Catastrófico")),2)))," ")</f>
        <v xml:space="preserve"> </v>
      </c>
      <c r="AK141" s="19" t="str">
        <f t="shared" si="63"/>
        <v xml:space="preserve"> </v>
      </c>
      <c r="AL141" s="19" t="str">
        <f>IFERROR(IF((INDEX('[3]Riesgos de Corrupción'!$B$11:$BN$100,MATCH('Controles de Corrupción'!C141,'[3]Riesgos de Corrupción'!$B$11:$B$100,0),62)-AK141&lt;=3),"Moderado",IF((INDEX('[3]Riesgos de Corrupción'!$B$11:$BN$100,MATCH('Controles de Corrupción'!C141,'[3]Riesgos de Corrupción'!$B$11:$B$100,0),62)-AK141&lt;=4),"Mayor",IF((INDEX('[3]Riesgos de Corrupción'!$B$11:$BN$100,MATCH('Controles de Corrupción'!C141,'[3]Riesgos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0" t="str">
        <f t="shared" si="50"/>
        <v>-</v>
      </c>
      <c r="C142" s="188"/>
      <c r="D142" s="170"/>
      <c r="E142" s="171"/>
      <c r="F142" s="129"/>
      <c r="G142" s="128"/>
      <c r="H142" s="23"/>
      <c r="I142" s="18"/>
      <c r="J142" s="80">
        <f t="shared" si="44"/>
        <v>0</v>
      </c>
      <c r="K142" s="18"/>
      <c r="L142" s="80">
        <f t="shared" si="45"/>
        <v>0</v>
      </c>
      <c r="M142" s="18"/>
      <c r="N142" s="80">
        <f t="shared" si="46"/>
        <v>0</v>
      </c>
      <c r="O142" s="18"/>
      <c r="P142" s="80">
        <f t="shared" si="47"/>
        <v>0</v>
      </c>
      <c r="Q142" s="18"/>
      <c r="R142" s="80">
        <f t="shared" si="48"/>
        <v>0</v>
      </c>
      <c r="S142" s="18"/>
      <c r="T142" s="80">
        <f t="shared" si="49"/>
        <v>0</v>
      </c>
      <c r="U142" s="18"/>
      <c r="V142" s="80">
        <f t="shared" si="51"/>
        <v>0</v>
      </c>
      <c r="W142" s="19" t="str">
        <f t="shared" si="52"/>
        <v xml:space="preserve"> </v>
      </c>
      <c r="X142" s="19" t="str">
        <f t="shared" si="53"/>
        <v xml:space="preserve"> </v>
      </c>
      <c r="Y142" s="19" t="str">
        <f t="shared" si="54"/>
        <v/>
      </c>
      <c r="Z142" s="23"/>
      <c r="AA142" s="19" t="str">
        <f t="shared" si="55"/>
        <v/>
      </c>
      <c r="AB142" s="19" t="str">
        <f t="shared" si="56"/>
        <v xml:space="preserve"> </v>
      </c>
      <c r="AC142" s="19" t="str">
        <f t="shared" si="57"/>
        <v/>
      </c>
      <c r="AD142" s="19" t="str">
        <f t="shared" si="58"/>
        <v xml:space="preserve"> </v>
      </c>
      <c r="AE142" s="125" t="str">
        <f t="shared" si="59"/>
        <v xml:space="preserve"> </v>
      </c>
      <c r="AF142" s="19" t="str">
        <f t="shared" si="60"/>
        <v xml:space="preserve"> </v>
      </c>
      <c r="AG142" s="50">
        <f t="shared" si="61"/>
        <v>0</v>
      </c>
      <c r="AH142" s="50" t="str">
        <f t="shared" si="62"/>
        <v xml:space="preserve"> </v>
      </c>
      <c r="AI142" s="36" t="str">
        <f>IFERROR(IF((INDEX('[3]Riesgos de Corrupción'!$B$11:$V$100,MATCH('Controles de Corrupción'!C142,'[3]Riesgos de Corrupción'!$B$11:$B$100,0),17)-AH142&lt;=1),"Rara vez",IF((INDEX('[3]Riesgos de Corrupción'!$B$11:$V$100,MATCH('Controles de Corrupción'!C142,'[3]Riesgos de Corrupción'!$B$11:$B$100,0),17)-AH142&lt;=2),"Improbable",IF((INDEX('[3]Riesgos de Corrupción'!$B$11:$V$100,MATCH('Controles de Corrupción'!C142,'[3]Riesgos de Corrupción'!$B$11:$B$100,0),17)-AH142&lt;=3),"Posible",IF((INDEX('[3]Riesgos de Corrupción'!$B$11:$V$100,MATCH('Controles de Corrupción'!C142,'[3]Riesgos de Corrupción'!$B$11:$B$100,0),17)-AH142&lt;=4),"Probable",IF((INDEX('[3]Riesgos de Corrupción'!$B$11:$V$100,MATCH('Controles de Corrupción'!C142,'[3]Riesgos de Corrupción'!$B$11:$B$100,0),17)-AH142&lt;=5),"Casi seguro")))))," ")</f>
        <v xml:space="preserve"> </v>
      </c>
      <c r="AJ142" s="8" t="str">
        <f>IFERROR(IF(OR(AND(AF142="Fuerte",H142="No disminuye"),AND(AF142="Moderado",H142="Indirectamente"),AND(AF142="Moderado",H142="No disminuye"),AND(INDEX('[3]Riesgos de Corrupción'!$B$11:$BN$100,MATCH('Controles de Corrupción'!C142,'[3]Riesgos de Corrupción'!$B$11:$B$100,0),63)="Moderado")),0,IF(OR(AND(AF142="Fuerte",H142="Indirectamente"),AND(AF142="Moderado",H142="Directamente"),AND(INDEX('[3]Riesgos de Corrupción'!$B$11:$BN$100,MATCH('Controles de Corrupción'!C142,'[3]Riesgos de Corrupción'!$B$11:$B$100,0),63)="Mayor")),1,IF(AND(AF142="Fuerte",H142="Directamente",AND(INDEX('[3]Riesgos de Corrupción'!$B$11:$BN$100,MATCH('Controles de Corrupción'!C142,'[3]Riesgos de Corrupción'!$B$11:$B$100,0),63)="Catastrófico")),2)))," ")</f>
        <v xml:space="preserve"> </v>
      </c>
      <c r="AK142" s="19" t="str">
        <f t="shared" si="63"/>
        <v xml:space="preserve"> </v>
      </c>
      <c r="AL142" s="19" t="str">
        <f>IFERROR(IF((INDEX('[3]Riesgos de Corrupción'!$B$11:$BN$100,MATCH('Controles de Corrupción'!C142,'[3]Riesgos de Corrupción'!$B$11:$B$100,0),62)-AK142&lt;=3),"Moderado",IF((INDEX('[3]Riesgos de Corrupción'!$B$11:$BN$100,MATCH('Controles de Corrupción'!C142,'[3]Riesgos de Corrupción'!$B$11:$B$100,0),62)-AK142&lt;=4),"Mayor",IF((INDEX('[3]Riesgos de Corrupción'!$B$11:$BN$100,MATCH('Controles de Corrupción'!C142,'[3]Riesgos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0" t="str">
        <f t="shared" si="50"/>
        <v>-</v>
      </c>
      <c r="C143" s="188"/>
      <c r="D143" s="170"/>
      <c r="E143" s="171"/>
      <c r="F143" s="129"/>
      <c r="G143" s="128"/>
      <c r="H143" s="23"/>
      <c r="I143" s="18"/>
      <c r="J143" s="80">
        <f t="shared" si="44"/>
        <v>0</v>
      </c>
      <c r="K143" s="18"/>
      <c r="L143" s="80">
        <f t="shared" si="45"/>
        <v>0</v>
      </c>
      <c r="M143" s="18"/>
      <c r="N143" s="80">
        <f t="shared" si="46"/>
        <v>0</v>
      </c>
      <c r="O143" s="18"/>
      <c r="P143" s="80">
        <f t="shared" si="47"/>
        <v>0</v>
      </c>
      <c r="Q143" s="18"/>
      <c r="R143" s="80">
        <f t="shared" si="48"/>
        <v>0</v>
      </c>
      <c r="S143" s="18"/>
      <c r="T143" s="80">
        <f t="shared" si="49"/>
        <v>0</v>
      </c>
      <c r="U143" s="18"/>
      <c r="V143" s="80">
        <f t="shared" si="51"/>
        <v>0</v>
      </c>
      <c r="W143" s="19" t="str">
        <f t="shared" si="52"/>
        <v xml:space="preserve"> </v>
      </c>
      <c r="X143" s="19" t="str">
        <f t="shared" si="53"/>
        <v xml:space="preserve"> </v>
      </c>
      <c r="Y143" s="19" t="str">
        <f t="shared" si="54"/>
        <v/>
      </c>
      <c r="Z143" s="23"/>
      <c r="AA143" s="19" t="str">
        <f t="shared" si="55"/>
        <v/>
      </c>
      <c r="AB143" s="19" t="str">
        <f t="shared" si="56"/>
        <v xml:space="preserve"> </v>
      </c>
      <c r="AC143" s="19" t="str">
        <f t="shared" si="57"/>
        <v/>
      </c>
      <c r="AD143" s="19" t="str">
        <f t="shared" si="58"/>
        <v xml:space="preserve"> </v>
      </c>
      <c r="AE143" s="125" t="str">
        <f t="shared" si="59"/>
        <v xml:space="preserve"> </v>
      </c>
      <c r="AF143" s="19" t="str">
        <f t="shared" si="60"/>
        <v xml:space="preserve"> </v>
      </c>
      <c r="AG143" s="50">
        <f t="shared" si="61"/>
        <v>0</v>
      </c>
      <c r="AH143" s="50" t="str">
        <f t="shared" si="62"/>
        <v xml:space="preserve"> </v>
      </c>
      <c r="AI143" s="36" t="str">
        <f>IFERROR(IF((INDEX('[3]Riesgos de Corrupción'!$B$11:$V$100,MATCH('Controles de Corrupción'!C143,'[3]Riesgos de Corrupción'!$B$11:$B$100,0),17)-AH143&lt;=1),"Rara vez",IF((INDEX('[3]Riesgos de Corrupción'!$B$11:$V$100,MATCH('Controles de Corrupción'!C143,'[3]Riesgos de Corrupción'!$B$11:$B$100,0),17)-AH143&lt;=2),"Improbable",IF((INDEX('[3]Riesgos de Corrupción'!$B$11:$V$100,MATCH('Controles de Corrupción'!C143,'[3]Riesgos de Corrupción'!$B$11:$B$100,0),17)-AH143&lt;=3),"Posible",IF((INDEX('[3]Riesgos de Corrupción'!$B$11:$V$100,MATCH('Controles de Corrupción'!C143,'[3]Riesgos de Corrupción'!$B$11:$B$100,0),17)-AH143&lt;=4),"Probable",IF((INDEX('[3]Riesgos de Corrupción'!$B$11:$V$100,MATCH('Controles de Corrupción'!C143,'[3]Riesgos de Corrupción'!$B$11:$B$100,0),17)-AH143&lt;=5),"Casi seguro")))))," ")</f>
        <v xml:space="preserve"> </v>
      </c>
      <c r="AJ143" s="8" t="str">
        <f>IFERROR(IF(OR(AND(AF143="Fuerte",H143="No disminuye"),AND(AF143="Moderado",H143="Indirectamente"),AND(AF143="Moderado",H143="No disminuye"),AND(INDEX('[3]Riesgos de Corrupción'!$B$11:$BN$100,MATCH('Controles de Corrupción'!C143,'[3]Riesgos de Corrupción'!$B$11:$B$100,0),63)="Moderado")),0,IF(OR(AND(AF143="Fuerte",H143="Indirectamente"),AND(AF143="Moderado",H143="Directamente"),AND(INDEX('[3]Riesgos de Corrupción'!$B$11:$BN$100,MATCH('Controles de Corrupción'!C143,'[3]Riesgos de Corrupción'!$B$11:$B$100,0),63)="Mayor")),1,IF(AND(AF143="Fuerte",H143="Directamente",AND(INDEX('[3]Riesgos de Corrupción'!$B$11:$BN$100,MATCH('Controles de Corrupción'!C143,'[3]Riesgos de Corrupción'!$B$11:$B$100,0),63)="Catastrófico")),2)))," ")</f>
        <v xml:space="preserve"> </v>
      </c>
      <c r="AK143" s="19" t="str">
        <f t="shared" si="63"/>
        <v xml:space="preserve"> </v>
      </c>
      <c r="AL143" s="19" t="str">
        <f>IFERROR(IF((INDEX('[3]Riesgos de Corrupción'!$B$11:$BN$100,MATCH('Controles de Corrupción'!C143,'[3]Riesgos de Corrupción'!$B$11:$B$100,0),62)-AK143&lt;=3),"Moderado",IF((INDEX('[3]Riesgos de Corrupción'!$B$11:$BN$100,MATCH('Controles de Corrupción'!C143,'[3]Riesgos de Corrupción'!$B$11:$B$100,0),62)-AK143&lt;=4),"Mayor",IF((INDEX('[3]Riesgos de Corrupción'!$B$11:$BN$100,MATCH('Controles de Corrupción'!C143,'[3]Riesgos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0" t="str">
        <f t="shared" si="50"/>
        <v>-</v>
      </c>
      <c r="C144" s="188"/>
      <c r="D144" s="170"/>
      <c r="E144" s="171"/>
      <c r="F144" s="129"/>
      <c r="G144" s="128"/>
      <c r="H144" s="23"/>
      <c r="I144" s="18"/>
      <c r="J144" s="80">
        <f t="shared" si="44"/>
        <v>0</v>
      </c>
      <c r="K144" s="18"/>
      <c r="L144" s="80">
        <f t="shared" si="45"/>
        <v>0</v>
      </c>
      <c r="M144" s="18"/>
      <c r="N144" s="80">
        <f t="shared" si="46"/>
        <v>0</v>
      </c>
      <c r="O144" s="18"/>
      <c r="P144" s="80">
        <f t="shared" si="47"/>
        <v>0</v>
      </c>
      <c r="Q144" s="18"/>
      <c r="R144" s="80">
        <f t="shared" si="48"/>
        <v>0</v>
      </c>
      <c r="S144" s="18"/>
      <c r="T144" s="80">
        <f t="shared" si="49"/>
        <v>0</v>
      </c>
      <c r="U144" s="18"/>
      <c r="V144" s="80">
        <f t="shared" si="51"/>
        <v>0</v>
      </c>
      <c r="W144" s="19" t="str">
        <f t="shared" si="52"/>
        <v xml:space="preserve"> </v>
      </c>
      <c r="X144" s="19" t="str">
        <f t="shared" si="53"/>
        <v xml:space="preserve"> </v>
      </c>
      <c r="Y144" s="19" t="str">
        <f t="shared" si="54"/>
        <v/>
      </c>
      <c r="Z144" s="23"/>
      <c r="AA144" s="19" t="str">
        <f t="shared" si="55"/>
        <v/>
      </c>
      <c r="AB144" s="19" t="str">
        <f t="shared" si="56"/>
        <v xml:space="preserve"> </v>
      </c>
      <c r="AC144" s="19" t="str">
        <f t="shared" si="57"/>
        <v/>
      </c>
      <c r="AD144" s="19" t="str">
        <f t="shared" si="58"/>
        <v xml:space="preserve"> </v>
      </c>
      <c r="AE144" s="125" t="str">
        <f t="shared" si="59"/>
        <v xml:space="preserve"> </v>
      </c>
      <c r="AF144" s="19" t="str">
        <f t="shared" si="60"/>
        <v xml:space="preserve"> </v>
      </c>
      <c r="AG144" s="50">
        <f t="shared" si="61"/>
        <v>0</v>
      </c>
      <c r="AH144" s="50" t="str">
        <f t="shared" si="62"/>
        <v xml:space="preserve"> </v>
      </c>
      <c r="AI144" s="36" t="str">
        <f>IFERROR(IF((INDEX('[3]Riesgos de Corrupción'!$B$11:$V$100,MATCH('Controles de Corrupción'!C144,'[3]Riesgos de Corrupción'!$B$11:$B$100,0),17)-AH144&lt;=1),"Rara vez",IF((INDEX('[3]Riesgos de Corrupción'!$B$11:$V$100,MATCH('Controles de Corrupción'!C144,'[3]Riesgos de Corrupción'!$B$11:$B$100,0),17)-AH144&lt;=2),"Improbable",IF((INDEX('[3]Riesgos de Corrupción'!$B$11:$V$100,MATCH('Controles de Corrupción'!C144,'[3]Riesgos de Corrupción'!$B$11:$B$100,0),17)-AH144&lt;=3),"Posible",IF((INDEX('[3]Riesgos de Corrupción'!$B$11:$V$100,MATCH('Controles de Corrupción'!C144,'[3]Riesgos de Corrupción'!$B$11:$B$100,0),17)-AH144&lt;=4),"Probable",IF((INDEX('[3]Riesgos de Corrupción'!$B$11:$V$100,MATCH('Controles de Corrupción'!C144,'[3]Riesgos de Corrupción'!$B$11:$B$100,0),17)-AH144&lt;=5),"Casi seguro")))))," ")</f>
        <v xml:space="preserve"> </v>
      </c>
      <c r="AJ144" s="8" t="str">
        <f>IFERROR(IF(OR(AND(AF144="Fuerte",H144="No disminuye"),AND(AF144="Moderado",H144="Indirectamente"),AND(AF144="Moderado",H144="No disminuye"),AND(INDEX('[3]Riesgos de Corrupción'!$B$11:$BN$100,MATCH('Controles de Corrupción'!C144,'[3]Riesgos de Corrupción'!$B$11:$B$100,0),63)="Moderado")),0,IF(OR(AND(AF144="Fuerte",H144="Indirectamente"),AND(AF144="Moderado",H144="Directamente"),AND(INDEX('[3]Riesgos de Corrupción'!$B$11:$BN$100,MATCH('Controles de Corrupción'!C144,'[3]Riesgos de Corrupción'!$B$11:$B$100,0),63)="Mayor")),1,IF(AND(AF144="Fuerte",H144="Directamente",AND(INDEX('[3]Riesgos de Corrupción'!$B$11:$BN$100,MATCH('Controles de Corrupción'!C144,'[3]Riesgos de Corrupción'!$B$11:$B$100,0),63)="Catastrófico")),2)))," ")</f>
        <v xml:space="preserve"> </v>
      </c>
      <c r="AK144" s="19" t="str">
        <f t="shared" si="63"/>
        <v xml:space="preserve"> </v>
      </c>
      <c r="AL144" s="19" t="str">
        <f>IFERROR(IF((INDEX('[3]Riesgos de Corrupción'!$B$11:$BN$100,MATCH('Controles de Corrupción'!C144,'[3]Riesgos de Corrupción'!$B$11:$B$100,0),62)-AK144&lt;=3),"Moderado",IF((INDEX('[3]Riesgos de Corrupción'!$B$11:$BN$100,MATCH('Controles de Corrupción'!C144,'[3]Riesgos de Corrupción'!$B$11:$B$100,0),62)-AK144&lt;=4),"Mayor",IF((INDEX('[3]Riesgos de Corrupción'!$B$11:$BN$100,MATCH('Controles de Corrupción'!C144,'[3]Riesgos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0" t="str">
        <f t="shared" si="50"/>
        <v>-</v>
      </c>
      <c r="C145" s="188"/>
      <c r="D145" s="170"/>
      <c r="E145" s="171"/>
      <c r="F145" s="129"/>
      <c r="G145" s="128"/>
      <c r="H145" s="23"/>
      <c r="I145" s="18"/>
      <c r="J145" s="80">
        <f t="shared" si="44"/>
        <v>0</v>
      </c>
      <c r="K145" s="18"/>
      <c r="L145" s="80">
        <f t="shared" si="45"/>
        <v>0</v>
      </c>
      <c r="M145" s="18"/>
      <c r="N145" s="80">
        <f t="shared" si="46"/>
        <v>0</v>
      </c>
      <c r="O145" s="18"/>
      <c r="P145" s="80">
        <f t="shared" si="47"/>
        <v>0</v>
      </c>
      <c r="Q145" s="18"/>
      <c r="R145" s="80">
        <f t="shared" si="48"/>
        <v>0</v>
      </c>
      <c r="S145" s="18"/>
      <c r="T145" s="80">
        <f t="shared" si="49"/>
        <v>0</v>
      </c>
      <c r="U145" s="18"/>
      <c r="V145" s="80">
        <f t="shared" si="51"/>
        <v>0</v>
      </c>
      <c r="W145" s="19" t="str">
        <f t="shared" si="52"/>
        <v xml:space="preserve"> </v>
      </c>
      <c r="X145" s="19" t="str">
        <f t="shared" si="53"/>
        <v xml:space="preserve"> </v>
      </c>
      <c r="Y145" s="19" t="str">
        <f t="shared" si="54"/>
        <v/>
      </c>
      <c r="Z145" s="23"/>
      <c r="AA145" s="19" t="str">
        <f t="shared" si="55"/>
        <v/>
      </c>
      <c r="AB145" s="19" t="str">
        <f t="shared" si="56"/>
        <v xml:space="preserve"> </v>
      </c>
      <c r="AC145" s="19" t="str">
        <f t="shared" si="57"/>
        <v/>
      </c>
      <c r="AD145" s="19" t="str">
        <f t="shared" si="58"/>
        <v xml:space="preserve"> </v>
      </c>
      <c r="AE145" s="125" t="str">
        <f t="shared" si="59"/>
        <v xml:space="preserve"> </v>
      </c>
      <c r="AF145" s="19" t="str">
        <f t="shared" si="60"/>
        <v xml:space="preserve"> </v>
      </c>
      <c r="AG145" s="50">
        <f t="shared" si="61"/>
        <v>0</v>
      </c>
      <c r="AH145" s="50" t="str">
        <f t="shared" si="62"/>
        <v xml:space="preserve"> </v>
      </c>
      <c r="AI145" s="36" t="str">
        <f>IFERROR(IF((INDEX('[3]Riesgos de Corrupción'!$B$11:$V$100,MATCH('Controles de Corrupción'!C145,'[3]Riesgos de Corrupción'!$B$11:$B$100,0),17)-AH145&lt;=1),"Rara vez",IF((INDEX('[3]Riesgos de Corrupción'!$B$11:$V$100,MATCH('Controles de Corrupción'!C145,'[3]Riesgos de Corrupción'!$B$11:$B$100,0),17)-AH145&lt;=2),"Improbable",IF((INDEX('[3]Riesgos de Corrupción'!$B$11:$V$100,MATCH('Controles de Corrupción'!C145,'[3]Riesgos de Corrupción'!$B$11:$B$100,0),17)-AH145&lt;=3),"Posible",IF((INDEX('[3]Riesgos de Corrupción'!$B$11:$V$100,MATCH('Controles de Corrupción'!C145,'[3]Riesgos de Corrupción'!$B$11:$B$100,0),17)-AH145&lt;=4),"Probable",IF((INDEX('[3]Riesgos de Corrupción'!$B$11:$V$100,MATCH('Controles de Corrupción'!C145,'[3]Riesgos de Corrupción'!$B$11:$B$100,0),17)-AH145&lt;=5),"Casi seguro")))))," ")</f>
        <v xml:space="preserve"> </v>
      </c>
      <c r="AJ145" s="8" t="str">
        <f>IFERROR(IF(OR(AND(AF145="Fuerte",H145="No disminuye"),AND(AF145="Moderado",H145="Indirectamente"),AND(AF145="Moderado",H145="No disminuye"),AND(INDEX('[3]Riesgos de Corrupción'!$B$11:$BN$100,MATCH('Controles de Corrupción'!C145,'[3]Riesgos de Corrupción'!$B$11:$B$100,0),63)="Moderado")),0,IF(OR(AND(AF145="Fuerte",H145="Indirectamente"),AND(AF145="Moderado",H145="Directamente"),AND(INDEX('[3]Riesgos de Corrupción'!$B$11:$BN$100,MATCH('Controles de Corrupción'!C145,'[3]Riesgos de Corrupción'!$B$11:$B$100,0),63)="Mayor")),1,IF(AND(AF145="Fuerte",H145="Directamente",AND(INDEX('[3]Riesgos de Corrupción'!$B$11:$BN$100,MATCH('Controles de Corrupción'!C145,'[3]Riesgos de Corrupción'!$B$11:$B$100,0),63)="Catastrófico")),2)))," ")</f>
        <v xml:space="preserve"> </v>
      </c>
      <c r="AK145" s="19" t="str">
        <f t="shared" si="63"/>
        <v xml:space="preserve"> </v>
      </c>
      <c r="AL145" s="19" t="str">
        <f>IFERROR(IF((INDEX('[3]Riesgos de Corrupción'!$B$11:$BN$100,MATCH('Controles de Corrupción'!C145,'[3]Riesgos de Corrupción'!$B$11:$B$100,0),62)-AK145&lt;=3),"Moderado",IF((INDEX('[3]Riesgos de Corrupción'!$B$11:$BN$100,MATCH('Controles de Corrupción'!C145,'[3]Riesgos de Corrupción'!$B$11:$B$100,0),62)-AK145&lt;=4),"Mayor",IF((INDEX('[3]Riesgos de Corrupción'!$B$11:$BN$100,MATCH('Controles de Corrupción'!C145,'[3]Riesgos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0" t="str">
        <f t="shared" si="50"/>
        <v>-</v>
      </c>
      <c r="C146" s="188"/>
      <c r="D146" s="170"/>
      <c r="E146" s="171"/>
      <c r="F146" s="129"/>
      <c r="G146" s="128"/>
      <c r="H146" s="23"/>
      <c r="I146" s="18"/>
      <c r="J146" s="80">
        <f t="shared" ref="J146:J209" si="66">IF(I146="Asignado",15,IF(I146="No asignado",0,IF(I146=0,0)))</f>
        <v>0</v>
      </c>
      <c r="K146" s="18"/>
      <c r="L146" s="80">
        <f t="shared" ref="L146:L209" si="67">IF(K146="Adecuado",15,IF(K146="Inadecuado",0,IF(I146=0,0)))</f>
        <v>0</v>
      </c>
      <c r="M146" s="18"/>
      <c r="N146" s="80">
        <f t="shared" ref="N146:N209" si="68">IF(M146="Oportuna",15,IF(M146="Inoportuna",0,IF(I146=0,0)))</f>
        <v>0</v>
      </c>
      <c r="O146" s="18"/>
      <c r="P146" s="80">
        <f t="shared" ref="P146:P209" si="69">IF(O146="Prevenir",15,IF(O146="Detectar",10,IF(O146="No es un control",0,IF(I146=0,0))))</f>
        <v>0</v>
      </c>
      <c r="Q146" s="18"/>
      <c r="R146" s="80">
        <f t="shared" ref="R146:R209" si="70">IF(Q146="Confiable",15,IF(Q146="No confiable",0,IF(I146=0,0)))</f>
        <v>0</v>
      </c>
      <c r="S146" s="18"/>
      <c r="T146" s="80">
        <f t="shared" ref="T146:T209" si="71">IF(S146="Se investigan y resuelven oportunamente",15,IF(S146="No se investigan y resuelven oportunamente",0,IF(I146=0,0)))</f>
        <v>0</v>
      </c>
      <c r="U146" s="18"/>
      <c r="V146" s="80">
        <f t="shared" si="51"/>
        <v>0</v>
      </c>
      <c r="W146" s="19" t="str">
        <f t="shared" si="52"/>
        <v xml:space="preserve"> </v>
      </c>
      <c r="X146" s="19" t="str">
        <f t="shared" si="53"/>
        <v xml:space="preserve"> </v>
      </c>
      <c r="Y146" s="19" t="str">
        <f t="shared" si="54"/>
        <v/>
      </c>
      <c r="Z146" s="23"/>
      <c r="AA146" s="19" t="str">
        <f t="shared" si="55"/>
        <v/>
      </c>
      <c r="AB146" s="19" t="str">
        <f t="shared" si="56"/>
        <v xml:space="preserve"> </v>
      </c>
      <c r="AC146" s="19" t="str">
        <f t="shared" si="57"/>
        <v/>
      </c>
      <c r="AD146" s="19" t="str">
        <f t="shared" si="58"/>
        <v xml:space="preserve"> </v>
      </c>
      <c r="AE146" s="125" t="str">
        <f t="shared" si="59"/>
        <v xml:space="preserve"> </v>
      </c>
      <c r="AF146" s="19" t="str">
        <f t="shared" si="60"/>
        <v xml:space="preserve"> </v>
      </c>
      <c r="AG146" s="50">
        <f t="shared" si="61"/>
        <v>0</v>
      </c>
      <c r="AH146" s="50" t="str">
        <f t="shared" si="62"/>
        <v xml:space="preserve"> </v>
      </c>
      <c r="AI146" s="36" t="str">
        <f>IFERROR(IF((INDEX('[3]Riesgos de Corrupción'!$B$11:$V$100,MATCH('Controles de Corrupción'!C146,'[3]Riesgos de Corrupción'!$B$11:$B$100,0),17)-AH146&lt;=1),"Rara vez",IF((INDEX('[3]Riesgos de Corrupción'!$B$11:$V$100,MATCH('Controles de Corrupción'!C146,'[3]Riesgos de Corrupción'!$B$11:$B$100,0),17)-AH146&lt;=2),"Improbable",IF((INDEX('[3]Riesgos de Corrupción'!$B$11:$V$100,MATCH('Controles de Corrupción'!C146,'[3]Riesgos de Corrupción'!$B$11:$B$100,0),17)-AH146&lt;=3),"Posible",IF((INDEX('[3]Riesgos de Corrupción'!$B$11:$V$100,MATCH('Controles de Corrupción'!C146,'[3]Riesgos de Corrupción'!$B$11:$B$100,0),17)-AH146&lt;=4),"Probable",IF((INDEX('[3]Riesgos de Corrupción'!$B$11:$V$100,MATCH('Controles de Corrupción'!C146,'[3]Riesgos de Corrupción'!$B$11:$B$100,0),17)-AH146&lt;=5),"Casi seguro")))))," ")</f>
        <v xml:space="preserve"> </v>
      </c>
      <c r="AJ146" s="8" t="str">
        <f>IFERROR(IF(OR(AND(AF146="Fuerte",H146="No disminuye"),AND(AF146="Moderado",H146="Indirectamente"),AND(AF146="Moderado",H146="No disminuye"),AND(INDEX('[3]Riesgos de Corrupción'!$B$11:$BN$100,MATCH('Controles de Corrupción'!C146,'[3]Riesgos de Corrupción'!$B$11:$B$100,0),63)="Moderado")),0,IF(OR(AND(AF146="Fuerte",H146="Indirectamente"),AND(AF146="Moderado",H146="Directamente"),AND(INDEX('[3]Riesgos de Corrupción'!$B$11:$BN$100,MATCH('Controles de Corrupción'!C146,'[3]Riesgos de Corrupción'!$B$11:$B$100,0),63)="Mayor")),1,IF(AND(AF146="Fuerte",H146="Directamente",AND(INDEX('[3]Riesgos de Corrupción'!$B$11:$BN$100,MATCH('Controles de Corrupción'!C146,'[3]Riesgos de Corrupción'!$B$11:$B$100,0),63)="Catastrófico")),2)))," ")</f>
        <v xml:space="preserve"> </v>
      </c>
      <c r="AK146" s="19" t="str">
        <f t="shared" si="63"/>
        <v xml:space="preserve"> </v>
      </c>
      <c r="AL146" s="19" t="str">
        <f>IFERROR(IF((INDEX('[3]Riesgos de Corrupción'!$B$11:$BN$100,MATCH('Controles de Corrupción'!C146,'[3]Riesgos de Corrupción'!$B$11:$B$100,0),62)-AK146&lt;=3),"Moderado",IF((INDEX('[3]Riesgos de Corrupción'!$B$11:$BN$100,MATCH('Controles de Corrupción'!C146,'[3]Riesgos de Corrupción'!$B$11:$B$100,0),62)-AK146&lt;=4),"Mayor",IF((INDEX('[3]Riesgos de Corrupción'!$B$11:$BN$100,MATCH('Controles de Corrupción'!C146,'[3]Riesgos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0" t="str">
        <f t="shared" si="50"/>
        <v>-</v>
      </c>
      <c r="C147" s="188"/>
      <c r="D147" s="170"/>
      <c r="E147" s="171"/>
      <c r="F147" s="129"/>
      <c r="G147" s="128"/>
      <c r="H147" s="23"/>
      <c r="I147" s="18"/>
      <c r="J147" s="80">
        <f t="shared" si="66"/>
        <v>0</v>
      </c>
      <c r="K147" s="18"/>
      <c r="L147" s="80">
        <f t="shared" si="67"/>
        <v>0</v>
      </c>
      <c r="M147" s="18"/>
      <c r="N147" s="80">
        <f t="shared" si="68"/>
        <v>0</v>
      </c>
      <c r="O147" s="18"/>
      <c r="P147" s="80">
        <f t="shared" si="69"/>
        <v>0</v>
      </c>
      <c r="Q147" s="18"/>
      <c r="R147" s="80">
        <f t="shared" si="70"/>
        <v>0</v>
      </c>
      <c r="S147" s="18"/>
      <c r="T147" s="80">
        <f t="shared" si="71"/>
        <v>0</v>
      </c>
      <c r="U147" s="18"/>
      <c r="V147" s="80">
        <f t="shared" si="51"/>
        <v>0</v>
      </c>
      <c r="W147" s="19" t="str">
        <f t="shared" si="52"/>
        <v xml:space="preserve"> </v>
      </c>
      <c r="X147" s="19" t="str">
        <f t="shared" si="53"/>
        <v xml:space="preserve"> </v>
      </c>
      <c r="Y147" s="19" t="str">
        <f t="shared" si="54"/>
        <v/>
      </c>
      <c r="Z147" s="23"/>
      <c r="AA147" s="19" t="str">
        <f t="shared" si="55"/>
        <v/>
      </c>
      <c r="AB147" s="19" t="str">
        <f t="shared" si="56"/>
        <v xml:space="preserve"> </v>
      </c>
      <c r="AC147" s="19" t="str">
        <f t="shared" si="57"/>
        <v/>
      </c>
      <c r="AD147" s="19" t="str">
        <f t="shared" si="58"/>
        <v xml:space="preserve"> </v>
      </c>
      <c r="AE147" s="125" t="str">
        <f t="shared" si="59"/>
        <v xml:space="preserve"> </v>
      </c>
      <c r="AF147" s="19" t="str">
        <f t="shared" si="60"/>
        <v xml:space="preserve"> </v>
      </c>
      <c r="AG147" s="50">
        <f t="shared" si="61"/>
        <v>0</v>
      </c>
      <c r="AH147" s="50" t="str">
        <f t="shared" si="62"/>
        <v xml:space="preserve"> </v>
      </c>
      <c r="AI147" s="36" t="str">
        <f>IFERROR(IF((INDEX('[3]Riesgos de Corrupción'!$B$11:$V$100,MATCH('Controles de Corrupción'!C147,'[3]Riesgos de Corrupción'!$B$11:$B$100,0),17)-AH147&lt;=1),"Rara vez",IF((INDEX('[3]Riesgos de Corrupción'!$B$11:$V$100,MATCH('Controles de Corrupción'!C147,'[3]Riesgos de Corrupción'!$B$11:$B$100,0),17)-AH147&lt;=2),"Improbable",IF((INDEX('[3]Riesgos de Corrupción'!$B$11:$V$100,MATCH('Controles de Corrupción'!C147,'[3]Riesgos de Corrupción'!$B$11:$B$100,0),17)-AH147&lt;=3),"Posible",IF((INDEX('[3]Riesgos de Corrupción'!$B$11:$V$100,MATCH('Controles de Corrupción'!C147,'[3]Riesgos de Corrupción'!$B$11:$B$100,0),17)-AH147&lt;=4),"Probable",IF((INDEX('[3]Riesgos de Corrupción'!$B$11:$V$100,MATCH('Controles de Corrupción'!C147,'[3]Riesgos de Corrupción'!$B$11:$B$100,0),17)-AH147&lt;=5),"Casi seguro")))))," ")</f>
        <v xml:space="preserve"> </v>
      </c>
      <c r="AJ147" s="8" t="str">
        <f>IFERROR(IF(OR(AND(AF147="Fuerte",H147="No disminuye"),AND(AF147="Moderado",H147="Indirectamente"),AND(AF147="Moderado",H147="No disminuye"),AND(INDEX('[3]Riesgos de Corrupción'!$B$11:$BN$100,MATCH('Controles de Corrupción'!C147,'[3]Riesgos de Corrupción'!$B$11:$B$100,0),63)="Moderado")),0,IF(OR(AND(AF147="Fuerte",H147="Indirectamente"),AND(AF147="Moderado",H147="Directamente"),AND(INDEX('[3]Riesgos de Corrupción'!$B$11:$BN$100,MATCH('Controles de Corrupción'!C147,'[3]Riesgos de Corrupción'!$B$11:$B$100,0),63)="Mayor")),1,IF(AND(AF147="Fuerte",H147="Directamente",AND(INDEX('[3]Riesgos de Corrupción'!$B$11:$BN$100,MATCH('Controles de Corrupción'!C147,'[3]Riesgos de Corrupción'!$B$11:$B$100,0),63)="Catastrófico")),2)))," ")</f>
        <v xml:space="preserve"> </v>
      </c>
      <c r="AK147" s="19" t="str">
        <f t="shared" si="63"/>
        <v xml:space="preserve"> </v>
      </c>
      <c r="AL147" s="19" t="str">
        <f>IFERROR(IF((INDEX('[3]Riesgos de Corrupción'!$B$11:$BN$100,MATCH('Controles de Corrupción'!C147,'[3]Riesgos de Corrupción'!$B$11:$B$100,0),62)-AK147&lt;=3),"Moderado",IF((INDEX('[3]Riesgos de Corrupción'!$B$11:$BN$100,MATCH('Controles de Corrupción'!C147,'[3]Riesgos de Corrupción'!$B$11:$B$100,0),62)-AK147&lt;=4),"Mayor",IF((INDEX('[3]Riesgos de Corrupción'!$B$11:$BN$100,MATCH('Controles de Corrupción'!C147,'[3]Riesgos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0" t="str">
        <f t="shared" si="50"/>
        <v>-</v>
      </c>
      <c r="C148" s="188"/>
      <c r="D148" s="170"/>
      <c r="E148" s="171"/>
      <c r="F148" s="129"/>
      <c r="G148" s="128"/>
      <c r="H148" s="23"/>
      <c r="I148" s="18"/>
      <c r="J148" s="80">
        <f t="shared" si="66"/>
        <v>0</v>
      </c>
      <c r="K148" s="18"/>
      <c r="L148" s="80">
        <f t="shared" si="67"/>
        <v>0</v>
      </c>
      <c r="M148" s="18"/>
      <c r="N148" s="80">
        <f t="shared" si="68"/>
        <v>0</v>
      </c>
      <c r="O148" s="18"/>
      <c r="P148" s="80">
        <f t="shared" si="69"/>
        <v>0</v>
      </c>
      <c r="Q148" s="18"/>
      <c r="R148" s="80">
        <f t="shared" si="70"/>
        <v>0</v>
      </c>
      <c r="S148" s="18"/>
      <c r="T148" s="80">
        <f t="shared" si="71"/>
        <v>0</v>
      </c>
      <c r="U148" s="18"/>
      <c r="V148" s="80">
        <f t="shared" si="51"/>
        <v>0</v>
      </c>
      <c r="W148" s="19" t="str">
        <f t="shared" si="52"/>
        <v xml:space="preserve"> </v>
      </c>
      <c r="X148" s="19" t="str">
        <f t="shared" si="53"/>
        <v xml:space="preserve"> </v>
      </c>
      <c r="Y148" s="19" t="str">
        <f t="shared" si="54"/>
        <v/>
      </c>
      <c r="Z148" s="23"/>
      <c r="AA148" s="19" t="str">
        <f t="shared" si="55"/>
        <v/>
      </c>
      <c r="AB148" s="19" t="str">
        <f t="shared" si="56"/>
        <v xml:space="preserve"> </v>
      </c>
      <c r="AC148" s="19" t="str">
        <f t="shared" si="57"/>
        <v/>
      </c>
      <c r="AD148" s="19" t="str">
        <f t="shared" si="58"/>
        <v xml:space="preserve"> </v>
      </c>
      <c r="AE148" s="125" t="str">
        <f t="shared" si="59"/>
        <v xml:space="preserve"> </v>
      </c>
      <c r="AF148" s="19" t="str">
        <f t="shared" si="60"/>
        <v xml:space="preserve"> </v>
      </c>
      <c r="AG148" s="50">
        <f t="shared" si="61"/>
        <v>0</v>
      </c>
      <c r="AH148" s="50" t="str">
        <f t="shared" si="62"/>
        <v xml:space="preserve"> </v>
      </c>
      <c r="AI148" s="36" t="str">
        <f>IFERROR(IF((INDEX('[3]Riesgos de Corrupción'!$B$11:$V$100,MATCH('Controles de Corrupción'!C148,'[3]Riesgos de Corrupción'!$B$11:$B$100,0),17)-AH148&lt;=1),"Rara vez",IF((INDEX('[3]Riesgos de Corrupción'!$B$11:$V$100,MATCH('Controles de Corrupción'!C148,'[3]Riesgos de Corrupción'!$B$11:$B$100,0),17)-AH148&lt;=2),"Improbable",IF((INDEX('[3]Riesgos de Corrupción'!$B$11:$V$100,MATCH('Controles de Corrupción'!C148,'[3]Riesgos de Corrupción'!$B$11:$B$100,0),17)-AH148&lt;=3),"Posible",IF((INDEX('[3]Riesgos de Corrupción'!$B$11:$V$100,MATCH('Controles de Corrupción'!C148,'[3]Riesgos de Corrupción'!$B$11:$B$100,0),17)-AH148&lt;=4),"Probable",IF((INDEX('[3]Riesgos de Corrupción'!$B$11:$V$100,MATCH('Controles de Corrupción'!C148,'[3]Riesgos de Corrupción'!$B$11:$B$100,0),17)-AH148&lt;=5),"Casi seguro")))))," ")</f>
        <v xml:space="preserve"> </v>
      </c>
      <c r="AJ148" s="8" t="str">
        <f>IFERROR(IF(OR(AND(AF148="Fuerte",H148="No disminuye"),AND(AF148="Moderado",H148="Indirectamente"),AND(AF148="Moderado",H148="No disminuye"),AND(INDEX('[3]Riesgos de Corrupción'!$B$11:$BN$100,MATCH('Controles de Corrupción'!C148,'[3]Riesgos de Corrupción'!$B$11:$B$100,0),63)="Moderado")),0,IF(OR(AND(AF148="Fuerte",H148="Indirectamente"),AND(AF148="Moderado",H148="Directamente"),AND(INDEX('[3]Riesgos de Corrupción'!$B$11:$BN$100,MATCH('Controles de Corrupción'!C148,'[3]Riesgos de Corrupción'!$B$11:$B$100,0),63)="Mayor")),1,IF(AND(AF148="Fuerte",H148="Directamente",AND(INDEX('[3]Riesgos de Corrupción'!$B$11:$BN$100,MATCH('Controles de Corrupción'!C148,'[3]Riesgos de Corrupción'!$B$11:$B$100,0),63)="Catastrófico")),2)))," ")</f>
        <v xml:space="preserve"> </v>
      </c>
      <c r="AK148" s="19" t="str">
        <f t="shared" si="63"/>
        <v xml:space="preserve"> </v>
      </c>
      <c r="AL148" s="19" t="str">
        <f>IFERROR(IF((INDEX('[3]Riesgos de Corrupción'!$B$11:$BN$100,MATCH('Controles de Corrupción'!C148,'[3]Riesgos de Corrupción'!$B$11:$B$100,0),62)-AK148&lt;=3),"Moderado",IF((INDEX('[3]Riesgos de Corrupción'!$B$11:$BN$100,MATCH('Controles de Corrupción'!C148,'[3]Riesgos de Corrupción'!$B$11:$B$100,0),62)-AK148&lt;=4),"Mayor",IF((INDEX('[3]Riesgos de Corrupción'!$B$11:$BN$100,MATCH('Controles de Corrupción'!C148,'[3]Riesgos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0" t="str">
        <f t="shared" si="50"/>
        <v>-</v>
      </c>
      <c r="C149" s="188"/>
      <c r="D149" s="170"/>
      <c r="E149" s="171"/>
      <c r="F149" s="129"/>
      <c r="G149" s="128"/>
      <c r="H149" s="23"/>
      <c r="I149" s="18"/>
      <c r="J149" s="80">
        <f t="shared" si="66"/>
        <v>0</v>
      </c>
      <c r="K149" s="18"/>
      <c r="L149" s="80">
        <f t="shared" si="67"/>
        <v>0</v>
      </c>
      <c r="M149" s="18"/>
      <c r="N149" s="80">
        <f t="shared" si="68"/>
        <v>0</v>
      </c>
      <c r="O149" s="18"/>
      <c r="P149" s="80">
        <f t="shared" si="69"/>
        <v>0</v>
      </c>
      <c r="Q149" s="18"/>
      <c r="R149" s="80">
        <f t="shared" si="70"/>
        <v>0</v>
      </c>
      <c r="S149" s="18"/>
      <c r="T149" s="80">
        <f t="shared" si="71"/>
        <v>0</v>
      </c>
      <c r="U149" s="18"/>
      <c r="V149" s="80">
        <f t="shared" si="51"/>
        <v>0</v>
      </c>
      <c r="W149" s="19" t="str">
        <f t="shared" si="52"/>
        <v xml:space="preserve"> </v>
      </c>
      <c r="X149" s="19" t="str">
        <f t="shared" si="53"/>
        <v xml:space="preserve"> </v>
      </c>
      <c r="Y149" s="19" t="str">
        <f t="shared" si="54"/>
        <v/>
      </c>
      <c r="Z149" s="23"/>
      <c r="AA149" s="19" t="str">
        <f t="shared" si="55"/>
        <v/>
      </c>
      <c r="AB149" s="19" t="str">
        <f t="shared" si="56"/>
        <v xml:space="preserve"> </v>
      </c>
      <c r="AC149" s="19" t="str">
        <f t="shared" si="57"/>
        <v/>
      </c>
      <c r="AD149" s="19" t="str">
        <f t="shared" si="58"/>
        <v xml:space="preserve"> </v>
      </c>
      <c r="AE149" s="125" t="str">
        <f t="shared" si="59"/>
        <v xml:space="preserve"> </v>
      </c>
      <c r="AF149" s="19" t="str">
        <f t="shared" si="60"/>
        <v xml:space="preserve"> </v>
      </c>
      <c r="AG149" s="50">
        <f t="shared" si="61"/>
        <v>0</v>
      </c>
      <c r="AH149" s="50" t="str">
        <f t="shared" si="62"/>
        <v xml:space="preserve"> </v>
      </c>
      <c r="AI149" s="36" t="str">
        <f>IFERROR(IF((INDEX('[3]Riesgos de Corrupción'!$B$11:$V$100,MATCH('Controles de Corrupción'!C149,'[3]Riesgos de Corrupción'!$B$11:$B$100,0),17)-AH149&lt;=1),"Rara vez",IF((INDEX('[3]Riesgos de Corrupción'!$B$11:$V$100,MATCH('Controles de Corrupción'!C149,'[3]Riesgos de Corrupción'!$B$11:$B$100,0),17)-AH149&lt;=2),"Improbable",IF((INDEX('[3]Riesgos de Corrupción'!$B$11:$V$100,MATCH('Controles de Corrupción'!C149,'[3]Riesgos de Corrupción'!$B$11:$B$100,0),17)-AH149&lt;=3),"Posible",IF((INDEX('[3]Riesgos de Corrupción'!$B$11:$V$100,MATCH('Controles de Corrupción'!C149,'[3]Riesgos de Corrupción'!$B$11:$B$100,0),17)-AH149&lt;=4),"Probable",IF((INDEX('[3]Riesgos de Corrupción'!$B$11:$V$100,MATCH('Controles de Corrupción'!C149,'[3]Riesgos de Corrupción'!$B$11:$B$100,0),17)-AH149&lt;=5),"Casi seguro")))))," ")</f>
        <v xml:space="preserve"> </v>
      </c>
      <c r="AJ149" s="8" t="str">
        <f>IFERROR(IF(OR(AND(AF149="Fuerte",H149="No disminuye"),AND(AF149="Moderado",H149="Indirectamente"),AND(AF149="Moderado",H149="No disminuye"),AND(INDEX('[3]Riesgos de Corrupción'!$B$11:$BN$100,MATCH('Controles de Corrupción'!C149,'[3]Riesgos de Corrupción'!$B$11:$B$100,0),63)="Moderado")),0,IF(OR(AND(AF149="Fuerte",H149="Indirectamente"),AND(AF149="Moderado",H149="Directamente"),AND(INDEX('[3]Riesgos de Corrupción'!$B$11:$BN$100,MATCH('Controles de Corrupción'!C149,'[3]Riesgos de Corrupción'!$B$11:$B$100,0),63)="Mayor")),1,IF(AND(AF149="Fuerte",H149="Directamente",AND(INDEX('[3]Riesgos de Corrupción'!$B$11:$BN$100,MATCH('Controles de Corrupción'!C149,'[3]Riesgos de Corrupción'!$B$11:$B$100,0),63)="Catastrófico")),2)))," ")</f>
        <v xml:space="preserve"> </v>
      </c>
      <c r="AK149" s="19" t="str">
        <f t="shared" si="63"/>
        <v xml:space="preserve"> </v>
      </c>
      <c r="AL149" s="19" t="str">
        <f>IFERROR(IF((INDEX('[3]Riesgos de Corrupción'!$B$11:$BN$100,MATCH('Controles de Corrupción'!C149,'[3]Riesgos de Corrupción'!$B$11:$B$100,0),62)-AK149&lt;=3),"Moderado",IF((INDEX('[3]Riesgos de Corrupción'!$B$11:$BN$100,MATCH('Controles de Corrupción'!C149,'[3]Riesgos de Corrupción'!$B$11:$B$100,0),62)-AK149&lt;=4),"Mayor",IF((INDEX('[3]Riesgos de Corrupción'!$B$11:$BN$100,MATCH('Controles de Corrupción'!C149,'[3]Riesgos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0" t="str">
        <f t="shared" si="50"/>
        <v>-</v>
      </c>
      <c r="C150" s="188"/>
      <c r="D150" s="170"/>
      <c r="E150" s="171"/>
      <c r="F150" s="129"/>
      <c r="G150" s="128"/>
      <c r="H150" s="23"/>
      <c r="I150" s="18"/>
      <c r="J150" s="80">
        <f t="shared" si="66"/>
        <v>0</v>
      </c>
      <c r="K150" s="18"/>
      <c r="L150" s="80">
        <f t="shared" si="67"/>
        <v>0</v>
      </c>
      <c r="M150" s="18"/>
      <c r="N150" s="80">
        <f t="shared" si="68"/>
        <v>0</v>
      </c>
      <c r="O150" s="18"/>
      <c r="P150" s="80">
        <f t="shared" si="69"/>
        <v>0</v>
      </c>
      <c r="Q150" s="18"/>
      <c r="R150" s="80">
        <f t="shared" si="70"/>
        <v>0</v>
      </c>
      <c r="S150" s="18"/>
      <c r="T150" s="80">
        <f t="shared" si="71"/>
        <v>0</v>
      </c>
      <c r="U150" s="18"/>
      <c r="V150" s="80">
        <f t="shared" si="51"/>
        <v>0</v>
      </c>
      <c r="W150" s="19" t="str">
        <f t="shared" si="52"/>
        <v xml:space="preserve"> </v>
      </c>
      <c r="X150" s="19" t="str">
        <f t="shared" si="53"/>
        <v xml:space="preserve"> </v>
      </c>
      <c r="Y150" s="19" t="str">
        <f t="shared" si="54"/>
        <v/>
      </c>
      <c r="Z150" s="23"/>
      <c r="AA150" s="19" t="str">
        <f t="shared" si="55"/>
        <v/>
      </c>
      <c r="AB150" s="19" t="str">
        <f t="shared" si="56"/>
        <v xml:space="preserve"> </v>
      </c>
      <c r="AC150" s="19" t="str">
        <f t="shared" si="57"/>
        <v/>
      </c>
      <c r="AD150" s="19" t="str">
        <f t="shared" si="58"/>
        <v xml:space="preserve"> </v>
      </c>
      <c r="AE150" s="125" t="str">
        <f t="shared" si="59"/>
        <v xml:space="preserve"> </v>
      </c>
      <c r="AF150" s="19" t="str">
        <f t="shared" si="60"/>
        <v xml:space="preserve"> </v>
      </c>
      <c r="AG150" s="50">
        <f t="shared" si="61"/>
        <v>0</v>
      </c>
      <c r="AH150" s="50" t="str">
        <f t="shared" si="62"/>
        <v xml:space="preserve"> </v>
      </c>
      <c r="AI150" s="36" t="str">
        <f>IFERROR(IF((INDEX('[3]Riesgos de Corrupción'!$B$11:$V$100,MATCH('Controles de Corrupción'!C150,'[3]Riesgos de Corrupción'!$B$11:$B$100,0),17)-AH150&lt;=1),"Rara vez",IF((INDEX('[3]Riesgos de Corrupción'!$B$11:$V$100,MATCH('Controles de Corrupción'!C150,'[3]Riesgos de Corrupción'!$B$11:$B$100,0),17)-AH150&lt;=2),"Improbable",IF((INDEX('[3]Riesgos de Corrupción'!$B$11:$V$100,MATCH('Controles de Corrupción'!C150,'[3]Riesgos de Corrupción'!$B$11:$B$100,0),17)-AH150&lt;=3),"Posible",IF((INDEX('[3]Riesgos de Corrupción'!$B$11:$V$100,MATCH('Controles de Corrupción'!C150,'[3]Riesgos de Corrupción'!$B$11:$B$100,0),17)-AH150&lt;=4),"Probable",IF((INDEX('[3]Riesgos de Corrupción'!$B$11:$V$100,MATCH('Controles de Corrupción'!C150,'[3]Riesgos de Corrupción'!$B$11:$B$100,0),17)-AH150&lt;=5),"Casi seguro")))))," ")</f>
        <v xml:space="preserve"> </v>
      </c>
      <c r="AJ150" s="8" t="str">
        <f>IFERROR(IF(OR(AND(AF150="Fuerte",H150="No disminuye"),AND(AF150="Moderado",H150="Indirectamente"),AND(AF150="Moderado",H150="No disminuye"),AND(INDEX('[3]Riesgos de Corrupción'!$B$11:$BN$100,MATCH('Controles de Corrupción'!C150,'[3]Riesgos de Corrupción'!$B$11:$B$100,0),63)="Moderado")),0,IF(OR(AND(AF150="Fuerte",H150="Indirectamente"),AND(AF150="Moderado",H150="Directamente"),AND(INDEX('[3]Riesgos de Corrupción'!$B$11:$BN$100,MATCH('Controles de Corrupción'!C150,'[3]Riesgos de Corrupción'!$B$11:$B$100,0),63)="Mayor")),1,IF(AND(AF150="Fuerte",H150="Directamente",AND(INDEX('[3]Riesgos de Corrupción'!$B$11:$BN$100,MATCH('Controles de Corrupción'!C150,'[3]Riesgos de Corrupción'!$B$11:$B$100,0),63)="Catastrófico")),2)))," ")</f>
        <v xml:space="preserve"> </v>
      </c>
      <c r="AK150" s="19" t="str">
        <f t="shared" si="63"/>
        <v xml:space="preserve"> </v>
      </c>
      <c r="AL150" s="19" t="str">
        <f>IFERROR(IF((INDEX('[3]Riesgos de Corrupción'!$B$11:$BN$100,MATCH('Controles de Corrupción'!C150,'[3]Riesgos de Corrupción'!$B$11:$B$100,0),62)-AK150&lt;=3),"Moderado",IF((INDEX('[3]Riesgos de Corrupción'!$B$11:$BN$100,MATCH('Controles de Corrupción'!C150,'[3]Riesgos de Corrupción'!$B$11:$B$100,0),62)-AK150&lt;=4),"Mayor",IF((INDEX('[3]Riesgos de Corrupción'!$B$11:$BN$100,MATCH('Controles de Corrupción'!C150,'[3]Riesgos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0" t="str">
        <f t="shared" si="50"/>
        <v>-</v>
      </c>
      <c r="C151" s="188"/>
      <c r="D151" s="170"/>
      <c r="E151" s="171"/>
      <c r="F151" s="129"/>
      <c r="G151" s="128"/>
      <c r="H151" s="23"/>
      <c r="I151" s="18"/>
      <c r="J151" s="80">
        <f t="shared" si="66"/>
        <v>0</v>
      </c>
      <c r="K151" s="18"/>
      <c r="L151" s="80">
        <f t="shared" si="67"/>
        <v>0</v>
      </c>
      <c r="M151" s="18"/>
      <c r="N151" s="80">
        <f t="shared" si="68"/>
        <v>0</v>
      </c>
      <c r="O151" s="18"/>
      <c r="P151" s="80">
        <f t="shared" si="69"/>
        <v>0</v>
      </c>
      <c r="Q151" s="18"/>
      <c r="R151" s="80">
        <f t="shared" si="70"/>
        <v>0</v>
      </c>
      <c r="S151" s="18"/>
      <c r="T151" s="80">
        <f t="shared" si="71"/>
        <v>0</v>
      </c>
      <c r="U151" s="18"/>
      <c r="V151" s="80">
        <f t="shared" si="51"/>
        <v>0</v>
      </c>
      <c r="W151" s="19" t="str">
        <f t="shared" si="52"/>
        <v xml:space="preserve"> </v>
      </c>
      <c r="X151" s="19" t="str">
        <f t="shared" si="53"/>
        <v xml:space="preserve"> </v>
      </c>
      <c r="Y151" s="19" t="str">
        <f t="shared" si="54"/>
        <v/>
      </c>
      <c r="Z151" s="23"/>
      <c r="AA151" s="19" t="str">
        <f t="shared" si="55"/>
        <v/>
      </c>
      <c r="AB151" s="19" t="str">
        <f t="shared" si="56"/>
        <v xml:space="preserve"> </v>
      </c>
      <c r="AC151" s="19" t="str">
        <f t="shared" si="57"/>
        <v/>
      </c>
      <c r="AD151" s="19" t="str">
        <f t="shared" si="58"/>
        <v xml:space="preserve"> </v>
      </c>
      <c r="AE151" s="125" t="str">
        <f t="shared" si="59"/>
        <v xml:space="preserve"> </v>
      </c>
      <c r="AF151" s="19" t="str">
        <f t="shared" si="60"/>
        <v xml:space="preserve"> </v>
      </c>
      <c r="AG151" s="50">
        <f t="shared" si="61"/>
        <v>0</v>
      </c>
      <c r="AH151" s="50" t="str">
        <f t="shared" si="62"/>
        <v xml:space="preserve"> </v>
      </c>
      <c r="AI151" s="36" t="str">
        <f>IFERROR(IF((INDEX('[3]Riesgos de Corrupción'!$B$11:$V$100,MATCH('Controles de Corrupción'!C151,'[3]Riesgos de Corrupción'!$B$11:$B$100,0),17)-AH151&lt;=1),"Rara vez",IF((INDEX('[3]Riesgos de Corrupción'!$B$11:$V$100,MATCH('Controles de Corrupción'!C151,'[3]Riesgos de Corrupción'!$B$11:$B$100,0),17)-AH151&lt;=2),"Improbable",IF((INDEX('[3]Riesgos de Corrupción'!$B$11:$V$100,MATCH('Controles de Corrupción'!C151,'[3]Riesgos de Corrupción'!$B$11:$B$100,0),17)-AH151&lt;=3),"Posible",IF((INDEX('[3]Riesgos de Corrupción'!$B$11:$V$100,MATCH('Controles de Corrupción'!C151,'[3]Riesgos de Corrupción'!$B$11:$B$100,0),17)-AH151&lt;=4),"Probable",IF((INDEX('[3]Riesgos de Corrupción'!$B$11:$V$100,MATCH('Controles de Corrupción'!C151,'[3]Riesgos de Corrupción'!$B$11:$B$100,0),17)-AH151&lt;=5),"Casi seguro")))))," ")</f>
        <v xml:space="preserve"> </v>
      </c>
      <c r="AJ151" s="8" t="str">
        <f>IFERROR(IF(OR(AND(AF151="Fuerte",H151="No disminuye"),AND(AF151="Moderado",H151="Indirectamente"),AND(AF151="Moderado",H151="No disminuye"),AND(INDEX('[3]Riesgos de Corrupción'!$B$11:$BN$100,MATCH('Controles de Corrupción'!C151,'[3]Riesgos de Corrupción'!$B$11:$B$100,0),63)="Moderado")),0,IF(OR(AND(AF151="Fuerte",H151="Indirectamente"),AND(AF151="Moderado",H151="Directamente"),AND(INDEX('[3]Riesgos de Corrupción'!$B$11:$BN$100,MATCH('Controles de Corrupción'!C151,'[3]Riesgos de Corrupción'!$B$11:$B$100,0),63)="Mayor")),1,IF(AND(AF151="Fuerte",H151="Directamente",AND(INDEX('[3]Riesgos de Corrupción'!$B$11:$BN$100,MATCH('Controles de Corrupción'!C151,'[3]Riesgos de Corrupción'!$B$11:$B$100,0),63)="Catastrófico")),2)))," ")</f>
        <v xml:space="preserve"> </v>
      </c>
      <c r="AK151" s="19" t="str">
        <f t="shared" si="63"/>
        <v xml:space="preserve"> </v>
      </c>
      <c r="AL151" s="19" t="str">
        <f>IFERROR(IF((INDEX('[3]Riesgos de Corrupción'!$B$11:$BN$100,MATCH('Controles de Corrupción'!C151,'[3]Riesgos de Corrupción'!$B$11:$B$100,0),62)-AK151&lt;=3),"Moderado",IF((INDEX('[3]Riesgos de Corrupción'!$B$11:$BN$100,MATCH('Controles de Corrupción'!C151,'[3]Riesgos de Corrupción'!$B$11:$B$100,0),62)-AK151&lt;=4),"Mayor",IF((INDEX('[3]Riesgos de Corrupción'!$B$11:$BN$100,MATCH('Controles de Corrupción'!C151,'[3]Riesgos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0" t="str">
        <f t="shared" si="50"/>
        <v>-</v>
      </c>
      <c r="C152" s="188"/>
      <c r="D152" s="170"/>
      <c r="E152" s="171"/>
      <c r="F152" s="129"/>
      <c r="G152" s="128"/>
      <c r="H152" s="23"/>
      <c r="I152" s="18"/>
      <c r="J152" s="80">
        <f t="shared" si="66"/>
        <v>0</v>
      </c>
      <c r="K152" s="18"/>
      <c r="L152" s="80">
        <f t="shared" si="67"/>
        <v>0</v>
      </c>
      <c r="M152" s="18"/>
      <c r="N152" s="80">
        <f t="shared" si="68"/>
        <v>0</v>
      </c>
      <c r="O152" s="18"/>
      <c r="P152" s="80">
        <f t="shared" si="69"/>
        <v>0</v>
      </c>
      <c r="Q152" s="18"/>
      <c r="R152" s="80">
        <f t="shared" si="70"/>
        <v>0</v>
      </c>
      <c r="S152" s="18"/>
      <c r="T152" s="80">
        <f t="shared" si="71"/>
        <v>0</v>
      </c>
      <c r="U152" s="18"/>
      <c r="V152" s="80">
        <f t="shared" si="51"/>
        <v>0</v>
      </c>
      <c r="W152" s="19" t="str">
        <f t="shared" si="52"/>
        <v xml:space="preserve"> </v>
      </c>
      <c r="X152" s="19" t="str">
        <f t="shared" si="53"/>
        <v xml:space="preserve"> </v>
      </c>
      <c r="Y152" s="19" t="str">
        <f t="shared" si="54"/>
        <v/>
      </c>
      <c r="Z152" s="23"/>
      <c r="AA152" s="19" t="str">
        <f t="shared" si="55"/>
        <v/>
      </c>
      <c r="AB152" s="19" t="str">
        <f t="shared" si="56"/>
        <v xml:space="preserve"> </v>
      </c>
      <c r="AC152" s="19" t="str">
        <f t="shared" si="57"/>
        <v/>
      </c>
      <c r="AD152" s="19" t="str">
        <f t="shared" si="58"/>
        <v xml:space="preserve"> </v>
      </c>
      <c r="AE152" s="125" t="str">
        <f t="shared" si="59"/>
        <v xml:space="preserve"> </v>
      </c>
      <c r="AF152" s="19" t="str">
        <f t="shared" si="60"/>
        <v xml:space="preserve"> </v>
      </c>
      <c r="AG152" s="50">
        <f t="shared" si="61"/>
        <v>0</v>
      </c>
      <c r="AH152" s="50" t="str">
        <f t="shared" si="62"/>
        <v xml:space="preserve"> </v>
      </c>
      <c r="AI152" s="36" t="str">
        <f>IFERROR(IF((INDEX('[3]Riesgos de Corrupción'!$B$11:$V$100,MATCH('Controles de Corrupción'!C152,'[3]Riesgos de Corrupción'!$B$11:$B$100,0),17)-AH152&lt;=1),"Rara vez",IF((INDEX('[3]Riesgos de Corrupción'!$B$11:$V$100,MATCH('Controles de Corrupción'!C152,'[3]Riesgos de Corrupción'!$B$11:$B$100,0),17)-AH152&lt;=2),"Improbable",IF((INDEX('[3]Riesgos de Corrupción'!$B$11:$V$100,MATCH('Controles de Corrupción'!C152,'[3]Riesgos de Corrupción'!$B$11:$B$100,0),17)-AH152&lt;=3),"Posible",IF((INDEX('[3]Riesgos de Corrupción'!$B$11:$V$100,MATCH('Controles de Corrupción'!C152,'[3]Riesgos de Corrupción'!$B$11:$B$100,0),17)-AH152&lt;=4),"Probable",IF((INDEX('[3]Riesgos de Corrupción'!$B$11:$V$100,MATCH('Controles de Corrupción'!C152,'[3]Riesgos de Corrupción'!$B$11:$B$100,0),17)-AH152&lt;=5),"Casi seguro")))))," ")</f>
        <v xml:space="preserve"> </v>
      </c>
      <c r="AJ152" s="8" t="str">
        <f>IFERROR(IF(OR(AND(AF152="Fuerte",H152="No disminuye"),AND(AF152="Moderado",H152="Indirectamente"),AND(AF152="Moderado",H152="No disminuye"),AND(INDEX('[3]Riesgos de Corrupción'!$B$11:$BN$100,MATCH('Controles de Corrupción'!C152,'[3]Riesgos de Corrupción'!$B$11:$B$100,0),63)="Moderado")),0,IF(OR(AND(AF152="Fuerte",H152="Indirectamente"),AND(AF152="Moderado",H152="Directamente"),AND(INDEX('[3]Riesgos de Corrupción'!$B$11:$BN$100,MATCH('Controles de Corrupción'!C152,'[3]Riesgos de Corrupción'!$B$11:$B$100,0),63)="Mayor")),1,IF(AND(AF152="Fuerte",H152="Directamente",AND(INDEX('[3]Riesgos de Corrupción'!$B$11:$BN$100,MATCH('Controles de Corrupción'!C152,'[3]Riesgos de Corrupción'!$B$11:$B$100,0),63)="Catastrófico")),2)))," ")</f>
        <v xml:space="preserve"> </v>
      </c>
      <c r="AK152" s="19" t="str">
        <f t="shared" si="63"/>
        <v xml:space="preserve"> </v>
      </c>
      <c r="AL152" s="19" t="str">
        <f>IFERROR(IF((INDEX('[3]Riesgos de Corrupción'!$B$11:$BN$100,MATCH('Controles de Corrupción'!C152,'[3]Riesgos de Corrupción'!$B$11:$B$100,0),62)-AK152&lt;=3),"Moderado",IF((INDEX('[3]Riesgos de Corrupción'!$B$11:$BN$100,MATCH('Controles de Corrupción'!C152,'[3]Riesgos de Corrupción'!$B$11:$B$100,0),62)-AK152&lt;=4),"Mayor",IF((INDEX('[3]Riesgos de Corrupción'!$B$11:$BN$100,MATCH('Controles de Corrupción'!C152,'[3]Riesgos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0" t="str">
        <f t="shared" si="50"/>
        <v>-</v>
      </c>
      <c r="C153" s="188"/>
      <c r="D153" s="170"/>
      <c r="E153" s="171"/>
      <c r="F153" s="129"/>
      <c r="G153" s="128"/>
      <c r="H153" s="23"/>
      <c r="I153" s="18"/>
      <c r="J153" s="80">
        <f t="shared" si="66"/>
        <v>0</v>
      </c>
      <c r="K153" s="18"/>
      <c r="L153" s="80">
        <f t="shared" si="67"/>
        <v>0</v>
      </c>
      <c r="M153" s="18"/>
      <c r="N153" s="80">
        <f t="shared" si="68"/>
        <v>0</v>
      </c>
      <c r="O153" s="18"/>
      <c r="P153" s="80">
        <f t="shared" si="69"/>
        <v>0</v>
      </c>
      <c r="Q153" s="18"/>
      <c r="R153" s="80">
        <f t="shared" si="70"/>
        <v>0</v>
      </c>
      <c r="S153" s="18"/>
      <c r="T153" s="80">
        <f t="shared" si="71"/>
        <v>0</v>
      </c>
      <c r="U153" s="18"/>
      <c r="V153" s="80">
        <f t="shared" si="51"/>
        <v>0</v>
      </c>
      <c r="W153" s="19" t="str">
        <f t="shared" si="52"/>
        <v xml:space="preserve"> </v>
      </c>
      <c r="X153" s="19" t="str">
        <f t="shared" si="53"/>
        <v xml:space="preserve"> </v>
      </c>
      <c r="Y153" s="19" t="str">
        <f t="shared" si="54"/>
        <v/>
      </c>
      <c r="Z153" s="23"/>
      <c r="AA153" s="19" t="str">
        <f t="shared" si="55"/>
        <v/>
      </c>
      <c r="AB153" s="19" t="str">
        <f t="shared" si="56"/>
        <v xml:space="preserve"> </v>
      </c>
      <c r="AC153" s="19" t="str">
        <f t="shared" si="57"/>
        <v/>
      </c>
      <c r="AD153" s="19" t="str">
        <f t="shared" si="58"/>
        <v xml:space="preserve"> </v>
      </c>
      <c r="AE153" s="125" t="str">
        <f t="shared" si="59"/>
        <v xml:space="preserve"> </v>
      </c>
      <c r="AF153" s="19" t="str">
        <f t="shared" si="60"/>
        <v xml:space="preserve"> </v>
      </c>
      <c r="AG153" s="50">
        <f t="shared" si="61"/>
        <v>0</v>
      </c>
      <c r="AH153" s="50" t="str">
        <f t="shared" si="62"/>
        <v xml:space="preserve"> </v>
      </c>
      <c r="AI153" s="36" t="str">
        <f>IFERROR(IF((INDEX('[3]Riesgos de Corrupción'!$B$11:$V$100,MATCH('Controles de Corrupción'!C153,'[3]Riesgos de Corrupción'!$B$11:$B$100,0),17)-AH153&lt;=1),"Rara vez",IF((INDEX('[3]Riesgos de Corrupción'!$B$11:$V$100,MATCH('Controles de Corrupción'!C153,'[3]Riesgos de Corrupción'!$B$11:$B$100,0),17)-AH153&lt;=2),"Improbable",IF((INDEX('[3]Riesgos de Corrupción'!$B$11:$V$100,MATCH('Controles de Corrupción'!C153,'[3]Riesgos de Corrupción'!$B$11:$B$100,0),17)-AH153&lt;=3),"Posible",IF((INDEX('[3]Riesgos de Corrupción'!$B$11:$V$100,MATCH('Controles de Corrupción'!C153,'[3]Riesgos de Corrupción'!$B$11:$B$100,0),17)-AH153&lt;=4),"Probable",IF((INDEX('[3]Riesgos de Corrupción'!$B$11:$V$100,MATCH('Controles de Corrupción'!C153,'[3]Riesgos de Corrupción'!$B$11:$B$100,0),17)-AH153&lt;=5),"Casi seguro")))))," ")</f>
        <v xml:space="preserve"> </v>
      </c>
      <c r="AJ153" s="8" t="str">
        <f>IFERROR(IF(OR(AND(AF153="Fuerte",H153="No disminuye"),AND(AF153="Moderado",H153="Indirectamente"),AND(AF153="Moderado",H153="No disminuye"),AND(INDEX('[3]Riesgos de Corrupción'!$B$11:$BN$100,MATCH('Controles de Corrupción'!C153,'[3]Riesgos de Corrupción'!$B$11:$B$100,0),63)="Moderado")),0,IF(OR(AND(AF153="Fuerte",H153="Indirectamente"),AND(AF153="Moderado",H153="Directamente"),AND(INDEX('[3]Riesgos de Corrupción'!$B$11:$BN$100,MATCH('Controles de Corrupción'!C153,'[3]Riesgos de Corrupción'!$B$11:$B$100,0),63)="Mayor")),1,IF(AND(AF153="Fuerte",H153="Directamente",AND(INDEX('[3]Riesgos de Corrupción'!$B$11:$BN$100,MATCH('Controles de Corrupción'!C153,'[3]Riesgos de Corrupción'!$B$11:$B$100,0),63)="Catastrófico")),2)))," ")</f>
        <v xml:space="preserve"> </v>
      </c>
      <c r="AK153" s="19" t="str">
        <f t="shared" si="63"/>
        <v xml:space="preserve"> </v>
      </c>
      <c r="AL153" s="19" t="str">
        <f>IFERROR(IF((INDEX('[3]Riesgos de Corrupción'!$B$11:$BN$100,MATCH('Controles de Corrupción'!C153,'[3]Riesgos de Corrupción'!$B$11:$B$100,0),62)-AK153&lt;=3),"Moderado",IF((INDEX('[3]Riesgos de Corrupción'!$B$11:$BN$100,MATCH('Controles de Corrupción'!C153,'[3]Riesgos de Corrupción'!$B$11:$B$100,0),62)-AK153&lt;=4),"Mayor",IF((INDEX('[3]Riesgos de Corrupción'!$B$11:$BN$100,MATCH('Controles de Corrupción'!C153,'[3]Riesgos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0" t="str">
        <f t="shared" si="50"/>
        <v>-</v>
      </c>
      <c r="C154" s="188"/>
      <c r="D154" s="170"/>
      <c r="E154" s="171"/>
      <c r="F154" s="129"/>
      <c r="G154" s="128"/>
      <c r="H154" s="23"/>
      <c r="I154" s="18"/>
      <c r="J154" s="80">
        <f t="shared" si="66"/>
        <v>0</v>
      </c>
      <c r="K154" s="18"/>
      <c r="L154" s="80">
        <f t="shared" si="67"/>
        <v>0</v>
      </c>
      <c r="M154" s="18"/>
      <c r="N154" s="80">
        <f t="shared" si="68"/>
        <v>0</v>
      </c>
      <c r="O154" s="18"/>
      <c r="P154" s="80">
        <f t="shared" si="69"/>
        <v>0</v>
      </c>
      <c r="Q154" s="18"/>
      <c r="R154" s="80">
        <f t="shared" si="70"/>
        <v>0</v>
      </c>
      <c r="S154" s="18"/>
      <c r="T154" s="80">
        <f t="shared" si="71"/>
        <v>0</v>
      </c>
      <c r="U154" s="18"/>
      <c r="V154" s="80">
        <f t="shared" si="51"/>
        <v>0</v>
      </c>
      <c r="W154" s="19" t="str">
        <f t="shared" si="52"/>
        <v xml:space="preserve"> </v>
      </c>
      <c r="X154" s="19" t="str">
        <f t="shared" si="53"/>
        <v xml:space="preserve"> </v>
      </c>
      <c r="Y154" s="19" t="str">
        <f t="shared" si="54"/>
        <v/>
      </c>
      <c r="Z154" s="23"/>
      <c r="AA154" s="19" t="str">
        <f t="shared" si="55"/>
        <v/>
      </c>
      <c r="AB154" s="19" t="str">
        <f t="shared" si="56"/>
        <v xml:space="preserve"> </v>
      </c>
      <c r="AC154" s="19" t="str">
        <f t="shared" si="57"/>
        <v/>
      </c>
      <c r="AD154" s="19" t="str">
        <f t="shared" si="58"/>
        <v xml:space="preserve"> </v>
      </c>
      <c r="AE154" s="125" t="str">
        <f t="shared" si="59"/>
        <v xml:space="preserve"> </v>
      </c>
      <c r="AF154" s="19" t="str">
        <f t="shared" si="60"/>
        <v xml:space="preserve"> </v>
      </c>
      <c r="AG154" s="50">
        <f t="shared" si="61"/>
        <v>0</v>
      </c>
      <c r="AH154" s="50" t="str">
        <f t="shared" si="62"/>
        <v xml:space="preserve"> </v>
      </c>
      <c r="AI154" s="36" t="str">
        <f>IFERROR(IF((INDEX('[3]Riesgos de Corrupción'!$B$11:$V$100,MATCH('Controles de Corrupción'!C154,'[3]Riesgos de Corrupción'!$B$11:$B$100,0),17)-AH154&lt;=1),"Rara vez",IF((INDEX('[3]Riesgos de Corrupción'!$B$11:$V$100,MATCH('Controles de Corrupción'!C154,'[3]Riesgos de Corrupción'!$B$11:$B$100,0),17)-AH154&lt;=2),"Improbable",IF((INDEX('[3]Riesgos de Corrupción'!$B$11:$V$100,MATCH('Controles de Corrupción'!C154,'[3]Riesgos de Corrupción'!$B$11:$B$100,0),17)-AH154&lt;=3),"Posible",IF((INDEX('[3]Riesgos de Corrupción'!$B$11:$V$100,MATCH('Controles de Corrupción'!C154,'[3]Riesgos de Corrupción'!$B$11:$B$100,0),17)-AH154&lt;=4),"Probable",IF((INDEX('[3]Riesgos de Corrupción'!$B$11:$V$100,MATCH('Controles de Corrupción'!C154,'[3]Riesgos de Corrupción'!$B$11:$B$100,0),17)-AH154&lt;=5),"Casi seguro")))))," ")</f>
        <v xml:space="preserve"> </v>
      </c>
      <c r="AJ154" s="8" t="str">
        <f>IFERROR(IF(OR(AND(AF154="Fuerte",H154="No disminuye"),AND(AF154="Moderado",H154="Indirectamente"),AND(AF154="Moderado",H154="No disminuye"),AND(INDEX('[3]Riesgos de Corrupción'!$B$11:$BN$100,MATCH('Controles de Corrupción'!C154,'[3]Riesgos de Corrupción'!$B$11:$B$100,0),63)="Moderado")),0,IF(OR(AND(AF154="Fuerte",H154="Indirectamente"),AND(AF154="Moderado",H154="Directamente"),AND(INDEX('[3]Riesgos de Corrupción'!$B$11:$BN$100,MATCH('Controles de Corrupción'!C154,'[3]Riesgos de Corrupción'!$B$11:$B$100,0),63)="Mayor")),1,IF(AND(AF154="Fuerte",H154="Directamente",AND(INDEX('[3]Riesgos de Corrupción'!$B$11:$BN$100,MATCH('Controles de Corrupción'!C154,'[3]Riesgos de Corrupción'!$B$11:$B$100,0),63)="Catastrófico")),2)))," ")</f>
        <v xml:space="preserve"> </v>
      </c>
      <c r="AK154" s="19" t="str">
        <f t="shared" si="63"/>
        <v xml:space="preserve"> </v>
      </c>
      <c r="AL154" s="19" t="str">
        <f>IFERROR(IF((INDEX('[3]Riesgos de Corrupción'!$B$11:$BN$100,MATCH('Controles de Corrupción'!C154,'[3]Riesgos de Corrupción'!$B$11:$B$100,0),62)-AK154&lt;=3),"Moderado",IF((INDEX('[3]Riesgos de Corrupción'!$B$11:$BN$100,MATCH('Controles de Corrupción'!C154,'[3]Riesgos de Corrupción'!$B$11:$B$100,0),62)-AK154&lt;=4),"Mayor",IF((INDEX('[3]Riesgos de Corrupción'!$B$11:$BN$100,MATCH('Controles de Corrupción'!C154,'[3]Riesgos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0" t="str">
        <f t="shared" si="50"/>
        <v>-</v>
      </c>
      <c r="C155" s="188"/>
      <c r="D155" s="170"/>
      <c r="E155" s="171"/>
      <c r="F155" s="129"/>
      <c r="G155" s="128"/>
      <c r="H155" s="23"/>
      <c r="I155" s="18"/>
      <c r="J155" s="80">
        <f t="shared" si="66"/>
        <v>0</v>
      </c>
      <c r="K155" s="18"/>
      <c r="L155" s="80">
        <f t="shared" si="67"/>
        <v>0</v>
      </c>
      <c r="M155" s="18"/>
      <c r="N155" s="80">
        <f t="shared" si="68"/>
        <v>0</v>
      </c>
      <c r="O155" s="18"/>
      <c r="P155" s="80">
        <f t="shared" si="69"/>
        <v>0</v>
      </c>
      <c r="Q155" s="18"/>
      <c r="R155" s="80">
        <f t="shared" si="70"/>
        <v>0</v>
      </c>
      <c r="S155" s="18"/>
      <c r="T155" s="80">
        <f t="shared" si="71"/>
        <v>0</v>
      </c>
      <c r="U155" s="18"/>
      <c r="V155" s="80">
        <f t="shared" si="51"/>
        <v>0</v>
      </c>
      <c r="W155" s="19" t="str">
        <f t="shared" si="52"/>
        <v xml:space="preserve"> </v>
      </c>
      <c r="X155" s="19" t="str">
        <f t="shared" si="53"/>
        <v xml:space="preserve"> </v>
      </c>
      <c r="Y155" s="19" t="str">
        <f t="shared" si="54"/>
        <v/>
      </c>
      <c r="Z155" s="23"/>
      <c r="AA155" s="19" t="str">
        <f t="shared" si="55"/>
        <v/>
      </c>
      <c r="AB155" s="19" t="str">
        <f t="shared" si="56"/>
        <v xml:space="preserve"> </v>
      </c>
      <c r="AC155" s="19" t="str">
        <f t="shared" si="57"/>
        <v/>
      </c>
      <c r="AD155" s="19" t="str">
        <f t="shared" si="58"/>
        <v xml:space="preserve"> </v>
      </c>
      <c r="AE155" s="125" t="str">
        <f t="shared" si="59"/>
        <v xml:space="preserve"> </v>
      </c>
      <c r="AF155" s="19" t="str">
        <f t="shared" si="60"/>
        <v xml:space="preserve"> </v>
      </c>
      <c r="AG155" s="50">
        <f t="shared" si="61"/>
        <v>0</v>
      </c>
      <c r="AH155" s="50" t="str">
        <f t="shared" si="62"/>
        <v xml:space="preserve"> </v>
      </c>
      <c r="AI155" s="36" t="str">
        <f>IFERROR(IF((INDEX('[3]Riesgos de Corrupción'!$B$11:$V$100,MATCH('Controles de Corrupción'!C155,'[3]Riesgos de Corrupción'!$B$11:$B$100,0),17)-AH155&lt;=1),"Rara vez",IF((INDEX('[3]Riesgos de Corrupción'!$B$11:$V$100,MATCH('Controles de Corrupción'!C155,'[3]Riesgos de Corrupción'!$B$11:$B$100,0),17)-AH155&lt;=2),"Improbable",IF((INDEX('[3]Riesgos de Corrupción'!$B$11:$V$100,MATCH('Controles de Corrupción'!C155,'[3]Riesgos de Corrupción'!$B$11:$B$100,0),17)-AH155&lt;=3),"Posible",IF((INDEX('[3]Riesgos de Corrupción'!$B$11:$V$100,MATCH('Controles de Corrupción'!C155,'[3]Riesgos de Corrupción'!$B$11:$B$100,0),17)-AH155&lt;=4),"Probable",IF((INDEX('[3]Riesgos de Corrupción'!$B$11:$V$100,MATCH('Controles de Corrupción'!C155,'[3]Riesgos de Corrupción'!$B$11:$B$100,0),17)-AH155&lt;=5),"Casi seguro")))))," ")</f>
        <v xml:space="preserve"> </v>
      </c>
      <c r="AJ155" s="8" t="str">
        <f>IFERROR(IF(OR(AND(AF155="Fuerte",H155="No disminuye"),AND(AF155="Moderado",H155="Indirectamente"),AND(AF155="Moderado",H155="No disminuye"),AND(INDEX('[3]Riesgos de Corrupción'!$B$11:$BN$100,MATCH('Controles de Corrupción'!C155,'[3]Riesgos de Corrupción'!$B$11:$B$100,0),63)="Moderado")),0,IF(OR(AND(AF155="Fuerte",H155="Indirectamente"),AND(AF155="Moderado",H155="Directamente"),AND(INDEX('[3]Riesgos de Corrupción'!$B$11:$BN$100,MATCH('Controles de Corrupción'!C155,'[3]Riesgos de Corrupción'!$B$11:$B$100,0),63)="Mayor")),1,IF(AND(AF155="Fuerte",H155="Directamente",AND(INDEX('[3]Riesgos de Corrupción'!$B$11:$BN$100,MATCH('Controles de Corrupción'!C155,'[3]Riesgos de Corrupción'!$B$11:$B$100,0),63)="Catastrófico")),2)))," ")</f>
        <v xml:space="preserve"> </v>
      </c>
      <c r="AK155" s="19" t="str">
        <f t="shared" si="63"/>
        <v xml:space="preserve"> </v>
      </c>
      <c r="AL155" s="19" t="str">
        <f>IFERROR(IF((INDEX('[3]Riesgos de Corrupción'!$B$11:$BN$100,MATCH('Controles de Corrupción'!C155,'[3]Riesgos de Corrupción'!$B$11:$B$100,0),62)-AK155&lt;=3),"Moderado",IF((INDEX('[3]Riesgos de Corrupción'!$B$11:$BN$100,MATCH('Controles de Corrupción'!C155,'[3]Riesgos de Corrupción'!$B$11:$B$100,0),62)-AK155&lt;=4),"Mayor",IF((INDEX('[3]Riesgos de Corrupción'!$B$11:$BN$100,MATCH('Controles de Corrupción'!C155,'[3]Riesgos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0" t="str">
        <f t="shared" si="50"/>
        <v>-</v>
      </c>
      <c r="C156" s="188"/>
      <c r="D156" s="170"/>
      <c r="E156" s="171"/>
      <c r="F156" s="129"/>
      <c r="G156" s="128"/>
      <c r="H156" s="23"/>
      <c r="I156" s="18"/>
      <c r="J156" s="80">
        <f t="shared" si="66"/>
        <v>0</v>
      </c>
      <c r="K156" s="18"/>
      <c r="L156" s="80">
        <f t="shared" si="67"/>
        <v>0</v>
      </c>
      <c r="M156" s="18"/>
      <c r="N156" s="80">
        <f t="shared" si="68"/>
        <v>0</v>
      </c>
      <c r="O156" s="18"/>
      <c r="P156" s="80">
        <f t="shared" si="69"/>
        <v>0</v>
      </c>
      <c r="Q156" s="18"/>
      <c r="R156" s="80">
        <f t="shared" si="70"/>
        <v>0</v>
      </c>
      <c r="S156" s="18"/>
      <c r="T156" s="80">
        <f t="shared" si="71"/>
        <v>0</v>
      </c>
      <c r="U156" s="18"/>
      <c r="V156" s="80">
        <f t="shared" si="51"/>
        <v>0</v>
      </c>
      <c r="W156" s="19" t="str">
        <f t="shared" si="52"/>
        <v xml:space="preserve"> </v>
      </c>
      <c r="X156" s="19" t="str">
        <f t="shared" si="53"/>
        <v xml:space="preserve"> </v>
      </c>
      <c r="Y156" s="19" t="str">
        <f t="shared" si="54"/>
        <v/>
      </c>
      <c r="Z156" s="23"/>
      <c r="AA156" s="19" t="str">
        <f t="shared" si="55"/>
        <v/>
      </c>
      <c r="AB156" s="19" t="str">
        <f t="shared" si="56"/>
        <v xml:space="preserve"> </v>
      </c>
      <c r="AC156" s="19" t="str">
        <f t="shared" si="57"/>
        <v/>
      </c>
      <c r="AD156" s="19" t="str">
        <f t="shared" si="58"/>
        <v xml:space="preserve"> </v>
      </c>
      <c r="AE156" s="125" t="str">
        <f t="shared" si="59"/>
        <v xml:space="preserve"> </v>
      </c>
      <c r="AF156" s="19" t="str">
        <f t="shared" si="60"/>
        <v xml:space="preserve"> </v>
      </c>
      <c r="AG156" s="50">
        <f t="shared" si="61"/>
        <v>0</v>
      </c>
      <c r="AH156" s="50" t="str">
        <f t="shared" si="62"/>
        <v xml:space="preserve"> </v>
      </c>
      <c r="AI156" s="36" t="str">
        <f>IFERROR(IF((INDEX('[3]Riesgos de Corrupción'!$B$11:$V$100,MATCH('Controles de Corrupción'!C156,'[3]Riesgos de Corrupción'!$B$11:$B$100,0),17)-AH156&lt;=1),"Rara vez",IF((INDEX('[3]Riesgos de Corrupción'!$B$11:$V$100,MATCH('Controles de Corrupción'!C156,'[3]Riesgos de Corrupción'!$B$11:$B$100,0),17)-AH156&lt;=2),"Improbable",IF((INDEX('[3]Riesgos de Corrupción'!$B$11:$V$100,MATCH('Controles de Corrupción'!C156,'[3]Riesgos de Corrupción'!$B$11:$B$100,0),17)-AH156&lt;=3),"Posible",IF((INDEX('[3]Riesgos de Corrupción'!$B$11:$V$100,MATCH('Controles de Corrupción'!C156,'[3]Riesgos de Corrupción'!$B$11:$B$100,0),17)-AH156&lt;=4),"Probable",IF((INDEX('[3]Riesgos de Corrupción'!$B$11:$V$100,MATCH('Controles de Corrupción'!C156,'[3]Riesgos de Corrupción'!$B$11:$B$100,0),17)-AH156&lt;=5),"Casi seguro")))))," ")</f>
        <v xml:space="preserve"> </v>
      </c>
      <c r="AJ156" s="8" t="str">
        <f>IFERROR(IF(OR(AND(AF156="Fuerte",H156="No disminuye"),AND(AF156="Moderado",H156="Indirectamente"),AND(AF156="Moderado",H156="No disminuye"),AND(INDEX('[3]Riesgos de Corrupción'!$B$11:$BN$100,MATCH('Controles de Corrupción'!C156,'[3]Riesgos de Corrupción'!$B$11:$B$100,0),63)="Moderado")),0,IF(OR(AND(AF156="Fuerte",H156="Indirectamente"),AND(AF156="Moderado",H156="Directamente"),AND(INDEX('[3]Riesgos de Corrupción'!$B$11:$BN$100,MATCH('Controles de Corrupción'!C156,'[3]Riesgos de Corrupción'!$B$11:$B$100,0),63)="Mayor")),1,IF(AND(AF156="Fuerte",H156="Directamente",AND(INDEX('[3]Riesgos de Corrupción'!$B$11:$BN$100,MATCH('Controles de Corrupción'!C156,'[3]Riesgos de Corrupción'!$B$11:$B$100,0),63)="Catastrófico")),2)))," ")</f>
        <v xml:space="preserve"> </v>
      </c>
      <c r="AK156" s="19" t="str">
        <f t="shared" si="63"/>
        <v xml:space="preserve"> </v>
      </c>
      <c r="AL156" s="19" t="str">
        <f>IFERROR(IF((INDEX('[3]Riesgos de Corrupción'!$B$11:$BN$100,MATCH('Controles de Corrupción'!C156,'[3]Riesgos de Corrupción'!$B$11:$B$100,0),62)-AK156&lt;=3),"Moderado",IF((INDEX('[3]Riesgos de Corrupción'!$B$11:$BN$100,MATCH('Controles de Corrupción'!C156,'[3]Riesgos de Corrupción'!$B$11:$B$100,0),62)-AK156&lt;=4),"Mayor",IF((INDEX('[3]Riesgos de Corrupción'!$B$11:$BN$100,MATCH('Controles de Corrupción'!C156,'[3]Riesgos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0" t="str">
        <f t="shared" si="50"/>
        <v>-</v>
      </c>
      <c r="C157" s="188"/>
      <c r="D157" s="170"/>
      <c r="E157" s="171"/>
      <c r="F157" s="129"/>
      <c r="G157" s="128"/>
      <c r="H157" s="23"/>
      <c r="I157" s="18"/>
      <c r="J157" s="80">
        <f t="shared" si="66"/>
        <v>0</v>
      </c>
      <c r="K157" s="18"/>
      <c r="L157" s="80">
        <f t="shared" si="67"/>
        <v>0</v>
      </c>
      <c r="M157" s="18"/>
      <c r="N157" s="80">
        <f t="shared" si="68"/>
        <v>0</v>
      </c>
      <c r="O157" s="18"/>
      <c r="P157" s="80">
        <f t="shared" si="69"/>
        <v>0</v>
      </c>
      <c r="Q157" s="18"/>
      <c r="R157" s="80">
        <f t="shared" si="70"/>
        <v>0</v>
      </c>
      <c r="S157" s="18"/>
      <c r="T157" s="80">
        <f t="shared" si="71"/>
        <v>0</v>
      </c>
      <c r="U157" s="18"/>
      <c r="V157" s="80">
        <f t="shared" si="51"/>
        <v>0</v>
      </c>
      <c r="W157" s="19" t="str">
        <f t="shared" si="52"/>
        <v xml:space="preserve"> </v>
      </c>
      <c r="X157" s="19" t="str">
        <f t="shared" si="53"/>
        <v xml:space="preserve"> </v>
      </c>
      <c r="Y157" s="19" t="str">
        <f t="shared" si="54"/>
        <v/>
      </c>
      <c r="Z157" s="23"/>
      <c r="AA157" s="19" t="str">
        <f t="shared" si="55"/>
        <v/>
      </c>
      <c r="AB157" s="19" t="str">
        <f t="shared" si="56"/>
        <v xml:space="preserve"> </v>
      </c>
      <c r="AC157" s="19" t="str">
        <f t="shared" si="57"/>
        <v/>
      </c>
      <c r="AD157" s="19" t="str">
        <f t="shared" si="58"/>
        <v xml:space="preserve"> </v>
      </c>
      <c r="AE157" s="125" t="str">
        <f t="shared" si="59"/>
        <v xml:space="preserve"> </v>
      </c>
      <c r="AF157" s="19" t="str">
        <f t="shared" si="60"/>
        <v xml:space="preserve"> </v>
      </c>
      <c r="AG157" s="50">
        <f t="shared" si="61"/>
        <v>0</v>
      </c>
      <c r="AH157" s="50" t="str">
        <f t="shared" si="62"/>
        <v xml:space="preserve"> </v>
      </c>
      <c r="AI157" s="36" t="str">
        <f>IFERROR(IF((INDEX('[3]Riesgos de Corrupción'!$B$11:$V$100,MATCH('Controles de Corrupción'!C157,'[3]Riesgos de Corrupción'!$B$11:$B$100,0),17)-AH157&lt;=1),"Rara vez",IF((INDEX('[3]Riesgos de Corrupción'!$B$11:$V$100,MATCH('Controles de Corrupción'!C157,'[3]Riesgos de Corrupción'!$B$11:$B$100,0),17)-AH157&lt;=2),"Improbable",IF((INDEX('[3]Riesgos de Corrupción'!$B$11:$V$100,MATCH('Controles de Corrupción'!C157,'[3]Riesgos de Corrupción'!$B$11:$B$100,0),17)-AH157&lt;=3),"Posible",IF((INDEX('[3]Riesgos de Corrupción'!$B$11:$V$100,MATCH('Controles de Corrupción'!C157,'[3]Riesgos de Corrupción'!$B$11:$B$100,0),17)-AH157&lt;=4),"Probable",IF((INDEX('[3]Riesgos de Corrupción'!$B$11:$V$100,MATCH('Controles de Corrupción'!C157,'[3]Riesgos de Corrupción'!$B$11:$B$100,0),17)-AH157&lt;=5),"Casi seguro")))))," ")</f>
        <v xml:space="preserve"> </v>
      </c>
      <c r="AJ157" s="8" t="str">
        <f>IFERROR(IF(OR(AND(AF157="Fuerte",H157="No disminuye"),AND(AF157="Moderado",H157="Indirectamente"),AND(AF157="Moderado",H157="No disminuye"),AND(INDEX('[3]Riesgos de Corrupción'!$B$11:$BN$100,MATCH('Controles de Corrupción'!C157,'[3]Riesgos de Corrupción'!$B$11:$B$100,0),63)="Moderado")),0,IF(OR(AND(AF157="Fuerte",H157="Indirectamente"),AND(AF157="Moderado",H157="Directamente"),AND(INDEX('[3]Riesgos de Corrupción'!$B$11:$BN$100,MATCH('Controles de Corrupción'!C157,'[3]Riesgos de Corrupción'!$B$11:$B$100,0),63)="Mayor")),1,IF(AND(AF157="Fuerte",H157="Directamente",AND(INDEX('[3]Riesgos de Corrupción'!$B$11:$BN$100,MATCH('Controles de Corrupción'!C157,'[3]Riesgos de Corrupción'!$B$11:$B$100,0),63)="Catastrófico")),2)))," ")</f>
        <v xml:space="preserve"> </v>
      </c>
      <c r="AK157" s="19" t="str">
        <f t="shared" si="63"/>
        <v xml:space="preserve"> </v>
      </c>
      <c r="AL157" s="19" t="str">
        <f>IFERROR(IF((INDEX('[3]Riesgos de Corrupción'!$B$11:$BN$100,MATCH('Controles de Corrupción'!C157,'[3]Riesgos de Corrupción'!$B$11:$B$100,0),62)-AK157&lt;=3),"Moderado",IF((INDEX('[3]Riesgos de Corrupción'!$B$11:$BN$100,MATCH('Controles de Corrupción'!C157,'[3]Riesgos de Corrupción'!$B$11:$B$100,0),62)-AK157&lt;=4),"Mayor",IF((INDEX('[3]Riesgos de Corrupción'!$B$11:$BN$100,MATCH('Controles de Corrupción'!C157,'[3]Riesgos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0" t="str">
        <f t="shared" si="50"/>
        <v>-</v>
      </c>
      <c r="C158" s="188"/>
      <c r="D158" s="170"/>
      <c r="E158" s="171"/>
      <c r="F158" s="129"/>
      <c r="G158" s="128"/>
      <c r="H158" s="23"/>
      <c r="I158" s="18"/>
      <c r="J158" s="80">
        <f t="shared" si="66"/>
        <v>0</v>
      </c>
      <c r="K158" s="18"/>
      <c r="L158" s="80">
        <f t="shared" si="67"/>
        <v>0</v>
      </c>
      <c r="M158" s="18"/>
      <c r="N158" s="80">
        <f t="shared" si="68"/>
        <v>0</v>
      </c>
      <c r="O158" s="18"/>
      <c r="P158" s="80">
        <f t="shared" si="69"/>
        <v>0</v>
      </c>
      <c r="Q158" s="18"/>
      <c r="R158" s="80">
        <f t="shared" si="70"/>
        <v>0</v>
      </c>
      <c r="S158" s="18"/>
      <c r="T158" s="80">
        <f t="shared" si="71"/>
        <v>0</v>
      </c>
      <c r="U158" s="18"/>
      <c r="V158" s="80">
        <f t="shared" si="51"/>
        <v>0</v>
      </c>
      <c r="W158" s="19" t="str">
        <f t="shared" si="52"/>
        <v xml:space="preserve"> </v>
      </c>
      <c r="X158" s="19" t="str">
        <f t="shared" si="53"/>
        <v xml:space="preserve"> </v>
      </c>
      <c r="Y158" s="19" t="str">
        <f t="shared" si="54"/>
        <v/>
      </c>
      <c r="Z158" s="23"/>
      <c r="AA158" s="19" t="str">
        <f t="shared" si="55"/>
        <v/>
      </c>
      <c r="AB158" s="19" t="str">
        <f t="shared" si="56"/>
        <v xml:space="preserve"> </v>
      </c>
      <c r="AC158" s="19" t="str">
        <f t="shared" si="57"/>
        <v/>
      </c>
      <c r="AD158" s="19" t="str">
        <f t="shared" si="58"/>
        <v xml:space="preserve"> </v>
      </c>
      <c r="AE158" s="125" t="str">
        <f t="shared" si="59"/>
        <v xml:space="preserve"> </v>
      </c>
      <c r="AF158" s="19" t="str">
        <f t="shared" si="60"/>
        <v xml:space="preserve"> </v>
      </c>
      <c r="AG158" s="50">
        <f t="shared" si="61"/>
        <v>0</v>
      </c>
      <c r="AH158" s="50" t="str">
        <f t="shared" si="62"/>
        <v xml:space="preserve"> </v>
      </c>
      <c r="AI158" s="36" t="str">
        <f>IFERROR(IF((INDEX('[3]Riesgos de Corrupción'!$B$11:$V$100,MATCH('Controles de Corrupción'!C158,'[3]Riesgos de Corrupción'!$B$11:$B$100,0),17)-AH158&lt;=1),"Rara vez",IF((INDEX('[3]Riesgos de Corrupción'!$B$11:$V$100,MATCH('Controles de Corrupción'!C158,'[3]Riesgos de Corrupción'!$B$11:$B$100,0),17)-AH158&lt;=2),"Improbable",IF((INDEX('[3]Riesgos de Corrupción'!$B$11:$V$100,MATCH('Controles de Corrupción'!C158,'[3]Riesgos de Corrupción'!$B$11:$B$100,0),17)-AH158&lt;=3),"Posible",IF((INDEX('[3]Riesgos de Corrupción'!$B$11:$V$100,MATCH('Controles de Corrupción'!C158,'[3]Riesgos de Corrupción'!$B$11:$B$100,0),17)-AH158&lt;=4),"Probable",IF((INDEX('[3]Riesgos de Corrupción'!$B$11:$V$100,MATCH('Controles de Corrupción'!C158,'[3]Riesgos de Corrupción'!$B$11:$B$100,0),17)-AH158&lt;=5),"Casi seguro")))))," ")</f>
        <v xml:space="preserve"> </v>
      </c>
      <c r="AJ158" s="8" t="str">
        <f>IFERROR(IF(OR(AND(AF158="Fuerte",H158="No disminuye"),AND(AF158="Moderado",H158="Indirectamente"),AND(AF158="Moderado",H158="No disminuye"),AND(INDEX('[3]Riesgos de Corrupción'!$B$11:$BN$100,MATCH('Controles de Corrupción'!C158,'[3]Riesgos de Corrupción'!$B$11:$B$100,0),63)="Moderado")),0,IF(OR(AND(AF158="Fuerte",H158="Indirectamente"),AND(AF158="Moderado",H158="Directamente"),AND(INDEX('[3]Riesgos de Corrupción'!$B$11:$BN$100,MATCH('Controles de Corrupción'!C158,'[3]Riesgos de Corrupción'!$B$11:$B$100,0),63)="Mayor")),1,IF(AND(AF158="Fuerte",H158="Directamente",AND(INDEX('[3]Riesgos de Corrupción'!$B$11:$BN$100,MATCH('Controles de Corrupción'!C158,'[3]Riesgos de Corrupción'!$B$11:$B$100,0),63)="Catastrófico")),2)))," ")</f>
        <v xml:space="preserve"> </v>
      </c>
      <c r="AK158" s="19" t="str">
        <f t="shared" si="63"/>
        <v xml:space="preserve"> </v>
      </c>
      <c r="AL158" s="19" t="str">
        <f>IFERROR(IF((INDEX('[3]Riesgos de Corrupción'!$B$11:$BN$100,MATCH('Controles de Corrupción'!C158,'[3]Riesgos de Corrupción'!$B$11:$B$100,0),62)-AK158&lt;=3),"Moderado",IF((INDEX('[3]Riesgos de Corrupción'!$B$11:$BN$100,MATCH('Controles de Corrupción'!C158,'[3]Riesgos de Corrupción'!$B$11:$B$100,0),62)-AK158&lt;=4),"Mayor",IF((INDEX('[3]Riesgos de Corrupción'!$B$11:$BN$100,MATCH('Controles de Corrupción'!C158,'[3]Riesgos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0" t="str">
        <f t="shared" si="50"/>
        <v>-</v>
      </c>
      <c r="C159" s="188"/>
      <c r="D159" s="170"/>
      <c r="E159" s="171"/>
      <c r="F159" s="129"/>
      <c r="G159" s="128"/>
      <c r="H159" s="23"/>
      <c r="I159" s="18"/>
      <c r="J159" s="80">
        <f t="shared" si="66"/>
        <v>0</v>
      </c>
      <c r="K159" s="18"/>
      <c r="L159" s="80">
        <f t="shared" si="67"/>
        <v>0</v>
      </c>
      <c r="M159" s="18"/>
      <c r="N159" s="80">
        <f t="shared" si="68"/>
        <v>0</v>
      </c>
      <c r="O159" s="18"/>
      <c r="P159" s="80">
        <f t="shared" si="69"/>
        <v>0</v>
      </c>
      <c r="Q159" s="18"/>
      <c r="R159" s="80">
        <f t="shared" si="70"/>
        <v>0</v>
      </c>
      <c r="S159" s="18"/>
      <c r="T159" s="80">
        <f t="shared" si="71"/>
        <v>0</v>
      </c>
      <c r="U159" s="18"/>
      <c r="V159" s="80">
        <f t="shared" si="51"/>
        <v>0</v>
      </c>
      <c r="W159" s="19" t="str">
        <f t="shared" si="52"/>
        <v xml:space="preserve"> </v>
      </c>
      <c r="X159" s="19" t="str">
        <f t="shared" si="53"/>
        <v xml:space="preserve"> </v>
      </c>
      <c r="Y159" s="19" t="str">
        <f t="shared" si="54"/>
        <v/>
      </c>
      <c r="Z159" s="23"/>
      <c r="AA159" s="19" t="str">
        <f t="shared" si="55"/>
        <v/>
      </c>
      <c r="AB159" s="19" t="str">
        <f t="shared" si="56"/>
        <v xml:space="preserve"> </v>
      </c>
      <c r="AC159" s="19" t="str">
        <f t="shared" si="57"/>
        <v/>
      </c>
      <c r="AD159" s="19" t="str">
        <f t="shared" si="58"/>
        <v xml:space="preserve"> </v>
      </c>
      <c r="AE159" s="125" t="str">
        <f t="shared" si="59"/>
        <v xml:space="preserve"> </v>
      </c>
      <c r="AF159" s="19" t="str">
        <f t="shared" si="60"/>
        <v xml:space="preserve"> </v>
      </c>
      <c r="AG159" s="50">
        <f t="shared" si="61"/>
        <v>0</v>
      </c>
      <c r="AH159" s="50" t="str">
        <f t="shared" si="62"/>
        <v xml:space="preserve"> </v>
      </c>
      <c r="AI159" s="36" t="str">
        <f>IFERROR(IF((INDEX('[3]Riesgos de Corrupción'!$B$11:$V$100,MATCH('Controles de Corrupción'!C159,'[3]Riesgos de Corrupción'!$B$11:$B$100,0),17)-AH159&lt;=1),"Rara vez",IF((INDEX('[3]Riesgos de Corrupción'!$B$11:$V$100,MATCH('Controles de Corrupción'!C159,'[3]Riesgos de Corrupción'!$B$11:$B$100,0),17)-AH159&lt;=2),"Improbable",IF((INDEX('[3]Riesgos de Corrupción'!$B$11:$V$100,MATCH('Controles de Corrupción'!C159,'[3]Riesgos de Corrupción'!$B$11:$B$100,0),17)-AH159&lt;=3),"Posible",IF((INDEX('[3]Riesgos de Corrupción'!$B$11:$V$100,MATCH('Controles de Corrupción'!C159,'[3]Riesgos de Corrupción'!$B$11:$B$100,0),17)-AH159&lt;=4),"Probable",IF((INDEX('[3]Riesgos de Corrupción'!$B$11:$V$100,MATCH('Controles de Corrupción'!C159,'[3]Riesgos de Corrupción'!$B$11:$B$100,0),17)-AH159&lt;=5),"Casi seguro")))))," ")</f>
        <v xml:space="preserve"> </v>
      </c>
      <c r="AJ159" s="8" t="str">
        <f>IFERROR(IF(OR(AND(AF159="Fuerte",H159="No disminuye"),AND(AF159="Moderado",H159="Indirectamente"),AND(AF159="Moderado",H159="No disminuye"),AND(INDEX('[3]Riesgos de Corrupción'!$B$11:$BN$100,MATCH('Controles de Corrupción'!C159,'[3]Riesgos de Corrupción'!$B$11:$B$100,0),63)="Moderado")),0,IF(OR(AND(AF159="Fuerte",H159="Indirectamente"),AND(AF159="Moderado",H159="Directamente"),AND(INDEX('[3]Riesgos de Corrupción'!$B$11:$BN$100,MATCH('Controles de Corrupción'!C159,'[3]Riesgos de Corrupción'!$B$11:$B$100,0),63)="Mayor")),1,IF(AND(AF159="Fuerte",H159="Directamente",AND(INDEX('[3]Riesgos de Corrupción'!$B$11:$BN$100,MATCH('Controles de Corrupción'!C159,'[3]Riesgos de Corrupción'!$B$11:$B$100,0),63)="Catastrófico")),2)))," ")</f>
        <v xml:space="preserve"> </v>
      </c>
      <c r="AK159" s="19" t="str">
        <f t="shared" si="63"/>
        <v xml:space="preserve"> </v>
      </c>
      <c r="AL159" s="19" t="str">
        <f>IFERROR(IF((INDEX('[3]Riesgos de Corrupción'!$B$11:$BN$100,MATCH('Controles de Corrupción'!C159,'[3]Riesgos de Corrupción'!$B$11:$B$100,0),62)-AK159&lt;=3),"Moderado",IF((INDEX('[3]Riesgos de Corrupción'!$B$11:$BN$100,MATCH('Controles de Corrupción'!C159,'[3]Riesgos de Corrupción'!$B$11:$B$100,0),62)-AK159&lt;=4),"Mayor",IF((INDEX('[3]Riesgos de Corrupción'!$B$11:$BN$100,MATCH('Controles de Corrupción'!C159,'[3]Riesgos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0" t="str">
        <f t="shared" si="50"/>
        <v>-</v>
      </c>
      <c r="C160" s="188"/>
      <c r="D160" s="170"/>
      <c r="E160" s="171"/>
      <c r="F160" s="129"/>
      <c r="G160" s="128"/>
      <c r="H160" s="23"/>
      <c r="I160" s="18"/>
      <c r="J160" s="80">
        <f t="shared" si="66"/>
        <v>0</v>
      </c>
      <c r="K160" s="18"/>
      <c r="L160" s="80">
        <f t="shared" si="67"/>
        <v>0</v>
      </c>
      <c r="M160" s="18"/>
      <c r="N160" s="80">
        <f t="shared" si="68"/>
        <v>0</v>
      </c>
      <c r="O160" s="18"/>
      <c r="P160" s="80">
        <f t="shared" si="69"/>
        <v>0</v>
      </c>
      <c r="Q160" s="18"/>
      <c r="R160" s="80">
        <f t="shared" si="70"/>
        <v>0</v>
      </c>
      <c r="S160" s="18"/>
      <c r="T160" s="80">
        <f t="shared" si="71"/>
        <v>0</v>
      </c>
      <c r="U160" s="18"/>
      <c r="V160" s="80">
        <f t="shared" si="51"/>
        <v>0</v>
      </c>
      <c r="W160" s="19" t="str">
        <f t="shared" si="52"/>
        <v xml:space="preserve"> </v>
      </c>
      <c r="X160" s="19" t="str">
        <f t="shared" si="53"/>
        <v xml:space="preserve"> </v>
      </c>
      <c r="Y160" s="19" t="str">
        <f t="shared" si="54"/>
        <v/>
      </c>
      <c r="Z160" s="23"/>
      <c r="AA160" s="19" t="str">
        <f t="shared" si="55"/>
        <v/>
      </c>
      <c r="AB160" s="19" t="str">
        <f t="shared" si="56"/>
        <v xml:space="preserve"> </v>
      </c>
      <c r="AC160" s="19" t="str">
        <f t="shared" si="57"/>
        <v/>
      </c>
      <c r="AD160" s="19" t="str">
        <f t="shared" si="58"/>
        <v xml:space="preserve"> </v>
      </c>
      <c r="AE160" s="125" t="str">
        <f t="shared" si="59"/>
        <v xml:space="preserve"> </v>
      </c>
      <c r="AF160" s="19" t="str">
        <f t="shared" si="60"/>
        <v xml:space="preserve"> </v>
      </c>
      <c r="AG160" s="50">
        <f t="shared" si="61"/>
        <v>0</v>
      </c>
      <c r="AH160" s="50" t="str">
        <f t="shared" si="62"/>
        <v xml:space="preserve"> </v>
      </c>
      <c r="AI160" s="36" t="str">
        <f>IFERROR(IF((INDEX('[3]Riesgos de Corrupción'!$B$11:$V$100,MATCH('Controles de Corrupción'!C160,'[3]Riesgos de Corrupción'!$B$11:$B$100,0),17)-AH160&lt;=1),"Rara vez",IF((INDEX('[3]Riesgos de Corrupción'!$B$11:$V$100,MATCH('Controles de Corrupción'!C160,'[3]Riesgos de Corrupción'!$B$11:$B$100,0),17)-AH160&lt;=2),"Improbable",IF((INDEX('[3]Riesgos de Corrupción'!$B$11:$V$100,MATCH('Controles de Corrupción'!C160,'[3]Riesgos de Corrupción'!$B$11:$B$100,0),17)-AH160&lt;=3),"Posible",IF((INDEX('[3]Riesgos de Corrupción'!$B$11:$V$100,MATCH('Controles de Corrupción'!C160,'[3]Riesgos de Corrupción'!$B$11:$B$100,0),17)-AH160&lt;=4),"Probable",IF((INDEX('[3]Riesgos de Corrupción'!$B$11:$V$100,MATCH('Controles de Corrupción'!C160,'[3]Riesgos de Corrupción'!$B$11:$B$100,0),17)-AH160&lt;=5),"Casi seguro")))))," ")</f>
        <v xml:space="preserve"> </v>
      </c>
      <c r="AJ160" s="8" t="str">
        <f>IFERROR(IF(OR(AND(AF160="Fuerte",H160="No disminuye"),AND(AF160="Moderado",H160="Indirectamente"),AND(AF160="Moderado",H160="No disminuye"),AND(INDEX('[3]Riesgos de Corrupción'!$B$11:$BN$100,MATCH('Controles de Corrupción'!C160,'[3]Riesgos de Corrupción'!$B$11:$B$100,0),63)="Moderado")),0,IF(OR(AND(AF160="Fuerte",H160="Indirectamente"),AND(AF160="Moderado",H160="Directamente"),AND(INDEX('[3]Riesgos de Corrupción'!$B$11:$BN$100,MATCH('Controles de Corrupción'!C160,'[3]Riesgos de Corrupción'!$B$11:$B$100,0),63)="Mayor")),1,IF(AND(AF160="Fuerte",H160="Directamente",AND(INDEX('[3]Riesgos de Corrupción'!$B$11:$BN$100,MATCH('Controles de Corrupción'!C160,'[3]Riesgos de Corrupción'!$B$11:$B$100,0),63)="Catastrófico")),2)))," ")</f>
        <v xml:space="preserve"> </v>
      </c>
      <c r="AK160" s="19" t="str">
        <f t="shared" si="63"/>
        <v xml:space="preserve"> </v>
      </c>
      <c r="AL160" s="19" t="str">
        <f>IFERROR(IF((INDEX('[3]Riesgos de Corrupción'!$B$11:$BN$100,MATCH('Controles de Corrupción'!C160,'[3]Riesgos de Corrupción'!$B$11:$B$100,0),62)-AK160&lt;=3),"Moderado",IF((INDEX('[3]Riesgos de Corrupción'!$B$11:$BN$100,MATCH('Controles de Corrupción'!C160,'[3]Riesgos de Corrupción'!$B$11:$B$100,0),62)-AK160&lt;=4),"Mayor",IF((INDEX('[3]Riesgos de Corrupción'!$B$11:$BN$100,MATCH('Controles de Corrupción'!C160,'[3]Riesgos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0" t="str">
        <f t="shared" si="50"/>
        <v>-</v>
      </c>
      <c r="C161" s="188"/>
      <c r="D161" s="170"/>
      <c r="E161" s="171"/>
      <c r="F161" s="129"/>
      <c r="G161" s="128"/>
      <c r="H161" s="23"/>
      <c r="I161" s="18"/>
      <c r="J161" s="80">
        <f t="shared" si="66"/>
        <v>0</v>
      </c>
      <c r="K161" s="18"/>
      <c r="L161" s="80">
        <f t="shared" si="67"/>
        <v>0</v>
      </c>
      <c r="M161" s="18"/>
      <c r="N161" s="80">
        <f t="shared" si="68"/>
        <v>0</v>
      </c>
      <c r="O161" s="18"/>
      <c r="P161" s="80">
        <f t="shared" si="69"/>
        <v>0</v>
      </c>
      <c r="Q161" s="18"/>
      <c r="R161" s="80">
        <f t="shared" si="70"/>
        <v>0</v>
      </c>
      <c r="S161" s="18"/>
      <c r="T161" s="80">
        <f t="shared" si="71"/>
        <v>0</v>
      </c>
      <c r="U161" s="18"/>
      <c r="V161" s="80">
        <f t="shared" si="51"/>
        <v>0</v>
      </c>
      <c r="W161" s="19" t="str">
        <f t="shared" si="52"/>
        <v xml:space="preserve"> </v>
      </c>
      <c r="X161" s="19" t="str">
        <f t="shared" si="53"/>
        <v xml:space="preserve"> </v>
      </c>
      <c r="Y161" s="19" t="str">
        <f t="shared" si="54"/>
        <v/>
      </c>
      <c r="Z161" s="23"/>
      <c r="AA161" s="19" t="str">
        <f t="shared" si="55"/>
        <v/>
      </c>
      <c r="AB161" s="19" t="str">
        <f t="shared" si="56"/>
        <v xml:space="preserve"> </v>
      </c>
      <c r="AC161" s="19" t="str">
        <f t="shared" si="57"/>
        <v/>
      </c>
      <c r="AD161" s="19" t="str">
        <f t="shared" si="58"/>
        <v xml:space="preserve"> </v>
      </c>
      <c r="AE161" s="125" t="str">
        <f t="shared" si="59"/>
        <v xml:space="preserve"> </v>
      </c>
      <c r="AF161" s="19" t="str">
        <f t="shared" si="60"/>
        <v xml:space="preserve"> </v>
      </c>
      <c r="AG161" s="50">
        <f t="shared" si="61"/>
        <v>0</v>
      </c>
      <c r="AH161" s="50" t="str">
        <f t="shared" si="62"/>
        <v xml:space="preserve"> </v>
      </c>
      <c r="AI161" s="36" t="str">
        <f>IFERROR(IF((INDEX('[3]Riesgos de Corrupción'!$B$11:$V$100,MATCH('Controles de Corrupción'!C161,'[3]Riesgos de Corrupción'!$B$11:$B$100,0),17)-AH161&lt;=1),"Rara vez",IF((INDEX('[3]Riesgos de Corrupción'!$B$11:$V$100,MATCH('Controles de Corrupción'!C161,'[3]Riesgos de Corrupción'!$B$11:$B$100,0),17)-AH161&lt;=2),"Improbable",IF((INDEX('[3]Riesgos de Corrupción'!$B$11:$V$100,MATCH('Controles de Corrupción'!C161,'[3]Riesgos de Corrupción'!$B$11:$B$100,0),17)-AH161&lt;=3),"Posible",IF((INDEX('[3]Riesgos de Corrupción'!$B$11:$V$100,MATCH('Controles de Corrupción'!C161,'[3]Riesgos de Corrupción'!$B$11:$B$100,0),17)-AH161&lt;=4),"Probable",IF((INDEX('[3]Riesgos de Corrupción'!$B$11:$V$100,MATCH('Controles de Corrupción'!C161,'[3]Riesgos de Corrupción'!$B$11:$B$100,0),17)-AH161&lt;=5),"Casi seguro")))))," ")</f>
        <v xml:space="preserve"> </v>
      </c>
      <c r="AJ161" s="8" t="str">
        <f>IFERROR(IF(OR(AND(AF161="Fuerte",H161="No disminuye"),AND(AF161="Moderado",H161="Indirectamente"),AND(AF161="Moderado",H161="No disminuye"),AND(INDEX('[3]Riesgos de Corrupción'!$B$11:$BN$100,MATCH('Controles de Corrupción'!C161,'[3]Riesgos de Corrupción'!$B$11:$B$100,0),63)="Moderado")),0,IF(OR(AND(AF161="Fuerte",H161="Indirectamente"),AND(AF161="Moderado",H161="Directamente"),AND(INDEX('[3]Riesgos de Corrupción'!$B$11:$BN$100,MATCH('Controles de Corrupción'!C161,'[3]Riesgos de Corrupción'!$B$11:$B$100,0),63)="Mayor")),1,IF(AND(AF161="Fuerte",H161="Directamente",AND(INDEX('[3]Riesgos de Corrupción'!$B$11:$BN$100,MATCH('Controles de Corrupción'!C161,'[3]Riesgos de Corrupción'!$B$11:$B$100,0),63)="Catastrófico")),2)))," ")</f>
        <v xml:space="preserve"> </v>
      </c>
      <c r="AK161" s="19" t="str">
        <f t="shared" si="63"/>
        <v xml:space="preserve"> </v>
      </c>
      <c r="AL161" s="19" t="str">
        <f>IFERROR(IF((INDEX('[3]Riesgos de Corrupción'!$B$11:$BN$100,MATCH('Controles de Corrupción'!C161,'[3]Riesgos de Corrupción'!$B$11:$B$100,0),62)-AK161&lt;=3),"Moderado",IF((INDEX('[3]Riesgos de Corrupción'!$B$11:$BN$100,MATCH('Controles de Corrupción'!C161,'[3]Riesgos de Corrupción'!$B$11:$B$100,0),62)-AK161&lt;=4),"Mayor",IF((INDEX('[3]Riesgos de Corrupción'!$B$11:$BN$100,MATCH('Controles de Corrupción'!C161,'[3]Riesgos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0" t="str">
        <f t="shared" si="50"/>
        <v>-</v>
      </c>
      <c r="C162" s="188"/>
      <c r="D162" s="170"/>
      <c r="E162" s="171"/>
      <c r="F162" s="129"/>
      <c r="G162" s="128"/>
      <c r="H162" s="23"/>
      <c r="I162" s="18"/>
      <c r="J162" s="80">
        <f t="shared" si="66"/>
        <v>0</v>
      </c>
      <c r="K162" s="18"/>
      <c r="L162" s="80">
        <f t="shared" si="67"/>
        <v>0</v>
      </c>
      <c r="M162" s="18"/>
      <c r="N162" s="80">
        <f t="shared" si="68"/>
        <v>0</v>
      </c>
      <c r="O162" s="18"/>
      <c r="P162" s="80">
        <f t="shared" si="69"/>
        <v>0</v>
      </c>
      <c r="Q162" s="18"/>
      <c r="R162" s="80">
        <f t="shared" si="70"/>
        <v>0</v>
      </c>
      <c r="S162" s="18"/>
      <c r="T162" s="80">
        <f t="shared" si="71"/>
        <v>0</v>
      </c>
      <c r="U162" s="18"/>
      <c r="V162" s="80">
        <f t="shared" si="51"/>
        <v>0</v>
      </c>
      <c r="W162" s="19" t="str">
        <f t="shared" si="52"/>
        <v xml:space="preserve"> </v>
      </c>
      <c r="X162" s="19" t="str">
        <f t="shared" si="53"/>
        <v xml:space="preserve"> </v>
      </c>
      <c r="Y162" s="19" t="str">
        <f t="shared" si="54"/>
        <v/>
      </c>
      <c r="Z162" s="23"/>
      <c r="AA162" s="19" t="str">
        <f t="shared" si="55"/>
        <v/>
      </c>
      <c r="AB162" s="19" t="str">
        <f t="shared" si="56"/>
        <v xml:space="preserve"> </v>
      </c>
      <c r="AC162" s="19" t="str">
        <f t="shared" si="57"/>
        <v/>
      </c>
      <c r="AD162" s="19" t="str">
        <f t="shared" si="58"/>
        <v xml:space="preserve"> </v>
      </c>
      <c r="AE162" s="125" t="str">
        <f t="shared" si="59"/>
        <v xml:space="preserve"> </v>
      </c>
      <c r="AF162" s="19" t="str">
        <f t="shared" si="60"/>
        <v xml:space="preserve"> </v>
      </c>
      <c r="AG162" s="50">
        <f t="shared" si="61"/>
        <v>0</v>
      </c>
      <c r="AH162" s="50" t="str">
        <f t="shared" si="62"/>
        <v xml:space="preserve"> </v>
      </c>
      <c r="AI162" s="36" t="str">
        <f>IFERROR(IF((INDEX('[3]Riesgos de Corrupción'!$B$11:$V$100,MATCH('Controles de Corrupción'!C162,'[3]Riesgos de Corrupción'!$B$11:$B$100,0),17)-AH162&lt;=1),"Rara vez",IF((INDEX('[3]Riesgos de Corrupción'!$B$11:$V$100,MATCH('Controles de Corrupción'!C162,'[3]Riesgos de Corrupción'!$B$11:$B$100,0),17)-AH162&lt;=2),"Improbable",IF((INDEX('[3]Riesgos de Corrupción'!$B$11:$V$100,MATCH('Controles de Corrupción'!C162,'[3]Riesgos de Corrupción'!$B$11:$B$100,0),17)-AH162&lt;=3),"Posible",IF((INDEX('[3]Riesgos de Corrupción'!$B$11:$V$100,MATCH('Controles de Corrupción'!C162,'[3]Riesgos de Corrupción'!$B$11:$B$100,0),17)-AH162&lt;=4),"Probable",IF((INDEX('[3]Riesgos de Corrupción'!$B$11:$V$100,MATCH('Controles de Corrupción'!C162,'[3]Riesgos de Corrupción'!$B$11:$B$100,0),17)-AH162&lt;=5),"Casi seguro")))))," ")</f>
        <v xml:space="preserve"> </v>
      </c>
      <c r="AJ162" s="8" t="str">
        <f>IFERROR(IF(OR(AND(AF162="Fuerte",H162="No disminuye"),AND(AF162="Moderado",H162="Indirectamente"),AND(AF162="Moderado",H162="No disminuye"),AND(INDEX('[3]Riesgos de Corrupción'!$B$11:$BN$100,MATCH('Controles de Corrupción'!C162,'[3]Riesgos de Corrupción'!$B$11:$B$100,0),63)="Moderado")),0,IF(OR(AND(AF162="Fuerte",H162="Indirectamente"),AND(AF162="Moderado",H162="Directamente"),AND(INDEX('[3]Riesgos de Corrupción'!$B$11:$BN$100,MATCH('Controles de Corrupción'!C162,'[3]Riesgos de Corrupción'!$B$11:$B$100,0),63)="Mayor")),1,IF(AND(AF162="Fuerte",H162="Directamente",AND(INDEX('[3]Riesgos de Corrupción'!$B$11:$BN$100,MATCH('Controles de Corrupción'!C162,'[3]Riesgos de Corrupción'!$B$11:$B$100,0),63)="Catastrófico")),2)))," ")</f>
        <v xml:space="preserve"> </v>
      </c>
      <c r="AK162" s="19" t="str">
        <f t="shared" si="63"/>
        <v xml:space="preserve"> </v>
      </c>
      <c r="AL162" s="19" t="str">
        <f>IFERROR(IF((INDEX('[3]Riesgos de Corrupción'!$B$11:$BN$100,MATCH('Controles de Corrupción'!C162,'[3]Riesgos de Corrupción'!$B$11:$B$100,0),62)-AK162&lt;=3),"Moderado",IF((INDEX('[3]Riesgos de Corrupción'!$B$11:$BN$100,MATCH('Controles de Corrupción'!C162,'[3]Riesgos de Corrupción'!$B$11:$B$100,0),62)-AK162&lt;=4),"Mayor",IF((INDEX('[3]Riesgos de Corrupción'!$B$11:$BN$100,MATCH('Controles de Corrupción'!C162,'[3]Riesgos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0" t="str">
        <f t="shared" si="50"/>
        <v>-</v>
      </c>
      <c r="C163" s="188"/>
      <c r="D163" s="170"/>
      <c r="E163" s="171"/>
      <c r="F163" s="129"/>
      <c r="G163" s="128"/>
      <c r="H163" s="23"/>
      <c r="I163" s="18"/>
      <c r="J163" s="80">
        <f t="shared" si="66"/>
        <v>0</v>
      </c>
      <c r="K163" s="18"/>
      <c r="L163" s="80">
        <f t="shared" si="67"/>
        <v>0</v>
      </c>
      <c r="M163" s="18"/>
      <c r="N163" s="80">
        <f t="shared" si="68"/>
        <v>0</v>
      </c>
      <c r="O163" s="18"/>
      <c r="P163" s="80">
        <f t="shared" si="69"/>
        <v>0</v>
      </c>
      <c r="Q163" s="18"/>
      <c r="R163" s="80">
        <f t="shared" si="70"/>
        <v>0</v>
      </c>
      <c r="S163" s="18"/>
      <c r="T163" s="80">
        <f t="shared" si="71"/>
        <v>0</v>
      </c>
      <c r="U163" s="18"/>
      <c r="V163" s="80">
        <f t="shared" si="51"/>
        <v>0</v>
      </c>
      <c r="W163" s="19" t="str">
        <f t="shared" si="52"/>
        <v xml:space="preserve"> </v>
      </c>
      <c r="X163" s="19" t="str">
        <f t="shared" si="53"/>
        <v xml:space="preserve"> </v>
      </c>
      <c r="Y163" s="19" t="str">
        <f t="shared" si="54"/>
        <v/>
      </c>
      <c r="Z163" s="23"/>
      <c r="AA163" s="19" t="str">
        <f t="shared" si="55"/>
        <v/>
      </c>
      <c r="AB163" s="19" t="str">
        <f t="shared" si="56"/>
        <v xml:space="preserve"> </v>
      </c>
      <c r="AC163" s="19" t="str">
        <f t="shared" si="57"/>
        <v/>
      </c>
      <c r="AD163" s="19" t="str">
        <f t="shared" si="58"/>
        <v xml:space="preserve"> </v>
      </c>
      <c r="AE163" s="125" t="str">
        <f t="shared" si="59"/>
        <v xml:space="preserve"> </v>
      </c>
      <c r="AF163" s="19" t="str">
        <f t="shared" si="60"/>
        <v xml:space="preserve"> </v>
      </c>
      <c r="AG163" s="50">
        <f t="shared" si="61"/>
        <v>0</v>
      </c>
      <c r="AH163" s="50" t="str">
        <f t="shared" si="62"/>
        <v xml:space="preserve"> </v>
      </c>
      <c r="AI163" s="36" t="str">
        <f>IFERROR(IF((INDEX('[3]Riesgos de Corrupción'!$B$11:$V$100,MATCH('Controles de Corrupción'!C163,'[3]Riesgos de Corrupción'!$B$11:$B$100,0),17)-AH163&lt;=1),"Rara vez",IF((INDEX('[3]Riesgos de Corrupción'!$B$11:$V$100,MATCH('Controles de Corrupción'!C163,'[3]Riesgos de Corrupción'!$B$11:$B$100,0),17)-AH163&lt;=2),"Improbable",IF((INDEX('[3]Riesgos de Corrupción'!$B$11:$V$100,MATCH('Controles de Corrupción'!C163,'[3]Riesgos de Corrupción'!$B$11:$B$100,0),17)-AH163&lt;=3),"Posible",IF((INDEX('[3]Riesgos de Corrupción'!$B$11:$V$100,MATCH('Controles de Corrupción'!C163,'[3]Riesgos de Corrupción'!$B$11:$B$100,0),17)-AH163&lt;=4),"Probable",IF((INDEX('[3]Riesgos de Corrupción'!$B$11:$V$100,MATCH('Controles de Corrupción'!C163,'[3]Riesgos de Corrupción'!$B$11:$B$100,0),17)-AH163&lt;=5),"Casi seguro")))))," ")</f>
        <v xml:space="preserve"> </v>
      </c>
      <c r="AJ163" s="8" t="str">
        <f>IFERROR(IF(OR(AND(AF163="Fuerte",H163="No disminuye"),AND(AF163="Moderado",H163="Indirectamente"),AND(AF163="Moderado",H163="No disminuye"),AND(INDEX('[3]Riesgos de Corrupción'!$B$11:$BN$100,MATCH('Controles de Corrupción'!C163,'[3]Riesgos de Corrupción'!$B$11:$B$100,0),63)="Moderado")),0,IF(OR(AND(AF163="Fuerte",H163="Indirectamente"),AND(AF163="Moderado",H163="Directamente"),AND(INDEX('[3]Riesgos de Corrupción'!$B$11:$BN$100,MATCH('Controles de Corrupción'!C163,'[3]Riesgos de Corrupción'!$B$11:$B$100,0),63)="Mayor")),1,IF(AND(AF163="Fuerte",H163="Directamente",AND(INDEX('[3]Riesgos de Corrupción'!$B$11:$BN$100,MATCH('Controles de Corrupción'!C163,'[3]Riesgos de Corrupción'!$B$11:$B$100,0),63)="Catastrófico")),2)))," ")</f>
        <v xml:space="preserve"> </v>
      </c>
      <c r="AK163" s="19" t="str">
        <f t="shared" si="63"/>
        <v xml:space="preserve"> </v>
      </c>
      <c r="AL163" s="19" t="str">
        <f>IFERROR(IF((INDEX('[3]Riesgos de Corrupción'!$B$11:$BN$100,MATCH('Controles de Corrupción'!C163,'[3]Riesgos de Corrupción'!$B$11:$B$100,0),62)-AK163&lt;=3),"Moderado",IF((INDEX('[3]Riesgos de Corrupción'!$B$11:$BN$100,MATCH('Controles de Corrupción'!C163,'[3]Riesgos de Corrupción'!$B$11:$B$100,0),62)-AK163&lt;=4),"Mayor",IF((INDEX('[3]Riesgos de Corrupción'!$B$11:$BN$100,MATCH('Controles de Corrupción'!C163,'[3]Riesgos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0" t="str">
        <f t="shared" si="50"/>
        <v>-</v>
      </c>
      <c r="C164" s="188"/>
      <c r="D164" s="170"/>
      <c r="E164" s="171"/>
      <c r="F164" s="129"/>
      <c r="G164" s="128"/>
      <c r="H164" s="23"/>
      <c r="I164" s="18"/>
      <c r="J164" s="80">
        <f t="shared" si="66"/>
        <v>0</v>
      </c>
      <c r="K164" s="18"/>
      <c r="L164" s="80">
        <f t="shared" si="67"/>
        <v>0</v>
      </c>
      <c r="M164" s="18"/>
      <c r="N164" s="80">
        <f t="shared" si="68"/>
        <v>0</v>
      </c>
      <c r="O164" s="18"/>
      <c r="P164" s="80">
        <f t="shared" si="69"/>
        <v>0</v>
      </c>
      <c r="Q164" s="18"/>
      <c r="R164" s="80">
        <f t="shared" si="70"/>
        <v>0</v>
      </c>
      <c r="S164" s="18"/>
      <c r="T164" s="80">
        <f t="shared" si="71"/>
        <v>0</v>
      </c>
      <c r="U164" s="18"/>
      <c r="V164" s="80">
        <f t="shared" si="51"/>
        <v>0</v>
      </c>
      <c r="W164" s="19" t="str">
        <f t="shared" si="52"/>
        <v xml:space="preserve"> </v>
      </c>
      <c r="X164" s="19" t="str">
        <f t="shared" si="53"/>
        <v xml:space="preserve"> </v>
      </c>
      <c r="Y164" s="19" t="str">
        <f t="shared" si="54"/>
        <v/>
      </c>
      <c r="Z164" s="23"/>
      <c r="AA164" s="19" t="str">
        <f t="shared" si="55"/>
        <v/>
      </c>
      <c r="AB164" s="19" t="str">
        <f t="shared" si="56"/>
        <v xml:space="preserve"> </v>
      </c>
      <c r="AC164" s="19" t="str">
        <f t="shared" si="57"/>
        <v/>
      </c>
      <c r="AD164" s="19" t="str">
        <f t="shared" si="58"/>
        <v xml:space="preserve"> </v>
      </c>
      <c r="AE164" s="125" t="str">
        <f t="shared" si="59"/>
        <v xml:space="preserve"> </v>
      </c>
      <c r="AF164" s="19" t="str">
        <f t="shared" si="60"/>
        <v xml:space="preserve"> </v>
      </c>
      <c r="AG164" s="50">
        <f t="shared" si="61"/>
        <v>0</v>
      </c>
      <c r="AH164" s="50" t="str">
        <f t="shared" si="62"/>
        <v xml:space="preserve"> </v>
      </c>
      <c r="AI164" s="36" t="str">
        <f>IFERROR(IF((INDEX('[3]Riesgos de Corrupción'!$B$11:$V$100,MATCH('Controles de Corrupción'!C164,'[3]Riesgos de Corrupción'!$B$11:$B$100,0),17)-AH164&lt;=1),"Rara vez",IF((INDEX('[3]Riesgos de Corrupción'!$B$11:$V$100,MATCH('Controles de Corrupción'!C164,'[3]Riesgos de Corrupción'!$B$11:$B$100,0),17)-AH164&lt;=2),"Improbable",IF((INDEX('[3]Riesgos de Corrupción'!$B$11:$V$100,MATCH('Controles de Corrupción'!C164,'[3]Riesgos de Corrupción'!$B$11:$B$100,0),17)-AH164&lt;=3),"Posible",IF((INDEX('[3]Riesgos de Corrupción'!$B$11:$V$100,MATCH('Controles de Corrupción'!C164,'[3]Riesgos de Corrupción'!$B$11:$B$100,0),17)-AH164&lt;=4),"Probable",IF((INDEX('[3]Riesgos de Corrupción'!$B$11:$V$100,MATCH('Controles de Corrupción'!C164,'[3]Riesgos de Corrupción'!$B$11:$B$100,0),17)-AH164&lt;=5),"Casi seguro")))))," ")</f>
        <v xml:space="preserve"> </v>
      </c>
      <c r="AJ164" s="8" t="str">
        <f>IFERROR(IF(OR(AND(AF164="Fuerte",H164="No disminuye"),AND(AF164="Moderado",H164="Indirectamente"),AND(AF164="Moderado",H164="No disminuye"),AND(INDEX('[3]Riesgos de Corrupción'!$B$11:$BN$100,MATCH('Controles de Corrupción'!C164,'[3]Riesgos de Corrupción'!$B$11:$B$100,0),63)="Moderado")),0,IF(OR(AND(AF164="Fuerte",H164="Indirectamente"),AND(AF164="Moderado",H164="Directamente"),AND(INDEX('[3]Riesgos de Corrupción'!$B$11:$BN$100,MATCH('Controles de Corrupción'!C164,'[3]Riesgos de Corrupción'!$B$11:$B$100,0),63)="Mayor")),1,IF(AND(AF164="Fuerte",H164="Directamente",AND(INDEX('[3]Riesgos de Corrupción'!$B$11:$BN$100,MATCH('Controles de Corrupción'!C164,'[3]Riesgos de Corrupción'!$B$11:$B$100,0),63)="Catastrófico")),2)))," ")</f>
        <v xml:space="preserve"> </v>
      </c>
      <c r="AK164" s="19" t="str">
        <f t="shared" si="63"/>
        <v xml:space="preserve"> </v>
      </c>
      <c r="AL164" s="19" t="str">
        <f>IFERROR(IF((INDEX('[3]Riesgos de Corrupción'!$B$11:$BN$100,MATCH('Controles de Corrupción'!C164,'[3]Riesgos de Corrupción'!$B$11:$B$100,0),62)-AK164&lt;=3),"Moderado",IF((INDEX('[3]Riesgos de Corrupción'!$B$11:$BN$100,MATCH('Controles de Corrupción'!C164,'[3]Riesgos de Corrupción'!$B$11:$B$100,0),62)-AK164&lt;=4),"Mayor",IF((INDEX('[3]Riesgos de Corrupción'!$B$11:$BN$100,MATCH('Controles de Corrupción'!C164,'[3]Riesgos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0" t="str">
        <f t="shared" si="50"/>
        <v>-</v>
      </c>
      <c r="C165" s="188"/>
      <c r="D165" s="170"/>
      <c r="E165" s="171"/>
      <c r="F165" s="129"/>
      <c r="G165" s="128"/>
      <c r="H165" s="23"/>
      <c r="I165" s="18"/>
      <c r="J165" s="80">
        <f t="shared" si="66"/>
        <v>0</v>
      </c>
      <c r="K165" s="18"/>
      <c r="L165" s="80">
        <f t="shared" si="67"/>
        <v>0</v>
      </c>
      <c r="M165" s="18"/>
      <c r="N165" s="80">
        <f t="shared" si="68"/>
        <v>0</v>
      </c>
      <c r="O165" s="18"/>
      <c r="P165" s="80">
        <f t="shared" si="69"/>
        <v>0</v>
      </c>
      <c r="Q165" s="18"/>
      <c r="R165" s="80">
        <f t="shared" si="70"/>
        <v>0</v>
      </c>
      <c r="S165" s="18"/>
      <c r="T165" s="80">
        <f t="shared" si="71"/>
        <v>0</v>
      </c>
      <c r="U165" s="18"/>
      <c r="V165" s="80">
        <f t="shared" si="51"/>
        <v>0</v>
      </c>
      <c r="W165" s="19" t="str">
        <f t="shared" si="52"/>
        <v xml:space="preserve"> </v>
      </c>
      <c r="X165" s="19" t="str">
        <f t="shared" si="53"/>
        <v xml:space="preserve"> </v>
      </c>
      <c r="Y165" s="19" t="str">
        <f t="shared" si="54"/>
        <v/>
      </c>
      <c r="Z165" s="23"/>
      <c r="AA165" s="19" t="str">
        <f t="shared" si="55"/>
        <v/>
      </c>
      <c r="AB165" s="19" t="str">
        <f t="shared" si="56"/>
        <v xml:space="preserve"> </v>
      </c>
      <c r="AC165" s="19" t="str">
        <f t="shared" si="57"/>
        <v/>
      </c>
      <c r="AD165" s="19" t="str">
        <f t="shared" si="58"/>
        <v xml:space="preserve"> </v>
      </c>
      <c r="AE165" s="125" t="str">
        <f t="shared" si="59"/>
        <v xml:space="preserve"> </v>
      </c>
      <c r="AF165" s="19" t="str">
        <f t="shared" si="60"/>
        <v xml:space="preserve"> </v>
      </c>
      <c r="AG165" s="50">
        <f t="shared" si="61"/>
        <v>0</v>
      </c>
      <c r="AH165" s="50" t="str">
        <f t="shared" si="62"/>
        <v xml:space="preserve"> </v>
      </c>
      <c r="AI165" s="36" t="str">
        <f>IFERROR(IF((INDEX('[3]Riesgos de Corrupción'!$B$11:$V$100,MATCH('Controles de Corrupción'!C165,'[3]Riesgos de Corrupción'!$B$11:$B$100,0),17)-AH165&lt;=1),"Rara vez",IF((INDEX('[3]Riesgos de Corrupción'!$B$11:$V$100,MATCH('Controles de Corrupción'!C165,'[3]Riesgos de Corrupción'!$B$11:$B$100,0),17)-AH165&lt;=2),"Improbable",IF((INDEX('[3]Riesgos de Corrupción'!$B$11:$V$100,MATCH('Controles de Corrupción'!C165,'[3]Riesgos de Corrupción'!$B$11:$B$100,0),17)-AH165&lt;=3),"Posible",IF((INDEX('[3]Riesgos de Corrupción'!$B$11:$V$100,MATCH('Controles de Corrupción'!C165,'[3]Riesgos de Corrupción'!$B$11:$B$100,0),17)-AH165&lt;=4),"Probable",IF((INDEX('[3]Riesgos de Corrupción'!$B$11:$V$100,MATCH('Controles de Corrupción'!C165,'[3]Riesgos de Corrupción'!$B$11:$B$100,0),17)-AH165&lt;=5),"Casi seguro")))))," ")</f>
        <v xml:space="preserve"> </v>
      </c>
      <c r="AJ165" s="8" t="str">
        <f>IFERROR(IF(OR(AND(AF165="Fuerte",H165="No disminuye"),AND(AF165="Moderado",H165="Indirectamente"),AND(AF165="Moderado",H165="No disminuye"),AND(INDEX('[3]Riesgos de Corrupción'!$B$11:$BN$100,MATCH('Controles de Corrupción'!C165,'[3]Riesgos de Corrupción'!$B$11:$B$100,0),63)="Moderado")),0,IF(OR(AND(AF165="Fuerte",H165="Indirectamente"),AND(AF165="Moderado",H165="Directamente"),AND(INDEX('[3]Riesgos de Corrupción'!$B$11:$BN$100,MATCH('Controles de Corrupción'!C165,'[3]Riesgos de Corrupción'!$B$11:$B$100,0),63)="Mayor")),1,IF(AND(AF165="Fuerte",H165="Directamente",AND(INDEX('[3]Riesgos de Corrupción'!$B$11:$BN$100,MATCH('Controles de Corrupción'!C165,'[3]Riesgos de Corrupción'!$B$11:$B$100,0),63)="Catastrófico")),2)))," ")</f>
        <v xml:space="preserve"> </v>
      </c>
      <c r="AK165" s="19" t="str">
        <f t="shared" si="63"/>
        <v xml:space="preserve"> </v>
      </c>
      <c r="AL165" s="19" t="str">
        <f>IFERROR(IF((INDEX('[3]Riesgos de Corrupción'!$B$11:$BN$100,MATCH('Controles de Corrupción'!C165,'[3]Riesgos de Corrupción'!$B$11:$B$100,0),62)-AK165&lt;=3),"Moderado",IF((INDEX('[3]Riesgos de Corrupción'!$B$11:$BN$100,MATCH('Controles de Corrupción'!C165,'[3]Riesgos de Corrupción'!$B$11:$B$100,0),62)-AK165&lt;=4),"Mayor",IF((INDEX('[3]Riesgos de Corrupción'!$B$11:$BN$100,MATCH('Controles de Corrupción'!C165,'[3]Riesgos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0" t="str">
        <f t="shared" si="50"/>
        <v>-</v>
      </c>
      <c r="C166" s="188"/>
      <c r="D166" s="170"/>
      <c r="E166" s="171"/>
      <c r="F166" s="129"/>
      <c r="G166" s="128"/>
      <c r="H166" s="23"/>
      <c r="I166" s="18"/>
      <c r="J166" s="80">
        <f t="shared" si="66"/>
        <v>0</v>
      </c>
      <c r="K166" s="18"/>
      <c r="L166" s="80">
        <f t="shared" si="67"/>
        <v>0</v>
      </c>
      <c r="M166" s="18"/>
      <c r="N166" s="80">
        <f t="shared" si="68"/>
        <v>0</v>
      </c>
      <c r="O166" s="18"/>
      <c r="P166" s="80">
        <f t="shared" si="69"/>
        <v>0</v>
      </c>
      <c r="Q166" s="18"/>
      <c r="R166" s="80">
        <f t="shared" si="70"/>
        <v>0</v>
      </c>
      <c r="S166" s="18"/>
      <c r="T166" s="80">
        <f t="shared" si="71"/>
        <v>0</v>
      </c>
      <c r="U166" s="18"/>
      <c r="V166" s="80">
        <f t="shared" si="51"/>
        <v>0</v>
      </c>
      <c r="W166" s="19" t="str">
        <f t="shared" si="52"/>
        <v xml:space="preserve"> </v>
      </c>
      <c r="X166" s="19" t="str">
        <f t="shared" si="53"/>
        <v xml:space="preserve"> </v>
      </c>
      <c r="Y166" s="19" t="str">
        <f t="shared" si="54"/>
        <v/>
      </c>
      <c r="Z166" s="23"/>
      <c r="AA166" s="19" t="str">
        <f t="shared" si="55"/>
        <v/>
      </c>
      <c r="AB166" s="19" t="str">
        <f t="shared" si="56"/>
        <v xml:space="preserve"> </v>
      </c>
      <c r="AC166" s="19" t="str">
        <f t="shared" si="57"/>
        <v/>
      </c>
      <c r="AD166" s="19" t="str">
        <f t="shared" si="58"/>
        <v xml:space="preserve"> </v>
      </c>
      <c r="AE166" s="125" t="str">
        <f t="shared" si="59"/>
        <v xml:space="preserve"> </v>
      </c>
      <c r="AF166" s="19" t="str">
        <f t="shared" si="60"/>
        <v xml:space="preserve"> </v>
      </c>
      <c r="AG166" s="50">
        <f t="shared" si="61"/>
        <v>0</v>
      </c>
      <c r="AH166" s="50" t="str">
        <f t="shared" si="62"/>
        <v xml:space="preserve"> </v>
      </c>
      <c r="AI166" s="36" t="str">
        <f>IFERROR(IF((INDEX('[3]Riesgos de Corrupción'!$B$11:$V$100,MATCH('Controles de Corrupción'!C166,'[3]Riesgos de Corrupción'!$B$11:$B$100,0),17)-AH166&lt;=1),"Rara vez",IF((INDEX('[3]Riesgos de Corrupción'!$B$11:$V$100,MATCH('Controles de Corrupción'!C166,'[3]Riesgos de Corrupción'!$B$11:$B$100,0),17)-AH166&lt;=2),"Improbable",IF((INDEX('[3]Riesgos de Corrupción'!$B$11:$V$100,MATCH('Controles de Corrupción'!C166,'[3]Riesgos de Corrupción'!$B$11:$B$100,0),17)-AH166&lt;=3),"Posible",IF((INDEX('[3]Riesgos de Corrupción'!$B$11:$V$100,MATCH('Controles de Corrupción'!C166,'[3]Riesgos de Corrupción'!$B$11:$B$100,0),17)-AH166&lt;=4),"Probable",IF((INDEX('[3]Riesgos de Corrupción'!$B$11:$V$100,MATCH('Controles de Corrupción'!C166,'[3]Riesgos de Corrupción'!$B$11:$B$100,0),17)-AH166&lt;=5),"Casi seguro")))))," ")</f>
        <v xml:space="preserve"> </v>
      </c>
      <c r="AJ166" s="8" t="str">
        <f>IFERROR(IF(OR(AND(AF166="Fuerte",H166="No disminuye"),AND(AF166="Moderado",H166="Indirectamente"),AND(AF166="Moderado",H166="No disminuye"),AND(INDEX('[3]Riesgos de Corrupción'!$B$11:$BN$100,MATCH('Controles de Corrupción'!C166,'[3]Riesgos de Corrupción'!$B$11:$B$100,0),63)="Moderado")),0,IF(OR(AND(AF166="Fuerte",H166="Indirectamente"),AND(AF166="Moderado",H166="Directamente"),AND(INDEX('[3]Riesgos de Corrupción'!$B$11:$BN$100,MATCH('Controles de Corrupción'!C166,'[3]Riesgos de Corrupción'!$B$11:$B$100,0),63)="Mayor")),1,IF(AND(AF166="Fuerte",H166="Directamente",AND(INDEX('[3]Riesgos de Corrupción'!$B$11:$BN$100,MATCH('Controles de Corrupción'!C166,'[3]Riesgos de Corrupción'!$B$11:$B$100,0),63)="Catastrófico")),2)))," ")</f>
        <v xml:space="preserve"> </v>
      </c>
      <c r="AK166" s="19" t="str">
        <f t="shared" si="63"/>
        <v xml:space="preserve"> </v>
      </c>
      <c r="AL166" s="19" t="str">
        <f>IFERROR(IF((INDEX('[3]Riesgos de Corrupción'!$B$11:$BN$100,MATCH('Controles de Corrupción'!C166,'[3]Riesgos de Corrupción'!$B$11:$B$100,0),62)-AK166&lt;=3),"Moderado",IF((INDEX('[3]Riesgos de Corrupción'!$B$11:$BN$100,MATCH('Controles de Corrupción'!C166,'[3]Riesgos de Corrupción'!$B$11:$B$100,0),62)-AK166&lt;=4),"Mayor",IF((INDEX('[3]Riesgos de Corrupción'!$B$11:$BN$100,MATCH('Controles de Corrupción'!C166,'[3]Riesgos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0" t="str">
        <f t="shared" si="50"/>
        <v>-</v>
      </c>
      <c r="C167" s="188"/>
      <c r="D167" s="170"/>
      <c r="E167" s="171"/>
      <c r="F167" s="129"/>
      <c r="G167" s="128"/>
      <c r="H167" s="23"/>
      <c r="I167" s="18"/>
      <c r="J167" s="80">
        <f t="shared" si="66"/>
        <v>0</v>
      </c>
      <c r="K167" s="18"/>
      <c r="L167" s="80">
        <f t="shared" si="67"/>
        <v>0</v>
      </c>
      <c r="M167" s="18"/>
      <c r="N167" s="80">
        <f t="shared" si="68"/>
        <v>0</v>
      </c>
      <c r="O167" s="18"/>
      <c r="P167" s="80">
        <f t="shared" si="69"/>
        <v>0</v>
      </c>
      <c r="Q167" s="18"/>
      <c r="R167" s="80">
        <f t="shared" si="70"/>
        <v>0</v>
      </c>
      <c r="S167" s="18"/>
      <c r="T167" s="80">
        <f t="shared" si="71"/>
        <v>0</v>
      </c>
      <c r="U167" s="18"/>
      <c r="V167" s="80">
        <f t="shared" si="51"/>
        <v>0</v>
      </c>
      <c r="W167" s="19" t="str">
        <f t="shared" si="52"/>
        <v xml:space="preserve"> </v>
      </c>
      <c r="X167" s="19" t="str">
        <f t="shared" si="53"/>
        <v xml:space="preserve"> </v>
      </c>
      <c r="Y167" s="19" t="str">
        <f t="shared" si="54"/>
        <v/>
      </c>
      <c r="Z167" s="23"/>
      <c r="AA167" s="19" t="str">
        <f t="shared" si="55"/>
        <v/>
      </c>
      <c r="AB167" s="19" t="str">
        <f t="shared" si="56"/>
        <v xml:space="preserve"> </v>
      </c>
      <c r="AC167" s="19" t="str">
        <f t="shared" si="57"/>
        <v/>
      </c>
      <c r="AD167" s="19" t="str">
        <f t="shared" si="58"/>
        <v xml:space="preserve"> </v>
      </c>
      <c r="AE167" s="125" t="str">
        <f t="shared" si="59"/>
        <v xml:space="preserve"> </v>
      </c>
      <c r="AF167" s="19" t="str">
        <f t="shared" si="60"/>
        <v xml:space="preserve"> </v>
      </c>
      <c r="AG167" s="50">
        <f t="shared" si="61"/>
        <v>0</v>
      </c>
      <c r="AH167" s="50" t="str">
        <f t="shared" si="62"/>
        <v xml:space="preserve"> </v>
      </c>
      <c r="AI167" s="36" t="str">
        <f>IFERROR(IF((INDEX('[3]Riesgos de Corrupción'!$B$11:$V$100,MATCH('Controles de Corrupción'!C167,'[3]Riesgos de Corrupción'!$B$11:$B$100,0),17)-AH167&lt;=1),"Rara vez",IF((INDEX('[3]Riesgos de Corrupción'!$B$11:$V$100,MATCH('Controles de Corrupción'!C167,'[3]Riesgos de Corrupción'!$B$11:$B$100,0),17)-AH167&lt;=2),"Improbable",IF((INDEX('[3]Riesgos de Corrupción'!$B$11:$V$100,MATCH('Controles de Corrupción'!C167,'[3]Riesgos de Corrupción'!$B$11:$B$100,0),17)-AH167&lt;=3),"Posible",IF((INDEX('[3]Riesgos de Corrupción'!$B$11:$V$100,MATCH('Controles de Corrupción'!C167,'[3]Riesgos de Corrupción'!$B$11:$B$100,0),17)-AH167&lt;=4),"Probable",IF((INDEX('[3]Riesgos de Corrupción'!$B$11:$V$100,MATCH('Controles de Corrupción'!C167,'[3]Riesgos de Corrupción'!$B$11:$B$100,0),17)-AH167&lt;=5),"Casi seguro")))))," ")</f>
        <v xml:space="preserve"> </v>
      </c>
      <c r="AJ167" s="8" t="str">
        <f>IFERROR(IF(OR(AND(AF167="Fuerte",H167="No disminuye"),AND(AF167="Moderado",H167="Indirectamente"),AND(AF167="Moderado",H167="No disminuye"),AND(INDEX('[3]Riesgos de Corrupción'!$B$11:$BN$100,MATCH('Controles de Corrupción'!C167,'[3]Riesgos de Corrupción'!$B$11:$B$100,0),63)="Moderado")),0,IF(OR(AND(AF167="Fuerte",H167="Indirectamente"),AND(AF167="Moderado",H167="Directamente"),AND(INDEX('[3]Riesgos de Corrupción'!$B$11:$BN$100,MATCH('Controles de Corrupción'!C167,'[3]Riesgos de Corrupción'!$B$11:$B$100,0),63)="Mayor")),1,IF(AND(AF167="Fuerte",H167="Directamente",AND(INDEX('[3]Riesgos de Corrupción'!$B$11:$BN$100,MATCH('Controles de Corrupción'!C167,'[3]Riesgos de Corrupción'!$B$11:$B$100,0),63)="Catastrófico")),2)))," ")</f>
        <v xml:space="preserve"> </v>
      </c>
      <c r="AK167" s="19" t="str">
        <f t="shared" si="63"/>
        <v xml:space="preserve"> </v>
      </c>
      <c r="AL167" s="19" t="str">
        <f>IFERROR(IF((INDEX('[3]Riesgos de Corrupción'!$B$11:$BN$100,MATCH('Controles de Corrupción'!C167,'[3]Riesgos de Corrupción'!$B$11:$B$100,0),62)-AK167&lt;=3),"Moderado",IF((INDEX('[3]Riesgos de Corrupción'!$B$11:$BN$100,MATCH('Controles de Corrupción'!C167,'[3]Riesgos de Corrupción'!$B$11:$B$100,0),62)-AK167&lt;=4),"Mayor",IF((INDEX('[3]Riesgos de Corrupción'!$B$11:$BN$100,MATCH('Controles de Corrupción'!C167,'[3]Riesgos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0" t="str">
        <f t="shared" si="50"/>
        <v>-</v>
      </c>
      <c r="C168" s="188"/>
      <c r="D168" s="170"/>
      <c r="E168" s="171"/>
      <c r="F168" s="129"/>
      <c r="G168" s="128"/>
      <c r="H168" s="23"/>
      <c r="I168" s="18"/>
      <c r="J168" s="80">
        <f t="shared" si="66"/>
        <v>0</v>
      </c>
      <c r="K168" s="18"/>
      <c r="L168" s="80">
        <f t="shared" si="67"/>
        <v>0</v>
      </c>
      <c r="M168" s="18"/>
      <c r="N168" s="80">
        <f t="shared" si="68"/>
        <v>0</v>
      </c>
      <c r="O168" s="18"/>
      <c r="P168" s="80">
        <f t="shared" si="69"/>
        <v>0</v>
      </c>
      <c r="Q168" s="18"/>
      <c r="R168" s="80">
        <f t="shared" si="70"/>
        <v>0</v>
      </c>
      <c r="S168" s="18"/>
      <c r="T168" s="80">
        <f t="shared" si="71"/>
        <v>0</v>
      </c>
      <c r="U168" s="18"/>
      <c r="V168" s="80">
        <f t="shared" si="51"/>
        <v>0</v>
      </c>
      <c r="W168" s="19" t="str">
        <f t="shared" si="52"/>
        <v xml:space="preserve"> </v>
      </c>
      <c r="X168" s="19" t="str">
        <f t="shared" si="53"/>
        <v xml:space="preserve"> </v>
      </c>
      <c r="Y168" s="19" t="str">
        <f t="shared" si="54"/>
        <v/>
      </c>
      <c r="Z168" s="23"/>
      <c r="AA168" s="19" t="str">
        <f t="shared" si="55"/>
        <v/>
      </c>
      <c r="AB168" s="19" t="str">
        <f t="shared" si="56"/>
        <v xml:space="preserve"> </v>
      </c>
      <c r="AC168" s="19" t="str">
        <f t="shared" si="57"/>
        <v/>
      </c>
      <c r="AD168" s="19" t="str">
        <f t="shared" si="58"/>
        <v xml:space="preserve"> </v>
      </c>
      <c r="AE168" s="125" t="str">
        <f t="shared" si="59"/>
        <v xml:space="preserve"> </v>
      </c>
      <c r="AF168" s="19" t="str">
        <f t="shared" si="60"/>
        <v xml:space="preserve"> </v>
      </c>
      <c r="AG168" s="50">
        <f t="shared" si="61"/>
        <v>0</v>
      </c>
      <c r="AH168" s="50" t="str">
        <f t="shared" si="62"/>
        <v xml:space="preserve"> </v>
      </c>
      <c r="AI168" s="36" t="str">
        <f>IFERROR(IF((INDEX('[3]Riesgos de Corrupción'!$B$11:$V$100,MATCH('Controles de Corrupción'!C168,'[3]Riesgos de Corrupción'!$B$11:$B$100,0),17)-AH168&lt;=1),"Rara vez",IF((INDEX('[3]Riesgos de Corrupción'!$B$11:$V$100,MATCH('Controles de Corrupción'!C168,'[3]Riesgos de Corrupción'!$B$11:$B$100,0),17)-AH168&lt;=2),"Improbable",IF((INDEX('[3]Riesgos de Corrupción'!$B$11:$V$100,MATCH('Controles de Corrupción'!C168,'[3]Riesgos de Corrupción'!$B$11:$B$100,0),17)-AH168&lt;=3),"Posible",IF((INDEX('[3]Riesgos de Corrupción'!$B$11:$V$100,MATCH('Controles de Corrupción'!C168,'[3]Riesgos de Corrupción'!$B$11:$B$100,0),17)-AH168&lt;=4),"Probable",IF((INDEX('[3]Riesgos de Corrupción'!$B$11:$V$100,MATCH('Controles de Corrupción'!C168,'[3]Riesgos de Corrupción'!$B$11:$B$100,0),17)-AH168&lt;=5),"Casi seguro")))))," ")</f>
        <v xml:space="preserve"> </v>
      </c>
      <c r="AJ168" s="8" t="str">
        <f>IFERROR(IF(OR(AND(AF168="Fuerte",H168="No disminuye"),AND(AF168="Moderado",H168="Indirectamente"),AND(AF168="Moderado",H168="No disminuye"),AND(INDEX('[3]Riesgos de Corrupción'!$B$11:$BN$100,MATCH('Controles de Corrupción'!C168,'[3]Riesgos de Corrupción'!$B$11:$B$100,0),63)="Moderado")),0,IF(OR(AND(AF168="Fuerte",H168="Indirectamente"),AND(AF168="Moderado",H168="Directamente"),AND(INDEX('[3]Riesgos de Corrupción'!$B$11:$BN$100,MATCH('Controles de Corrupción'!C168,'[3]Riesgos de Corrupción'!$B$11:$B$100,0),63)="Mayor")),1,IF(AND(AF168="Fuerte",H168="Directamente",AND(INDEX('[3]Riesgos de Corrupción'!$B$11:$BN$100,MATCH('Controles de Corrupción'!C168,'[3]Riesgos de Corrupción'!$B$11:$B$100,0),63)="Catastrófico")),2)))," ")</f>
        <v xml:space="preserve"> </v>
      </c>
      <c r="AK168" s="19" t="str">
        <f t="shared" si="63"/>
        <v xml:space="preserve"> </v>
      </c>
      <c r="AL168" s="19" t="str">
        <f>IFERROR(IF((INDEX('[3]Riesgos de Corrupción'!$B$11:$BN$100,MATCH('Controles de Corrupción'!C168,'[3]Riesgos de Corrupción'!$B$11:$B$100,0),62)-AK168&lt;=3),"Moderado",IF((INDEX('[3]Riesgos de Corrupción'!$B$11:$BN$100,MATCH('Controles de Corrupción'!C168,'[3]Riesgos de Corrupción'!$B$11:$B$100,0),62)-AK168&lt;=4),"Mayor",IF((INDEX('[3]Riesgos de Corrupción'!$B$11:$BN$100,MATCH('Controles de Corrupción'!C168,'[3]Riesgos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0" t="str">
        <f t="shared" si="50"/>
        <v>-</v>
      </c>
      <c r="C169" s="188"/>
      <c r="D169" s="170"/>
      <c r="E169" s="171"/>
      <c r="F169" s="129"/>
      <c r="G169" s="128"/>
      <c r="H169" s="23"/>
      <c r="I169" s="18"/>
      <c r="J169" s="80">
        <f t="shared" si="66"/>
        <v>0</v>
      </c>
      <c r="K169" s="18"/>
      <c r="L169" s="80">
        <f t="shared" si="67"/>
        <v>0</v>
      </c>
      <c r="M169" s="18"/>
      <c r="N169" s="80">
        <f t="shared" si="68"/>
        <v>0</v>
      </c>
      <c r="O169" s="18"/>
      <c r="P169" s="80">
        <f t="shared" si="69"/>
        <v>0</v>
      </c>
      <c r="Q169" s="18"/>
      <c r="R169" s="80">
        <f t="shared" si="70"/>
        <v>0</v>
      </c>
      <c r="S169" s="18"/>
      <c r="T169" s="80">
        <f t="shared" si="71"/>
        <v>0</v>
      </c>
      <c r="U169" s="18"/>
      <c r="V169" s="80">
        <f t="shared" si="51"/>
        <v>0</v>
      </c>
      <c r="W169" s="19" t="str">
        <f t="shared" si="52"/>
        <v xml:space="preserve"> </v>
      </c>
      <c r="X169" s="19" t="str">
        <f t="shared" si="53"/>
        <v xml:space="preserve"> </v>
      </c>
      <c r="Y169" s="19" t="str">
        <f t="shared" si="54"/>
        <v/>
      </c>
      <c r="Z169" s="23"/>
      <c r="AA169" s="19" t="str">
        <f t="shared" si="55"/>
        <v/>
      </c>
      <c r="AB169" s="19" t="str">
        <f t="shared" si="56"/>
        <v xml:space="preserve"> </v>
      </c>
      <c r="AC169" s="19" t="str">
        <f t="shared" si="57"/>
        <v/>
      </c>
      <c r="AD169" s="19" t="str">
        <f t="shared" si="58"/>
        <v xml:space="preserve"> </v>
      </c>
      <c r="AE169" s="125" t="str">
        <f t="shared" si="59"/>
        <v xml:space="preserve"> </v>
      </c>
      <c r="AF169" s="19" t="str">
        <f t="shared" si="60"/>
        <v xml:space="preserve"> </v>
      </c>
      <c r="AG169" s="50">
        <f t="shared" si="61"/>
        <v>0</v>
      </c>
      <c r="AH169" s="50" t="str">
        <f t="shared" si="62"/>
        <v xml:space="preserve"> </v>
      </c>
      <c r="AI169" s="36" t="str">
        <f>IFERROR(IF((INDEX('[3]Riesgos de Corrupción'!$B$11:$V$100,MATCH('Controles de Corrupción'!C169,'[3]Riesgos de Corrupción'!$B$11:$B$100,0),17)-AH169&lt;=1),"Rara vez",IF((INDEX('[3]Riesgos de Corrupción'!$B$11:$V$100,MATCH('Controles de Corrupción'!C169,'[3]Riesgos de Corrupción'!$B$11:$B$100,0),17)-AH169&lt;=2),"Improbable",IF((INDEX('[3]Riesgos de Corrupción'!$B$11:$V$100,MATCH('Controles de Corrupción'!C169,'[3]Riesgos de Corrupción'!$B$11:$B$100,0),17)-AH169&lt;=3),"Posible",IF((INDEX('[3]Riesgos de Corrupción'!$B$11:$V$100,MATCH('Controles de Corrupción'!C169,'[3]Riesgos de Corrupción'!$B$11:$B$100,0),17)-AH169&lt;=4),"Probable",IF((INDEX('[3]Riesgos de Corrupción'!$B$11:$V$100,MATCH('Controles de Corrupción'!C169,'[3]Riesgos de Corrupción'!$B$11:$B$100,0),17)-AH169&lt;=5),"Casi seguro")))))," ")</f>
        <v xml:space="preserve"> </v>
      </c>
      <c r="AJ169" s="8" t="str">
        <f>IFERROR(IF(OR(AND(AF169="Fuerte",H169="No disminuye"),AND(AF169="Moderado",H169="Indirectamente"),AND(AF169="Moderado",H169="No disminuye"),AND(INDEX('[3]Riesgos de Corrupción'!$B$11:$BN$100,MATCH('Controles de Corrupción'!C169,'[3]Riesgos de Corrupción'!$B$11:$B$100,0),63)="Moderado")),0,IF(OR(AND(AF169="Fuerte",H169="Indirectamente"),AND(AF169="Moderado",H169="Directamente"),AND(INDEX('[3]Riesgos de Corrupción'!$B$11:$BN$100,MATCH('Controles de Corrupción'!C169,'[3]Riesgos de Corrupción'!$B$11:$B$100,0),63)="Mayor")),1,IF(AND(AF169="Fuerte",H169="Directamente",AND(INDEX('[3]Riesgos de Corrupción'!$B$11:$BN$100,MATCH('Controles de Corrupción'!C169,'[3]Riesgos de Corrupción'!$B$11:$B$100,0),63)="Catastrófico")),2)))," ")</f>
        <v xml:space="preserve"> </v>
      </c>
      <c r="AK169" s="19" t="str">
        <f t="shared" si="63"/>
        <v xml:space="preserve"> </v>
      </c>
      <c r="AL169" s="19" t="str">
        <f>IFERROR(IF((INDEX('[3]Riesgos de Corrupción'!$B$11:$BN$100,MATCH('Controles de Corrupción'!C169,'[3]Riesgos de Corrupción'!$B$11:$B$100,0),62)-AK169&lt;=3),"Moderado",IF((INDEX('[3]Riesgos de Corrupción'!$B$11:$BN$100,MATCH('Controles de Corrupción'!C169,'[3]Riesgos de Corrupción'!$B$11:$B$100,0),62)-AK169&lt;=4),"Mayor",IF((INDEX('[3]Riesgos de Corrupción'!$B$11:$BN$100,MATCH('Controles de Corrupción'!C169,'[3]Riesgos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0" t="str">
        <f t="shared" si="50"/>
        <v>-</v>
      </c>
      <c r="C170" s="188"/>
      <c r="D170" s="170"/>
      <c r="E170" s="171"/>
      <c r="F170" s="129"/>
      <c r="G170" s="128"/>
      <c r="H170" s="23"/>
      <c r="I170" s="18"/>
      <c r="J170" s="80">
        <f t="shared" si="66"/>
        <v>0</v>
      </c>
      <c r="K170" s="18"/>
      <c r="L170" s="80">
        <f t="shared" si="67"/>
        <v>0</v>
      </c>
      <c r="M170" s="18"/>
      <c r="N170" s="80">
        <f t="shared" si="68"/>
        <v>0</v>
      </c>
      <c r="O170" s="18"/>
      <c r="P170" s="80">
        <f t="shared" si="69"/>
        <v>0</v>
      </c>
      <c r="Q170" s="18"/>
      <c r="R170" s="80">
        <f t="shared" si="70"/>
        <v>0</v>
      </c>
      <c r="S170" s="18"/>
      <c r="T170" s="80">
        <f t="shared" si="71"/>
        <v>0</v>
      </c>
      <c r="U170" s="18"/>
      <c r="V170" s="80">
        <f t="shared" si="51"/>
        <v>0</v>
      </c>
      <c r="W170" s="19" t="str">
        <f t="shared" si="52"/>
        <v xml:space="preserve"> </v>
      </c>
      <c r="X170" s="19" t="str">
        <f t="shared" si="53"/>
        <v xml:space="preserve"> </v>
      </c>
      <c r="Y170" s="19" t="str">
        <f t="shared" si="54"/>
        <v/>
      </c>
      <c r="Z170" s="23"/>
      <c r="AA170" s="19" t="str">
        <f t="shared" si="55"/>
        <v/>
      </c>
      <c r="AB170" s="19" t="str">
        <f t="shared" si="56"/>
        <v xml:space="preserve"> </v>
      </c>
      <c r="AC170" s="19" t="str">
        <f t="shared" si="57"/>
        <v/>
      </c>
      <c r="AD170" s="19" t="str">
        <f t="shared" si="58"/>
        <v xml:space="preserve"> </v>
      </c>
      <c r="AE170" s="125" t="str">
        <f t="shared" si="59"/>
        <v xml:space="preserve"> </v>
      </c>
      <c r="AF170" s="19" t="str">
        <f t="shared" si="60"/>
        <v xml:space="preserve"> </v>
      </c>
      <c r="AG170" s="50">
        <f t="shared" si="61"/>
        <v>0</v>
      </c>
      <c r="AH170" s="50" t="str">
        <f t="shared" si="62"/>
        <v xml:space="preserve"> </v>
      </c>
      <c r="AI170" s="36" t="str">
        <f>IFERROR(IF((INDEX('[3]Riesgos de Corrupción'!$B$11:$V$100,MATCH('Controles de Corrupción'!C170,'[3]Riesgos de Corrupción'!$B$11:$B$100,0),17)-AH170&lt;=1),"Rara vez",IF((INDEX('[3]Riesgos de Corrupción'!$B$11:$V$100,MATCH('Controles de Corrupción'!C170,'[3]Riesgos de Corrupción'!$B$11:$B$100,0),17)-AH170&lt;=2),"Improbable",IF((INDEX('[3]Riesgos de Corrupción'!$B$11:$V$100,MATCH('Controles de Corrupción'!C170,'[3]Riesgos de Corrupción'!$B$11:$B$100,0),17)-AH170&lt;=3),"Posible",IF((INDEX('[3]Riesgos de Corrupción'!$B$11:$V$100,MATCH('Controles de Corrupción'!C170,'[3]Riesgos de Corrupción'!$B$11:$B$100,0),17)-AH170&lt;=4),"Probable",IF((INDEX('[3]Riesgos de Corrupción'!$B$11:$V$100,MATCH('Controles de Corrupción'!C170,'[3]Riesgos de Corrupción'!$B$11:$B$100,0),17)-AH170&lt;=5),"Casi seguro")))))," ")</f>
        <v xml:space="preserve"> </v>
      </c>
      <c r="AJ170" s="8" t="str">
        <f>IFERROR(IF(OR(AND(AF170="Fuerte",H170="No disminuye"),AND(AF170="Moderado",H170="Indirectamente"),AND(AF170="Moderado",H170="No disminuye"),AND(INDEX('[3]Riesgos de Corrupción'!$B$11:$BN$100,MATCH('Controles de Corrupción'!C170,'[3]Riesgos de Corrupción'!$B$11:$B$100,0),63)="Moderado")),0,IF(OR(AND(AF170="Fuerte",H170="Indirectamente"),AND(AF170="Moderado",H170="Directamente"),AND(INDEX('[3]Riesgos de Corrupción'!$B$11:$BN$100,MATCH('Controles de Corrupción'!C170,'[3]Riesgos de Corrupción'!$B$11:$B$100,0),63)="Mayor")),1,IF(AND(AF170="Fuerte",H170="Directamente",AND(INDEX('[3]Riesgos de Corrupción'!$B$11:$BN$100,MATCH('Controles de Corrupción'!C170,'[3]Riesgos de Corrupción'!$B$11:$B$100,0),63)="Catastrófico")),2)))," ")</f>
        <v xml:space="preserve"> </v>
      </c>
      <c r="AK170" s="19" t="str">
        <f t="shared" si="63"/>
        <v xml:space="preserve"> </v>
      </c>
      <c r="AL170" s="19" t="str">
        <f>IFERROR(IF((INDEX('[3]Riesgos de Corrupción'!$B$11:$BN$100,MATCH('Controles de Corrupción'!C170,'[3]Riesgos de Corrupción'!$B$11:$B$100,0),62)-AK170&lt;=3),"Moderado",IF((INDEX('[3]Riesgos de Corrupción'!$B$11:$BN$100,MATCH('Controles de Corrupción'!C170,'[3]Riesgos de Corrupción'!$B$11:$B$100,0),62)-AK170&lt;=4),"Mayor",IF((INDEX('[3]Riesgos de Corrupción'!$B$11:$BN$100,MATCH('Controles de Corrupción'!C170,'[3]Riesgos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0" t="str">
        <f t="shared" si="50"/>
        <v>-</v>
      </c>
      <c r="C171" s="188"/>
      <c r="D171" s="170"/>
      <c r="E171" s="171"/>
      <c r="F171" s="129"/>
      <c r="G171" s="128"/>
      <c r="H171" s="23"/>
      <c r="I171" s="18"/>
      <c r="J171" s="80">
        <f t="shared" si="66"/>
        <v>0</v>
      </c>
      <c r="K171" s="18"/>
      <c r="L171" s="80">
        <f t="shared" si="67"/>
        <v>0</v>
      </c>
      <c r="M171" s="18"/>
      <c r="N171" s="80">
        <f t="shared" si="68"/>
        <v>0</v>
      </c>
      <c r="O171" s="18"/>
      <c r="P171" s="80">
        <f t="shared" si="69"/>
        <v>0</v>
      </c>
      <c r="Q171" s="18"/>
      <c r="R171" s="80">
        <f t="shared" si="70"/>
        <v>0</v>
      </c>
      <c r="S171" s="18"/>
      <c r="T171" s="80">
        <f t="shared" si="71"/>
        <v>0</v>
      </c>
      <c r="U171" s="18"/>
      <c r="V171" s="80">
        <f t="shared" si="51"/>
        <v>0</v>
      </c>
      <c r="W171" s="19" t="str">
        <f t="shared" si="52"/>
        <v xml:space="preserve"> </v>
      </c>
      <c r="X171" s="19" t="str">
        <f t="shared" si="53"/>
        <v xml:space="preserve"> </v>
      </c>
      <c r="Y171" s="19" t="str">
        <f t="shared" si="54"/>
        <v/>
      </c>
      <c r="Z171" s="23"/>
      <c r="AA171" s="19" t="str">
        <f t="shared" si="55"/>
        <v/>
      </c>
      <c r="AB171" s="19" t="str">
        <f t="shared" si="56"/>
        <v xml:space="preserve"> </v>
      </c>
      <c r="AC171" s="19" t="str">
        <f t="shared" si="57"/>
        <v/>
      </c>
      <c r="AD171" s="19" t="str">
        <f t="shared" si="58"/>
        <v xml:space="preserve"> </v>
      </c>
      <c r="AE171" s="125" t="str">
        <f t="shared" si="59"/>
        <v xml:space="preserve"> </v>
      </c>
      <c r="AF171" s="19" t="str">
        <f t="shared" si="60"/>
        <v xml:space="preserve"> </v>
      </c>
      <c r="AG171" s="50">
        <f t="shared" si="61"/>
        <v>0</v>
      </c>
      <c r="AH171" s="50" t="str">
        <f t="shared" si="62"/>
        <v xml:space="preserve"> </v>
      </c>
      <c r="AI171" s="36" t="str">
        <f>IFERROR(IF((INDEX('[3]Riesgos de Corrupción'!$B$11:$V$100,MATCH('Controles de Corrupción'!C171,'[3]Riesgos de Corrupción'!$B$11:$B$100,0),17)-AH171&lt;=1),"Rara vez",IF((INDEX('[3]Riesgos de Corrupción'!$B$11:$V$100,MATCH('Controles de Corrupción'!C171,'[3]Riesgos de Corrupción'!$B$11:$B$100,0),17)-AH171&lt;=2),"Improbable",IF((INDEX('[3]Riesgos de Corrupción'!$B$11:$V$100,MATCH('Controles de Corrupción'!C171,'[3]Riesgos de Corrupción'!$B$11:$B$100,0),17)-AH171&lt;=3),"Posible",IF((INDEX('[3]Riesgos de Corrupción'!$B$11:$V$100,MATCH('Controles de Corrupción'!C171,'[3]Riesgos de Corrupción'!$B$11:$B$100,0),17)-AH171&lt;=4),"Probable",IF((INDEX('[3]Riesgos de Corrupción'!$B$11:$V$100,MATCH('Controles de Corrupción'!C171,'[3]Riesgos de Corrupción'!$B$11:$B$100,0),17)-AH171&lt;=5),"Casi seguro")))))," ")</f>
        <v xml:space="preserve"> </v>
      </c>
      <c r="AJ171" s="8" t="str">
        <f>IFERROR(IF(OR(AND(AF171="Fuerte",H171="No disminuye"),AND(AF171="Moderado",H171="Indirectamente"),AND(AF171="Moderado",H171="No disminuye"),AND(INDEX('[3]Riesgos de Corrupción'!$B$11:$BN$100,MATCH('Controles de Corrupción'!C171,'[3]Riesgos de Corrupción'!$B$11:$B$100,0),63)="Moderado")),0,IF(OR(AND(AF171="Fuerte",H171="Indirectamente"),AND(AF171="Moderado",H171="Directamente"),AND(INDEX('[3]Riesgos de Corrupción'!$B$11:$BN$100,MATCH('Controles de Corrupción'!C171,'[3]Riesgos de Corrupción'!$B$11:$B$100,0),63)="Mayor")),1,IF(AND(AF171="Fuerte",H171="Directamente",AND(INDEX('[3]Riesgos de Corrupción'!$B$11:$BN$100,MATCH('Controles de Corrupción'!C171,'[3]Riesgos de Corrupción'!$B$11:$B$100,0),63)="Catastrófico")),2)))," ")</f>
        <v xml:space="preserve"> </v>
      </c>
      <c r="AK171" s="19" t="str">
        <f t="shared" si="63"/>
        <v xml:space="preserve"> </v>
      </c>
      <c r="AL171" s="19" t="str">
        <f>IFERROR(IF((INDEX('[3]Riesgos de Corrupción'!$B$11:$BN$100,MATCH('Controles de Corrupción'!C171,'[3]Riesgos de Corrupción'!$B$11:$B$100,0),62)-AK171&lt;=3),"Moderado",IF((INDEX('[3]Riesgos de Corrupción'!$B$11:$BN$100,MATCH('Controles de Corrupción'!C171,'[3]Riesgos de Corrupción'!$B$11:$B$100,0),62)-AK171&lt;=4),"Mayor",IF((INDEX('[3]Riesgos de Corrupción'!$B$11:$BN$100,MATCH('Controles de Corrupción'!C171,'[3]Riesgos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0" t="str">
        <f t="shared" si="50"/>
        <v>-</v>
      </c>
      <c r="C172" s="188"/>
      <c r="D172" s="170"/>
      <c r="E172" s="171"/>
      <c r="F172" s="129"/>
      <c r="G172" s="128"/>
      <c r="H172" s="23"/>
      <c r="I172" s="18"/>
      <c r="J172" s="80">
        <f t="shared" si="66"/>
        <v>0</v>
      </c>
      <c r="K172" s="18"/>
      <c r="L172" s="80">
        <f t="shared" si="67"/>
        <v>0</v>
      </c>
      <c r="M172" s="18"/>
      <c r="N172" s="80">
        <f t="shared" si="68"/>
        <v>0</v>
      </c>
      <c r="O172" s="18"/>
      <c r="P172" s="80">
        <f t="shared" si="69"/>
        <v>0</v>
      </c>
      <c r="Q172" s="18"/>
      <c r="R172" s="80">
        <f t="shared" si="70"/>
        <v>0</v>
      </c>
      <c r="S172" s="18"/>
      <c r="T172" s="80">
        <f t="shared" si="71"/>
        <v>0</v>
      </c>
      <c r="U172" s="18"/>
      <c r="V172" s="80">
        <f t="shared" si="51"/>
        <v>0</v>
      </c>
      <c r="W172" s="19" t="str">
        <f t="shared" si="52"/>
        <v xml:space="preserve"> </v>
      </c>
      <c r="X172" s="19" t="str">
        <f t="shared" si="53"/>
        <v xml:space="preserve"> </v>
      </c>
      <c r="Y172" s="19" t="str">
        <f t="shared" si="54"/>
        <v/>
      </c>
      <c r="Z172" s="23"/>
      <c r="AA172" s="19" t="str">
        <f t="shared" si="55"/>
        <v/>
      </c>
      <c r="AB172" s="19" t="str">
        <f t="shared" si="56"/>
        <v xml:space="preserve"> </v>
      </c>
      <c r="AC172" s="19" t="str">
        <f t="shared" si="57"/>
        <v/>
      </c>
      <c r="AD172" s="19" t="str">
        <f t="shared" si="58"/>
        <v xml:space="preserve"> </v>
      </c>
      <c r="AE172" s="125" t="str">
        <f t="shared" si="59"/>
        <v xml:space="preserve"> </v>
      </c>
      <c r="AF172" s="19" t="str">
        <f t="shared" si="60"/>
        <v xml:space="preserve"> </v>
      </c>
      <c r="AG172" s="50">
        <f t="shared" si="61"/>
        <v>0</v>
      </c>
      <c r="AH172" s="50" t="str">
        <f t="shared" si="62"/>
        <v xml:space="preserve"> </v>
      </c>
      <c r="AI172" s="36" t="str">
        <f>IFERROR(IF((INDEX('[3]Riesgos de Corrupción'!$B$11:$V$100,MATCH('Controles de Corrupción'!C172,'[3]Riesgos de Corrupción'!$B$11:$B$100,0),17)-AH172&lt;=1),"Rara vez",IF((INDEX('[3]Riesgos de Corrupción'!$B$11:$V$100,MATCH('Controles de Corrupción'!C172,'[3]Riesgos de Corrupción'!$B$11:$B$100,0),17)-AH172&lt;=2),"Improbable",IF((INDEX('[3]Riesgos de Corrupción'!$B$11:$V$100,MATCH('Controles de Corrupción'!C172,'[3]Riesgos de Corrupción'!$B$11:$B$100,0),17)-AH172&lt;=3),"Posible",IF((INDEX('[3]Riesgos de Corrupción'!$B$11:$V$100,MATCH('Controles de Corrupción'!C172,'[3]Riesgos de Corrupción'!$B$11:$B$100,0),17)-AH172&lt;=4),"Probable",IF((INDEX('[3]Riesgos de Corrupción'!$B$11:$V$100,MATCH('Controles de Corrupción'!C172,'[3]Riesgos de Corrupción'!$B$11:$B$100,0),17)-AH172&lt;=5),"Casi seguro")))))," ")</f>
        <v xml:space="preserve"> </v>
      </c>
      <c r="AJ172" s="8" t="str">
        <f>IFERROR(IF(OR(AND(AF172="Fuerte",H172="No disminuye"),AND(AF172="Moderado",H172="Indirectamente"),AND(AF172="Moderado",H172="No disminuye"),AND(INDEX('[3]Riesgos de Corrupción'!$B$11:$BN$100,MATCH('Controles de Corrupción'!C172,'[3]Riesgos de Corrupción'!$B$11:$B$100,0),63)="Moderado")),0,IF(OR(AND(AF172="Fuerte",H172="Indirectamente"),AND(AF172="Moderado",H172="Directamente"),AND(INDEX('[3]Riesgos de Corrupción'!$B$11:$BN$100,MATCH('Controles de Corrupción'!C172,'[3]Riesgos de Corrupción'!$B$11:$B$100,0),63)="Mayor")),1,IF(AND(AF172="Fuerte",H172="Directamente",AND(INDEX('[3]Riesgos de Corrupción'!$B$11:$BN$100,MATCH('Controles de Corrupción'!C172,'[3]Riesgos de Corrupción'!$B$11:$B$100,0),63)="Catastrófico")),2)))," ")</f>
        <v xml:space="preserve"> </v>
      </c>
      <c r="AK172" s="19" t="str">
        <f t="shared" si="63"/>
        <v xml:space="preserve"> </v>
      </c>
      <c r="AL172" s="19" t="str">
        <f>IFERROR(IF((INDEX('[3]Riesgos de Corrupción'!$B$11:$BN$100,MATCH('Controles de Corrupción'!C172,'[3]Riesgos de Corrupción'!$B$11:$B$100,0),62)-AK172&lt;=3),"Moderado",IF((INDEX('[3]Riesgos de Corrupción'!$B$11:$BN$100,MATCH('Controles de Corrupción'!C172,'[3]Riesgos de Corrupción'!$B$11:$B$100,0),62)-AK172&lt;=4),"Mayor",IF((INDEX('[3]Riesgos de Corrupción'!$B$11:$BN$100,MATCH('Controles de Corrupción'!C172,'[3]Riesgos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0" t="str">
        <f t="shared" si="50"/>
        <v>-</v>
      </c>
      <c r="C173" s="188"/>
      <c r="D173" s="170"/>
      <c r="E173" s="171"/>
      <c r="F173" s="129"/>
      <c r="G173" s="128"/>
      <c r="H173" s="23"/>
      <c r="I173" s="18"/>
      <c r="J173" s="80">
        <f t="shared" si="66"/>
        <v>0</v>
      </c>
      <c r="K173" s="18"/>
      <c r="L173" s="80">
        <f t="shared" si="67"/>
        <v>0</v>
      </c>
      <c r="M173" s="18"/>
      <c r="N173" s="80">
        <f t="shared" si="68"/>
        <v>0</v>
      </c>
      <c r="O173" s="18"/>
      <c r="P173" s="80">
        <f t="shared" si="69"/>
        <v>0</v>
      </c>
      <c r="Q173" s="18"/>
      <c r="R173" s="80">
        <f t="shared" si="70"/>
        <v>0</v>
      </c>
      <c r="S173" s="18"/>
      <c r="T173" s="80">
        <f t="shared" si="71"/>
        <v>0</v>
      </c>
      <c r="U173" s="18"/>
      <c r="V173" s="80">
        <f t="shared" si="51"/>
        <v>0</v>
      </c>
      <c r="W173" s="19" t="str">
        <f t="shared" si="52"/>
        <v xml:space="preserve"> </v>
      </c>
      <c r="X173" s="19" t="str">
        <f t="shared" si="53"/>
        <v xml:space="preserve"> </v>
      </c>
      <c r="Y173" s="19" t="str">
        <f t="shared" si="54"/>
        <v/>
      </c>
      <c r="Z173" s="23"/>
      <c r="AA173" s="19" t="str">
        <f t="shared" si="55"/>
        <v/>
      </c>
      <c r="AB173" s="19" t="str">
        <f t="shared" si="56"/>
        <v xml:space="preserve"> </v>
      </c>
      <c r="AC173" s="19" t="str">
        <f t="shared" si="57"/>
        <v/>
      </c>
      <c r="AD173" s="19" t="str">
        <f t="shared" si="58"/>
        <v xml:space="preserve"> </v>
      </c>
      <c r="AE173" s="125" t="str">
        <f t="shared" si="59"/>
        <v xml:space="preserve"> </v>
      </c>
      <c r="AF173" s="19" t="str">
        <f t="shared" si="60"/>
        <v xml:space="preserve"> </v>
      </c>
      <c r="AG173" s="50">
        <f t="shared" si="61"/>
        <v>0</v>
      </c>
      <c r="AH173" s="50" t="str">
        <f t="shared" si="62"/>
        <v xml:space="preserve"> </v>
      </c>
      <c r="AI173" s="36" t="str">
        <f>IFERROR(IF((INDEX('[3]Riesgos de Corrupción'!$B$11:$V$100,MATCH('Controles de Corrupción'!C173,'[3]Riesgos de Corrupción'!$B$11:$B$100,0),17)-AH173&lt;=1),"Rara vez",IF((INDEX('[3]Riesgos de Corrupción'!$B$11:$V$100,MATCH('Controles de Corrupción'!C173,'[3]Riesgos de Corrupción'!$B$11:$B$100,0),17)-AH173&lt;=2),"Improbable",IF((INDEX('[3]Riesgos de Corrupción'!$B$11:$V$100,MATCH('Controles de Corrupción'!C173,'[3]Riesgos de Corrupción'!$B$11:$B$100,0),17)-AH173&lt;=3),"Posible",IF((INDEX('[3]Riesgos de Corrupción'!$B$11:$V$100,MATCH('Controles de Corrupción'!C173,'[3]Riesgos de Corrupción'!$B$11:$B$100,0),17)-AH173&lt;=4),"Probable",IF((INDEX('[3]Riesgos de Corrupción'!$B$11:$V$100,MATCH('Controles de Corrupción'!C173,'[3]Riesgos de Corrupción'!$B$11:$B$100,0),17)-AH173&lt;=5),"Casi seguro")))))," ")</f>
        <v xml:space="preserve"> </v>
      </c>
      <c r="AJ173" s="8" t="str">
        <f>IFERROR(IF(OR(AND(AF173="Fuerte",H173="No disminuye"),AND(AF173="Moderado",H173="Indirectamente"),AND(AF173="Moderado",H173="No disminuye"),AND(INDEX('[3]Riesgos de Corrupción'!$B$11:$BN$100,MATCH('Controles de Corrupción'!C173,'[3]Riesgos de Corrupción'!$B$11:$B$100,0),63)="Moderado")),0,IF(OR(AND(AF173="Fuerte",H173="Indirectamente"),AND(AF173="Moderado",H173="Directamente"),AND(INDEX('[3]Riesgos de Corrupción'!$B$11:$BN$100,MATCH('Controles de Corrupción'!C173,'[3]Riesgos de Corrupción'!$B$11:$B$100,0),63)="Mayor")),1,IF(AND(AF173="Fuerte",H173="Directamente",AND(INDEX('[3]Riesgos de Corrupción'!$B$11:$BN$100,MATCH('Controles de Corrupción'!C173,'[3]Riesgos de Corrupción'!$B$11:$B$100,0),63)="Catastrófico")),2)))," ")</f>
        <v xml:space="preserve"> </v>
      </c>
      <c r="AK173" s="19" t="str">
        <f t="shared" si="63"/>
        <v xml:space="preserve"> </v>
      </c>
      <c r="AL173" s="19" t="str">
        <f>IFERROR(IF((INDEX('[3]Riesgos de Corrupción'!$B$11:$BN$100,MATCH('Controles de Corrupción'!C173,'[3]Riesgos de Corrupción'!$B$11:$B$100,0),62)-AK173&lt;=3),"Moderado",IF((INDEX('[3]Riesgos de Corrupción'!$B$11:$BN$100,MATCH('Controles de Corrupción'!C173,'[3]Riesgos de Corrupción'!$B$11:$B$100,0),62)-AK173&lt;=4),"Mayor",IF((INDEX('[3]Riesgos de Corrupción'!$B$11:$BN$100,MATCH('Controles de Corrupción'!C173,'[3]Riesgos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0" t="str">
        <f t="shared" si="50"/>
        <v>-</v>
      </c>
      <c r="C174" s="188"/>
      <c r="D174" s="170"/>
      <c r="E174" s="171"/>
      <c r="F174" s="129"/>
      <c r="G174" s="128"/>
      <c r="H174" s="23"/>
      <c r="I174" s="18"/>
      <c r="J174" s="80">
        <f t="shared" si="66"/>
        <v>0</v>
      </c>
      <c r="K174" s="18"/>
      <c r="L174" s="80">
        <f t="shared" si="67"/>
        <v>0</v>
      </c>
      <c r="M174" s="18"/>
      <c r="N174" s="80">
        <f t="shared" si="68"/>
        <v>0</v>
      </c>
      <c r="O174" s="18"/>
      <c r="P174" s="80">
        <f t="shared" si="69"/>
        <v>0</v>
      </c>
      <c r="Q174" s="18"/>
      <c r="R174" s="80">
        <f t="shared" si="70"/>
        <v>0</v>
      </c>
      <c r="S174" s="18"/>
      <c r="T174" s="80">
        <f t="shared" si="71"/>
        <v>0</v>
      </c>
      <c r="U174" s="18"/>
      <c r="V174" s="80">
        <f t="shared" si="51"/>
        <v>0</v>
      </c>
      <c r="W174" s="19" t="str">
        <f t="shared" si="52"/>
        <v xml:space="preserve"> </v>
      </c>
      <c r="X174" s="19" t="str">
        <f t="shared" si="53"/>
        <v xml:space="preserve"> </v>
      </c>
      <c r="Y174" s="19" t="str">
        <f t="shared" si="54"/>
        <v/>
      </c>
      <c r="Z174" s="23"/>
      <c r="AA174" s="19" t="str">
        <f t="shared" si="55"/>
        <v/>
      </c>
      <c r="AB174" s="19" t="str">
        <f t="shared" si="56"/>
        <v xml:space="preserve"> </v>
      </c>
      <c r="AC174" s="19" t="str">
        <f t="shared" si="57"/>
        <v/>
      </c>
      <c r="AD174" s="19" t="str">
        <f t="shared" si="58"/>
        <v xml:space="preserve"> </v>
      </c>
      <c r="AE174" s="125" t="str">
        <f t="shared" si="59"/>
        <v xml:space="preserve"> </v>
      </c>
      <c r="AF174" s="19" t="str">
        <f t="shared" si="60"/>
        <v xml:space="preserve"> </v>
      </c>
      <c r="AG174" s="50">
        <f t="shared" si="61"/>
        <v>0</v>
      </c>
      <c r="AH174" s="50" t="str">
        <f t="shared" si="62"/>
        <v xml:space="preserve"> </v>
      </c>
      <c r="AI174" s="36" t="str">
        <f>IFERROR(IF((INDEX('[3]Riesgos de Corrupción'!$B$11:$V$100,MATCH('Controles de Corrupción'!C174,'[3]Riesgos de Corrupción'!$B$11:$B$100,0),17)-AH174&lt;=1),"Rara vez",IF((INDEX('[3]Riesgos de Corrupción'!$B$11:$V$100,MATCH('Controles de Corrupción'!C174,'[3]Riesgos de Corrupción'!$B$11:$B$100,0),17)-AH174&lt;=2),"Improbable",IF((INDEX('[3]Riesgos de Corrupción'!$B$11:$V$100,MATCH('Controles de Corrupción'!C174,'[3]Riesgos de Corrupción'!$B$11:$B$100,0),17)-AH174&lt;=3),"Posible",IF((INDEX('[3]Riesgos de Corrupción'!$B$11:$V$100,MATCH('Controles de Corrupción'!C174,'[3]Riesgos de Corrupción'!$B$11:$B$100,0),17)-AH174&lt;=4),"Probable",IF((INDEX('[3]Riesgos de Corrupción'!$B$11:$V$100,MATCH('Controles de Corrupción'!C174,'[3]Riesgos de Corrupción'!$B$11:$B$100,0),17)-AH174&lt;=5),"Casi seguro")))))," ")</f>
        <v xml:space="preserve"> </v>
      </c>
      <c r="AJ174" s="8" t="str">
        <f>IFERROR(IF(OR(AND(AF174="Fuerte",H174="No disminuye"),AND(AF174="Moderado",H174="Indirectamente"),AND(AF174="Moderado",H174="No disminuye"),AND(INDEX('[3]Riesgos de Corrupción'!$B$11:$BN$100,MATCH('Controles de Corrupción'!C174,'[3]Riesgos de Corrupción'!$B$11:$B$100,0),63)="Moderado")),0,IF(OR(AND(AF174="Fuerte",H174="Indirectamente"),AND(AF174="Moderado",H174="Directamente"),AND(INDEX('[3]Riesgos de Corrupción'!$B$11:$BN$100,MATCH('Controles de Corrupción'!C174,'[3]Riesgos de Corrupción'!$B$11:$B$100,0),63)="Mayor")),1,IF(AND(AF174="Fuerte",H174="Directamente",AND(INDEX('[3]Riesgos de Corrupción'!$B$11:$BN$100,MATCH('Controles de Corrupción'!C174,'[3]Riesgos de Corrupción'!$B$11:$B$100,0),63)="Catastrófico")),2)))," ")</f>
        <v xml:space="preserve"> </v>
      </c>
      <c r="AK174" s="19" t="str">
        <f t="shared" si="63"/>
        <v xml:space="preserve"> </v>
      </c>
      <c r="AL174" s="19" t="str">
        <f>IFERROR(IF((INDEX('[3]Riesgos de Corrupción'!$B$11:$BN$100,MATCH('Controles de Corrupción'!C174,'[3]Riesgos de Corrupción'!$B$11:$B$100,0),62)-AK174&lt;=3),"Moderado",IF((INDEX('[3]Riesgos de Corrupción'!$B$11:$BN$100,MATCH('Controles de Corrupción'!C174,'[3]Riesgos de Corrupción'!$B$11:$B$100,0),62)-AK174&lt;=4),"Mayor",IF((INDEX('[3]Riesgos de Corrupción'!$B$11:$BN$100,MATCH('Controles de Corrupción'!C174,'[3]Riesgos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0" t="str">
        <f t="shared" si="50"/>
        <v>-</v>
      </c>
      <c r="C175" s="188"/>
      <c r="D175" s="170"/>
      <c r="E175" s="171"/>
      <c r="F175" s="129"/>
      <c r="G175" s="128"/>
      <c r="H175" s="23"/>
      <c r="I175" s="18"/>
      <c r="J175" s="80">
        <f t="shared" si="66"/>
        <v>0</v>
      </c>
      <c r="K175" s="18"/>
      <c r="L175" s="80">
        <f t="shared" si="67"/>
        <v>0</v>
      </c>
      <c r="M175" s="18"/>
      <c r="N175" s="80">
        <f t="shared" si="68"/>
        <v>0</v>
      </c>
      <c r="O175" s="18"/>
      <c r="P175" s="80">
        <f t="shared" si="69"/>
        <v>0</v>
      </c>
      <c r="Q175" s="18"/>
      <c r="R175" s="80">
        <f t="shared" si="70"/>
        <v>0</v>
      </c>
      <c r="S175" s="18"/>
      <c r="T175" s="80">
        <f t="shared" si="71"/>
        <v>0</v>
      </c>
      <c r="U175" s="18"/>
      <c r="V175" s="80">
        <f t="shared" si="51"/>
        <v>0</v>
      </c>
      <c r="W175" s="19" t="str">
        <f t="shared" si="52"/>
        <v xml:space="preserve"> </v>
      </c>
      <c r="X175" s="19" t="str">
        <f t="shared" si="53"/>
        <v xml:space="preserve"> </v>
      </c>
      <c r="Y175" s="19" t="str">
        <f t="shared" si="54"/>
        <v/>
      </c>
      <c r="Z175" s="23"/>
      <c r="AA175" s="19" t="str">
        <f t="shared" si="55"/>
        <v/>
      </c>
      <c r="AB175" s="19" t="str">
        <f t="shared" si="56"/>
        <v xml:space="preserve"> </v>
      </c>
      <c r="AC175" s="19" t="str">
        <f t="shared" si="57"/>
        <v/>
      </c>
      <c r="AD175" s="19" t="str">
        <f t="shared" si="58"/>
        <v xml:space="preserve"> </v>
      </c>
      <c r="AE175" s="125" t="str">
        <f t="shared" si="59"/>
        <v xml:space="preserve"> </v>
      </c>
      <c r="AF175" s="19" t="str">
        <f t="shared" si="60"/>
        <v xml:space="preserve"> </v>
      </c>
      <c r="AG175" s="50">
        <f t="shared" si="61"/>
        <v>0</v>
      </c>
      <c r="AH175" s="50" t="str">
        <f t="shared" si="62"/>
        <v xml:space="preserve"> </v>
      </c>
      <c r="AI175" s="36" t="str">
        <f>IFERROR(IF((INDEX('[3]Riesgos de Corrupción'!$B$11:$V$100,MATCH('Controles de Corrupción'!C175,'[3]Riesgos de Corrupción'!$B$11:$B$100,0),17)-AH175&lt;=1),"Rara vez",IF((INDEX('[3]Riesgos de Corrupción'!$B$11:$V$100,MATCH('Controles de Corrupción'!C175,'[3]Riesgos de Corrupción'!$B$11:$B$100,0),17)-AH175&lt;=2),"Improbable",IF((INDEX('[3]Riesgos de Corrupción'!$B$11:$V$100,MATCH('Controles de Corrupción'!C175,'[3]Riesgos de Corrupción'!$B$11:$B$100,0),17)-AH175&lt;=3),"Posible",IF((INDEX('[3]Riesgos de Corrupción'!$B$11:$V$100,MATCH('Controles de Corrupción'!C175,'[3]Riesgos de Corrupción'!$B$11:$B$100,0),17)-AH175&lt;=4),"Probable",IF((INDEX('[3]Riesgos de Corrupción'!$B$11:$V$100,MATCH('Controles de Corrupción'!C175,'[3]Riesgos de Corrupción'!$B$11:$B$100,0),17)-AH175&lt;=5),"Casi seguro")))))," ")</f>
        <v xml:space="preserve"> </v>
      </c>
      <c r="AJ175" s="8" t="str">
        <f>IFERROR(IF(OR(AND(AF175="Fuerte",H175="No disminuye"),AND(AF175="Moderado",H175="Indirectamente"),AND(AF175="Moderado",H175="No disminuye"),AND(INDEX('[3]Riesgos de Corrupción'!$B$11:$BN$100,MATCH('Controles de Corrupción'!C175,'[3]Riesgos de Corrupción'!$B$11:$B$100,0),63)="Moderado")),0,IF(OR(AND(AF175="Fuerte",H175="Indirectamente"),AND(AF175="Moderado",H175="Directamente"),AND(INDEX('[3]Riesgos de Corrupción'!$B$11:$BN$100,MATCH('Controles de Corrupción'!C175,'[3]Riesgos de Corrupción'!$B$11:$B$100,0),63)="Mayor")),1,IF(AND(AF175="Fuerte",H175="Directamente",AND(INDEX('[3]Riesgos de Corrupción'!$B$11:$BN$100,MATCH('Controles de Corrupción'!C175,'[3]Riesgos de Corrupción'!$B$11:$B$100,0),63)="Catastrófico")),2)))," ")</f>
        <v xml:space="preserve"> </v>
      </c>
      <c r="AK175" s="19" t="str">
        <f t="shared" si="63"/>
        <v xml:space="preserve"> </v>
      </c>
      <c r="AL175" s="19" t="str">
        <f>IFERROR(IF((INDEX('[3]Riesgos de Corrupción'!$B$11:$BN$100,MATCH('Controles de Corrupción'!C175,'[3]Riesgos de Corrupción'!$B$11:$B$100,0),62)-AK175&lt;=3),"Moderado",IF((INDEX('[3]Riesgos de Corrupción'!$B$11:$BN$100,MATCH('Controles de Corrupción'!C175,'[3]Riesgos de Corrupción'!$B$11:$B$100,0),62)-AK175&lt;=4),"Mayor",IF((INDEX('[3]Riesgos de Corrupción'!$B$11:$BN$100,MATCH('Controles de Corrupción'!C175,'[3]Riesgos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0" t="str">
        <f t="shared" si="50"/>
        <v>-</v>
      </c>
      <c r="C176" s="188"/>
      <c r="D176" s="170"/>
      <c r="E176" s="171"/>
      <c r="F176" s="129"/>
      <c r="G176" s="128"/>
      <c r="H176" s="23"/>
      <c r="I176" s="18"/>
      <c r="J176" s="80">
        <f t="shared" si="66"/>
        <v>0</v>
      </c>
      <c r="K176" s="18"/>
      <c r="L176" s="80">
        <f t="shared" si="67"/>
        <v>0</v>
      </c>
      <c r="M176" s="18"/>
      <c r="N176" s="80">
        <f t="shared" si="68"/>
        <v>0</v>
      </c>
      <c r="O176" s="18"/>
      <c r="P176" s="80">
        <f t="shared" si="69"/>
        <v>0</v>
      </c>
      <c r="Q176" s="18"/>
      <c r="R176" s="80">
        <f t="shared" si="70"/>
        <v>0</v>
      </c>
      <c r="S176" s="18"/>
      <c r="T176" s="80">
        <f t="shared" si="71"/>
        <v>0</v>
      </c>
      <c r="U176" s="18"/>
      <c r="V176" s="80">
        <f t="shared" si="51"/>
        <v>0</v>
      </c>
      <c r="W176" s="19" t="str">
        <f t="shared" si="52"/>
        <v xml:space="preserve"> </v>
      </c>
      <c r="X176" s="19" t="str">
        <f t="shared" si="53"/>
        <v xml:space="preserve"> </v>
      </c>
      <c r="Y176" s="19" t="str">
        <f t="shared" si="54"/>
        <v/>
      </c>
      <c r="Z176" s="23"/>
      <c r="AA176" s="19" t="str">
        <f t="shared" si="55"/>
        <v/>
      </c>
      <c r="AB176" s="19" t="str">
        <f t="shared" si="56"/>
        <v xml:space="preserve"> </v>
      </c>
      <c r="AC176" s="19" t="str">
        <f t="shared" si="57"/>
        <v/>
      </c>
      <c r="AD176" s="19" t="str">
        <f t="shared" si="58"/>
        <v xml:space="preserve"> </v>
      </c>
      <c r="AE176" s="125" t="str">
        <f t="shared" si="59"/>
        <v xml:space="preserve"> </v>
      </c>
      <c r="AF176" s="19" t="str">
        <f t="shared" si="60"/>
        <v xml:space="preserve"> </v>
      </c>
      <c r="AG176" s="50">
        <f t="shared" si="61"/>
        <v>0</v>
      </c>
      <c r="AH176" s="50" t="str">
        <f t="shared" si="62"/>
        <v xml:space="preserve"> </v>
      </c>
      <c r="AI176" s="36" t="str">
        <f>IFERROR(IF((INDEX('[3]Riesgos de Corrupción'!$B$11:$V$100,MATCH('Controles de Corrupción'!C176,'[3]Riesgos de Corrupción'!$B$11:$B$100,0),17)-AH176&lt;=1),"Rara vez",IF((INDEX('[3]Riesgos de Corrupción'!$B$11:$V$100,MATCH('Controles de Corrupción'!C176,'[3]Riesgos de Corrupción'!$B$11:$B$100,0),17)-AH176&lt;=2),"Improbable",IF((INDEX('[3]Riesgos de Corrupción'!$B$11:$V$100,MATCH('Controles de Corrupción'!C176,'[3]Riesgos de Corrupción'!$B$11:$B$100,0),17)-AH176&lt;=3),"Posible",IF((INDEX('[3]Riesgos de Corrupción'!$B$11:$V$100,MATCH('Controles de Corrupción'!C176,'[3]Riesgos de Corrupción'!$B$11:$B$100,0),17)-AH176&lt;=4),"Probable",IF((INDEX('[3]Riesgos de Corrupción'!$B$11:$V$100,MATCH('Controles de Corrupción'!C176,'[3]Riesgos de Corrupción'!$B$11:$B$100,0),17)-AH176&lt;=5),"Casi seguro")))))," ")</f>
        <v xml:space="preserve"> </v>
      </c>
      <c r="AJ176" s="8" t="str">
        <f>IFERROR(IF(OR(AND(AF176="Fuerte",H176="No disminuye"),AND(AF176="Moderado",H176="Indirectamente"),AND(AF176="Moderado",H176="No disminuye"),AND(INDEX('[3]Riesgos de Corrupción'!$B$11:$BN$100,MATCH('Controles de Corrupción'!C176,'[3]Riesgos de Corrupción'!$B$11:$B$100,0),63)="Moderado")),0,IF(OR(AND(AF176="Fuerte",H176="Indirectamente"),AND(AF176="Moderado",H176="Directamente"),AND(INDEX('[3]Riesgos de Corrupción'!$B$11:$BN$100,MATCH('Controles de Corrupción'!C176,'[3]Riesgos de Corrupción'!$B$11:$B$100,0),63)="Mayor")),1,IF(AND(AF176="Fuerte",H176="Directamente",AND(INDEX('[3]Riesgos de Corrupción'!$B$11:$BN$100,MATCH('Controles de Corrupción'!C176,'[3]Riesgos de Corrupción'!$B$11:$B$100,0),63)="Catastrófico")),2)))," ")</f>
        <v xml:space="preserve"> </v>
      </c>
      <c r="AK176" s="19" t="str">
        <f t="shared" si="63"/>
        <v xml:space="preserve"> </v>
      </c>
      <c r="AL176" s="19" t="str">
        <f>IFERROR(IF((INDEX('[3]Riesgos de Corrupción'!$B$11:$BN$100,MATCH('Controles de Corrupción'!C176,'[3]Riesgos de Corrupción'!$B$11:$B$100,0),62)-AK176&lt;=3),"Moderado",IF((INDEX('[3]Riesgos de Corrupción'!$B$11:$BN$100,MATCH('Controles de Corrupción'!C176,'[3]Riesgos de Corrupción'!$B$11:$B$100,0),62)-AK176&lt;=4),"Mayor",IF((INDEX('[3]Riesgos de Corrupción'!$B$11:$BN$100,MATCH('Controles de Corrupción'!C176,'[3]Riesgos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0" t="str">
        <f t="shared" si="50"/>
        <v>-</v>
      </c>
      <c r="C177" s="188"/>
      <c r="D177" s="170"/>
      <c r="E177" s="171"/>
      <c r="F177" s="129"/>
      <c r="G177" s="128"/>
      <c r="H177" s="23"/>
      <c r="I177" s="18"/>
      <c r="J177" s="80">
        <f t="shared" si="66"/>
        <v>0</v>
      </c>
      <c r="K177" s="18"/>
      <c r="L177" s="80">
        <f t="shared" si="67"/>
        <v>0</v>
      </c>
      <c r="M177" s="18"/>
      <c r="N177" s="80">
        <f t="shared" si="68"/>
        <v>0</v>
      </c>
      <c r="O177" s="18"/>
      <c r="P177" s="80">
        <f t="shared" si="69"/>
        <v>0</v>
      </c>
      <c r="Q177" s="18"/>
      <c r="R177" s="80">
        <f t="shared" si="70"/>
        <v>0</v>
      </c>
      <c r="S177" s="18"/>
      <c r="T177" s="80">
        <f t="shared" si="71"/>
        <v>0</v>
      </c>
      <c r="U177" s="18"/>
      <c r="V177" s="80">
        <f t="shared" si="51"/>
        <v>0</v>
      </c>
      <c r="W177" s="19" t="str">
        <f t="shared" si="52"/>
        <v xml:space="preserve"> </v>
      </c>
      <c r="X177" s="19" t="str">
        <f t="shared" si="53"/>
        <v xml:space="preserve"> </v>
      </c>
      <c r="Y177" s="19" t="str">
        <f t="shared" si="54"/>
        <v/>
      </c>
      <c r="Z177" s="23"/>
      <c r="AA177" s="19" t="str">
        <f t="shared" si="55"/>
        <v/>
      </c>
      <c r="AB177" s="19" t="str">
        <f t="shared" si="56"/>
        <v xml:space="preserve"> </v>
      </c>
      <c r="AC177" s="19" t="str">
        <f t="shared" si="57"/>
        <v/>
      </c>
      <c r="AD177" s="19" t="str">
        <f t="shared" si="58"/>
        <v xml:space="preserve"> </v>
      </c>
      <c r="AE177" s="125" t="str">
        <f t="shared" si="59"/>
        <v xml:space="preserve"> </v>
      </c>
      <c r="AF177" s="19" t="str">
        <f t="shared" si="60"/>
        <v xml:space="preserve"> </v>
      </c>
      <c r="AG177" s="50">
        <f t="shared" si="61"/>
        <v>0</v>
      </c>
      <c r="AH177" s="50" t="str">
        <f t="shared" si="62"/>
        <v xml:space="preserve"> </v>
      </c>
      <c r="AI177" s="36" t="str">
        <f>IFERROR(IF((INDEX('[3]Riesgos de Corrupción'!$B$11:$V$100,MATCH('Controles de Corrupción'!C177,'[3]Riesgos de Corrupción'!$B$11:$B$100,0),17)-AH177&lt;=1),"Rara vez",IF((INDEX('[3]Riesgos de Corrupción'!$B$11:$V$100,MATCH('Controles de Corrupción'!C177,'[3]Riesgos de Corrupción'!$B$11:$B$100,0),17)-AH177&lt;=2),"Improbable",IF((INDEX('[3]Riesgos de Corrupción'!$B$11:$V$100,MATCH('Controles de Corrupción'!C177,'[3]Riesgos de Corrupción'!$B$11:$B$100,0),17)-AH177&lt;=3),"Posible",IF((INDEX('[3]Riesgos de Corrupción'!$B$11:$V$100,MATCH('Controles de Corrupción'!C177,'[3]Riesgos de Corrupción'!$B$11:$B$100,0),17)-AH177&lt;=4),"Probable",IF((INDEX('[3]Riesgos de Corrupción'!$B$11:$V$100,MATCH('Controles de Corrupción'!C177,'[3]Riesgos de Corrupción'!$B$11:$B$100,0),17)-AH177&lt;=5),"Casi seguro")))))," ")</f>
        <v xml:space="preserve"> </v>
      </c>
      <c r="AJ177" s="8" t="str">
        <f>IFERROR(IF(OR(AND(AF177="Fuerte",H177="No disminuye"),AND(AF177="Moderado",H177="Indirectamente"),AND(AF177="Moderado",H177="No disminuye"),AND(INDEX('[3]Riesgos de Corrupción'!$B$11:$BN$100,MATCH('Controles de Corrupción'!C177,'[3]Riesgos de Corrupción'!$B$11:$B$100,0),63)="Moderado")),0,IF(OR(AND(AF177="Fuerte",H177="Indirectamente"),AND(AF177="Moderado",H177="Directamente"),AND(INDEX('[3]Riesgos de Corrupción'!$B$11:$BN$100,MATCH('Controles de Corrupción'!C177,'[3]Riesgos de Corrupción'!$B$11:$B$100,0),63)="Mayor")),1,IF(AND(AF177="Fuerte",H177="Directamente",AND(INDEX('[3]Riesgos de Corrupción'!$B$11:$BN$100,MATCH('Controles de Corrupción'!C177,'[3]Riesgos de Corrupción'!$B$11:$B$100,0),63)="Catastrófico")),2)))," ")</f>
        <v xml:space="preserve"> </v>
      </c>
      <c r="AK177" s="19" t="str">
        <f t="shared" si="63"/>
        <v xml:space="preserve"> </v>
      </c>
      <c r="AL177" s="19" t="str">
        <f>IFERROR(IF((INDEX('[3]Riesgos de Corrupción'!$B$11:$BN$100,MATCH('Controles de Corrupción'!C177,'[3]Riesgos de Corrupción'!$B$11:$B$100,0),62)-AK177&lt;=3),"Moderado",IF((INDEX('[3]Riesgos de Corrupción'!$B$11:$BN$100,MATCH('Controles de Corrupción'!C177,'[3]Riesgos de Corrupción'!$B$11:$B$100,0),62)-AK177&lt;=4),"Mayor",IF((INDEX('[3]Riesgos de Corrupción'!$B$11:$BN$100,MATCH('Controles de Corrupción'!C177,'[3]Riesgos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0" t="str">
        <f t="shared" si="50"/>
        <v>-</v>
      </c>
      <c r="C178" s="188"/>
      <c r="D178" s="170"/>
      <c r="E178" s="171"/>
      <c r="F178" s="129"/>
      <c r="G178" s="128"/>
      <c r="H178" s="23"/>
      <c r="I178" s="18"/>
      <c r="J178" s="80">
        <f t="shared" si="66"/>
        <v>0</v>
      </c>
      <c r="K178" s="18"/>
      <c r="L178" s="80">
        <f t="shared" si="67"/>
        <v>0</v>
      </c>
      <c r="M178" s="18"/>
      <c r="N178" s="80">
        <f t="shared" si="68"/>
        <v>0</v>
      </c>
      <c r="O178" s="18"/>
      <c r="P178" s="80">
        <f t="shared" si="69"/>
        <v>0</v>
      </c>
      <c r="Q178" s="18"/>
      <c r="R178" s="80">
        <f t="shared" si="70"/>
        <v>0</v>
      </c>
      <c r="S178" s="18"/>
      <c r="T178" s="80">
        <f t="shared" si="71"/>
        <v>0</v>
      </c>
      <c r="U178" s="18"/>
      <c r="V178" s="80">
        <f t="shared" si="51"/>
        <v>0</v>
      </c>
      <c r="W178" s="19" t="str">
        <f t="shared" si="52"/>
        <v xml:space="preserve"> </v>
      </c>
      <c r="X178" s="19" t="str">
        <f t="shared" si="53"/>
        <v xml:space="preserve"> </v>
      </c>
      <c r="Y178" s="19" t="str">
        <f t="shared" si="54"/>
        <v/>
      </c>
      <c r="Z178" s="23"/>
      <c r="AA178" s="19" t="str">
        <f t="shared" si="55"/>
        <v/>
      </c>
      <c r="AB178" s="19" t="str">
        <f t="shared" si="56"/>
        <v xml:space="preserve"> </v>
      </c>
      <c r="AC178" s="19" t="str">
        <f t="shared" si="57"/>
        <v/>
      </c>
      <c r="AD178" s="19" t="str">
        <f t="shared" si="58"/>
        <v xml:space="preserve"> </v>
      </c>
      <c r="AE178" s="125" t="str">
        <f t="shared" si="59"/>
        <v xml:space="preserve"> </v>
      </c>
      <c r="AF178" s="19" t="str">
        <f t="shared" si="60"/>
        <v xml:space="preserve"> </v>
      </c>
      <c r="AG178" s="50">
        <f t="shared" si="61"/>
        <v>0</v>
      </c>
      <c r="AH178" s="50" t="str">
        <f t="shared" si="62"/>
        <v xml:space="preserve"> </v>
      </c>
      <c r="AI178" s="36" t="str">
        <f>IFERROR(IF((INDEX('[3]Riesgos de Corrupción'!$B$11:$V$100,MATCH('Controles de Corrupción'!C178,'[3]Riesgos de Corrupción'!$B$11:$B$100,0),17)-AH178&lt;=1),"Rara vez",IF((INDEX('[3]Riesgos de Corrupción'!$B$11:$V$100,MATCH('Controles de Corrupción'!C178,'[3]Riesgos de Corrupción'!$B$11:$B$100,0),17)-AH178&lt;=2),"Improbable",IF((INDEX('[3]Riesgos de Corrupción'!$B$11:$V$100,MATCH('Controles de Corrupción'!C178,'[3]Riesgos de Corrupción'!$B$11:$B$100,0),17)-AH178&lt;=3),"Posible",IF((INDEX('[3]Riesgos de Corrupción'!$B$11:$V$100,MATCH('Controles de Corrupción'!C178,'[3]Riesgos de Corrupción'!$B$11:$B$100,0),17)-AH178&lt;=4),"Probable",IF((INDEX('[3]Riesgos de Corrupción'!$B$11:$V$100,MATCH('Controles de Corrupción'!C178,'[3]Riesgos de Corrupción'!$B$11:$B$100,0),17)-AH178&lt;=5),"Casi seguro")))))," ")</f>
        <v xml:space="preserve"> </v>
      </c>
      <c r="AJ178" s="8" t="str">
        <f>IFERROR(IF(OR(AND(AF178="Fuerte",H178="No disminuye"),AND(AF178="Moderado",H178="Indirectamente"),AND(AF178="Moderado",H178="No disminuye"),AND(INDEX('[3]Riesgos de Corrupción'!$B$11:$BN$100,MATCH('Controles de Corrupción'!C178,'[3]Riesgos de Corrupción'!$B$11:$B$100,0),63)="Moderado")),0,IF(OR(AND(AF178="Fuerte",H178="Indirectamente"),AND(AF178="Moderado",H178="Directamente"),AND(INDEX('[3]Riesgos de Corrupción'!$B$11:$BN$100,MATCH('Controles de Corrupción'!C178,'[3]Riesgos de Corrupción'!$B$11:$B$100,0),63)="Mayor")),1,IF(AND(AF178="Fuerte",H178="Directamente",AND(INDEX('[3]Riesgos de Corrupción'!$B$11:$BN$100,MATCH('Controles de Corrupción'!C178,'[3]Riesgos de Corrupción'!$B$11:$B$100,0),63)="Catastrófico")),2)))," ")</f>
        <v xml:space="preserve"> </v>
      </c>
      <c r="AK178" s="19" t="str">
        <f t="shared" si="63"/>
        <v xml:space="preserve"> </v>
      </c>
      <c r="AL178" s="19" t="str">
        <f>IFERROR(IF((INDEX('[3]Riesgos de Corrupción'!$B$11:$BN$100,MATCH('Controles de Corrupción'!C178,'[3]Riesgos de Corrupción'!$B$11:$B$100,0),62)-AK178&lt;=3),"Moderado",IF((INDEX('[3]Riesgos de Corrupción'!$B$11:$BN$100,MATCH('Controles de Corrupción'!C178,'[3]Riesgos de Corrupción'!$B$11:$B$100,0),62)-AK178&lt;=4),"Mayor",IF((INDEX('[3]Riesgos de Corrupción'!$B$11:$BN$100,MATCH('Controles de Corrupción'!C178,'[3]Riesgos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0" t="str">
        <f t="shared" si="50"/>
        <v>-</v>
      </c>
      <c r="C179" s="188"/>
      <c r="D179" s="170"/>
      <c r="E179" s="171"/>
      <c r="F179" s="129"/>
      <c r="G179" s="128"/>
      <c r="H179" s="23"/>
      <c r="I179" s="18"/>
      <c r="J179" s="80">
        <f t="shared" si="66"/>
        <v>0</v>
      </c>
      <c r="K179" s="18"/>
      <c r="L179" s="80">
        <f t="shared" si="67"/>
        <v>0</v>
      </c>
      <c r="M179" s="18"/>
      <c r="N179" s="80">
        <f t="shared" si="68"/>
        <v>0</v>
      </c>
      <c r="O179" s="18"/>
      <c r="P179" s="80">
        <f t="shared" si="69"/>
        <v>0</v>
      </c>
      <c r="Q179" s="18"/>
      <c r="R179" s="80">
        <f t="shared" si="70"/>
        <v>0</v>
      </c>
      <c r="S179" s="18"/>
      <c r="T179" s="80">
        <f t="shared" si="71"/>
        <v>0</v>
      </c>
      <c r="U179" s="18"/>
      <c r="V179" s="80">
        <f t="shared" si="51"/>
        <v>0</v>
      </c>
      <c r="W179" s="19" t="str">
        <f t="shared" si="52"/>
        <v xml:space="preserve"> </v>
      </c>
      <c r="X179" s="19" t="str">
        <f t="shared" si="53"/>
        <v xml:space="preserve"> </v>
      </c>
      <c r="Y179" s="19" t="str">
        <f t="shared" si="54"/>
        <v/>
      </c>
      <c r="Z179" s="23"/>
      <c r="AA179" s="19" t="str">
        <f t="shared" si="55"/>
        <v/>
      </c>
      <c r="AB179" s="19" t="str">
        <f t="shared" si="56"/>
        <v xml:space="preserve"> </v>
      </c>
      <c r="AC179" s="19" t="str">
        <f t="shared" si="57"/>
        <v/>
      </c>
      <c r="AD179" s="19" t="str">
        <f t="shared" si="58"/>
        <v xml:space="preserve"> </v>
      </c>
      <c r="AE179" s="125" t="str">
        <f t="shared" si="59"/>
        <v xml:space="preserve"> </v>
      </c>
      <c r="AF179" s="19" t="str">
        <f t="shared" si="60"/>
        <v xml:space="preserve"> </v>
      </c>
      <c r="AG179" s="50">
        <f t="shared" si="61"/>
        <v>0</v>
      </c>
      <c r="AH179" s="50" t="str">
        <f t="shared" si="62"/>
        <v xml:space="preserve"> </v>
      </c>
      <c r="AI179" s="36" t="str">
        <f>IFERROR(IF((INDEX('[3]Riesgos de Corrupción'!$B$11:$V$100,MATCH('Controles de Corrupción'!C179,'[3]Riesgos de Corrupción'!$B$11:$B$100,0),17)-AH179&lt;=1),"Rara vez",IF((INDEX('[3]Riesgos de Corrupción'!$B$11:$V$100,MATCH('Controles de Corrupción'!C179,'[3]Riesgos de Corrupción'!$B$11:$B$100,0),17)-AH179&lt;=2),"Improbable",IF((INDEX('[3]Riesgos de Corrupción'!$B$11:$V$100,MATCH('Controles de Corrupción'!C179,'[3]Riesgos de Corrupción'!$B$11:$B$100,0),17)-AH179&lt;=3),"Posible",IF((INDEX('[3]Riesgos de Corrupción'!$B$11:$V$100,MATCH('Controles de Corrupción'!C179,'[3]Riesgos de Corrupción'!$B$11:$B$100,0),17)-AH179&lt;=4),"Probable",IF((INDEX('[3]Riesgos de Corrupción'!$B$11:$V$100,MATCH('Controles de Corrupción'!C179,'[3]Riesgos de Corrupción'!$B$11:$B$100,0),17)-AH179&lt;=5),"Casi seguro")))))," ")</f>
        <v xml:space="preserve"> </v>
      </c>
      <c r="AJ179" s="8" t="str">
        <f>IFERROR(IF(OR(AND(AF179="Fuerte",H179="No disminuye"),AND(AF179="Moderado",H179="Indirectamente"),AND(AF179="Moderado",H179="No disminuye"),AND(INDEX('[3]Riesgos de Corrupción'!$B$11:$BN$100,MATCH('Controles de Corrupción'!C179,'[3]Riesgos de Corrupción'!$B$11:$B$100,0),63)="Moderado")),0,IF(OR(AND(AF179="Fuerte",H179="Indirectamente"),AND(AF179="Moderado",H179="Directamente"),AND(INDEX('[3]Riesgos de Corrupción'!$B$11:$BN$100,MATCH('Controles de Corrupción'!C179,'[3]Riesgos de Corrupción'!$B$11:$B$100,0),63)="Mayor")),1,IF(AND(AF179="Fuerte",H179="Directamente",AND(INDEX('[3]Riesgos de Corrupción'!$B$11:$BN$100,MATCH('Controles de Corrupción'!C179,'[3]Riesgos de Corrupción'!$B$11:$B$100,0),63)="Catastrófico")),2)))," ")</f>
        <v xml:space="preserve"> </v>
      </c>
      <c r="AK179" s="19" t="str">
        <f t="shared" si="63"/>
        <v xml:space="preserve"> </v>
      </c>
      <c r="AL179" s="19" t="str">
        <f>IFERROR(IF((INDEX('[3]Riesgos de Corrupción'!$B$11:$BN$100,MATCH('Controles de Corrupción'!C179,'[3]Riesgos de Corrupción'!$B$11:$B$100,0),62)-AK179&lt;=3),"Moderado",IF((INDEX('[3]Riesgos de Corrupción'!$B$11:$BN$100,MATCH('Controles de Corrupción'!C179,'[3]Riesgos de Corrupción'!$B$11:$B$100,0),62)-AK179&lt;=4),"Mayor",IF((INDEX('[3]Riesgos de Corrupción'!$B$11:$BN$100,MATCH('Controles de Corrupción'!C179,'[3]Riesgos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0" t="str">
        <f t="shared" si="50"/>
        <v>-</v>
      </c>
      <c r="C180" s="188"/>
      <c r="D180" s="170"/>
      <c r="E180" s="171"/>
      <c r="F180" s="129"/>
      <c r="G180" s="128"/>
      <c r="H180" s="23"/>
      <c r="I180" s="18"/>
      <c r="J180" s="80">
        <f t="shared" si="66"/>
        <v>0</v>
      </c>
      <c r="K180" s="18"/>
      <c r="L180" s="80">
        <f t="shared" si="67"/>
        <v>0</v>
      </c>
      <c r="M180" s="18"/>
      <c r="N180" s="80">
        <f t="shared" si="68"/>
        <v>0</v>
      </c>
      <c r="O180" s="18"/>
      <c r="P180" s="80">
        <f t="shared" si="69"/>
        <v>0</v>
      </c>
      <c r="Q180" s="18"/>
      <c r="R180" s="80">
        <f t="shared" si="70"/>
        <v>0</v>
      </c>
      <c r="S180" s="18"/>
      <c r="T180" s="80">
        <f t="shared" si="71"/>
        <v>0</v>
      </c>
      <c r="U180" s="18"/>
      <c r="V180" s="80">
        <f t="shared" si="51"/>
        <v>0</v>
      </c>
      <c r="W180" s="19" t="str">
        <f t="shared" si="52"/>
        <v xml:space="preserve"> </v>
      </c>
      <c r="X180" s="19" t="str">
        <f t="shared" si="53"/>
        <v xml:space="preserve"> </v>
      </c>
      <c r="Y180" s="19" t="str">
        <f t="shared" si="54"/>
        <v/>
      </c>
      <c r="Z180" s="23"/>
      <c r="AA180" s="19" t="str">
        <f t="shared" si="55"/>
        <v/>
      </c>
      <c r="AB180" s="19" t="str">
        <f t="shared" si="56"/>
        <v xml:space="preserve"> </v>
      </c>
      <c r="AC180" s="19" t="str">
        <f t="shared" si="57"/>
        <v/>
      </c>
      <c r="AD180" s="19" t="str">
        <f t="shared" si="58"/>
        <v xml:space="preserve"> </v>
      </c>
      <c r="AE180" s="125" t="str">
        <f t="shared" si="59"/>
        <v xml:space="preserve"> </v>
      </c>
      <c r="AF180" s="19" t="str">
        <f t="shared" si="60"/>
        <v xml:space="preserve"> </v>
      </c>
      <c r="AG180" s="50">
        <f t="shared" si="61"/>
        <v>0</v>
      </c>
      <c r="AH180" s="50" t="str">
        <f t="shared" si="62"/>
        <v xml:space="preserve"> </v>
      </c>
      <c r="AI180" s="36" t="str">
        <f>IFERROR(IF((INDEX('[3]Riesgos de Corrupción'!$B$11:$V$100,MATCH('Controles de Corrupción'!C180,'[3]Riesgos de Corrupción'!$B$11:$B$100,0),17)-AH180&lt;=1),"Rara vez",IF((INDEX('[3]Riesgos de Corrupción'!$B$11:$V$100,MATCH('Controles de Corrupción'!C180,'[3]Riesgos de Corrupción'!$B$11:$B$100,0),17)-AH180&lt;=2),"Improbable",IF((INDEX('[3]Riesgos de Corrupción'!$B$11:$V$100,MATCH('Controles de Corrupción'!C180,'[3]Riesgos de Corrupción'!$B$11:$B$100,0),17)-AH180&lt;=3),"Posible",IF((INDEX('[3]Riesgos de Corrupción'!$B$11:$V$100,MATCH('Controles de Corrupción'!C180,'[3]Riesgos de Corrupción'!$B$11:$B$100,0),17)-AH180&lt;=4),"Probable",IF((INDEX('[3]Riesgos de Corrupción'!$B$11:$V$100,MATCH('Controles de Corrupción'!C180,'[3]Riesgos de Corrupción'!$B$11:$B$100,0),17)-AH180&lt;=5),"Casi seguro")))))," ")</f>
        <v xml:space="preserve"> </v>
      </c>
      <c r="AJ180" s="8" t="str">
        <f>IFERROR(IF(OR(AND(AF180="Fuerte",H180="No disminuye"),AND(AF180="Moderado",H180="Indirectamente"),AND(AF180="Moderado",H180="No disminuye"),AND(INDEX('[3]Riesgos de Corrupción'!$B$11:$BN$100,MATCH('Controles de Corrupción'!C180,'[3]Riesgos de Corrupción'!$B$11:$B$100,0),63)="Moderado")),0,IF(OR(AND(AF180="Fuerte",H180="Indirectamente"),AND(AF180="Moderado",H180="Directamente"),AND(INDEX('[3]Riesgos de Corrupción'!$B$11:$BN$100,MATCH('Controles de Corrupción'!C180,'[3]Riesgos de Corrupción'!$B$11:$B$100,0),63)="Mayor")),1,IF(AND(AF180="Fuerte",H180="Directamente",AND(INDEX('[3]Riesgos de Corrupción'!$B$11:$BN$100,MATCH('Controles de Corrupción'!C180,'[3]Riesgos de Corrupción'!$B$11:$B$100,0),63)="Catastrófico")),2)))," ")</f>
        <v xml:space="preserve"> </v>
      </c>
      <c r="AK180" s="19" t="str">
        <f t="shared" si="63"/>
        <v xml:space="preserve"> </v>
      </c>
      <c r="AL180" s="19" t="str">
        <f>IFERROR(IF((INDEX('[3]Riesgos de Corrupción'!$B$11:$BN$100,MATCH('Controles de Corrupción'!C180,'[3]Riesgos de Corrupción'!$B$11:$B$100,0),62)-AK180&lt;=3),"Moderado",IF((INDEX('[3]Riesgos de Corrupción'!$B$11:$BN$100,MATCH('Controles de Corrupción'!C180,'[3]Riesgos de Corrupción'!$B$11:$B$100,0),62)-AK180&lt;=4),"Mayor",IF((INDEX('[3]Riesgos de Corrupción'!$B$11:$BN$100,MATCH('Controles de Corrupción'!C180,'[3]Riesgos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0" t="str">
        <f t="shared" si="50"/>
        <v>-</v>
      </c>
      <c r="C181" s="188"/>
      <c r="D181" s="170"/>
      <c r="E181" s="171"/>
      <c r="F181" s="129"/>
      <c r="G181" s="128"/>
      <c r="H181" s="23"/>
      <c r="I181" s="18"/>
      <c r="J181" s="80">
        <f t="shared" si="66"/>
        <v>0</v>
      </c>
      <c r="K181" s="18"/>
      <c r="L181" s="80">
        <f t="shared" si="67"/>
        <v>0</v>
      </c>
      <c r="M181" s="18"/>
      <c r="N181" s="80">
        <f t="shared" si="68"/>
        <v>0</v>
      </c>
      <c r="O181" s="18"/>
      <c r="P181" s="80">
        <f t="shared" si="69"/>
        <v>0</v>
      </c>
      <c r="Q181" s="18"/>
      <c r="R181" s="80">
        <f t="shared" si="70"/>
        <v>0</v>
      </c>
      <c r="S181" s="18"/>
      <c r="T181" s="80">
        <f t="shared" si="71"/>
        <v>0</v>
      </c>
      <c r="U181" s="18"/>
      <c r="V181" s="80">
        <f t="shared" si="51"/>
        <v>0</v>
      </c>
      <c r="W181" s="19" t="str">
        <f t="shared" si="52"/>
        <v xml:space="preserve"> </v>
      </c>
      <c r="X181" s="19" t="str">
        <f t="shared" si="53"/>
        <v xml:space="preserve"> </v>
      </c>
      <c r="Y181" s="19" t="str">
        <f t="shared" si="54"/>
        <v/>
      </c>
      <c r="Z181" s="23"/>
      <c r="AA181" s="19" t="str">
        <f t="shared" si="55"/>
        <v/>
      </c>
      <c r="AB181" s="19" t="str">
        <f t="shared" si="56"/>
        <v xml:space="preserve"> </v>
      </c>
      <c r="AC181" s="19" t="str">
        <f t="shared" si="57"/>
        <v/>
      </c>
      <c r="AD181" s="19" t="str">
        <f t="shared" si="58"/>
        <v xml:space="preserve"> </v>
      </c>
      <c r="AE181" s="125" t="str">
        <f t="shared" si="59"/>
        <v xml:space="preserve"> </v>
      </c>
      <c r="AF181" s="19" t="str">
        <f t="shared" si="60"/>
        <v xml:space="preserve"> </v>
      </c>
      <c r="AG181" s="50">
        <f t="shared" si="61"/>
        <v>0</v>
      </c>
      <c r="AH181" s="50" t="str">
        <f t="shared" si="62"/>
        <v xml:space="preserve"> </v>
      </c>
      <c r="AI181" s="36" t="str">
        <f>IFERROR(IF((INDEX('[3]Riesgos de Corrupción'!$B$11:$V$100,MATCH('Controles de Corrupción'!C181,'[3]Riesgos de Corrupción'!$B$11:$B$100,0),17)-AH181&lt;=1),"Rara vez",IF((INDEX('[3]Riesgos de Corrupción'!$B$11:$V$100,MATCH('Controles de Corrupción'!C181,'[3]Riesgos de Corrupción'!$B$11:$B$100,0),17)-AH181&lt;=2),"Improbable",IF((INDEX('[3]Riesgos de Corrupción'!$B$11:$V$100,MATCH('Controles de Corrupción'!C181,'[3]Riesgos de Corrupción'!$B$11:$B$100,0),17)-AH181&lt;=3),"Posible",IF((INDEX('[3]Riesgos de Corrupción'!$B$11:$V$100,MATCH('Controles de Corrupción'!C181,'[3]Riesgos de Corrupción'!$B$11:$B$100,0),17)-AH181&lt;=4),"Probable",IF((INDEX('[3]Riesgos de Corrupción'!$B$11:$V$100,MATCH('Controles de Corrupción'!C181,'[3]Riesgos de Corrupción'!$B$11:$B$100,0),17)-AH181&lt;=5),"Casi seguro")))))," ")</f>
        <v xml:space="preserve"> </v>
      </c>
      <c r="AJ181" s="8" t="str">
        <f>IFERROR(IF(OR(AND(AF181="Fuerte",H181="No disminuye"),AND(AF181="Moderado",H181="Indirectamente"),AND(AF181="Moderado",H181="No disminuye"),AND(INDEX('[3]Riesgos de Corrupción'!$B$11:$BN$100,MATCH('Controles de Corrupción'!C181,'[3]Riesgos de Corrupción'!$B$11:$B$100,0),63)="Moderado")),0,IF(OR(AND(AF181="Fuerte",H181="Indirectamente"),AND(AF181="Moderado",H181="Directamente"),AND(INDEX('[3]Riesgos de Corrupción'!$B$11:$BN$100,MATCH('Controles de Corrupción'!C181,'[3]Riesgos de Corrupción'!$B$11:$B$100,0),63)="Mayor")),1,IF(AND(AF181="Fuerte",H181="Directamente",AND(INDEX('[3]Riesgos de Corrupción'!$B$11:$BN$100,MATCH('Controles de Corrupción'!C181,'[3]Riesgos de Corrupción'!$B$11:$B$100,0),63)="Catastrófico")),2)))," ")</f>
        <v xml:space="preserve"> </v>
      </c>
      <c r="AK181" s="19" t="str">
        <f t="shared" si="63"/>
        <v xml:space="preserve"> </v>
      </c>
      <c r="AL181" s="19" t="str">
        <f>IFERROR(IF((INDEX('[3]Riesgos de Corrupción'!$B$11:$BN$100,MATCH('Controles de Corrupción'!C181,'[3]Riesgos de Corrupción'!$B$11:$B$100,0),62)-AK181&lt;=3),"Moderado",IF((INDEX('[3]Riesgos de Corrupción'!$B$11:$BN$100,MATCH('Controles de Corrupción'!C181,'[3]Riesgos de Corrupción'!$B$11:$B$100,0),62)-AK181&lt;=4),"Mayor",IF((INDEX('[3]Riesgos de Corrupción'!$B$11:$BN$100,MATCH('Controles de Corrupción'!C181,'[3]Riesgos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0" t="str">
        <f t="shared" si="50"/>
        <v>-</v>
      </c>
      <c r="C182" s="188"/>
      <c r="D182" s="170"/>
      <c r="E182" s="171"/>
      <c r="F182" s="129"/>
      <c r="G182" s="128"/>
      <c r="H182" s="23"/>
      <c r="I182" s="18"/>
      <c r="J182" s="80">
        <f t="shared" si="66"/>
        <v>0</v>
      </c>
      <c r="K182" s="18"/>
      <c r="L182" s="80">
        <f t="shared" si="67"/>
        <v>0</v>
      </c>
      <c r="M182" s="18"/>
      <c r="N182" s="80">
        <f t="shared" si="68"/>
        <v>0</v>
      </c>
      <c r="O182" s="18"/>
      <c r="P182" s="80">
        <f t="shared" si="69"/>
        <v>0</v>
      </c>
      <c r="Q182" s="18"/>
      <c r="R182" s="80">
        <f t="shared" si="70"/>
        <v>0</v>
      </c>
      <c r="S182" s="18"/>
      <c r="T182" s="80">
        <f t="shared" si="71"/>
        <v>0</v>
      </c>
      <c r="U182" s="18"/>
      <c r="V182" s="80">
        <f t="shared" si="51"/>
        <v>0</v>
      </c>
      <c r="W182" s="19" t="str">
        <f t="shared" si="52"/>
        <v xml:space="preserve"> </v>
      </c>
      <c r="X182" s="19" t="str">
        <f t="shared" si="53"/>
        <v xml:space="preserve"> </v>
      </c>
      <c r="Y182" s="19" t="str">
        <f t="shared" si="54"/>
        <v/>
      </c>
      <c r="Z182" s="23"/>
      <c r="AA182" s="19" t="str">
        <f t="shared" si="55"/>
        <v/>
      </c>
      <c r="AB182" s="19" t="str">
        <f t="shared" si="56"/>
        <v xml:space="preserve"> </v>
      </c>
      <c r="AC182" s="19" t="str">
        <f t="shared" si="57"/>
        <v/>
      </c>
      <c r="AD182" s="19" t="str">
        <f t="shared" si="58"/>
        <v xml:space="preserve"> </v>
      </c>
      <c r="AE182" s="125" t="str">
        <f t="shared" si="59"/>
        <v xml:space="preserve"> </v>
      </c>
      <c r="AF182" s="19" t="str">
        <f t="shared" si="60"/>
        <v xml:space="preserve"> </v>
      </c>
      <c r="AG182" s="50">
        <f t="shared" si="61"/>
        <v>0</v>
      </c>
      <c r="AH182" s="50" t="str">
        <f t="shared" si="62"/>
        <v xml:space="preserve"> </v>
      </c>
      <c r="AI182" s="36" t="str">
        <f>IFERROR(IF((INDEX('[3]Riesgos de Corrupción'!$B$11:$V$100,MATCH('Controles de Corrupción'!C182,'[3]Riesgos de Corrupción'!$B$11:$B$100,0),17)-AH182&lt;=1),"Rara vez",IF((INDEX('[3]Riesgos de Corrupción'!$B$11:$V$100,MATCH('Controles de Corrupción'!C182,'[3]Riesgos de Corrupción'!$B$11:$B$100,0),17)-AH182&lt;=2),"Improbable",IF((INDEX('[3]Riesgos de Corrupción'!$B$11:$V$100,MATCH('Controles de Corrupción'!C182,'[3]Riesgos de Corrupción'!$B$11:$B$100,0),17)-AH182&lt;=3),"Posible",IF((INDEX('[3]Riesgos de Corrupción'!$B$11:$V$100,MATCH('Controles de Corrupción'!C182,'[3]Riesgos de Corrupción'!$B$11:$B$100,0),17)-AH182&lt;=4),"Probable",IF((INDEX('[3]Riesgos de Corrupción'!$B$11:$V$100,MATCH('Controles de Corrupción'!C182,'[3]Riesgos de Corrupción'!$B$11:$B$100,0),17)-AH182&lt;=5),"Casi seguro")))))," ")</f>
        <v xml:space="preserve"> </v>
      </c>
      <c r="AJ182" s="8" t="str">
        <f>IFERROR(IF(OR(AND(AF182="Fuerte",H182="No disminuye"),AND(AF182="Moderado",H182="Indirectamente"),AND(AF182="Moderado",H182="No disminuye"),AND(INDEX('[3]Riesgos de Corrupción'!$B$11:$BN$100,MATCH('Controles de Corrupción'!C182,'[3]Riesgos de Corrupción'!$B$11:$B$100,0),63)="Moderado")),0,IF(OR(AND(AF182="Fuerte",H182="Indirectamente"),AND(AF182="Moderado",H182="Directamente"),AND(INDEX('[3]Riesgos de Corrupción'!$B$11:$BN$100,MATCH('Controles de Corrupción'!C182,'[3]Riesgos de Corrupción'!$B$11:$B$100,0),63)="Mayor")),1,IF(AND(AF182="Fuerte",H182="Directamente",AND(INDEX('[3]Riesgos de Corrupción'!$B$11:$BN$100,MATCH('Controles de Corrupción'!C182,'[3]Riesgos de Corrupción'!$B$11:$B$100,0),63)="Catastrófico")),2)))," ")</f>
        <v xml:space="preserve"> </v>
      </c>
      <c r="AK182" s="19" t="str">
        <f t="shared" si="63"/>
        <v xml:space="preserve"> </v>
      </c>
      <c r="AL182" s="19" t="str">
        <f>IFERROR(IF((INDEX('[3]Riesgos de Corrupción'!$B$11:$BN$100,MATCH('Controles de Corrupción'!C182,'[3]Riesgos de Corrupción'!$B$11:$B$100,0),62)-AK182&lt;=3),"Moderado",IF((INDEX('[3]Riesgos de Corrupción'!$B$11:$BN$100,MATCH('Controles de Corrupción'!C182,'[3]Riesgos de Corrupción'!$B$11:$B$100,0),62)-AK182&lt;=4),"Mayor",IF((INDEX('[3]Riesgos de Corrupción'!$B$11:$BN$100,MATCH('Controles de Corrupción'!C182,'[3]Riesgos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0" t="str">
        <f t="shared" si="50"/>
        <v>-</v>
      </c>
      <c r="C183" s="188"/>
      <c r="D183" s="170"/>
      <c r="E183" s="171"/>
      <c r="F183" s="129"/>
      <c r="G183" s="128"/>
      <c r="H183" s="23"/>
      <c r="I183" s="18"/>
      <c r="J183" s="80">
        <f t="shared" si="66"/>
        <v>0</v>
      </c>
      <c r="K183" s="18"/>
      <c r="L183" s="80">
        <f t="shared" si="67"/>
        <v>0</v>
      </c>
      <c r="M183" s="18"/>
      <c r="N183" s="80">
        <f t="shared" si="68"/>
        <v>0</v>
      </c>
      <c r="O183" s="18"/>
      <c r="P183" s="80">
        <f t="shared" si="69"/>
        <v>0</v>
      </c>
      <c r="Q183" s="18"/>
      <c r="R183" s="80">
        <f t="shared" si="70"/>
        <v>0</v>
      </c>
      <c r="S183" s="18"/>
      <c r="T183" s="80">
        <f t="shared" si="71"/>
        <v>0</v>
      </c>
      <c r="U183" s="18"/>
      <c r="V183" s="80">
        <f t="shared" si="51"/>
        <v>0</v>
      </c>
      <c r="W183" s="19" t="str">
        <f t="shared" si="52"/>
        <v xml:space="preserve"> </v>
      </c>
      <c r="X183" s="19" t="str">
        <f t="shared" si="53"/>
        <v xml:space="preserve"> </v>
      </c>
      <c r="Y183" s="19" t="str">
        <f t="shared" si="54"/>
        <v/>
      </c>
      <c r="Z183" s="23"/>
      <c r="AA183" s="19" t="str">
        <f t="shared" si="55"/>
        <v/>
      </c>
      <c r="AB183" s="19" t="str">
        <f t="shared" si="56"/>
        <v xml:space="preserve"> </v>
      </c>
      <c r="AC183" s="19" t="str">
        <f t="shared" si="57"/>
        <v/>
      </c>
      <c r="AD183" s="19" t="str">
        <f t="shared" si="58"/>
        <v xml:space="preserve"> </v>
      </c>
      <c r="AE183" s="125" t="str">
        <f t="shared" si="59"/>
        <v xml:space="preserve"> </v>
      </c>
      <c r="AF183" s="19" t="str">
        <f t="shared" si="60"/>
        <v xml:space="preserve"> </v>
      </c>
      <c r="AG183" s="50">
        <f t="shared" si="61"/>
        <v>0</v>
      </c>
      <c r="AH183" s="50" t="str">
        <f t="shared" si="62"/>
        <v xml:space="preserve"> </v>
      </c>
      <c r="AI183" s="36" t="str">
        <f>IFERROR(IF((INDEX('[3]Riesgos de Corrupción'!$B$11:$V$100,MATCH('Controles de Corrupción'!C183,'[3]Riesgos de Corrupción'!$B$11:$B$100,0),17)-AH183&lt;=1),"Rara vez",IF((INDEX('[3]Riesgos de Corrupción'!$B$11:$V$100,MATCH('Controles de Corrupción'!C183,'[3]Riesgos de Corrupción'!$B$11:$B$100,0),17)-AH183&lt;=2),"Improbable",IF((INDEX('[3]Riesgos de Corrupción'!$B$11:$V$100,MATCH('Controles de Corrupción'!C183,'[3]Riesgos de Corrupción'!$B$11:$B$100,0),17)-AH183&lt;=3),"Posible",IF((INDEX('[3]Riesgos de Corrupción'!$B$11:$V$100,MATCH('Controles de Corrupción'!C183,'[3]Riesgos de Corrupción'!$B$11:$B$100,0),17)-AH183&lt;=4),"Probable",IF((INDEX('[3]Riesgos de Corrupción'!$B$11:$V$100,MATCH('Controles de Corrupción'!C183,'[3]Riesgos de Corrupción'!$B$11:$B$100,0),17)-AH183&lt;=5),"Casi seguro")))))," ")</f>
        <v xml:space="preserve"> </v>
      </c>
      <c r="AJ183" s="8" t="str">
        <f>IFERROR(IF(OR(AND(AF183="Fuerte",H183="No disminuye"),AND(AF183="Moderado",H183="Indirectamente"),AND(AF183="Moderado",H183="No disminuye"),AND(INDEX('[3]Riesgos de Corrupción'!$B$11:$BN$100,MATCH('Controles de Corrupción'!C183,'[3]Riesgos de Corrupción'!$B$11:$B$100,0),63)="Moderado")),0,IF(OR(AND(AF183="Fuerte",H183="Indirectamente"),AND(AF183="Moderado",H183="Directamente"),AND(INDEX('[3]Riesgos de Corrupción'!$B$11:$BN$100,MATCH('Controles de Corrupción'!C183,'[3]Riesgos de Corrupción'!$B$11:$B$100,0),63)="Mayor")),1,IF(AND(AF183="Fuerte",H183="Directamente",AND(INDEX('[3]Riesgos de Corrupción'!$B$11:$BN$100,MATCH('Controles de Corrupción'!C183,'[3]Riesgos de Corrupción'!$B$11:$B$100,0),63)="Catastrófico")),2)))," ")</f>
        <v xml:space="preserve"> </v>
      </c>
      <c r="AK183" s="19" t="str">
        <f t="shared" si="63"/>
        <v xml:space="preserve"> </v>
      </c>
      <c r="AL183" s="19" t="str">
        <f>IFERROR(IF((INDEX('[3]Riesgos de Corrupción'!$B$11:$BN$100,MATCH('Controles de Corrupción'!C183,'[3]Riesgos de Corrupción'!$B$11:$B$100,0),62)-AK183&lt;=3),"Moderado",IF((INDEX('[3]Riesgos de Corrupción'!$B$11:$BN$100,MATCH('Controles de Corrupción'!C183,'[3]Riesgos de Corrupción'!$B$11:$B$100,0),62)-AK183&lt;=4),"Mayor",IF((INDEX('[3]Riesgos de Corrupción'!$B$11:$BN$100,MATCH('Controles de Corrupción'!C183,'[3]Riesgos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0" t="str">
        <f t="shared" si="50"/>
        <v>-</v>
      </c>
      <c r="C184" s="188"/>
      <c r="D184" s="170"/>
      <c r="E184" s="171"/>
      <c r="F184" s="129"/>
      <c r="G184" s="128"/>
      <c r="H184" s="23"/>
      <c r="I184" s="18"/>
      <c r="J184" s="80">
        <f t="shared" si="66"/>
        <v>0</v>
      </c>
      <c r="K184" s="18"/>
      <c r="L184" s="80">
        <f t="shared" si="67"/>
        <v>0</v>
      </c>
      <c r="M184" s="18"/>
      <c r="N184" s="80">
        <f t="shared" si="68"/>
        <v>0</v>
      </c>
      <c r="O184" s="18"/>
      <c r="P184" s="80">
        <f t="shared" si="69"/>
        <v>0</v>
      </c>
      <c r="Q184" s="18"/>
      <c r="R184" s="80">
        <f t="shared" si="70"/>
        <v>0</v>
      </c>
      <c r="S184" s="18"/>
      <c r="T184" s="80">
        <f t="shared" si="71"/>
        <v>0</v>
      </c>
      <c r="U184" s="18"/>
      <c r="V184" s="80">
        <f t="shared" si="51"/>
        <v>0</v>
      </c>
      <c r="W184" s="19" t="str">
        <f t="shared" si="52"/>
        <v xml:space="preserve"> </v>
      </c>
      <c r="X184" s="19" t="str">
        <f t="shared" si="53"/>
        <v xml:space="preserve"> </v>
      </c>
      <c r="Y184" s="19" t="str">
        <f t="shared" si="54"/>
        <v/>
      </c>
      <c r="Z184" s="23"/>
      <c r="AA184" s="19" t="str">
        <f t="shared" si="55"/>
        <v/>
      </c>
      <c r="AB184" s="19" t="str">
        <f t="shared" si="56"/>
        <v xml:space="preserve"> </v>
      </c>
      <c r="AC184" s="19" t="str">
        <f t="shared" si="57"/>
        <v/>
      </c>
      <c r="AD184" s="19" t="str">
        <f t="shared" si="58"/>
        <v xml:space="preserve"> </v>
      </c>
      <c r="AE184" s="125" t="str">
        <f t="shared" si="59"/>
        <v xml:space="preserve"> </v>
      </c>
      <c r="AF184" s="19" t="str">
        <f t="shared" si="60"/>
        <v xml:space="preserve"> </v>
      </c>
      <c r="AG184" s="50">
        <f t="shared" si="61"/>
        <v>0</v>
      </c>
      <c r="AH184" s="50" t="str">
        <f t="shared" si="62"/>
        <v xml:space="preserve"> </v>
      </c>
      <c r="AI184" s="36" t="str">
        <f>IFERROR(IF((INDEX('[3]Riesgos de Corrupción'!$B$11:$V$100,MATCH('Controles de Corrupción'!C184,'[3]Riesgos de Corrupción'!$B$11:$B$100,0),17)-AH184&lt;=1),"Rara vez",IF((INDEX('[3]Riesgos de Corrupción'!$B$11:$V$100,MATCH('Controles de Corrupción'!C184,'[3]Riesgos de Corrupción'!$B$11:$B$100,0),17)-AH184&lt;=2),"Improbable",IF((INDEX('[3]Riesgos de Corrupción'!$B$11:$V$100,MATCH('Controles de Corrupción'!C184,'[3]Riesgos de Corrupción'!$B$11:$B$100,0),17)-AH184&lt;=3),"Posible",IF((INDEX('[3]Riesgos de Corrupción'!$B$11:$V$100,MATCH('Controles de Corrupción'!C184,'[3]Riesgos de Corrupción'!$B$11:$B$100,0),17)-AH184&lt;=4),"Probable",IF((INDEX('[3]Riesgos de Corrupción'!$B$11:$V$100,MATCH('Controles de Corrupción'!C184,'[3]Riesgos de Corrupción'!$B$11:$B$100,0),17)-AH184&lt;=5),"Casi seguro")))))," ")</f>
        <v xml:space="preserve"> </v>
      </c>
      <c r="AJ184" s="8" t="str">
        <f>IFERROR(IF(OR(AND(AF184="Fuerte",H184="No disminuye"),AND(AF184="Moderado",H184="Indirectamente"),AND(AF184="Moderado",H184="No disminuye"),AND(INDEX('[3]Riesgos de Corrupción'!$B$11:$BN$100,MATCH('Controles de Corrupción'!C184,'[3]Riesgos de Corrupción'!$B$11:$B$100,0),63)="Moderado")),0,IF(OR(AND(AF184="Fuerte",H184="Indirectamente"),AND(AF184="Moderado",H184="Directamente"),AND(INDEX('[3]Riesgos de Corrupción'!$B$11:$BN$100,MATCH('Controles de Corrupción'!C184,'[3]Riesgos de Corrupción'!$B$11:$B$100,0),63)="Mayor")),1,IF(AND(AF184="Fuerte",H184="Directamente",AND(INDEX('[3]Riesgos de Corrupción'!$B$11:$BN$100,MATCH('Controles de Corrupción'!C184,'[3]Riesgos de Corrupción'!$B$11:$B$100,0),63)="Catastrófico")),2)))," ")</f>
        <v xml:space="preserve"> </v>
      </c>
      <c r="AK184" s="19" t="str">
        <f t="shared" si="63"/>
        <v xml:space="preserve"> </v>
      </c>
      <c r="AL184" s="19" t="str">
        <f>IFERROR(IF((INDEX('[3]Riesgos de Corrupción'!$B$11:$BN$100,MATCH('Controles de Corrupción'!C184,'[3]Riesgos de Corrupción'!$B$11:$B$100,0),62)-AK184&lt;=3),"Moderado",IF((INDEX('[3]Riesgos de Corrupción'!$B$11:$BN$100,MATCH('Controles de Corrupción'!C184,'[3]Riesgos de Corrupción'!$B$11:$B$100,0),62)-AK184&lt;=4),"Mayor",IF((INDEX('[3]Riesgos de Corrupción'!$B$11:$BN$100,MATCH('Controles de Corrupción'!C184,'[3]Riesgos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0" t="str">
        <f t="shared" si="50"/>
        <v>-</v>
      </c>
      <c r="C185" s="188"/>
      <c r="D185" s="170"/>
      <c r="E185" s="171"/>
      <c r="F185" s="129"/>
      <c r="G185" s="128"/>
      <c r="H185" s="23"/>
      <c r="I185" s="18"/>
      <c r="J185" s="80">
        <f t="shared" si="66"/>
        <v>0</v>
      </c>
      <c r="K185" s="18"/>
      <c r="L185" s="80">
        <f t="shared" si="67"/>
        <v>0</v>
      </c>
      <c r="M185" s="18"/>
      <c r="N185" s="80">
        <f t="shared" si="68"/>
        <v>0</v>
      </c>
      <c r="O185" s="18"/>
      <c r="P185" s="80">
        <f t="shared" si="69"/>
        <v>0</v>
      </c>
      <c r="Q185" s="18"/>
      <c r="R185" s="80">
        <f t="shared" si="70"/>
        <v>0</v>
      </c>
      <c r="S185" s="18"/>
      <c r="T185" s="80">
        <f t="shared" si="71"/>
        <v>0</v>
      </c>
      <c r="U185" s="18"/>
      <c r="V185" s="80">
        <f t="shared" si="51"/>
        <v>0</v>
      </c>
      <c r="W185" s="19" t="str">
        <f t="shared" si="52"/>
        <v xml:space="preserve"> </v>
      </c>
      <c r="X185" s="19" t="str">
        <f t="shared" si="53"/>
        <v xml:space="preserve"> </v>
      </c>
      <c r="Y185" s="19" t="str">
        <f t="shared" si="54"/>
        <v/>
      </c>
      <c r="Z185" s="23"/>
      <c r="AA185" s="19" t="str">
        <f t="shared" si="55"/>
        <v/>
      </c>
      <c r="AB185" s="19" t="str">
        <f t="shared" si="56"/>
        <v xml:space="preserve"> </v>
      </c>
      <c r="AC185" s="19" t="str">
        <f t="shared" si="57"/>
        <v/>
      </c>
      <c r="AD185" s="19" t="str">
        <f t="shared" si="58"/>
        <v xml:space="preserve"> </v>
      </c>
      <c r="AE185" s="125" t="str">
        <f t="shared" si="59"/>
        <v xml:space="preserve"> </v>
      </c>
      <c r="AF185" s="19" t="str">
        <f t="shared" si="60"/>
        <v xml:space="preserve"> </v>
      </c>
      <c r="AG185" s="50">
        <f t="shared" si="61"/>
        <v>0</v>
      </c>
      <c r="AH185" s="50" t="str">
        <f t="shared" si="62"/>
        <v xml:space="preserve"> </v>
      </c>
      <c r="AI185" s="36" t="str">
        <f>IFERROR(IF((INDEX('[3]Riesgos de Corrupción'!$B$11:$V$100,MATCH('Controles de Corrupción'!C185,'[3]Riesgos de Corrupción'!$B$11:$B$100,0),17)-AH185&lt;=1),"Rara vez",IF((INDEX('[3]Riesgos de Corrupción'!$B$11:$V$100,MATCH('Controles de Corrupción'!C185,'[3]Riesgos de Corrupción'!$B$11:$B$100,0),17)-AH185&lt;=2),"Improbable",IF((INDEX('[3]Riesgos de Corrupción'!$B$11:$V$100,MATCH('Controles de Corrupción'!C185,'[3]Riesgos de Corrupción'!$B$11:$B$100,0),17)-AH185&lt;=3),"Posible",IF((INDEX('[3]Riesgos de Corrupción'!$B$11:$V$100,MATCH('Controles de Corrupción'!C185,'[3]Riesgos de Corrupción'!$B$11:$B$100,0),17)-AH185&lt;=4),"Probable",IF((INDEX('[3]Riesgos de Corrupción'!$B$11:$V$100,MATCH('Controles de Corrupción'!C185,'[3]Riesgos de Corrupción'!$B$11:$B$100,0),17)-AH185&lt;=5),"Casi seguro")))))," ")</f>
        <v xml:space="preserve"> </v>
      </c>
      <c r="AJ185" s="8" t="str">
        <f>IFERROR(IF(OR(AND(AF185="Fuerte",H185="No disminuye"),AND(AF185="Moderado",H185="Indirectamente"),AND(AF185="Moderado",H185="No disminuye"),AND(INDEX('[3]Riesgos de Corrupción'!$B$11:$BN$100,MATCH('Controles de Corrupción'!C185,'[3]Riesgos de Corrupción'!$B$11:$B$100,0),63)="Moderado")),0,IF(OR(AND(AF185="Fuerte",H185="Indirectamente"),AND(AF185="Moderado",H185="Directamente"),AND(INDEX('[3]Riesgos de Corrupción'!$B$11:$BN$100,MATCH('Controles de Corrupción'!C185,'[3]Riesgos de Corrupción'!$B$11:$B$100,0),63)="Mayor")),1,IF(AND(AF185="Fuerte",H185="Directamente",AND(INDEX('[3]Riesgos de Corrupción'!$B$11:$BN$100,MATCH('Controles de Corrupción'!C185,'[3]Riesgos de Corrupción'!$B$11:$B$100,0),63)="Catastrófico")),2)))," ")</f>
        <v xml:space="preserve"> </v>
      </c>
      <c r="AK185" s="19" t="str">
        <f t="shared" si="63"/>
        <v xml:space="preserve"> </v>
      </c>
      <c r="AL185" s="19" t="str">
        <f>IFERROR(IF((INDEX('[3]Riesgos de Corrupción'!$B$11:$BN$100,MATCH('Controles de Corrupción'!C185,'[3]Riesgos de Corrupción'!$B$11:$B$100,0),62)-AK185&lt;=3),"Moderado",IF((INDEX('[3]Riesgos de Corrupción'!$B$11:$BN$100,MATCH('Controles de Corrupción'!C185,'[3]Riesgos de Corrupción'!$B$11:$B$100,0),62)-AK185&lt;=4),"Mayor",IF((INDEX('[3]Riesgos de Corrupción'!$B$11:$BN$100,MATCH('Controles de Corrupción'!C185,'[3]Riesgos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0" t="str">
        <f t="shared" si="50"/>
        <v>-</v>
      </c>
      <c r="C186" s="188"/>
      <c r="D186" s="170"/>
      <c r="E186" s="171"/>
      <c r="F186" s="129"/>
      <c r="G186" s="128"/>
      <c r="H186" s="23"/>
      <c r="I186" s="18"/>
      <c r="J186" s="80">
        <f t="shared" si="66"/>
        <v>0</v>
      </c>
      <c r="K186" s="18"/>
      <c r="L186" s="80">
        <f t="shared" si="67"/>
        <v>0</v>
      </c>
      <c r="M186" s="18"/>
      <c r="N186" s="80">
        <f t="shared" si="68"/>
        <v>0</v>
      </c>
      <c r="O186" s="18"/>
      <c r="P186" s="80">
        <f t="shared" si="69"/>
        <v>0</v>
      </c>
      <c r="Q186" s="18"/>
      <c r="R186" s="80">
        <f t="shared" si="70"/>
        <v>0</v>
      </c>
      <c r="S186" s="18"/>
      <c r="T186" s="80">
        <f t="shared" si="71"/>
        <v>0</v>
      </c>
      <c r="U186" s="18"/>
      <c r="V186" s="80">
        <f t="shared" si="51"/>
        <v>0</v>
      </c>
      <c r="W186" s="19" t="str">
        <f t="shared" si="52"/>
        <v xml:space="preserve"> </v>
      </c>
      <c r="X186" s="19" t="str">
        <f t="shared" si="53"/>
        <v xml:space="preserve"> </v>
      </c>
      <c r="Y186" s="19" t="str">
        <f t="shared" si="54"/>
        <v/>
      </c>
      <c r="Z186" s="23"/>
      <c r="AA186" s="19" t="str">
        <f t="shared" si="55"/>
        <v/>
      </c>
      <c r="AB186" s="19" t="str">
        <f t="shared" si="56"/>
        <v xml:space="preserve"> </v>
      </c>
      <c r="AC186" s="19" t="str">
        <f t="shared" si="57"/>
        <v/>
      </c>
      <c r="AD186" s="19" t="str">
        <f t="shared" si="58"/>
        <v xml:space="preserve"> </v>
      </c>
      <c r="AE186" s="125" t="str">
        <f t="shared" si="59"/>
        <v xml:space="preserve"> </v>
      </c>
      <c r="AF186" s="19" t="str">
        <f t="shared" si="60"/>
        <v xml:space="preserve"> </v>
      </c>
      <c r="AG186" s="50">
        <f t="shared" si="61"/>
        <v>0</v>
      </c>
      <c r="AH186" s="50" t="str">
        <f t="shared" si="62"/>
        <v xml:space="preserve"> </v>
      </c>
      <c r="AI186" s="36" t="str">
        <f>IFERROR(IF((INDEX('[3]Riesgos de Corrupción'!$B$11:$V$100,MATCH('Controles de Corrupción'!C186,'[3]Riesgos de Corrupción'!$B$11:$B$100,0),17)-AH186&lt;=1),"Rara vez",IF((INDEX('[3]Riesgos de Corrupción'!$B$11:$V$100,MATCH('Controles de Corrupción'!C186,'[3]Riesgos de Corrupción'!$B$11:$B$100,0),17)-AH186&lt;=2),"Improbable",IF((INDEX('[3]Riesgos de Corrupción'!$B$11:$V$100,MATCH('Controles de Corrupción'!C186,'[3]Riesgos de Corrupción'!$B$11:$B$100,0),17)-AH186&lt;=3),"Posible",IF((INDEX('[3]Riesgos de Corrupción'!$B$11:$V$100,MATCH('Controles de Corrupción'!C186,'[3]Riesgos de Corrupción'!$B$11:$B$100,0),17)-AH186&lt;=4),"Probable",IF((INDEX('[3]Riesgos de Corrupción'!$B$11:$V$100,MATCH('Controles de Corrupción'!C186,'[3]Riesgos de Corrupción'!$B$11:$B$100,0),17)-AH186&lt;=5),"Casi seguro")))))," ")</f>
        <v xml:space="preserve"> </v>
      </c>
      <c r="AJ186" s="8" t="str">
        <f>IFERROR(IF(OR(AND(AF186="Fuerte",H186="No disminuye"),AND(AF186="Moderado",H186="Indirectamente"),AND(AF186="Moderado",H186="No disminuye"),AND(INDEX('[3]Riesgos de Corrupción'!$B$11:$BN$100,MATCH('Controles de Corrupción'!C186,'[3]Riesgos de Corrupción'!$B$11:$B$100,0),63)="Moderado")),0,IF(OR(AND(AF186="Fuerte",H186="Indirectamente"),AND(AF186="Moderado",H186="Directamente"),AND(INDEX('[3]Riesgos de Corrupción'!$B$11:$BN$100,MATCH('Controles de Corrupción'!C186,'[3]Riesgos de Corrupción'!$B$11:$B$100,0),63)="Mayor")),1,IF(AND(AF186="Fuerte",H186="Directamente",AND(INDEX('[3]Riesgos de Corrupción'!$B$11:$BN$100,MATCH('Controles de Corrupción'!C186,'[3]Riesgos de Corrupción'!$B$11:$B$100,0),63)="Catastrófico")),2)))," ")</f>
        <v xml:space="preserve"> </v>
      </c>
      <c r="AK186" s="19" t="str">
        <f t="shared" si="63"/>
        <v xml:space="preserve"> </v>
      </c>
      <c r="AL186" s="19" t="str">
        <f>IFERROR(IF((INDEX('[3]Riesgos de Corrupción'!$B$11:$BN$100,MATCH('Controles de Corrupción'!C186,'[3]Riesgos de Corrupción'!$B$11:$B$100,0),62)-AK186&lt;=3),"Moderado",IF((INDEX('[3]Riesgos de Corrupción'!$B$11:$BN$100,MATCH('Controles de Corrupción'!C186,'[3]Riesgos de Corrupción'!$B$11:$B$100,0),62)-AK186&lt;=4),"Mayor",IF((INDEX('[3]Riesgos de Corrupción'!$B$11:$BN$100,MATCH('Controles de Corrupción'!C186,'[3]Riesgos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0" t="str">
        <f t="shared" si="50"/>
        <v>-</v>
      </c>
      <c r="C187" s="188"/>
      <c r="D187" s="170"/>
      <c r="E187" s="171"/>
      <c r="F187" s="129"/>
      <c r="G187" s="128"/>
      <c r="H187" s="23"/>
      <c r="I187" s="18"/>
      <c r="J187" s="80">
        <f t="shared" si="66"/>
        <v>0</v>
      </c>
      <c r="K187" s="18"/>
      <c r="L187" s="80">
        <f t="shared" si="67"/>
        <v>0</v>
      </c>
      <c r="M187" s="18"/>
      <c r="N187" s="80">
        <f t="shared" si="68"/>
        <v>0</v>
      </c>
      <c r="O187" s="18"/>
      <c r="P187" s="80">
        <f t="shared" si="69"/>
        <v>0</v>
      </c>
      <c r="Q187" s="18"/>
      <c r="R187" s="80">
        <f t="shared" si="70"/>
        <v>0</v>
      </c>
      <c r="S187" s="18"/>
      <c r="T187" s="80">
        <f t="shared" si="71"/>
        <v>0</v>
      </c>
      <c r="U187" s="18"/>
      <c r="V187" s="80">
        <f t="shared" si="51"/>
        <v>0</v>
      </c>
      <c r="W187" s="19" t="str">
        <f t="shared" si="52"/>
        <v xml:space="preserve"> </v>
      </c>
      <c r="X187" s="19" t="str">
        <f t="shared" si="53"/>
        <v xml:space="preserve"> </v>
      </c>
      <c r="Y187" s="19" t="str">
        <f t="shared" si="54"/>
        <v/>
      </c>
      <c r="Z187" s="23"/>
      <c r="AA187" s="19" t="str">
        <f t="shared" si="55"/>
        <v/>
      </c>
      <c r="AB187" s="19" t="str">
        <f t="shared" si="56"/>
        <v xml:space="preserve"> </v>
      </c>
      <c r="AC187" s="19" t="str">
        <f t="shared" si="57"/>
        <v/>
      </c>
      <c r="AD187" s="19" t="str">
        <f t="shared" si="58"/>
        <v xml:space="preserve"> </v>
      </c>
      <c r="AE187" s="125" t="str">
        <f t="shared" si="59"/>
        <v xml:space="preserve"> </v>
      </c>
      <c r="AF187" s="19" t="str">
        <f t="shared" si="60"/>
        <v xml:space="preserve"> </v>
      </c>
      <c r="AG187" s="50">
        <f t="shared" si="61"/>
        <v>0</v>
      </c>
      <c r="AH187" s="50" t="str">
        <f t="shared" si="62"/>
        <v xml:space="preserve"> </v>
      </c>
      <c r="AI187" s="36" t="str">
        <f>IFERROR(IF((INDEX('[3]Riesgos de Corrupción'!$B$11:$V$100,MATCH('Controles de Corrupción'!C187,'[3]Riesgos de Corrupción'!$B$11:$B$100,0),17)-AH187&lt;=1),"Rara vez",IF((INDEX('[3]Riesgos de Corrupción'!$B$11:$V$100,MATCH('Controles de Corrupción'!C187,'[3]Riesgos de Corrupción'!$B$11:$B$100,0),17)-AH187&lt;=2),"Improbable",IF((INDEX('[3]Riesgos de Corrupción'!$B$11:$V$100,MATCH('Controles de Corrupción'!C187,'[3]Riesgos de Corrupción'!$B$11:$B$100,0),17)-AH187&lt;=3),"Posible",IF((INDEX('[3]Riesgos de Corrupción'!$B$11:$V$100,MATCH('Controles de Corrupción'!C187,'[3]Riesgos de Corrupción'!$B$11:$B$100,0),17)-AH187&lt;=4),"Probable",IF((INDEX('[3]Riesgos de Corrupción'!$B$11:$V$100,MATCH('Controles de Corrupción'!C187,'[3]Riesgos de Corrupción'!$B$11:$B$100,0),17)-AH187&lt;=5),"Casi seguro")))))," ")</f>
        <v xml:space="preserve"> </v>
      </c>
      <c r="AJ187" s="8" t="str">
        <f>IFERROR(IF(OR(AND(AF187="Fuerte",H187="No disminuye"),AND(AF187="Moderado",H187="Indirectamente"),AND(AF187="Moderado",H187="No disminuye"),AND(INDEX('[3]Riesgos de Corrupción'!$B$11:$BN$100,MATCH('Controles de Corrupción'!C187,'[3]Riesgos de Corrupción'!$B$11:$B$100,0),63)="Moderado")),0,IF(OR(AND(AF187="Fuerte",H187="Indirectamente"),AND(AF187="Moderado",H187="Directamente"),AND(INDEX('[3]Riesgos de Corrupción'!$B$11:$BN$100,MATCH('Controles de Corrupción'!C187,'[3]Riesgos de Corrupción'!$B$11:$B$100,0),63)="Mayor")),1,IF(AND(AF187="Fuerte",H187="Directamente",AND(INDEX('[3]Riesgos de Corrupción'!$B$11:$BN$100,MATCH('Controles de Corrupción'!C187,'[3]Riesgos de Corrupción'!$B$11:$B$100,0),63)="Catastrófico")),2)))," ")</f>
        <v xml:space="preserve"> </v>
      </c>
      <c r="AK187" s="19" t="str">
        <f t="shared" si="63"/>
        <v xml:space="preserve"> </v>
      </c>
      <c r="AL187" s="19" t="str">
        <f>IFERROR(IF((INDEX('[3]Riesgos de Corrupción'!$B$11:$BN$100,MATCH('Controles de Corrupción'!C187,'[3]Riesgos de Corrupción'!$B$11:$B$100,0),62)-AK187&lt;=3),"Moderado",IF((INDEX('[3]Riesgos de Corrupción'!$B$11:$BN$100,MATCH('Controles de Corrupción'!C187,'[3]Riesgos de Corrupción'!$B$11:$B$100,0),62)-AK187&lt;=4),"Mayor",IF((INDEX('[3]Riesgos de Corrupción'!$B$11:$BN$100,MATCH('Controles de Corrupción'!C187,'[3]Riesgos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0" t="str">
        <f t="shared" si="50"/>
        <v>-</v>
      </c>
      <c r="C188" s="188"/>
      <c r="D188" s="170"/>
      <c r="E188" s="171"/>
      <c r="F188" s="129"/>
      <c r="G188" s="128"/>
      <c r="H188" s="23"/>
      <c r="I188" s="18"/>
      <c r="J188" s="80">
        <f t="shared" si="66"/>
        <v>0</v>
      </c>
      <c r="K188" s="18"/>
      <c r="L188" s="80">
        <f t="shared" si="67"/>
        <v>0</v>
      </c>
      <c r="M188" s="18"/>
      <c r="N188" s="80">
        <f t="shared" si="68"/>
        <v>0</v>
      </c>
      <c r="O188" s="18"/>
      <c r="P188" s="80">
        <f t="shared" si="69"/>
        <v>0</v>
      </c>
      <c r="Q188" s="18"/>
      <c r="R188" s="80">
        <f t="shared" si="70"/>
        <v>0</v>
      </c>
      <c r="S188" s="18"/>
      <c r="T188" s="80">
        <f t="shared" si="71"/>
        <v>0</v>
      </c>
      <c r="U188" s="18"/>
      <c r="V188" s="80">
        <f t="shared" si="51"/>
        <v>0</v>
      </c>
      <c r="W188" s="19" t="str">
        <f t="shared" si="52"/>
        <v xml:space="preserve"> </v>
      </c>
      <c r="X188" s="19" t="str">
        <f t="shared" si="53"/>
        <v xml:space="preserve"> </v>
      </c>
      <c r="Y188" s="19" t="str">
        <f t="shared" si="54"/>
        <v/>
      </c>
      <c r="Z188" s="23"/>
      <c r="AA188" s="19" t="str">
        <f t="shared" si="55"/>
        <v/>
      </c>
      <c r="AB188" s="19" t="str">
        <f t="shared" si="56"/>
        <v xml:space="preserve"> </v>
      </c>
      <c r="AC188" s="19" t="str">
        <f t="shared" si="57"/>
        <v/>
      </c>
      <c r="AD188" s="19" t="str">
        <f t="shared" si="58"/>
        <v xml:space="preserve"> </v>
      </c>
      <c r="AE188" s="125" t="str">
        <f t="shared" si="59"/>
        <v xml:space="preserve"> </v>
      </c>
      <c r="AF188" s="19" t="str">
        <f t="shared" si="60"/>
        <v xml:space="preserve"> </v>
      </c>
      <c r="AG188" s="50">
        <f t="shared" si="61"/>
        <v>0</v>
      </c>
      <c r="AH188" s="50" t="str">
        <f t="shared" si="62"/>
        <v xml:space="preserve"> </v>
      </c>
      <c r="AI188" s="36" t="str">
        <f>IFERROR(IF((INDEX('[3]Riesgos de Corrupción'!$B$11:$V$100,MATCH('Controles de Corrupción'!C188,'[3]Riesgos de Corrupción'!$B$11:$B$100,0),17)-AH188&lt;=1),"Rara vez",IF((INDEX('[3]Riesgos de Corrupción'!$B$11:$V$100,MATCH('Controles de Corrupción'!C188,'[3]Riesgos de Corrupción'!$B$11:$B$100,0),17)-AH188&lt;=2),"Improbable",IF((INDEX('[3]Riesgos de Corrupción'!$B$11:$V$100,MATCH('Controles de Corrupción'!C188,'[3]Riesgos de Corrupción'!$B$11:$B$100,0),17)-AH188&lt;=3),"Posible",IF((INDEX('[3]Riesgos de Corrupción'!$B$11:$V$100,MATCH('Controles de Corrupción'!C188,'[3]Riesgos de Corrupción'!$B$11:$B$100,0),17)-AH188&lt;=4),"Probable",IF((INDEX('[3]Riesgos de Corrupción'!$B$11:$V$100,MATCH('Controles de Corrupción'!C188,'[3]Riesgos de Corrupción'!$B$11:$B$100,0),17)-AH188&lt;=5),"Casi seguro")))))," ")</f>
        <v xml:space="preserve"> </v>
      </c>
      <c r="AJ188" s="8" t="str">
        <f>IFERROR(IF(OR(AND(AF188="Fuerte",H188="No disminuye"),AND(AF188="Moderado",H188="Indirectamente"),AND(AF188="Moderado",H188="No disminuye"),AND(INDEX('[3]Riesgos de Corrupción'!$B$11:$BN$100,MATCH('Controles de Corrupción'!C188,'[3]Riesgos de Corrupción'!$B$11:$B$100,0),63)="Moderado")),0,IF(OR(AND(AF188="Fuerte",H188="Indirectamente"),AND(AF188="Moderado",H188="Directamente"),AND(INDEX('[3]Riesgos de Corrupción'!$B$11:$BN$100,MATCH('Controles de Corrupción'!C188,'[3]Riesgos de Corrupción'!$B$11:$B$100,0),63)="Mayor")),1,IF(AND(AF188="Fuerte",H188="Directamente",AND(INDEX('[3]Riesgos de Corrupción'!$B$11:$BN$100,MATCH('Controles de Corrupción'!C188,'[3]Riesgos de Corrupción'!$B$11:$B$100,0),63)="Catastrófico")),2)))," ")</f>
        <v xml:space="preserve"> </v>
      </c>
      <c r="AK188" s="19" t="str">
        <f t="shared" si="63"/>
        <v xml:space="preserve"> </v>
      </c>
      <c r="AL188" s="19" t="str">
        <f>IFERROR(IF((INDEX('[3]Riesgos de Corrupción'!$B$11:$BN$100,MATCH('Controles de Corrupción'!C188,'[3]Riesgos de Corrupción'!$B$11:$B$100,0),62)-AK188&lt;=3),"Moderado",IF((INDEX('[3]Riesgos de Corrupción'!$B$11:$BN$100,MATCH('Controles de Corrupción'!C188,'[3]Riesgos de Corrupción'!$B$11:$B$100,0),62)-AK188&lt;=4),"Mayor",IF((INDEX('[3]Riesgos de Corrupción'!$B$11:$BN$100,MATCH('Controles de Corrupción'!C188,'[3]Riesgos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0" t="str">
        <f t="shared" si="50"/>
        <v>-</v>
      </c>
      <c r="C189" s="188"/>
      <c r="D189" s="170"/>
      <c r="E189" s="171"/>
      <c r="F189" s="129"/>
      <c r="G189" s="128"/>
      <c r="H189" s="23"/>
      <c r="I189" s="18"/>
      <c r="J189" s="80">
        <f t="shared" si="66"/>
        <v>0</v>
      </c>
      <c r="K189" s="18"/>
      <c r="L189" s="80">
        <f t="shared" si="67"/>
        <v>0</v>
      </c>
      <c r="M189" s="18"/>
      <c r="N189" s="80">
        <f t="shared" si="68"/>
        <v>0</v>
      </c>
      <c r="O189" s="18"/>
      <c r="P189" s="80">
        <f t="shared" si="69"/>
        <v>0</v>
      </c>
      <c r="Q189" s="18"/>
      <c r="R189" s="80">
        <f t="shared" si="70"/>
        <v>0</v>
      </c>
      <c r="S189" s="18"/>
      <c r="T189" s="80">
        <f t="shared" si="71"/>
        <v>0</v>
      </c>
      <c r="U189" s="18"/>
      <c r="V189" s="80">
        <f t="shared" si="51"/>
        <v>0</v>
      </c>
      <c r="W189" s="19" t="str">
        <f t="shared" si="52"/>
        <v xml:space="preserve"> </v>
      </c>
      <c r="X189" s="19" t="str">
        <f t="shared" si="53"/>
        <v xml:space="preserve"> </v>
      </c>
      <c r="Y189" s="19" t="str">
        <f t="shared" si="54"/>
        <v/>
      </c>
      <c r="Z189" s="23"/>
      <c r="AA189" s="19" t="str">
        <f t="shared" si="55"/>
        <v/>
      </c>
      <c r="AB189" s="19" t="str">
        <f t="shared" si="56"/>
        <v xml:space="preserve"> </v>
      </c>
      <c r="AC189" s="19" t="str">
        <f t="shared" si="57"/>
        <v/>
      </c>
      <c r="AD189" s="19" t="str">
        <f t="shared" si="58"/>
        <v xml:space="preserve"> </v>
      </c>
      <c r="AE189" s="125" t="str">
        <f t="shared" si="59"/>
        <v xml:space="preserve"> </v>
      </c>
      <c r="AF189" s="19" t="str">
        <f t="shared" si="60"/>
        <v xml:space="preserve"> </v>
      </c>
      <c r="AG189" s="50">
        <f t="shared" si="61"/>
        <v>0</v>
      </c>
      <c r="AH189" s="50" t="str">
        <f t="shared" si="62"/>
        <v xml:space="preserve"> </v>
      </c>
      <c r="AI189" s="36" t="str">
        <f>IFERROR(IF((INDEX('[3]Riesgos de Corrupción'!$B$11:$V$100,MATCH('Controles de Corrupción'!C189,'[3]Riesgos de Corrupción'!$B$11:$B$100,0),17)-AH189&lt;=1),"Rara vez",IF((INDEX('[3]Riesgos de Corrupción'!$B$11:$V$100,MATCH('Controles de Corrupción'!C189,'[3]Riesgos de Corrupción'!$B$11:$B$100,0),17)-AH189&lt;=2),"Improbable",IF((INDEX('[3]Riesgos de Corrupción'!$B$11:$V$100,MATCH('Controles de Corrupción'!C189,'[3]Riesgos de Corrupción'!$B$11:$B$100,0),17)-AH189&lt;=3),"Posible",IF((INDEX('[3]Riesgos de Corrupción'!$B$11:$V$100,MATCH('Controles de Corrupción'!C189,'[3]Riesgos de Corrupción'!$B$11:$B$100,0),17)-AH189&lt;=4),"Probable",IF((INDEX('[3]Riesgos de Corrupción'!$B$11:$V$100,MATCH('Controles de Corrupción'!C189,'[3]Riesgos de Corrupción'!$B$11:$B$100,0),17)-AH189&lt;=5),"Casi seguro")))))," ")</f>
        <v xml:space="preserve"> </v>
      </c>
      <c r="AJ189" s="8" t="str">
        <f>IFERROR(IF(OR(AND(AF189="Fuerte",H189="No disminuye"),AND(AF189="Moderado",H189="Indirectamente"),AND(AF189="Moderado",H189="No disminuye"),AND(INDEX('[3]Riesgos de Corrupción'!$B$11:$BN$100,MATCH('Controles de Corrupción'!C189,'[3]Riesgos de Corrupción'!$B$11:$B$100,0),63)="Moderado")),0,IF(OR(AND(AF189="Fuerte",H189="Indirectamente"),AND(AF189="Moderado",H189="Directamente"),AND(INDEX('[3]Riesgos de Corrupción'!$B$11:$BN$100,MATCH('Controles de Corrupción'!C189,'[3]Riesgos de Corrupción'!$B$11:$B$100,0),63)="Mayor")),1,IF(AND(AF189="Fuerte",H189="Directamente",AND(INDEX('[3]Riesgos de Corrupción'!$B$11:$BN$100,MATCH('Controles de Corrupción'!C189,'[3]Riesgos de Corrupción'!$B$11:$B$100,0),63)="Catastrófico")),2)))," ")</f>
        <v xml:space="preserve"> </v>
      </c>
      <c r="AK189" s="19" t="str">
        <f t="shared" si="63"/>
        <v xml:space="preserve"> </v>
      </c>
      <c r="AL189" s="19" t="str">
        <f>IFERROR(IF((INDEX('[3]Riesgos de Corrupción'!$B$11:$BN$100,MATCH('Controles de Corrupción'!C189,'[3]Riesgos de Corrupción'!$B$11:$B$100,0),62)-AK189&lt;=3),"Moderado",IF((INDEX('[3]Riesgos de Corrupción'!$B$11:$BN$100,MATCH('Controles de Corrupción'!C189,'[3]Riesgos de Corrupción'!$B$11:$B$100,0),62)-AK189&lt;=4),"Mayor",IF((INDEX('[3]Riesgos de Corrupción'!$B$11:$BN$100,MATCH('Controles de Corrupción'!C189,'[3]Riesgos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0" t="str">
        <f t="shared" si="50"/>
        <v>-</v>
      </c>
      <c r="C190" s="188"/>
      <c r="D190" s="170"/>
      <c r="E190" s="171"/>
      <c r="F190" s="129"/>
      <c r="G190" s="128"/>
      <c r="H190" s="23"/>
      <c r="I190" s="18"/>
      <c r="J190" s="80">
        <f t="shared" si="66"/>
        <v>0</v>
      </c>
      <c r="K190" s="18"/>
      <c r="L190" s="80">
        <f t="shared" si="67"/>
        <v>0</v>
      </c>
      <c r="M190" s="18"/>
      <c r="N190" s="80">
        <f t="shared" si="68"/>
        <v>0</v>
      </c>
      <c r="O190" s="18"/>
      <c r="P190" s="80">
        <f t="shared" si="69"/>
        <v>0</v>
      </c>
      <c r="Q190" s="18"/>
      <c r="R190" s="80">
        <f t="shared" si="70"/>
        <v>0</v>
      </c>
      <c r="S190" s="18"/>
      <c r="T190" s="80">
        <f t="shared" si="71"/>
        <v>0</v>
      </c>
      <c r="U190" s="18"/>
      <c r="V190" s="80">
        <f t="shared" si="51"/>
        <v>0</v>
      </c>
      <c r="W190" s="19" t="str">
        <f t="shared" si="52"/>
        <v xml:space="preserve"> </v>
      </c>
      <c r="X190" s="19" t="str">
        <f t="shared" si="53"/>
        <v xml:space="preserve"> </v>
      </c>
      <c r="Y190" s="19" t="str">
        <f t="shared" si="54"/>
        <v/>
      </c>
      <c r="Z190" s="23"/>
      <c r="AA190" s="19" t="str">
        <f t="shared" si="55"/>
        <v/>
      </c>
      <c r="AB190" s="19" t="str">
        <f t="shared" si="56"/>
        <v xml:space="preserve"> </v>
      </c>
      <c r="AC190" s="19" t="str">
        <f t="shared" si="57"/>
        <v/>
      </c>
      <c r="AD190" s="19" t="str">
        <f t="shared" si="58"/>
        <v xml:space="preserve"> </v>
      </c>
      <c r="AE190" s="125" t="str">
        <f t="shared" si="59"/>
        <v xml:space="preserve"> </v>
      </c>
      <c r="AF190" s="19" t="str">
        <f t="shared" si="60"/>
        <v xml:space="preserve"> </v>
      </c>
      <c r="AG190" s="50">
        <f t="shared" si="61"/>
        <v>0</v>
      </c>
      <c r="AH190" s="50" t="str">
        <f t="shared" si="62"/>
        <v xml:space="preserve"> </v>
      </c>
      <c r="AI190" s="36" t="str">
        <f>IFERROR(IF((INDEX('[3]Riesgos de Corrupción'!$B$11:$V$100,MATCH('Controles de Corrupción'!C190,'[3]Riesgos de Corrupción'!$B$11:$B$100,0),17)-AH190&lt;=1),"Rara vez",IF((INDEX('[3]Riesgos de Corrupción'!$B$11:$V$100,MATCH('Controles de Corrupción'!C190,'[3]Riesgos de Corrupción'!$B$11:$B$100,0),17)-AH190&lt;=2),"Improbable",IF((INDEX('[3]Riesgos de Corrupción'!$B$11:$V$100,MATCH('Controles de Corrupción'!C190,'[3]Riesgos de Corrupción'!$B$11:$B$100,0),17)-AH190&lt;=3),"Posible",IF((INDEX('[3]Riesgos de Corrupción'!$B$11:$V$100,MATCH('Controles de Corrupción'!C190,'[3]Riesgos de Corrupción'!$B$11:$B$100,0),17)-AH190&lt;=4),"Probable",IF((INDEX('[3]Riesgos de Corrupción'!$B$11:$V$100,MATCH('Controles de Corrupción'!C190,'[3]Riesgos de Corrupción'!$B$11:$B$100,0),17)-AH190&lt;=5),"Casi seguro")))))," ")</f>
        <v xml:space="preserve"> </v>
      </c>
      <c r="AJ190" s="8" t="str">
        <f>IFERROR(IF(OR(AND(AF190="Fuerte",H190="No disminuye"),AND(AF190="Moderado",H190="Indirectamente"),AND(AF190="Moderado",H190="No disminuye"),AND(INDEX('[3]Riesgos de Corrupción'!$B$11:$BN$100,MATCH('Controles de Corrupción'!C190,'[3]Riesgos de Corrupción'!$B$11:$B$100,0),63)="Moderado")),0,IF(OR(AND(AF190="Fuerte",H190="Indirectamente"),AND(AF190="Moderado",H190="Directamente"),AND(INDEX('[3]Riesgos de Corrupción'!$B$11:$BN$100,MATCH('Controles de Corrupción'!C190,'[3]Riesgos de Corrupción'!$B$11:$B$100,0),63)="Mayor")),1,IF(AND(AF190="Fuerte",H190="Directamente",AND(INDEX('[3]Riesgos de Corrupción'!$B$11:$BN$100,MATCH('Controles de Corrupción'!C190,'[3]Riesgos de Corrupción'!$B$11:$B$100,0),63)="Catastrófico")),2)))," ")</f>
        <v xml:space="preserve"> </v>
      </c>
      <c r="AK190" s="19" t="str">
        <f t="shared" si="63"/>
        <v xml:space="preserve"> </v>
      </c>
      <c r="AL190" s="19" t="str">
        <f>IFERROR(IF((INDEX('[3]Riesgos de Corrupción'!$B$11:$BN$100,MATCH('Controles de Corrupción'!C190,'[3]Riesgos de Corrupción'!$B$11:$B$100,0),62)-AK190&lt;=3),"Moderado",IF((INDEX('[3]Riesgos de Corrupción'!$B$11:$BN$100,MATCH('Controles de Corrupción'!C190,'[3]Riesgos de Corrupción'!$B$11:$B$100,0),62)-AK190&lt;=4),"Mayor",IF((INDEX('[3]Riesgos de Corrupción'!$B$11:$BN$100,MATCH('Controles de Corrupción'!C190,'[3]Riesgos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0" t="str">
        <f t="shared" si="50"/>
        <v>-</v>
      </c>
      <c r="C191" s="188"/>
      <c r="D191" s="170"/>
      <c r="E191" s="171"/>
      <c r="F191" s="129"/>
      <c r="G191" s="128"/>
      <c r="H191" s="23"/>
      <c r="I191" s="18"/>
      <c r="J191" s="80">
        <f t="shared" si="66"/>
        <v>0</v>
      </c>
      <c r="K191" s="18"/>
      <c r="L191" s="80">
        <f t="shared" si="67"/>
        <v>0</v>
      </c>
      <c r="M191" s="18"/>
      <c r="N191" s="80">
        <f t="shared" si="68"/>
        <v>0</v>
      </c>
      <c r="O191" s="18"/>
      <c r="P191" s="80">
        <f t="shared" si="69"/>
        <v>0</v>
      </c>
      <c r="Q191" s="18"/>
      <c r="R191" s="80">
        <f t="shared" si="70"/>
        <v>0</v>
      </c>
      <c r="S191" s="18"/>
      <c r="T191" s="80">
        <f t="shared" si="71"/>
        <v>0</v>
      </c>
      <c r="U191" s="18"/>
      <c r="V191" s="80">
        <f t="shared" si="51"/>
        <v>0</v>
      </c>
      <c r="W191" s="19" t="str">
        <f t="shared" si="52"/>
        <v xml:space="preserve"> </v>
      </c>
      <c r="X191" s="19" t="str">
        <f t="shared" si="53"/>
        <v xml:space="preserve"> </v>
      </c>
      <c r="Y191" s="19" t="str">
        <f t="shared" si="54"/>
        <v/>
      </c>
      <c r="Z191" s="23"/>
      <c r="AA191" s="19" t="str">
        <f t="shared" si="55"/>
        <v/>
      </c>
      <c r="AB191" s="19" t="str">
        <f t="shared" si="56"/>
        <v xml:space="preserve"> </v>
      </c>
      <c r="AC191" s="19" t="str">
        <f t="shared" si="57"/>
        <v/>
      </c>
      <c r="AD191" s="19" t="str">
        <f t="shared" si="58"/>
        <v xml:space="preserve"> </v>
      </c>
      <c r="AE191" s="125" t="str">
        <f t="shared" si="59"/>
        <v xml:space="preserve"> </v>
      </c>
      <c r="AF191" s="19" t="str">
        <f t="shared" si="60"/>
        <v xml:space="preserve"> </v>
      </c>
      <c r="AG191" s="50">
        <f t="shared" si="61"/>
        <v>0</v>
      </c>
      <c r="AH191" s="50" t="str">
        <f t="shared" si="62"/>
        <v xml:space="preserve"> </v>
      </c>
      <c r="AI191" s="36" t="str">
        <f>IFERROR(IF((INDEX('[3]Riesgos de Corrupción'!$B$11:$V$100,MATCH('Controles de Corrupción'!C191,'[3]Riesgos de Corrupción'!$B$11:$B$100,0),17)-AH191&lt;=1),"Rara vez",IF((INDEX('[3]Riesgos de Corrupción'!$B$11:$V$100,MATCH('Controles de Corrupción'!C191,'[3]Riesgos de Corrupción'!$B$11:$B$100,0),17)-AH191&lt;=2),"Improbable",IF((INDEX('[3]Riesgos de Corrupción'!$B$11:$V$100,MATCH('Controles de Corrupción'!C191,'[3]Riesgos de Corrupción'!$B$11:$B$100,0),17)-AH191&lt;=3),"Posible",IF((INDEX('[3]Riesgos de Corrupción'!$B$11:$V$100,MATCH('Controles de Corrupción'!C191,'[3]Riesgos de Corrupción'!$B$11:$B$100,0),17)-AH191&lt;=4),"Probable",IF((INDEX('[3]Riesgos de Corrupción'!$B$11:$V$100,MATCH('Controles de Corrupción'!C191,'[3]Riesgos de Corrupción'!$B$11:$B$100,0),17)-AH191&lt;=5),"Casi seguro")))))," ")</f>
        <v xml:space="preserve"> </v>
      </c>
      <c r="AJ191" s="8" t="str">
        <f>IFERROR(IF(OR(AND(AF191="Fuerte",H191="No disminuye"),AND(AF191="Moderado",H191="Indirectamente"),AND(AF191="Moderado",H191="No disminuye"),AND(INDEX('[3]Riesgos de Corrupción'!$B$11:$BN$100,MATCH('Controles de Corrupción'!C191,'[3]Riesgos de Corrupción'!$B$11:$B$100,0),63)="Moderado")),0,IF(OR(AND(AF191="Fuerte",H191="Indirectamente"),AND(AF191="Moderado",H191="Directamente"),AND(INDEX('[3]Riesgos de Corrupción'!$B$11:$BN$100,MATCH('Controles de Corrupción'!C191,'[3]Riesgos de Corrupción'!$B$11:$B$100,0),63)="Mayor")),1,IF(AND(AF191="Fuerte",H191="Directamente",AND(INDEX('[3]Riesgos de Corrupción'!$B$11:$BN$100,MATCH('Controles de Corrupción'!C191,'[3]Riesgos de Corrupción'!$B$11:$B$100,0),63)="Catastrófico")),2)))," ")</f>
        <v xml:space="preserve"> </v>
      </c>
      <c r="AK191" s="19" t="str">
        <f t="shared" si="63"/>
        <v xml:space="preserve"> </v>
      </c>
      <c r="AL191" s="19" t="str">
        <f>IFERROR(IF((INDEX('[3]Riesgos de Corrupción'!$B$11:$BN$100,MATCH('Controles de Corrupción'!C191,'[3]Riesgos de Corrupción'!$B$11:$B$100,0),62)-AK191&lt;=3),"Moderado",IF((INDEX('[3]Riesgos de Corrupción'!$B$11:$BN$100,MATCH('Controles de Corrupción'!C191,'[3]Riesgos de Corrupción'!$B$11:$B$100,0),62)-AK191&lt;=4),"Mayor",IF((INDEX('[3]Riesgos de Corrupción'!$B$11:$BN$100,MATCH('Controles de Corrupción'!C191,'[3]Riesgos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0" t="str">
        <f t="shared" si="50"/>
        <v>-</v>
      </c>
      <c r="C192" s="188"/>
      <c r="D192" s="170"/>
      <c r="E192" s="171"/>
      <c r="F192" s="129"/>
      <c r="G192" s="128"/>
      <c r="H192" s="23"/>
      <c r="I192" s="18"/>
      <c r="J192" s="80">
        <f t="shared" si="66"/>
        <v>0</v>
      </c>
      <c r="K192" s="18"/>
      <c r="L192" s="80">
        <f t="shared" si="67"/>
        <v>0</v>
      </c>
      <c r="M192" s="18"/>
      <c r="N192" s="80">
        <f t="shared" si="68"/>
        <v>0</v>
      </c>
      <c r="O192" s="18"/>
      <c r="P192" s="80">
        <f t="shared" si="69"/>
        <v>0</v>
      </c>
      <c r="Q192" s="18"/>
      <c r="R192" s="80">
        <f t="shared" si="70"/>
        <v>0</v>
      </c>
      <c r="S192" s="18"/>
      <c r="T192" s="80">
        <f t="shared" si="71"/>
        <v>0</v>
      </c>
      <c r="U192" s="18"/>
      <c r="V192" s="80">
        <f t="shared" si="51"/>
        <v>0</v>
      </c>
      <c r="W192" s="19" t="str">
        <f t="shared" si="52"/>
        <v xml:space="preserve"> </v>
      </c>
      <c r="X192" s="19" t="str">
        <f t="shared" si="53"/>
        <v xml:space="preserve"> </v>
      </c>
      <c r="Y192" s="19" t="str">
        <f t="shared" si="54"/>
        <v/>
      </c>
      <c r="Z192" s="23"/>
      <c r="AA192" s="19" t="str">
        <f t="shared" si="55"/>
        <v/>
      </c>
      <c r="AB192" s="19" t="str">
        <f t="shared" si="56"/>
        <v xml:space="preserve"> </v>
      </c>
      <c r="AC192" s="19" t="str">
        <f t="shared" si="57"/>
        <v/>
      </c>
      <c r="AD192" s="19" t="str">
        <f t="shared" si="58"/>
        <v xml:space="preserve"> </v>
      </c>
      <c r="AE192" s="125" t="str">
        <f t="shared" si="59"/>
        <v xml:space="preserve"> </v>
      </c>
      <c r="AF192" s="19" t="str">
        <f t="shared" si="60"/>
        <v xml:space="preserve"> </v>
      </c>
      <c r="AG192" s="50">
        <f t="shared" si="61"/>
        <v>0</v>
      </c>
      <c r="AH192" s="50" t="str">
        <f t="shared" si="62"/>
        <v xml:space="preserve"> </v>
      </c>
      <c r="AI192" s="36" t="str">
        <f>IFERROR(IF((INDEX('[3]Riesgos de Corrupción'!$B$11:$V$100,MATCH('Controles de Corrupción'!C192,'[3]Riesgos de Corrupción'!$B$11:$B$100,0),17)-AH192&lt;=1),"Rara vez",IF((INDEX('[3]Riesgos de Corrupción'!$B$11:$V$100,MATCH('Controles de Corrupción'!C192,'[3]Riesgos de Corrupción'!$B$11:$B$100,0),17)-AH192&lt;=2),"Improbable",IF((INDEX('[3]Riesgos de Corrupción'!$B$11:$V$100,MATCH('Controles de Corrupción'!C192,'[3]Riesgos de Corrupción'!$B$11:$B$100,0),17)-AH192&lt;=3),"Posible",IF((INDEX('[3]Riesgos de Corrupción'!$B$11:$V$100,MATCH('Controles de Corrupción'!C192,'[3]Riesgos de Corrupción'!$B$11:$B$100,0),17)-AH192&lt;=4),"Probable",IF((INDEX('[3]Riesgos de Corrupción'!$B$11:$V$100,MATCH('Controles de Corrupción'!C192,'[3]Riesgos de Corrupción'!$B$11:$B$100,0),17)-AH192&lt;=5),"Casi seguro")))))," ")</f>
        <v xml:space="preserve"> </v>
      </c>
      <c r="AJ192" s="8" t="str">
        <f>IFERROR(IF(OR(AND(AF192="Fuerte",H192="No disminuye"),AND(AF192="Moderado",H192="Indirectamente"),AND(AF192="Moderado",H192="No disminuye"),AND(INDEX('[3]Riesgos de Corrupción'!$B$11:$BN$100,MATCH('Controles de Corrupción'!C192,'[3]Riesgos de Corrupción'!$B$11:$B$100,0),63)="Moderado")),0,IF(OR(AND(AF192="Fuerte",H192="Indirectamente"),AND(AF192="Moderado",H192="Directamente"),AND(INDEX('[3]Riesgos de Corrupción'!$B$11:$BN$100,MATCH('Controles de Corrupción'!C192,'[3]Riesgos de Corrupción'!$B$11:$B$100,0),63)="Mayor")),1,IF(AND(AF192="Fuerte",H192="Directamente",AND(INDEX('[3]Riesgos de Corrupción'!$B$11:$BN$100,MATCH('Controles de Corrupción'!C192,'[3]Riesgos de Corrupción'!$B$11:$B$100,0),63)="Catastrófico")),2)))," ")</f>
        <v xml:space="preserve"> </v>
      </c>
      <c r="AK192" s="19" t="str">
        <f t="shared" si="63"/>
        <v xml:space="preserve"> </v>
      </c>
      <c r="AL192" s="19" t="str">
        <f>IFERROR(IF((INDEX('[3]Riesgos de Corrupción'!$B$11:$BN$100,MATCH('Controles de Corrupción'!C192,'[3]Riesgos de Corrupción'!$B$11:$B$100,0),62)-AK192&lt;=3),"Moderado",IF((INDEX('[3]Riesgos de Corrupción'!$B$11:$BN$100,MATCH('Controles de Corrupción'!C192,'[3]Riesgos de Corrupción'!$B$11:$B$100,0),62)-AK192&lt;=4),"Mayor",IF((INDEX('[3]Riesgos de Corrupción'!$B$11:$BN$100,MATCH('Controles de Corrupción'!C192,'[3]Riesgos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0" t="str">
        <f t="shared" si="50"/>
        <v>-</v>
      </c>
      <c r="C193" s="188"/>
      <c r="D193" s="170"/>
      <c r="E193" s="171"/>
      <c r="F193" s="129"/>
      <c r="G193" s="128"/>
      <c r="H193" s="23"/>
      <c r="I193" s="18"/>
      <c r="J193" s="80">
        <f t="shared" si="66"/>
        <v>0</v>
      </c>
      <c r="K193" s="18"/>
      <c r="L193" s="80">
        <f t="shared" si="67"/>
        <v>0</v>
      </c>
      <c r="M193" s="18"/>
      <c r="N193" s="80">
        <f t="shared" si="68"/>
        <v>0</v>
      </c>
      <c r="O193" s="18"/>
      <c r="P193" s="80">
        <f t="shared" si="69"/>
        <v>0</v>
      </c>
      <c r="Q193" s="18"/>
      <c r="R193" s="80">
        <f t="shared" si="70"/>
        <v>0</v>
      </c>
      <c r="S193" s="18"/>
      <c r="T193" s="80">
        <f t="shared" si="71"/>
        <v>0</v>
      </c>
      <c r="U193" s="18"/>
      <c r="V193" s="80">
        <f t="shared" si="51"/>
        <v>0</v>
      </c>
      <c r="W193" s="19" t="str">
        <f t="shared" si="52"/>
        <v xml:space="preserve"> </v>
      </c>
      <c r="X193" s="19" t="str">
        <f t="shared" si="53"/>
        <v xml:space="preserve"> </v>
      </c>
      <c r="Y193" s="19" t="str">
        <f t="shared" si="54"/>
        <v/>
      </c>
      <c r="Z193" s="23"/>
      <c r="AA193" s="19" t="str">
        <f t="shared" si="55"/>
        <v/>
      </c>
      <c r="AB193" s="19" t="str">
        <f t="shared" si="56"/>
        <v xml:space="preserve"> </v>
      </c>
      <c r="AC193" s="19" t="str">
        <f t="shared" si="57"/>
        <v/>
      </c>
      <c r="AD193" s="19" t="str">
        <f t="shared" si="58"/>
        <v xml:space="preserve"> </v>
      </c>
      <c r="AE193" s="125" t="str">
        <f t="shared" si="59"/>
        <v xml:space="preserve"> </v>
      </c>
      <c r="AF193" s="19" t="str">
        <f t="shared" si="60"/>
        <v xml:space="preserve"> </v>
      </c>
      <c r="AG193" s="50">
        <f t="shared" si="61"/>
        <v>0</v>
      </c>
      <c r="AH193" s="50" t="str">
        <f t="shared" si="62"/>
        <v xml:space="preserve"> </v>
      </c>
      <c r="AI193" s="36" t="str">
        <f>IFERROR(IF((INDEX('[3]Riesgos de Corrupción'!$B$11:$V$100,MATCH('Controles de Corrupción'!C193,'[3]Riesgos de Corrupción'!$B$11:$B$100,0),17)-AH193&lt;=1),"Rara vez",IF((INDEX('[3]Riesgos de Corrupción'!$B$11:$V$100,MATCH('Controles de Corrupción'!C193,'[3]Riesgos de Corrupción'!$B$11:$B$100,0),17)-AH193&lt;=2),"Improbable",IF((INDEX('[3]Riesgos de Corrupción'!$B$11:$V$100,MATCH('Controles de Corrupción'!C193,'[3]Riesgos de Corrupción'!$B$11:$B$100,0),17)-AH193&lt;=3),"Posible",IF((INDEX('[3]Riesgos de Corrupción'!$B$11:$V$100,MATCH('Controles de Corrupción'!C193,'[3]Riesgos de Corrupción'!$B$11:$B$100,0),17)-AH193&lt;=4),"Probable",IF((INDEX('[3]Riesgos de Corrupción'!$B$11:$V$100,MATCH('Controles de Corrupción'!C193,'[3]Riesgos de Corrupción'!$B$11:$B$100,0),17)-AH193&lt;=5),"Casi seguro")))))," ")</f>
        <v xml:space="preserve"> </v>
      </c>
      <c r="AJ193" s="8" t="str">
        <f>IFERROR(IF(OR(AND(AF193="Fuerte",H193="No disminuye"),AND(AF193="Moderado",H193="Indirectamente"),AND(AF193="Moderado",H193="No disminuye"),AND(INDEX('[3]Riesgos de Corrupción'!$B$11:$BN$100,MATCH('Controles de Corrupción'!C193,'[3]Riesgos de Corrupción'!$B$11:$B$100,0),63)="Moderado")),0,IF(OR(AND(AF193="Fuerte",H193="Indirectamente"),AND(AF193="Moderado",H193="Directamente"),AND(INDEX('[3]Riesgos de Corrupción'!$B$11:$BN$100,MATCH('Controles de Corrupción'!C193,'[3]Riesgos de Corrupción'!$B$11:$B$100,0),63)="Mayor")),1,IF(AND(AF193="Fuerte",H193="Directamente",AND(INDEX('[3]Riesgos de Corrupción'!$B$11:$BN$100,MATCH('Controles de Corrupción'!C193,'[3]Riesgos de Corrupción'!$B$11:$B$100,0),63)="Catastrófico")),2)))," ")</f>
        <v xml:space="preserve"> </v>
      </c>
      <c r="AK193" s="19" t="str">
        <f t="shared" si="63"/>
        <v xml:space="preserve"> </v>
      </c>
      <c r="AL193" s="19" t="str">
        <f>IFERROR(IF((INDEX('[3]Riesgos de Corrupción'!$B$11:$BN$100,MATCH('Controles de Corrupción'!C193,'[3]Riesgos de Corrupción'!$B$11:$B$100,0),62)-AK193&lt;=3),"Moderado",IF((INDEX('[3]Riesgos de Corrupción'!$B$11:$BN$100,MATCH('Controles de Corrupción'!C193,'[3]Riesgos de Corrupción'!$B$11:$B$100,0),62)-AK193&lt;=4),"Mayor",IF((INDEX('[3]Riesgos de Corrupción'!$B$11:$BN$100,MATCH('Controles de Corrupción'!C193,'[3]Riesgos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0" t="str">
        <f t="shared" si="50"/>
        <v>-</v>
      </c>
      <c r="C194" s="188"/>
      <c r="D194" s="170"/>
      <c r="E194" s="171"/>
      <c r="F194" s="129"/>
      <c r="G194" s="128"/>
      <c r="H194" s="23"/>
      <c r="I194" s="18"/>
      <c r="J194" s="80">
        <f t="shared" si="66"/>
        <v>0</v>
      </c>
      <c r="K194" s="18"/>
      <c r="L194" s="80">
        <f t="shared" si="67"/>
        <v>0</v>
      </c>
      <c r="M194" s="18"/>
      <c r="N194" s="80">
        <f t="shared" si="68"/>
        <v>0</v>
      </c>
      <c r="O194" s="18"/>
      <c r="P194" s="80">
        <f t="shared" si="69"/>
        <v>0</v>
      </c>
      <c r="Q194" s="18"/>
      <c r="R194" s="80">
        <f t="shared" si="70"/>
        <v>0</v>
      </c>
      <c r="S194" s="18"/>
      <c r="T194" s="80">
        <f t="shared" si="71"/>
        <v>0</v>
      </c>
      <c r="U194" s="18"/>
      <c r="V194" s="80">
        <f t="shared" si="51"/>
        <v>0</v>
      </c>
      <c r="W194" s="19" t="str">
        <f t="shared" si="52"/>
        <v xml:space="preserve"> </v>
      </c>
      <c r="X194" s="19" t="str">
        <f t="shared" si="53"/>
        <v xml:space="preserve"> </v>
      </c>
      <c r="Y194" s="19" t="str">
        <f t="shared" si="54"/>
        <v/>
      </c>
      <c r="Z194" s="23"/>
      <c r="AA194" s="19" t="str">
        <f t="shared" si="55"/>
        <v/>
      </c>
      <c r="AB194" s="19" t="str">
        <f t="shared" si="56"/>
        <v xml:space="preserve"> </v>
      </c>
      <c r="AC194" s="19" t="str">
        <f t="shared" si="57"/>
        <v/>
      </c>
      <c r="AD194" s="19" t="str">
        <f t="shared" si="58"/>
        <v xml:space="preserve"> </v>
      </c>
      <c r="AE194" s="125" t="str">
        <f t="shared" si="59"/>
        <v xml:space="preserve"> </v>
      </c>
      <c r="AF194" s="19" t="str">
        <f t="shared" si="60"/>
        <v xml:space="preserve"> </v>
      </c>
      <c r="AG194" s="50">
        <f t="shared" si="61"/>
        <v>0</v>
      </c>
      <c r="AH194" s="50" t="str">
        <f t="shared" si="62"/>
        <v xml:space="preserve"> </v>
      </c>
      <c r="AI194" s="36" t="str">
        <f>IFERROR(IF((INDEX('[3]Riesgos de Corrupción'!$B$11:$V$100,MATCH('Controles de Corrupción'!C194,'[3]Riesgos de Corrupción'!$B$11:$B$100,0),17)-AH194&lt;=1),"Rara vez",IF((INDEX('[3]Riesgos de Corrupción'!$B$11:$V$100,MATCH('Controles de Corrupción'!C194,'[3]Riesgos de Corrupción'!$B$11:$B$100,0),17)-AH194&lt;=2),"Improbable",IF((INDEX('[3]Riesgos de Corrupción'!$B$11:$V$100,MATCH('Controles de Corrupción'!C194,'[3]Riesgos de Corrupción'!$B$11:$B$100,0),17)-AH194&lt;=3),"Posible",IF((INDEX('[3]Riesgos de Corrupción'!$B$11:$V$100,MATCH('Controles de Corrupción'!C194,'[3]Riesgos de Corrupción'!$B$11:$B$100,0),17)-AH194&lt;=4),"Probable",IF((INDEX('[3]Riesgos de Corrupción'!$B$11:$V$100,MATCH('Controles de Corrupción'!C194,'[3]Riesgos de Corrupción'!$B$11:$B$100,0),17)-AH194&lt;=5),"Casi seguro")))))," ")</f>
        <v xml:space="preserve"> </v>
      </c>
      <c r="AJ194" s="8" t="str">
        <f>IFERROR(IF(OR(AND(AF194="Fuerte",H194="No disminuye"),AND(AF194="Moderado",H194="Indirectamente"),AND(AF194="Moderado",H194="No disminuye"),AND(INDEX('[3]Riesgos de Corrupción'!$B$11:$BN$100,MATCH('Controles de Corrupción'!C194,'[3]Riesgos de Corrupción'!$B$11:$B$100,0),63)="Moderado")),0,IF(OR(AND(AF194="Fuerte",H194="Indirectamente"),AND(AF194="Moderado",H194="Directamente"),AND(INDEX('[3]Riesgos de Corrupción'!$B$11:$BN$100,MATCH('Controles de Corrupción'!C194,'[3]Riesgos de Corrupción'!$B$11:$B$100,0),63)="Mayor")),1,IF(AND(AF194="Fuerte",H194="Directamente",AND(INDEX('[3]Riesgos de Corrupción'!$B$11:$BN$100,MATCH('Controles de Corrupción'!C194,'[3]Riesgos de Corrupción'!$B$11:$B$100,0),63)="Catastrófico")),2)))," ")</f>
        <v xml:space="preserve"> </v>
      </c>
      <c r="AK194" s="19" t="str">
        <f t="shared" si="63"/>
        <v xml:space="preserve"> </v>
      </c>
      <c r="AL194" s="19" t="str">
        <f>IFERROR(IF((INDEX('[3]Riesgos de Corrupción'!$B$11:$BN$100,MATCH('Controles de Corrupción'!C194,'[3]Riesgos de Corrupción'!$B$11:$B$100,0),62)-AK194&lt;=3),"Moderado",IF((INDEX('[3]Riesgos de Corrupción'!$B$11:$BN$100,MATCH('Controles de Corrupción'!C194,'[3]Riesgos de Corrupción'!$B$11:$B$100,0),62)-AK194&lt;=4),"Mayor",IF((INDEX('[3]Riesgos de Corrupción'!$B$11:$BN$100,MATCH('Controles de Corrupción'!C194,'[3]Riesgos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0" t="str">
        <f t="shared" si="50"/>
        <v>-</v>
      </c>
      <c r="C195" s="188"/>
      <c r="D195" s="170"/>
      <c r="E195" s="171"/>
      <c r="F195" s="129"/>
      <c r="G195" s="128"/>
      <c r="H195" s="23"/>
      <c r="I195" s="18"/>
      <c r="J195" s="80">
        <f t="shared" si="66"/>
        <v>0</v>
      </c>
      <c r="K195" s="18"/>
      <c r="L195" s="80">
        <f t="shared" si="67"/>
        <v>0</v>
      </c>
      <c r="M195" s="18"/>
      <c r="N195" s="80">
        <f t="shared" si="68"/>
        <v>0</v>
      </c>
      <c r="O195" s="18"/>
      <c r="P195" s="80">
        <f t="shared" si="69"/>
        <v>0</v>
      </c>
      <c r="Q195" s="18"/>
      <c r="R195" s="80">
        <f t="shared" si="70"/>
        <v>0</v>
      </c>
      <c r="S195" s="18"/>
      <c r="T195" s="80">
        <f t="shared" si="71"/>
        <v>0</v>
      </c>
      <c r="U195" s="18"/>
      <c r="V195" s="80">
        <f t="shared" si="51"/>
        <v>0</v>
      </c>
      <c r="W195" s="19" t="str">
        <f t="shared" si="52"/>
        <v xml:space="preserve"> </v>
      </c>
      <c r="X195" s="19" t="str">
        <f t="shared" si="53"/>
        <v xml:space="preserve"> </v>
      </c>
      <c r="Y195" s="19" t="str">
        <f t="shared" si="54"/>
        <v/>
      </c>
      <c r="Z195" s="23"/>
      <c r="AA195" s="19" t="str">
        <f t="shared" si="55"/>
        <v/>
      </c>
      <c r="AB195" s="19" t="str">
        <f t="shared" si="56"/>
        <v xml:space="preserve"> </v>
      </c>
      <c r="AC195" s="19" t="str">
        <f t="shared" si="57"/>
        <v/>
      </c>
      <c r="AD195" s="19" t="str">
        <f t="shared" si="58"/>
        <v xml:space="preserve"> </v>
      </c>
      <c r="AE195" s="125" t="str">
        <f t="shared" si="59"/>
        <v xml:space="preserve"> </v>
      </c>
      <c r="AF195" s="19" t="str">
        <f t="shared" si="60"/>
        <v xml:space="preserve"> </v>
      </c>
      <c r="AG195" s="50">
        <f t="shared" si="61"/>
        <v>0</v>
      </c>
      <c r="AH195" s="50" t="str">
        <f t="shared" si="62"/>
        <v xml:space="preserve"> </v>
      </c>
      <c r="AI195" s="36" t="str">
        <f>IFERROR(IF((INDEX('[3]Riesgos de Corrupción'!$B$11:$V$100,MATCH('Controles de Corrupción'!C195,'[3]Riesgos de Corrupción'!$B$11:$B$100,0),17)-AH195&lt;=1),"Rara vez",IF((INDEX('[3]Riesgos de Corrupción'!$B$11:$V$100,MATCH('Controles de Corrupción'!C195,'[3]Riesgos de Corrupción'!$B$11:$B$100,0),17)-AH195&lt;=2),"Improbable",IF((INDEX('[3]Riesgos de Corrupción'!$B$11:$V$100,MATCH('Controles de Corrupción'!C195,'[3]Riesgos de Corrupción'!$B$11:$B$100,0),17)-AH195&lt;=3),"Posible",IF((INDEX('[3]Riesgos de Corrupción'!$B$11:$V$100,MATCH('Controles de Corrupción'!C195,'[3]Riesgos de Corrupción'!$B$11:$B$100,0),17)-AH195&lt;=4),"Probable",IF((INDEX('[3]Riesgos de Corrupción'!$B$11:$V$100,MATCH('Controles de Corrupción'!C195,'[3]Riesgos de Corrupción'!$B$11:$B$100,0),17)-AH195&lt;=5),"Casi seguro")))))," ")</f>
        <v xml:space="preserve"> </v>
      </c>
      <c r="AJ195" s="8" t="str">
        <f>IFERROR(IF(OR(AND(AF195="Fuerte",H195="No disminuye"),AND(AF195="Moderado",H195="Indirectamente"),AND(AF195="Moderado",H195="No disminuye"),AND(INDEX('[3]Riesgos de Corrupción'!$B$11:$BN$100,MATCH('Controles de Corrupción'!C195,'[3]Riesgos de Corrupción'!$B$11:$B$100,0),63)="Moderado")),0,IF(OR(AND(AF195="Fuerte",H195="Indirectamente"),AND(AF195="Moderado",H195="Directamente"),AND(INDEX('[3]Riesgos de Corrupción'!$B$11:$BN$100,MATCH('Controles de Corrupción'!C195,'[3]Riesgos de Corrupción'!$B$11:$B$100,0),63)="Mayor")),1,IF(AND(AF195="Fuerte",H195="Directamente",AND(INDEX('[3]Riesgos de Corrupción'!$B$11:$BN$100,MATCH('Controles de Corrupción'!C195,'[3]Riesgos de Corrupción'!$B$11:$B$100,0),63)="Catastrófico")),2)))," ")</f>
        <v xml:space="preserve"> </v>
      </c>
      <c r="AK195" s="19" t="str">
        <f t="shared" si="63"/>
        <v xml:space="preserve"> </v>
      </c>
      <c r="AL195" s="19" t="str">
        <f>IFERROR(IF((INDEX('[3]Riesgos de Corrupción'!$B$11:$BN$100,MATCH('Controles de Corrupción'!C195,'[3]Riesgos de Corrupción'!$B$11:$B$100,0),62)-AK195&lt;=3),"Moderado",IF((INDEX('[3]Riesgos de Corrupción'!$B$11:$BN$100,MATCH('Controles de Corrupción'!C195,'[3]Riesgos de Corrupción'!$B$11:$B$100,0),62)-AK195&lt;=4),"Mayor",IF((INDEX('[3]Riesgos de Corrupción'!$B$11:$BN$100,MATCH('Controles de Corrupción'!C195,'[3]Riesgos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0" t="str">
        <f t="shared" si="50"/>
        <v>-</v>
      </c>
      <c r="C196" s="188"/>
      <c r="D196" s="170"/>
      <c r="E196" s="171"/>
      <c r="F196" s="129"/>
      <c r="G196" s="128"/>
      <c r="H196" s="23"/>
      <c r="I196" s="18"/>
      <c r="J196" s="80">
        <f t="shared" si="66"/>
        <v>0</v>
      </c>
      <c r="K196" s="18"/>
      <c r="L196" s="80">
        <f t="shared" si="67"/>
        <v>0</v>
      </c>
      <c r="M196" s="18"/>
      <c r="N196" s="80">
        <f t="shared" si="68"/>
        <v>0</v>
      </c>
      <c r="O196" s="18"/>
      <c r="P196" s="80">
        <f t="shared" si="69"/>
        <v>0</v>
      </c>
      <c r="Q196" s="18"/>
      <c r="R196" s="80">
        <f t="shared" si="70"/>
        <v>0</v>
      </c>
      <c r="S196" s="18"/>
      <c r="T196" s="80">
        <f t="shared" si="71"/>
        <v>0</v>
      </c>
      <c r="U196" s="18"/>
      <c r="V196" s="80">
        <f t="shared" si="51"/>
        <v>0</v>
      </c>
      <c r="W196" s="19" t="str">
        <f t="shared" si="52"/>
        <v xml:space="preserve"> </v>
      </c>
      <c r="X196" s="19" t="str">
        <f t="shared" si="53"/>
        <v xml:space="preserve"> </v>
      </c>
      <c r="Y196" s="19" t="str">
        <f t="shared" si="54"/>
        <v/>
      </c>
      <c r="Z196" s="23"/>
      <c r="AA196" s="19" t="str">
        <f t="shared" si="55"/>
        <v/>
      </c>
      <c r="AB196" s="19" t="str">
        <f t="shared" si="56"/>
        <v xml:space="preserve"> </v>
      </c>
      <c r="AC196" s="19" t="str">
        <f t="shared" si="57"/>
        <v/>
      </c>
      <c r="AD196" s="19" t="str">
        <f t="shared" si="58"/>
        <v xml:space="preserve"> </v>
      </c>
      <c r="AE196" s="125" t="str">
        <f t="shared" si="59"/>
        <v xml:space="preserve"> </v>
      </c>
      <c r="AF196" s="19" t="str">
        <f t="shared" si="60"/>
        <v xml:space="preserve"> </v>
      </c>
      <c r="AG196" s="50">
        <f t="shared" si="61"/>
        <v>0</v>
      </c>
      <c r="AH196" s="50" t="str">
        <f t="shared" si="62"/>
        <v xml:space="preserve"> </v>
      </c>
      <c r="AI196" s="36" t="str">
        <f>IFERROR(IF((INDEX('[3]Riesgos de Corrupción'!$B$11:$V$100,MATCH('Controles de Corrupción'!C196,'[3]Riesgos de Corrupción'!$B$11:$B$100,0),17)-AH196&lt;=1),"Rara vez",IF((INDEX('[3]Riesgos de Corrupción'!$B$11:$V$100,MATCH('Controles de Corrupción'!C196,'[3]Riesgos de Corrupción'!$B$11:$B$100,0),17)-AH196&lt;=2),"Improbable",IF((INDEX('[3]Riesgos de Corrupción'!$B$11:$V$100,MATCH('Controles de Corrupción'!C196,'[3]Riesgos de Corrupción'!$B$11:$B$100,0),17)-AH196&lt;=3),"Posible",IF((INDEX('[3]Riesgos de Corrupción'!$B$11:$V$100,MATCH('Controles de Corrupción'!C196,'[3]Riesgos de Corrupción'!$B$11:$B$100,0),17)-AH196&lt;=4),"Probable",IF((INDEX('[3]Riesgos de Corrupción'!$B$11:$V$100,MATCH('Controles de Corrupción'!C196,'[3]Riesgos de Corrupción'!$B$11:$B$100,0),17)-AH196&lt;=5),"Casi seguro")))))," ")</f>
        <v xml:space="preserve"> </v>
      </c>
      <c r="AJ196" s="8" t="str">
        <f>IFERROR(IF(OR(AND(AF196="Fuerte",H196="No disminuye"),AND(AF196="Moderado",H196="Indirectamente"),AND(AF196="Moderado",H196="No disminuye"),AND(INDEX('[3]Riesgos de Corrupción'!$B$11:$BN$100,MATCH('Controles de Corrupción'!C196,'[3]Riesgos de Corrupción'!$B$11:$B$100,0),63)="Moderado")),0,IF(OR(AND(AF196="Fuerte",H196="Indirectamente"),AND(AF196="Moderado",H196="Directamente"),AND(INDEX('[3]Riesgos de Corrupción'!$B$11:$BN$100,MATCH('Controles de Corrupción'!C196,'[3]Riesgos de Corrupción'!$B$11:$B$100,0),63)="Mayor")),1,IF(AND(AF196="Fuerte",H196="Directamente",AND(INDEX('[3]Riesgos de Corrupción'!$B$11:$BN$100,MATCH('Controles de Corrupción'!C196,'[3]Riesgos de Corrupción'!$B$11:$B$100,0),63)="Catastrófico")),2)))," ")</f>
        <v xml:space="preserve"> </v>
      </c>
      <c r="AK196" s="19" t="str">
        <f t="shared" si="63"/>
        <v xml:space="preserve"> </v>
      </c>
      <c r="AL196" s="19" t="str">
        <f>IFERROR(IF((INDEX('[3]Riesgos de Corrupción'!$B$11:$BN$100,MATCH('Controles de Corrupción'!C196,'[3]Riesgos de Corrupción'!$B$11:$B$100,0),62)-AK196&lt;=3),"Moderado",IF((INDEX('[3]Riesgos de Corrupción'!$B$11:$BN$100,MATCH('Controles de Corrupción'!C196,'[3]Riesgos de Corrupción'!$B$11:$B$100,0),62)-AK196&lt;=4),"Mayor",IF((INDEX('[3]Riesgos de Corrupción'!$B$11:$BN$100,MATCH('Controles de Corrupción'!C196,'[3]Riesgos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0" t="str">
        <f t="shared" si="50"/>
        <v>-</v>
      </c>
      <c r="C197" s="188"/>
      <c r="D197" s="170"/>
      <c r="E197" s="171"/>
      <c r="F197" s="129"/>
      <c r="G197" s="128"/>
      <c r="H197" s="23"/>
      <c r="I197" s="18"/>
      <c r="J197" s="80">
        <f t="shared" si="66"/>
        <v>0</v>
      </c>
      <c r="K197" s="18"/>
      <c r="L197" s="80">
        <f t="shared" si="67"/>
        <v>0</v>
      </c>
      <c r="M197" s="18"/>
      <c r="N197" s="80">
        <f t="shared" si="68"/>
        <v>0</v>
      </c>
      <c r="O197" s="18"/>
      <c r="P197" s="80">
        <f t="shared" si="69"/>
        <v>0</v>
      </c>
      <c r="Q197" s="18"/>
      <c r="R197" s="80">
        <f t="shared" si="70"/>
        <v>0</v>
      </c>
      <c r="S197" s="18"/>
      <c r="T197" s="80">
        <f t="shared" si="71"/>
        <v>0</v>
      </c>
      <c r="U197" s="18"/>
      <c r="V197" s="80">
        <f t="shared" si="51"/>
        <v>0</v>
      </c>
      <c r="W197" s="19" t="str">
        <f t="shared" si="52"/>
        <v xml:space="preserve"> </v>
      </c>
      <c r="X197" s="19" t="str">
        <f t="shared" si="53"/>
        <v xml:space="preserve"> </v>
      </c>
      <c r="Y197" s="19" t="str">
        <f t="shared" si="54"/>
        <v/>
      </c>
      <c r="Z197" s="23"/>
      <c r="AA197" s="19" t="str">
        <f t="shared" si="55"/>
        <v/>
      </c>
      <c r="AB197" s="19" t="str">
        <f t="shared" si="56"/>
        <v xml:space="preserve"> </v>
      </c>
      <c r="AC197" s="19" t="str">
        <f t="shared" si="57"/>
        <v/>
      </c>
      <c r="AD197" s="19" t="str">
        <f t="shared" si="58"/>
        <v xml:space="preserve"> </v>
      </c>
      <c r="AE197" s="125" t="str">
        <f t="shared" si="59"/>
        <v xml:space="preserve"> </v>
      </c>
      <c r="AF197" s="19" t="str">
        <f t="shared" si="60"/>
        <v xml:space="preserve"> </v>
      </c>
      <c r="AG197" s="50">
        <f t="shared" si="61"/>
        <v>0</v>
      </c>
      <c r="AH197" s="50" t="str">
        <f t="shared" si="62"/>
        <v xml:space="preserve"> </v>
      </c>
      <c r="AI197" s="36" t="str">
        <f>IFERROR(IF((INDEX('[3]Riesgos de Corrupción'!$B$11:$V$100,MATCH('Controles de Corrupción'!C197,'[3]Riesgos de Corrupción'!$B$11:$B$100,0),17)-AH197&lt;=1),"Rara vez",IF((INDEX('[3]Riesgos de Corrupción'!$B$11:$V$100,MATCH('Controles de Corrupción'!C197,'[3]Riesgos de Corrupción'!$B$11:$B$100,0),17)-AH197&lt;=2),"Improbable",IF((INDEX('[3]Riesgos de Corrupción'!$B$11:$V$100,MATCH('Controles de Corrupción'!C197,'[3]Riesgos de Corrupción'!$B$11:$B$100,0),17)-AH197&lt;=3),"Posible",IF((INDEX('[3]Riesgos de Corrupción'!$B$11:$V$100,MATCH('Controles de Corrupción'!C197,'[3]Riesgos de Corrupción'!$B$11:$B$100,0),17)-AH197&lt;=4),"Probable",IF((INDEX('[3]Riesgos de Corrupción'!$B$11:$V$100,MATCH('Controles de Corrupción'!C197,'[3]Riesgos de Corrupción'!$B$11:$B$100,0),17)-AH197&lt;=5),"Casi seguro")))))," ")</f>
        <v xml:space="preserve"> </v>
      </c>
      <c r="AJ197" s="8" t="str">
        <f>IFERROR(IF(OR(AND(AF197="Fuerte",H197="No disminuye"),AND(AF197="Moderado",H197="Indirectamente"),AND(AF197="Moderado",H197="No disminuye"),AND(INDEX('[3]Riesgos de Corrupción'!$B$11:$BN$100,MATCH('Controles de Corrupción'!C197,'[3]Riesgos de Corrupción'!$B$11:$B$100,0),63)="Moderado")),0,IF(OR(AND(AF197="Fuerte",H197="Indirectamente"),AND(AF197="Moderado",H197="Directamente"),AND(INDEX('[3]Riesgos de Corrupción'!$B$11:$BN$100,MATCH('Controles de Corrupción'!C197,'[3]Riesgos de Corrupción'!$B$11:$B$100,0),63)="Mayor")),1,IF(AND(AF197="Fuerte",H197="Directamente",AND(INDEX('[3]Riesgos de Corrupción'!$B$11:$BN$100,MATCH('Controles de Corrupción'!C197,'[3]Riesgos de Corrupción'!$B$11:$B$100,0),63)="Catastrófico")),2)))," ")</f>
        <v xml:space="preserve"> </v>
      </c>
      <c r="AK197" s="19" t="str">
        <f t="shared" si="63"/>
        <v xml:space="preserve"> </v>
      </c>
      <c r="AL197" s="19" t="str">
        <f>IFERROR(IF((INDEX('[3]Riesgos de Corrupción'!$B$11:$BN$100,MATCH('Controles de Corrupción'!C197,'[3]Riesgos de Corrupción'!$B$11:$B$100,0),62)-AK197&lt;=3),"Moderado",IF((INDEX('[3]Riesgos de Corrupción'!$B$11:$BN$100,MATCH('Controles de Corrupción'!C197,'[3]Riesgos de Corrupción'!$B$11:$B$100,0),62)-AK197&lt;=4),"Mayor",IF((INDEX('[3]Riesgos de Corrupción'!$B$11:$BN$100,MATCH('Controles de Corrupción'!C197,'[3]Riesgos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0" t="str">
        <f t="shared" si="50"/>
        <v>-</v>
      </c>
      <c r="C198" s="188"/>
      <c r="D198" s="170"/>
      <c r="E198" s="171"/>
      <c r="F198" s="129"/>
      <c r="G198" s="128"/>
      <c r="H198" s="23"/>
      <c r="I198" s="18"/>
      <c r="J198" s="80">
        <f t="shared" si="66"/>
        <v>0</v>
      </c>
      <c r="K198" s="18"/>
      <c r="L198" s="80">
        <f t="shared" si="67"/>
        <v>0</v>
      </c>
      <c r="M198" s="18"/>
      <c r="N198" s="80">
        <f t="shared" si="68"/>
        <v>0</v>
      </c>
      <c r="O198" s="18"/>
      <c r="P198" s="80">
        <f t="shared" si="69"/>
        <v>0</v>
      </c>
      <c r="Q198" s="18"/>
      <c r="R198" s="80">
        <f t="shared" si="70"/>
        <v>0</v>
      </c>
      <c r="S198" s="18"/>
      <c r="T198" s="80">
        <f t="shared" si="71"/>
        <v>0</v>
      </c>
      <c r="U198" s="18"/>
      <c r="V198" s="80">
        <f t="shared" si="51"/>
        <v>0</v>
      </c>
      <c r="W198" s="19" t="str">
        <f t="shared" si="52"/>
        <v xml:space="preserve"> </v>
      </c>
      <c r="X198" s="19" t="str">
        <f t="shared" si="53"/>
        <v xml:space="preserve"> </v>
      </c>
      <c r="Y198" s="19" t="str">
        <f t="shared" si="54"/>
        <v/>
      </c>
      <c r="Z198" s="23"/>
      <c r="AA198" s="19" t="str">
        <f t="shared" si="55"/>
        <v/>
      </c>
      <c r="AB198" s="19" t="str">
        <f t="shared" si="56"/>
        <v xml:space="preserve"> </v>
      </c>
      <c r="AC198" s="19" t="str">
        <f t="shared" si="57"/>
        <v/>
      </c>
      <c r="AD198" s="19" t="str">
        <f t="shared" si="58"/>
        <v xml:space="preserve"> </v>
      </c>
      <c r="AE198" s="125" t="str">
        <f t="shared" si="59"/>
        <v xml:space="preserve"> </v>
      </c>
      <c r="AF198" s="19" t="str">
        <f t="shared" si="60"/>
        <v xml:space="preserve"> </v>
      </c>
      <c r="AG198" s="50">
        <f t="shared" si="61"/>
        <v>0</v>
      </c>
      <c r="AH198" s="50" t="str">
        <f t="shared" si="62"/>
        <v xml:space="preserve"> </v>
      </c>
      <c r="AI198" s="36" t="str">
        <f>IFERROR(IF((INDEX('[3]Riesgos de Corrupción'!$B$11:$V$100,MATCH('Controles de Corrupción'!C198,'[3]Riesgos de Corrupción'!$B$11:$B$100,0),17)-AH198&lt;=1),"Rara vez",IF((INDEX('[3]Riesgos de Corrupción'!$B$11:$V$100,MATCH('Controles de Corrupción'!C198,'[3]Riesgos de Corrupción'!$B$11:$B$100,0),17)-AH198&lt;=2),"Improbable",IF((INDEX('[3]Riesgos de Corrupción'!$B$11:$V$100,MATCH('Controles de Corrupción'!C198,'[3]Riesgos de Corrupción'!$B$11:$B$100,0),17)-AH198&lt;=3),"Posible",IF((INDEX('[3]Riesgos de Corrupción'!$B$11:$V$100,MATCH('Controles de Corrupción'!C198,'[3]Riesgos de Corrupción'!$B$11:$B$100,0),17)-AH198&lt;=4),"Probable",IF((INDEX('[3]Riesgos de Corrupción'!$B$11:$V$100,MATCH('Controles de Corrupción'!C198,'[3]Riesgos de Corrupción'!$B$11:$B$100,0),17)-AH198&lt;=5),"Casi seguro")))))," ")</f>
        <v xml:space="preserve"> </v>
      </c>
      <c r="AJ198" s="8" t="str">
        <f>IFERROR(IF(OR(AND(AF198="Fuerte",H198="No disminuye"),AND(AF198="Moderado",H198="Indirectamente"),AND(AF198="Moderado",H198="No disminuye"),AND(INDEX('[3]Riesgos de Corrupción'!$B$11:$BN$100,MATCH('Controles de Corrupción'!C198,'[3]Riesgos de Corrupción'!$B$11:$B$100,0),63)="Moderado")),0,IF(OR(AND(AF198="Fuerte",H198="Indirectamente"),AND(AF198="Moderado",H198="Directamente"),AND(INDEX('[3]Riesgos de Corrupción'!$B$11:$BN$100,MATCH('Controles de Corrupción'!C198,'[3]Riesgos de Corrupción'!$B$11:$B$100,0),63)="Mayor")),1,IF(AND(AF198="Fuerte",H198="Directamente",AND(INDEX('[3]Riesgos de Corrupción'!$B$11:$BN$100,MATCH('Controles de Corrupción'!C198,'[3]Riesgos de Corrupción'!$B$11:$B$100,0),63)="Catastrófico")),2)))," ")</f>
        <v xml:space="preserve"> </v>
      </c>
      <c r="AK198" s="19" t="str">
        <f t="shared" si="63"/>
        <v xml:space="preserve"> </v>
      </c>
      <c r="AL198" s="19" t="str">
        <f>IFERROR(IF((INDEX('[3]Riesgos de Corrupción'!$B$11:$BN$100,MATCH('Controles de Corrupción'!C198,'[3]Riesgos de Corrupción'!$B$11:$B$100,0),62)-AK198&lt;=3),"Moderado",IF((INDEX('[3]Riesgos de Corrupción'!$B$11:$BN$100,MATCH('Controles de Corrupción'!C198,'[3]Riesgos de Corrupción'!$B$11:$B$100,0),62)-AK198&lt;=4),"Mayor",IF((INDEX('[3]Riesgos de Corrupción'!$B$11:$BN$100,MATCH('Controles de Corrupción'!C198,'[3]Riesgos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0" t="str">
        <f t="shared" si="50"/>
        <v>-</v>
      </c>
      <c r="C199" s="188"/>
      <c r="D199" s="170"/>
      <c r="E199" s="171"/>
      <c r="F199" s="129"/>
      <c r="G199" s="128"/>
      <c r="H199" s="23"/>
      <c r="I199" s="18"/>
      <c r="J199" s="80">
        <f t="shared" si="66"/>
        <v>0</v>
      </c>
      <c r="K199" s="18"/>
      <c r="L199" s="80">
        <f t="shared" si="67"/>
        <v>0</v>
      </c>
      <c r="M199" s="18"/>
      <c r="N199" s="80">
        <f t="shared" si="68"/>
        <v>0</v>
      </c>
      <c r="O199" s="18"/>
      <c r="P199" s="80">
        <f t="shared" si="69"/>
        <v>0</v>
      </c>
      <c r="Q199" s="18"/>
      <c r="R199" s="80">
        <f t="shared" si="70"/>
        <v>0</v>
      </c>
      <c r="S199" s="18"/>
      <c r="T199" s="80">
        <f t="shared" si="71"/>
        <v>0</v>
      </c>
      <c r="U199" s="18"/>
      <c r="V199" s="80">
        <f t="shared" si="51"/>
        <v>0</v>
      </c>
      <c r="W199" s="19" t="str">
        <f t="shared" si="52"/>
        <v xml:space="preserve"> </v>
      </c>
      <c r="X199" s="19" t="str">
        <f t="shared" si="53"/>
        <v xml:space="preserve"> </v>
      </c>
      <c r="Y199" s="19" t="str">
        <f t="shared" si="54"/>
        <v/>
      </c>
      <c r="Z199" s="23"/>
      <c r="AA199" s="19" t="str">
        <f t="shared" si="55"/>
        <v/>
      </c>
      <c r="AB199" s="19" t="str">
        <f t="shared" si="56"/>
        <v xml:space="preserve"> </v>
      </c>
      <c r="AC199" s="19" t="str">
        <f t="shared" si="57"/>
        <v/>
      </c>
      <c r="AD199" s="19" t="str">
        <f t="shared" si="58"/>
        <v xml:space="preserve"> </v>
      </c>
      <c r="AE199" s="125" t="str">
        <f t="shared" si="59"/>
        <v xml:space="preserve"> </v>
      </c>
      <c r="AF199" s="19" t="str">
        <f t="shared" si="60"/>
        <v xml:space="preserve"> </v>
      </c>
      <c r="AG199" s="50">
        <f t="shared" si="61"/>
        <v>0</v>
      </c>
      <c r="AH199" s="50" t="str">
        <f t="shared" si="62"/>
        <v xml:space="preserve"> </v>
      </c>
      <c r="AI199" s="36" t="str">
        <f>IFERROR(IF((INDEX('[3]Riesgos de Corrupción'!$B$11:$V$100,MATCH('Controles de Corrupción'!C199,'[3]Riesgos de Corrupción'!$B$11:$B$100,0),17)-AH199&lt;=1),"Rara vez",IF((INDEX('[3]Riesgos de Corrupción'!$B$11:$V$100,MATCH('Controles de Corrupción'!C199,'[3]Riesgos de Corrupción'!$B$11:$B$100,0),17)-AH199&lt;=2),"Improbable",IF((INDEX('[3]Riesgos de Corrupción'!$B$11:$V$100,MATCH('Controles de Corrupción'!C199,'[3]Riesgos de Corrupción'!$B$11:$B$100,0),17)-AH199&lt;=3),"Posible",IF((INDEX('[3]Riesgos de Corrupción'!$B$11:$V$100,MATCH('Controles de Corrupción'!C199,'[3]Riesgos de Corrupción'!$B$11:$B$100,0),17)-AH199&lt;=4),"Probable",IF((INDEX('[3]Riesgos de Corrupción'!$B$11:$V$100,MATCH('Controles de Corrupción'!C199,'[3]Riesgos de Corrupción'!$B$11:$B$100,0),17)-AH199&lt;=5),"Casi seguro")))))," ")</f>
        <v xml:space="preserve"> </v>
      </c>
      <c r="AJ199" s="8" t="str">
        <f>IFERROR(IF(OR(AND(AF199="Fuerte",H199="No disminuye"),AND(AF199="Moderado",H199="Indirectamente"),AND(AF199="Moderado",H199="No disminuye"),AND(INDEX('[3]Riesgos de Corrupción'!$B$11:$BN$100,MATCH('Controles de Corrupción'!C199,'[3]Riesgos de Corrupción'!$B$11:$B$100,0),63)="Moderado")),0,IF(OR(AND(AF199="Fuerte",H199="Indirectamente"),AND(AF199="Moderado",H199="Directamente"),AND(INDEX('[3]Riesgos de Corrupción'!$B$11:$BN$100,MATCH('Controles de Corrupción'!C199,'[3]Riesgos de Corrupción'!$B$11:$B$100,0),63)="Mayor")),1,IF(AND(AF199="Fuerte",H199="Directamente",AND(INDEX('[3]Riesgos de Corrupción'!$B$11:$BN$100,MATCH('Controles de Corrupción'!C199,'[3]Riesgos de Corrupción'!$B$11:$B$100,0),63)="Catastrófico")),2)))," ")</f>
        <v xml:space="preserve"> </v>
      </c>
      <c r="AK199" s="19" t="str">
        <f t="shared" si="63"/>
        <v xml:space="preserve"> </v>
      </c>
      <c r="AL199" s="19" t="str">
        <f>IFERROR(IF((INDEX('[3]Riesgos de Corrupción'!$B$11:$BN$100,MATCH('Controles de Corrupción'!C199,'[3]Riesgos de Corrupción'!$B$11:$B$100,0),62)-AK199&lt;=3),"Moderado",IF((INDEX('[3]Riesgos de Corrupción'!$B$11:$BN$100,MATCH('Controles de Corrupción'!C199,'[3]Riesgos de Corrupción'!$B$11:$B$100,0),62)-AK199&lt;=4),"Mayor",IF((INDEX('[3]Riesgos de Corrupción'!$B$11:$BN$100,MATCH('Controles de Corrupción'!C199,'[3]Riesgos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0" t="str">
        <f t="shared" si="50"/>
        <v>-</v>
      </c>
      <c r="C200" s="188"/>
      <c r="D200" s="170"/>
      <c r="E200" s="171"/>
      <c r="F200" s="129"/>
      <c r="G200" s="128"/>
      <c r="H200" s="23"/>
      <c r="I200" s="18"/>
      <c r="J200" s="80">
        <f t="shared" si="66"/>
        <v>0</v>
      </c>
      <c r="K200" s="18"/>
      <c r="L200" s="80">
        <f t="shared" si="67"/>
        <v>0</v>
      </c>
      <c r="M200" s="18"/>
      <c r="N200" s="80">
        <f t="shared" si="68"/>
        <v>0</v>
      </c>
      <c r="O200" s="18"/>
      <c r="P200" s="80">
        <f t="shared" si="69"/>
        <v>0</v>
      </c>
      <c r="Q200" s="18"/>
      <c r="R200" s="80">
        <f t="shared" si="70"/>
        <v>0</v>
      </c>
      <c r="S200" s="18"/>
      <c r="T200" s="80">
        <f t="shared" si="71"/>
        <v>0</v>
      </c>
      <c r="U200" s="18"/>
      <c r="V200" s="80">
        <f t="shared" si="51"/>
        <v>0</v>
      </c>
      <c r="W200" s="19" t="str">
        <f t="shared" si="52"/>
        <v xml:space="preserve"> </v>
      </c>
      <c r="X200" s="19" t="str">
        <f t="shared" si="53"/>
        <v xml:space="preserve"> </v>
      </c>
      <c r="Y200" s="19" t="str">
        <f t="shared" si="54"/>
        <v/>
      </c>
      <c r="Z200" s="23"/>
      <c r="AA200" s="19" t="str">
        <f t="shared" si="55"/>
        <v/>
      </c>
      <c r="AB200" s="19" t="str">
        <f t="shared" si="56"/>
        <v xml:space="preserve"> </v>
      </c>
      <c r="AC200" s="19" t="str">
        <f t="shared" si="57"/>
        <v/>
      </c>
      <c r="AD200" s="19" t="str">
        <f t="shared" si="58"/>
        <v xml:space="preserve"> </v>
      </c>
      <c r="AE200" s="125" t="str">
        <f t="shared" si="59"/>
        <v xml:space="preserve"> </v>
      </c>
      <c r="AF200" s="19" t="str">
        <f t="shared" si="60"/>
        <v xml:space="preserve"> </v>
      </c>
      <c r="AG200" s="50">
        <f t="shared" si="61"/>
        <v>0</v>
      </c>
      <c r="AH200" s="50" t="str">
        <f t="shared" si="62"/>
        <v xml:space="preserve"> </v>
      </c>
      <c r="AI200" s="36" t="str">
        <f>IFERROR(IF((INDEX('[3]Riesgos de Corrupción'!$B$11:$V$100,MATCH('Controles de Corrupción'!C200,'[3]Riesgos de Corrupción'!$B$11:$B$100,0),17)-AH200&lt;=1),"Rara vez",IF((INDEX('[3]Riesgos de Corrupción'!$B$11:$V$100,MATCH('Controles de Corrupción'!C200,'[3]Riesgos de Corrupción'!$B$11:$B$100,0),17)-AH200&lt;=2),"Improbable",IF((INDEX('[3]Riesgos de Corrupción'!$B$11:$V$100,MATCH('Controles de Corrupción'!C200,'[3]Riesgos de Corrupción'!$B$11:$B$100,0),17)-AH200&lt;=3),"Posible",IF((INDEX('[3]Riesgos de Corrupción'!$B$11:$V$100,MATCH('Controles de Corrupción'!C200,'[3]Riesgos de Corrupción'!$B$11:$B$100,0),17)-AH200&lt;=4),"Probable",IF((INDEX('[3]Riesgos de Corrupción'!$B$11:$V$100,MATCH('Controles de Corrupción'!C200,'[3]Riesgos de Corrupción'!$B$11:$B$100,0),17)-AH200&lt;=5),"Casi seguro")))))," ")</f>
        <v xml:space="preserve"> </v>
      </c>
      <c r="AJ200" s="8" t="str">
        <f>IFERROR(IF(OR(AND(AF200="Fuerte",H200="No disminuye"),AND(AF200="Moderado",H200="Indirectamente"),AND(AF200="Moderado",H200="No disminuye"),AND(INDEX('[3]Riesgos de Corrupción'!$B$11:$BN$100,MATCH('Controles de Corrupción'!C200,'[3]Riesgos de Corrupción'!$B$11:$B$100,0),63)="Moderado")),0,IF(OR(AND(AF200="Fuerte",H200="Indirectamente"),AND(AF200="Moderado",H200="Directamente"),AND(INDEX('[3]Riesgos de Corrupción'!$B$11:$BN$100,MATCH('Controles de Corrupción'!C200,'[3]Riesgos de Corrupción'!$B$11:$B$100,0),63)="Mayor")),1,IF(AND(AF200="Fuerte",H200="Directamente",AND(INDEX('[3]Riesgos de Corrupción'!$B$11:$BN$100,MATCH('Controles de Corrupción'!C200,'[3]Riesgos de Corrupción'!$B$11:$B$100,0),63)="Catastrófico")),2)))," ")</f>
        <v xml:space="preserve"> </v>
      </c>
      <c r="AK200" s="19" t="str">
        <f t="shared" si="63"/>
        <v xml:space="preserve"> </v>
      </c>
      <c r="AL200" s="19" t="str">
        <f>IFERROR(IF((INDEX('[3]Riesgos de Corrupción'!$B$11:$BN$100,MATCH('Controles de Corrupción'!C200,'[3]Riesgos de Corrupción'!$B$11:$B$100,0),62)-AK200&lt;=3),"Moderado",IF((INDEX('[3]Riesgos de Corrupción'!$B$11:$BN$100,MATCH('Controles de Corrupción'!C200,'[3]Riesgos de Corrupción'!$B$11:$B$100,0),62)-AK200&lt;=4),"Mayor",IF((INDEX('[3]Riesgos de Corrupción'!$B$11:$BN$100,MATCH('Controles de Corrupción'!C200,'[3]Riesgos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0" t="str">
        <f t="shared" si="50"/>
        <v>-</v>
      </c>
      <c r="C201" s="188"/>
      <c r="D201" s="170"/>
      <c r="E201" s="171"/>
      <c r="F201" s="129"/>
      <c r="G201" s="128"/>
      <c r="H201" s="23"/>
      <c r="I201" s="18"/>
      <c r="J201" s="80">
        <f t="shared" si="66"/>
        <v>0</v>
      </c>
      <c r="K201" s="18"/>
      <c r="L201" s="80">
        <f t="shared" si="67"/>
        <v>0</v>
      </c>
      <c r="M201" s="18"/>
      <c r="N201" s="80">
        <f t="shared" si="68"/>
        <v>0</v>
      </c>
      <c r="O201" s="18"/>
      <c r="P201" s="80">
        <f t="shared" si="69"/>
        <v>0</v>
      </c>
      <c r="Q201" s="18"/>
      <c r="R201" s="80">
        <f t="shared" si="70"/>
        <v>0</v>
      </c>
      <c r="S201" s="18"/>
      <c r="T201" s="80">
        <f t="shared" si="71"/>
        <v>0</v>
      </c>
      <c r="U201" s="18"/>
      <c r="V201" s="80">
        <f t="shared" si="51"/>
        <v>0</v>
      </c>
      <c r="W201" s="19" t="str">
        <f t="shared" si="52"/>
        <v xml:space="preserve"> </v>
      </c>
      <c r="X201" s="19" t="str">
        <f t="shared" si="53"/>
        <v xml:space="preserve"> </v>
      </c>
      <c r="Y201" s="19" t="str">
        <f t="shared" si="54"/>
        <v/>
      </c>
      <c r="Z201" s="23"/>
      <c r="AA201" s="19" t="str">
        <f t="shared" si="55"/>
        <v/>
      </c>
      <c r="AB201" s="19" t="str">
        <f t="shared" si="56"/>
        <v xml:space="preserve"> </v>
      </c>
      <c r="AC201" s="19" t="str">
        <f t="shared" si="57"/>
        <v/>
      </c>
      <c r="AD201" s="19" t="str">
        <f t="shared" si="58"/>
        <v xml:space="preserve"> </v>
      </c>
      <c r="AE201" s="125" t="str">
        <f t="shared" si="59"/>
        <v xml:space="preserve"> </v>
      </c>
      <c r="AF201" s="19" t="str">
        <f t="shared" si="60"/>
        <v xml:space="preserve"> </v>
      </c>
      <c r="AG201" s="50">
        <f t="shared" si="61"/>
        <v>0</v>
      </c>
      <c r="AH201" s="50" t="str">
        <f t="shared" si="62"/>
        <v xml:space="preserve"> </v>
      </c>
      <c r="AI201" s="36" t="str">
        <f>IFERROR(IF((INDEX('[3]Riesgos de Corrupción'!$B$11:$V$100,MATCH('Controles de Corrupción'!C201,'[3]Riesgos de Corrupción'!$B$11:$B$100,0),17)-AH201&lt;=1),"Rara vez",IF((INDEX('[3]Riesgos de Corrupción'!$B$11:$V$100,MATCH('Controles de Corrupción'!C201,'[3]Riesgos de Corrupción'!$B$11:$B$100,0),17)-AH201&lt;=2),"Improbable",IF((INDEX('[3]Riesgos de Corrupción'!$B$11:$V$100,MATCH('Controles de Corrupción'!C201,'[3]Riesgos de Corrupción'!$B$11:$B$100,0),17)-AH201&lt;=3),"Posible",IF((INDEX('[3]Riesgos de Corrupción'!$B$11:$V$100,MATCH('Controles de Corrupción'!C201,'[3]Riesgos de Corrupción'!$B$11:$B$100,0),17)-AH201&lt;=4),"Probable",IF((INDEX('[3]Riesgos de Corrupción'!$B$11:$V$100,MATCH('Controles de Corrupción'!C201,'[3]Riesgos de Corrupción'!$B$11:$B$100,0),17)-AH201&lt;=5),"Casi seguro")))))," ")</f>
        <v xml:space="preserve"> </v>
      </c>
      <c r="AJ201" s="8" t="str">
        <f>IFERROR(IF(OR(AND(AF201="Fuerte",H201="No disminuye"),AND(AF201="Moderado",H201="Indirectamente"),AND(AF201="Moderado",H201="No disminuye"),AND(INDEX('[3]Riesgos de Corrupción'!$B$11:$BN$100,MATCH('Controles de Corrupción'!C201,'[3]Riesgos de Corrupción'!$B$11:$B$100,0),63)="Moderado")),0,IF(OR(AND(AF201="Fuerte",H201="Indirectamente"),AND(AF201="Moderado",H201="Directamente"),AND(INDEX('[3]Riesgos de Corrupción'!$B$11:$BN$100,MATCH('Controles de Corrupción'!C201,'[3]Riesgos de Corrupción'!$B$11:$B$100,0),63)="Mayor")),1,IF(AND(AF201="Fuerte",H201="Directamente",AND(INDEX('[3]Riesgos de Corrupción'!$B$11:$BN$100,MATCH('Controles de Corrupción'!C201,'[3]Riesgos de Corrupción'!$B$11:$B$100,0),63)="Catastrófico")),2)))," ")</f>
        <v xml:space="preserve"> </v>
      </c>
      <c r="AK201" s="19" t="str">
        <f t="shared" si="63"/>
        <v xml:space="preserve"> </v>
      </c>
      <c r="AL201" s="19" t="str">
        <f>IFERROR(IF((INDEX('[3]Riesgos de Corrupción'!$B$11:$BN$100,MATCH('Controles de Corrupción'!C201,'[3]Riesgos de Corrupción'!$B$11:$B$100,0),62)-AK201&lt;=3),"Moderado",IF((INDEX('[3]Riesgos de Corrupción'!$B$11:$BN$100,MATCH('Controles de Corrupción'!C201,'[3]Riesgos de Corrupción'!$B$11:$B$100,0),62)-AK201&lt;=4),"Mayor",IF((INDEX('[3]Riesgos de Corrupción'!$B$11:$BN$100,MATCH('Controles de Corrupción'!C201,'[3]Riesgos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0" t="str">
        <f t="shared" ref="B202:B251" si="72">C202&amp;"-"&amp;E202</f>
        <v>-</v>
      </c>
      <c r="C202" s="188"/>
      <c r="D202" s="170"/>
      <c r="E202" s="171"/>
      <c r="F202" s="129"/>
      <c r="G202" s="128"/>
      <c r="H202" s="23"/>
      <c r="I202" s="18"/>
      <c r="J202" s="80">
        <f t="shared" si="66"/>
        <v>0</v>
      </c>
      <c r="K202" s="18"/>
      <c r="L202" s="80">
        <f t="shared" si="67"/>
        <v>0</v>
      </c>
      <c r="M202" s="18"/>
      <c r="N202" s="80">
        <f t="shared" si="68"/>
        <v>0</v>
      </c>
      <c r="O202" s="18"/>
      <c r="P202" s="80">
        <f t="shared" si="69"/>
        <v>0</v>
      </c>
      <c r="Q202" s="18"/>
      <c r="R202" s="80">
        <f t="shared" si="70"/>
        <v>0</v>
      </c>
      <c r="S202" s="18"/>
      <c r="T202" s="80">
        <f t="shared" si="71"/>
        <v>0</v>
      </c>
      <c r="U202" s="18"/>
      <c r="V202" s="80">
        <f t="shared" ref="V202:V251" si="73">IF(U202="Completa",10,IF(U202="Incompleta",5,IF(U202="No existe",0,IF(I202=0,0))))</f>
        <v>0</v>
      </c>
      <c r="W202" s="19" t="str">
        <f t="shared" ref="W202:W251" si="74">IF(G202=0," ",IF((J202+L202+N202+P202+R202+T202+V202)&gt;=0,(J202+L202+N202+P202+R202+T202+V202)))</f>
        <v xml:space="preserve"> </v>
      </c>
      <c r="X202" s="19" t="str">
        <f t="shared" ref="X202:X251" si="75">IF(W202=" "," ",IF(AND(W202&gt;=0,W202&lt;=85),"Débil",IF(AND(W202&gt;=86,W202&lt;=95),"Moderado",IF(AND(W202&gt;=96,W202&lt;=100),"Fuerte"," "))))</f>
        <v xml:space="preserve"> </v>
      </c>
      <c r="Y202" s="19" t="str">
        <f t="shared" ref="Y202:Y251" si="76">IF(Z202="Siempre se ejecuta", 100,IF(Z202="Algunas veces se ejecuta",50,IF(Z202="No se ejecuta",0,"")))</f>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5" t="str">
        <f t="shared" ref="AE202:AE251" si="81">IFERROR(IF(AD202=" "," ",IF(AVERAGE($AD$10:$AD$252)&gt;=0,AVERAGEIFS($AD$10:$AD$251,$C$10:$C$251,C202))),"  ")</f>
        <v xml:space="preserve"> </v>
      </c>
      <c r="AF202" s="19" t="str">
        <f t="shared" ref="AF202:AF251" si="82">IF(AE202=" "," ",IF(AE202=100,"Fuerte",IF(AE202&lt;50,"Débil",IF(AE202&gt;49,"Moderado"," "))))</f>
        <v xml:space="preserve"> </v>
      </c>
      <c r="AG202" s="50">
        <f t="shared" ref="AG202:AG251" si="83">IF(OR(AND(AF202="Fuerte",G202="No disminuye"),AND(AF202="Moderado",G202="No disminuye")),0,IF(AND(AF202="Fuerte",G202="Directamente"),2,IF(AND(AF202="Moderado",G202="Directamente"),1,0)))</f>
        <v>0</v>
      </c>
      <c r="AH202" s="50" t="str">
        <f t="shared" ref="AH202:AH251" si="84">IFERROR(AVERAGEIFS($AG$10:$AG$251,$C$10:$C$251,C202)," ")</f>
        <v xml:space="preserve"> </v>
      </c>
      <c r="AI202" s="36" t="str">
        <f>IFERROR(IF((INDEX('[3]Riesgos de Corrupción'!$B$11:$V$100,MATCH('Controles de Corrupción'!C202,'[3]Riesgos de Corrupción'!$B$11:$B$100,0),17)-AH202&lt;=1),"Rara vez",IF((INDEX('[3]Riesgos de Corrupción'!$B$11:$V$100,MATCH('Controles de Corrupción'!C202,'[3]Riesgos de Corrupción'!$B$11:$B$100,0),17)-AH202&lt;=2),"Improbable",IF((INDEX('[3]Riesgos de Corrupción'!$B$11:$V$100,MATCH('Controles de Corrupción'!C202,'[3]Riesgos de Corrupción'!$B$11:$B$100,0),17)-AH202&lt;=3),"Posible",IF((INDEX('[3]Riesgos de Corrupción'!$B$11:$V$100,MATCH('Controles de Corrupción'!C202,'[3]Riesgos de Corrupción'!$B$11:$B$100,0),17)-AH202&lt;=4),"Probable",IF((INDEX('[3]Riesgos de Corrupción'!$B$11:$V$100,MATCH('Controles de Corrupción'!C202,'[3]Riesgos de Corrupción'!$B$11:$B$100,0),17)-AH202&lt;=5),"Casi seguro")))))," ")</f>
        <v xml:space="preserve"> </v>
      </c>
      <c r="AJ202" s="8" t="str">
        <f>IFERROR(IF(OR(AND(AF202="Fuerte",H202="No disminuye"),AND(AF202="Moderado",H202="Indirectamente"),AND(AF202="Moderado",H202="No disminuye"),AND(INDEX('[3]Riesgos de Corrupción'!$B$11:$BN$100,MATCH('Controles de Corrupción'!C202,'[3]Riesgos de Corrupción'!$B$11:$B$100,0),63)="Moderado")),0,IF(OR(AND(AF202="Fuerte",H202="Indirectamente"),AND(AF202="Moderado",H202="Directamente"),AND(INDEX('[3]Riesgos de Corrupción'!$B$11:$BN$100,MATCH('Controles de Corrupción'!C202,'[3]Riesgos de Corrupción'!$B$11:$B$100,0),63)="Mayor")),1,IF(AND(AF202="Fuerte",H202="Directamente",AND(INDEX('[3]Riesgos de Corrupción'!$B$11:$BN$100,MATCH('Controles de Corrupción'!C202,'[3]Riesgos de Corrupción'!$B$11:$B$100,0),63)="Catastrófico")),2)))," ")</f>
        <v xml:space="preserve"> </v>
      </c>
      <c r="AK202" s="19" t="str">
        <f t="shared" ref="AK202:AK251" si="85">IFERROR(AVERAGEIFS($AJ$10:$AJ$251,$C$10:$C$251,C202)," ")</f>
        <v xml:space="preserve"> </v>
      </c>
      <c r="AL202" s="19" t="str">
        <f>IFERROR(IF((INDEX('[3]Riesgos de Corrupción'!$B$11:$BN$100,MATCH('Controles de Corrupción'!C202,'[3]Riesgos de Corrupción'!$B$11:$B$100,0),62)-AK202&lt;=3),"Moderado",IF((INDEX('[3]Riesgos de Corrupción'!$B$11:$BN$100,MATCH('Controles de Corrupción'!C202,'[3]Riesgos de Corrupción'!$B$11:$B$100,0),62)-AK202&lt;=4),"Mayor",IF((INDEX('[3]Riesgos de Corrupción'!$B$11:$BN$100,MATCH('Controles de Corrupción'!C202,'[3]Riesgos de Corrupción'!$B$11:$B$100,0),62)-AK202&lt;=5),"Catastrófico")))," ")</f>
        <v xml:space="preserve"> </v>
      </c>
      <c r="AM202" s="19"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2" t="str">
        <f t="shared" ref="AN202:AN251" si="87">IF(AM202="Zona Moderada","Reducir riesgo",IF(AM202="Zona Alta","Compartir riesgo",IF(AM202="Zona Extrema","Evitar riesgo"," ")))</f>
        <v xml:space="preserve"> </v>
      </c>
      <c r="AO202" s="76"/>
      <c r="AP202" s="76"/>
      <c r="AQ202" s="76"/>
      <c r="AR202" s="76"/>
      <c r="AS202" s="76"/>
      <c r="AT202" s="76"/>
      <c r="AU202" s="76"/>
      <c r="AV202" s="76"/>
      <c r="AW202" s="76"/>
      <c r="AX202" s="76"/>
      <c r="AY202" s="76"/>
      <c r="AZ202" s="76"/>
    </row>
    <row r="203" spans="2:52" ht="57.75" customHeight="1" x14ac:dyDescent="0.3">
      <c r="B203" s="120" t="str">
        <f t="shared" si="72"/>
        <v>-</v>
      </c>
      <c r="C203" s="188"/>
      <c r="D203" s="170"/>
      <c r="E203" s="171"/>
      <c r="F203" s="129"/>
      <c r="G203" s="128"/>
      <c r="H203" s="23"/>
      <c r="I203" s="18"/>
      <c r="J203" s="80">
        <f t="shared" si="66"/>
        <v>0</v>
      </c>
      <c r="K203" s="18"/>
      <c r="L203" s="80">
        <f t="shared" si="67"/>
        <v>0</v>
      </c>
      <c r="M203" s="18"/>
      <c r="N203" s="80">
        <f t="shared" si="68"/>
        <v>0</v>
      </c>
      <c r="O203" s="18"/>
      <c r="P203" s="80">
        <f t="shared" si="69"/>
        <v>0</v>
      </c>
      <c r="Q203" s="18"/>
      <c r="R203" s="80">
        <f t="shared" si="70"/>
        <v>0</v>
      </c>
      <c r="S203" s="18"/>
      <c r="T203" s="80">
        <f t="shared" si="71"/>
        <v>0</v>
      </c>
      <c r="U203" s="18"/>
      <c r="V203" s="80">
        <f t="shared" si="73"/>
        <v>0</v>
      </c>
      <c r="W203" s="19" t="str">
        <f t="shared" si="74"/>
        <v xml:space="preserve"> </v>
      </c>
      <c r="X203" s="19" t="str">
        <f t="shared" si="75"/>
        <v xml:space="preserve"> </v>
      </c>
      <c r="Y203" s="19" t="str">
        <f t="shared" si="76"/>
        <v/>
      </c>
      <c r="Z203" s="23"/>
      <c r="AA203" s="19" t="str">
        <f t="shared" si="77"/>
        <v/>
      </c>
      <c r="AB203" s="19" t="str">
        <f t="shared" si="78"/>
        <v xml:space="preserve"> </v>
      </c>
      <c r="AC203" s="19" t="str">
        <f t="shared" si="79"/>
        <v/>
      </c>
      <c r="AD203" s="19" t="str">
        <f t="shared" si="80"/>
        <v xml:space="preserve"> </v>
      </c>
      <c r="AE203" s="125" t="str">
        <f t="shared" si="81"/>
        <v xml:space="preserve"> </v>
      </c>
      <c r="AF203" s="19" t="str">
        <f t="shared" si="82"/>
        <v xml:space="preserve"> </v>
      </c>
      <c r="AG203" s="50">
        <f t="shared" si="83"/>
        <v>0</v>
      </c>
      <c r="AH203" s="50" t="str">
        <f t="shared" si="84"/>
        <v xml:space="preserve"> </v>
      </c>
      <c r="AI203" s="36" t="str">
        <f>IFERROR(IF((INDEX('[3]Riesgos de Corrupción'!$B$11:$V$100,MATCH('Controles de Corrupción'!C203,'[3]Riesgos de Corrupción'!$B$11:$B$100,0),17)-AH203&lt;=1),"Rara vez",IF((INDEX('[3]Riesgos de Corrupción'!$B$11:$V$100,MATCH('Controles de Corrupción'!C203,'[3]Riesgos de Corrupción'!$B$11:$B$100,0),17)-AH203&lt;=2),"Improbable",IF((INDEX('[3]Riesgos de Corrupción'!$B$11:$V$100,MATCH('Controles de Corrupción'!C203,'[3]Riesgos de Corrupción'!$B$11:$B$100,0),17)-AH203&lt;=3),"Posible",IF((INDEX('[3]Riesgos de Corrupción'!$B$11:$V$100,MATCH('Controles de Corrupción'!C203,'[3]Riesgos de Corrupción'!$B$11:$B$100,0),17)-AH203&lt;=4),"Probable",IF((INDEX('[3]Riesgos de Corrupción'!$B$11:$V$100,MATCH('Controles de Corrupción'!C203,'[3]Riesgos de Corrupción'!$B$11:$B$100,0),17)-AH203&lt;=5),"Casi seguro")))))," ")</f>
        <v xml:space="preserve"> </v>
      </c>
      <c r="AJ203" s="8" t="str">
        <f>IFERROR(IF(OR(AND(AF203="Fuerte",H203="No disminuye"),AND(AF203="Moderado",H203="Indirectamente"),AND(AF203="Moderado",H203="No disminuye"),AND(INDEX('[3]Riesgos de Corrupción'!$B$11:$BN$100,MATCH('Controles de Corrupción'!C203,'[3]Riesgos de Corrupción'!$B$11:$B$100,0),63)="Moderado")),0,IF(OR(AND(AF203="Fuerte",H203="Indirectamente"),AND(AF203="Moderado",H203="Directamente"),AND(INDEX('[3]Riesgos de Corrupción'!$B$11:$BN$100,MATCH('Controles de Corrupción'!C203,'[3]Riesgos de Corrupción'!$B$11:$B$100,0),63)="Mayor")),1,IF(AND(AF203="Fuerte",H203="Directamente",AND(INDEX('[3]Riesgos de Corrupción'!$B$11:$BN$100,MATCH('Controles de Corrupción'!C203,'[3]Riesgos de Corrupción'!$B$11:$B$100,0),63)="Catastrófico")),2)))," ")</f>
        <v xml:space="preserve"> </v>
      </c>
      <c r="AK203" s="19" t="str">
        <f t="shared" si="85"/>
        <v xml:space="preserve"> </v>
      </c>
      <c r="AL203" s="19" t="str">
        <f>IFERROR(IF((INDEX('[3]Riesgos de Corrupción'!$B$11:$BN$100,MATCH('Controles de Corrupción'!C203,'[3]Riesgos de Corrupción'!$B$11:$B$100,0),62)-AK203&lt;=3),"Moderado",IF((INDEX('[3]Riesgos de Corrupción'!$B$11:$BN$100,MATCH('Controles de Corrupción'!C203,'[3]Riesgos de Corrupción'!$B$11:$B$100,0),62)-AK203&lt;=4),"Mayor",IF((INDEX('[3]Riesgos de Corrupción'!$B$11:$BN$100,MATCH('Controles de Corrupción'!C203,'[3]Riesgos de Corrupción'!$B$11:$B$100,0),62)-AK203&lt;=5),"Catastrófico")))," ")</f>
        <v xml:space="preserve"> </v>
      </c>
      <c r="AM203" s="19" t="str">
        <f t="shared" si="86"/>
        <v xml:space="preserve"> </v>
      </c>
      <c r="AN203" s="22" t="str">
        <f t="shared" si="87"/>
        <v xml:space="preserve"> </v>
      </c>
      <c r="AO203" s="76"/>
      <c r="AP203" s="76"/>
      <c r="AQ203" s="76"/>
      <c r="AR203" s="76"/>
      <c r="AS203" s="76"/>
      <c r="AT203" s="76"/>
      <c r="AU203" s="76"/>
      <c r="AV203" s="76"/>
      <c r="AW203" s="76"/>
      <c r="AX203" s="76"/>
      <c r="AY203" s="76"/>
      <c r="AZ203" s="76"/>
    </row>
    <row r="204" spans="2:52" ht="57.75" customHeight="1" x14ac:dyDescent="0.3">
      <c r="B204" s="120" t="str">
        <f t="shared" si="72"/>
        <v>-</v>
      </c>
      <c r="C204" s="188"/>
      <c r="D204" s="170"/>
      <c r="E204" s="171"/>
      <c r="F204" s="129"/>
      <c r="G204" s="128"/>
      <c r="H204" s="23"/>
      <c r="I204" s="18"/>
      <c r="J204" s="80">
        <f t="shared" si="66"/>
        <v>0</v>
      </c>
      <c r="K204" s="18"/>
      <c r="L204" s="80">
        <f t="shared" si="67"/>
        <v>0</v>
      </c>
      <c r="M204" s="18"/>
      <c r="N204" s="80">
        <f t="shared" si="68"/>
        <v>0</v>
      </c>
      <c r="O204" s="18"/>
      <c r="P204" s="80">
        <f t="shared" si="69"/>
        <v>0</v>
      </c>
      <c r="Q204" s="18"/>
      <c r="R204" s="80">
        <f t="shared" si="70"/>
        <v>0</v>
      </c>
      <c r="S204" s="18"/>
      <c r="T204" s="80">
        <f t="shared" si="71"/>
        <v>0</v>
      </c>
      <c r="U204" s="18"/>
      <c r="V204" s="80">
        <f t="shared" si="73"/>
        <v>0</v>
      </c>
      <c r="W204" s="19" t="str">
        <f t="shared" si="74"/>
        <v xml:space="preserve"> </v>
      </c>
      <c r="X204" s="19" t="str">
        <f t="shared" si="75"/>
        <v xml:space="preserve"> </v>
      </c>
      <c r="Y204" s="19" t="str">
        <f t="shared" si="76"/>
        <v/>
      </c>
      <c r="Z204" s="23"/>
      <c r="AA204" s="19" t="str">
        <f t="shared" si="77"/>
        <v/>
      </c>
      <c r="AB204" s="19" t="str">
        <f t="shared" si="78"/>
        <v xml:space="preserve"> </v>
      </c>
      <c r="AC204" s="19" t="str">
        <f t="shared" si="79"/>
        <v/>
      </c>
      <c r="AD204" s="19" t="str">
        <f t="shared" si="80"/>
        <v xml:space="preserve"> </v>
      </c>
      <c r="AE204" s="125" t="str">
        <f t="shared" si="81"/>
        <v xml:space="preserve"> </v>
      </c>
      <c r="AF204" s="19" t="str">
        <f t="shared" si="82"/>
        <v xml:space="preserve"> </v>
      </c>
      <c r="AG204" s="50">
        <f t="shared" si="83"/>
        <v>0</v>
      </c>
      <c r="AH204" s="50" t="str">
        <f t="shared" si="84"/>
        <v xml:space="preserve"> </v>
      </c>
      <c r="AI204" s="36" t="str">
        <f>IFERROR(IF((INDEX('[3]Riesgos de Corrupción'!$B$11:$V$100,MATCH('Controles de Corrupción'!C204,'[3]Riesgos de Corrupción'!$B$11:$B$100,0),17)-AH204&lt;=1),"Rara vez",IF((INDEX('[3]Riesgos de Corrupción'!$B$11:$V$100,MATCH('Controles de Corrupción'!C204,'[3]Riesgos de Corrupción'!$B$11:$B$100,0),17)-AH204&lt;=2),"Improbable",IF((INDEX('[3]Riesgos de Corrupción'!$B$11:$V$100,MATCH('Controles de Corrupción'!C204,'[3]Riesgos de Corrupción'!$B$11:$B$100,0),17)-AH204&lt;=3),"Posible",IF((INDEX('[3]Riesgos de Corrupción'!$B$11:$V$100,MATCH('Controles de Corrupción'!C204,'[3]Riesgos de Corrupción'!$B$11:$B$100,0),17)-AH204&lt;=4),"Probable",IF((INDEX('[3]Riesgos de Corrupción'!$B$11:$V$100,MATCH('Controles de Corrupción'!C204,'[3]Riesgos de Corrupción'!$B$11:$B$100,0),17)-AH204&lt;=5),"Casi seguro")))))," ")</f>
        <v xml:space="preserve"> </v>
      </c>
      <c r="AJ204" s="8" t="str">
        <f>IFERROR(IF(OR(AND(AF204="Fuerte",H204="No disminuye"),AND(AF204="Moderado",H204="Indirectamente"),AND(AF204="Moderado",H204="No disminuye"),AND(INDEX('[3]Riesgos de Corrupción'!$B$11:$BN$100,MATCH('Controles de Corrupción'!C204,'[3]Riesgos de Corrupción'!$B$11:$B$100,0),63)="Moderado")),0,IF(OR(AND(AF204="Fuerte",H204="Indirectamente"),AND(AF204="Moderado",H204="Directamente"),AND(INDEX('[3]Riesgos de Corrupción'!$B$11:$BN$100,MATCH('Controles de Corrupción'!C204,'[3]Riesgos de Corrupción'!$B$11:$B$100,0),63)="Mayor")),1,IF(AND(AF204="Fuerte",H204="Directamente",AND(INDEX('[3]Riesgos de Corrupción'!$B$11:$BN$100,MATCH('Controles de Corrupción'!C204,'[3]Riesgos de Corrupción'!$B$11:$B$100,0),63)="Catastrófico")),2)))," ")</f>
        <v xml:space="preserve"> </v>
      </c>
      <c r="AK204" s="19" t="str">
        <f t="shared" si="85"/>
        <v xml:space="preserve"> </v>
      </c>
      <c r="AL204" s="19" t="str">
        <f>IFERROR(IF((INDEX('[3]Riesgos de Corrupción'!$B$11:$BN$100,MATCH('Controles de Corrupción'!C204,'[3]Riesgos de Corrupción'!$B$11:$B$100,0),62)-AK204&lt;=3),"Moderado",IF((INDEX('[3]Riesgos de Corrupción'!$B$11:$BN$100,MATCH('Controles de Corrupción'!C204,'[3]Riesgos de Corrupción'!$B$11:$B$100,0),62)-AK204&lt;=4),"Mayor",IF((INDEX('[3]Riesgos de Corrupción'!$B$11:$BN$100,MATCH('Controles de Corrupción'!C204,'[3]Riesgos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0" t="str">
        <f t="shared" si="72"/>
        <v>-</v>
      </c>
      <c r="C205" s="188"/>
      <c r="D205" s="170"/>
      <c r="E205" s="171"/>
      <c r="F205" s="129"/>
      <c r="G205" s="128"/>
      <c r="H205" s="23"/>
      <c r="I205" s="18"/>
      <c r="J205" s="80">
        <f t="shared" si="66"/>
        <v>0</v>
      </c>
      <c r="K205" s="18"/>
      <c r="L205" s="80">
        <f t="shared" si="67"/>
        <v>0</v>
      </c>
      <c r="M205" s="18"/>
      <c r="N205" s="80">
        <f t="shared" si="68"/>
        <v>0</v>
      </c>
      <c r="O205" s="18"/>
      <c r="P205" s="80">
        <f t="shared" si="69"/>
        <v>0</v>
      </c>
      <c r="Q205" s="18"/>
      <c r="R205" s="80">
        <f t="shared" si="70"/>
        <v>0</v>
      </c>
      <c r="S205" s="18"/>
      <c r="T205" s="80">
        <f t="shared" si="71"/>
        <v>0</v>
      </c>
      <c r="U205" s="18"/>
      <c r="V205" s="80">
        <f t="shared" si="73"/>
        <v>0</v>
      </c>
      <c r="W205" s="19" t="str">
        <f t="shared" si="74"/>
        <v xml:space="preserve"> </v>
      </c>
      <c r="X205" s="19" t="str">
        <f t="shared" si="75"/>
        <v xml:space="preserve"> </v>
      </c>
      <c r="Y205" s="19" t="str">
        <f t="shared" si="76"/>
        <v/>
      </c>
      <c r="Z205" s="23"/>
      <c r="AA205" s="19" t="str">
        <f t="shared" si="77"/>
        <v/>
      </c>
      <c r="AB205" s="19" t="str">
        <f t="shared" si="78"/>
        <v xml:space="preserve"> </v>
      </c>
      <c r="AC205" s="19" t="str">
        <f t="shared" si="79"/>
        <v/>
      </c>
      <c r="AD205" s="19" t="str">
        <f t="shared" si="80"/>
        <v xml:space="preserve"> </v>
      </c>
      <c r="AE205" s="125" t="str">
        <f t="shared" si="81"/>
        <v xml:space="preserve"> </v>
      </c>
      <c r="AF205" s="19" t="str">
        <f t="shared" si="82"/>
        <v xml:space="preserve"> </v>
      </c>
      <c r="AG205" s="50">
        <f t="shared" si="83"/>
        <v>0</v>
      </c>
      <c r="AH205" s="50" t="str">
        <f t="shared" si="84"/>
        <v xml:space="preserve"> </v>
      </c>
      <c r="AI205" s="36" t="str">
        <f>IFERROR(IF((INDEX('[3]Riesgos de Corrupción'!$B$11:$V$100,MATCH('Controles de Corrupción'!C205,'[3]Riesgos de Corrupción'!$B$11:$B$100,0),17)-AH205&lt;=1),"Rara vez",IF((INDEX('[3]Riesgos de Corrupción'!$B$11:$V$100,MATCH('Controles de Corrupción'!C205,'[3]Riesgos de Corrupción'!$B$11:$B$100,0),17)-AH205&lt;=2),"Improbable",IF((INDEX('[3]Riesgos de Corrupción'!$B$11:$V$100,MATCH('Controles de Corrupción'!C205,'[3]Riesgos de Corrupción'!$B$11:$B$100,0),17)-AH205&lt;=3),"Posible",IF((INDEX('[3]Riesgos de Corrupción'!$B$11:$V$100,MATCH('Controles de Corrupción'!C205,'[3]Riesgos de Corrupción'!$B$11:$B$100,0),17)-AH205&lt;=4),"Probable",IF((INDEX('[3]Riesgos de Corrupción'!$B$11:$V$100,MATCH('Controles de Corrupción'!C205,'[3]Riesgos de Corrupción'!$B$11:$B$100,0),17)-AH205&lt;=5),"Casi seguro")))))," ")</f>
        <v xml:space="preserve"> </v>
      </c>
      <c r="AJ205" s="8" t="str">
        <f>IFERROR(IF(OR(AND(AF205="Fuerte",H205="No disminuye"),AND(AF205="Moderado",H205="Indirectamente"),AND(AF205="Moderado",H205="No disminuye"),AND(INDEX('[3]Riesgos de Corrupción'!$B$11:$BN$100,MATCH('Controles de Corrupción'!C205,'[3]Riesgos de Corrupción'!$B$11:$B$100,0),63)="Moderado")),0,IF(OR(AND(AF205="Fuerte",H205="Indirectamente"),AND(AF205="Moderado",H205="Directamente"),AND(INDEX('[3]Riesgos de Corrupción'!$B$11:$BN$100,MATCH('Controles de Corrupción'!C205,'[3]Riesgos de Corrupción'!$B$11:$B$100,0),63)="Mayor")),1,IF(AND(AF205="Fuerte",H205="Directamente",AND(INDEX('[3]Riesgos de Corrupción'!$B$11:$BN$100,MATCH('Controles de Corrupción'!C205,'[3]Riesgos de Corrupción'!$B$11:$B$100,0),63)="Catastrófico")),2)))," ")</f>
        <v xml:space="preserve"> </v>
      </c>
      <c r="AK205" s="19" t="str">
        <f t="shared" si="85"/>
        <v xml:space="preserve"> </v>
      </c>
      <c r="AL205" s="19" t="str">
        <f>IFERROR(IF((INDEX('[3]Riesgos de Corrupción'!$B$11:$BN$100,MATCH('Controles de Corrupción'!C205,'[3]Riesgos de Corrupción'!$B$11:$B$100,0),62)-AK205&lt;=3),"Moderado",IF((INDEX('[3]Riesgos de Corrupción'!$B$11:$BN$100,MATCH('Controles de Corrupción'!C205,'[3]Riesgos de Corrupción'!$B$11:$B$100,0),62)-AK205&lt;=4),"Mayor",IF((INDEX('[3]Riesgos de Corrupción'!$B$11:$BN$100,MATCH('Controles de Corrupción'!C205,'[3]Riesgos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0" t="str">
        <f t="shared" si="72"/>
        <v>-</v>
      </c>
      <c r="C206" s="188"/>
      <c r="D206" s="170"/>
      <c r="E206" s="171"/>
      <c r="F206" s="129"/>
      <c r="G206" s="128"/>
      <c r="H206" s="23"/>
      <c r="I206" s="18"/>
      <c r="J206" s="80">
        <f t="shared" si="66"/>
        <v>0</v>
      </c>
      <c r="K206" s="18"/>
      <c r="L206" s="80">
        <f t="shared" si="67"/>
        <v>0</v>
      </c>
      <c r="M206" s="18"/>
      <c r="N206" s="80">
        <f t="shared" si="68"/>
        <v>0</v>
      </c>
      <c r="O206" s="18"/>
      <c r="P206" s="80">
        <f t="shared" si="69"/>
        <v>0</v>
      </c>
      <c r="Q206" s="18"/>
      <c r="R206" s="80">
        <f t="shared" si="70"/>
        <v>0</v>
      </c>
      <c r="S206" s="18"/>
      <c r="T206" s="80">
        <f t="shared" si="71"/>
        <v>0</v>
      </c>
      <c r="U206" s="18"/>
      <c r="V206" s="80">
        <f t="shared" si="73"/>
        <v>0</v>
      </c>
      <c r="W206" s="19" t="str">
        <f t="shared" si="74"/>
        <v xml:space="preserve"> </v>
      </c>
      <c r="X206" s="19" t="str">
        <f t="shared" si="75"/>
        <v xml:space="preserve"> </v>
      </c>
      <c r="Y206" s="19" t="str">
        <f t="shared" si="76"/>
        <v/>
      </c>
      <c r="Z206" s="23"/>
      <c r="AA206" s="19" t="str">
        <f t="shared" si="77"/>
        <v/>
      </c>
      <c r="AB206" s="19" t="str">
        <f t="shared" si="78"/>
        <v xml:space="preserve"> </v>
      </c>
      <c r="AC206" s="19" t="str">
        <f t="shared" si="79"/>
        <v/>
      </c>
      <c r="AD206" s="19" t="str">
        <f t="shared" si="80"/>
        <v xml:space="preserve"> </v>
      </c>
      <c r="AE206" s="125" t="str">
        <f t="shared" si="81"/>
        <v xml:space="preserve"> </v>
      </c>
      <c r="AF206" s="19" t="str">
        <f t="shared" si="82"/>
        <v xml:space="preserve"> </v>
      </c>
      <c r="AG206" s="50">
        <f t="shared" si="83"/>
        <v>0</v>
      </c>
      <c r="AH206" s="50" t="str">
        <f t="shared" si="84"/>
        <v xml:space="preserve"> </v>
      </c>
      <c r="AI206" s="36" t="str">
        <f>IFERROR(IF((INDEX('[3]Riesgos de Corrupción'!$B$11:$V$100,MATCH('Controles de Corrupción'!C206,'[3]Riesgos de Corrupción'!$B$11:$B$100,0),17)-AH206&lt;=1),"Rara vez",IF((INDEX('[3]Riesgos de Corrupción'!$B$11:$V$100,MATCH('Controles de Corrupción'!C206,'[3]Riesgos de Corrupción'!$B$11:$B$100,0),17)-AH206&lt;=2),"Improbable",IF((INDEX('[3]Riesgos de Corrupción'!$B$11:$V$100,MATCH('Controles de Corrupción'!C206,'[3]Riesgos de Corrupción'!$B$11:$B$100,0),17)-AH206&lt;=3),"Posible",IF((INDEX('[3]Riesgos de Corrupción'!$B$11:$V$100,MATCH('Controles de Corrupción'!C206,'[3]Riesgos de Corrupción'!$B$11:$B$100,0),17)-AH206&lt;=4),"Probable",IF((INDEX('[3]Riesgos de Corrupción'!$B$11:$V$100,MATCH('Controles de Corrupción'!C206,'[3]Riesgos de Corrupción'!$B$11:$B$100,0),17)-AH206&lt;=5),"Casi seguro")))))," ")</f>
        <v xml:space="preserve"> </v>
      </c>
      <c r="AJ206" s="8" t="str">
        <f>IFERROR(IF(OR(AND(AF206="Fuerte",H206="No disminuye"),AND(AF206="Moderado",H206="Indirectamente"),AND(AF206="Moderado",H206="No disminuye"),AND(INDEX('[3]Riesgos de Corrupción'!$B$11:$BN$100,MATCH('Controles de Corrupción'!C206,'[3]Riesgos de Corrupción'!$B$11:$B$100,0),63)="Moderado")),0,IF(OR(AND(AF206="Fuerte",H206="Indirectamente"),AND(AF206="Moderado",H206="Directamente"),AND(INDEX('[3]Riesgos de Corrupción'!$B$11:$BN$100,MATCH('Controles de Corrupción'!C206,'[3]Riesgos de Corrupción'!$B$11:$B$100,0),63)="Mayor")),1,IF(AND(AF206="Fuerte",H206="Directamente",AND(INDEX('[3]Riesgos de Corrupción'!$B$11:$BN$100,MATCH('Controles de Corrupción'!C206,'[3]Riesgos de Corrupción'!$B$11:$B$100,0),63)="Catastrófico")),2)))," ")</f>
        <v xml:space="preserve"> </v>
      </c>
      <c r="AK206" s="19" t="str">
        <f t="shared" si="85"/>
        <v xml:space="preserve"> </v>
      </c>
      <c r="AL206" s="19" t="str">
        <f>IFERROR(IF((INDEX('[3]Riesgos de Corrupción'!$B$11:$BN$100,MATCH('Controles de Corrupción'!C206,'[3]Riesgos de Corrupción'!$B$11:$B$100,0),62)-AK206&lt;=3),"Moderado",IF((INDEX('[3]Riesgos de Corrupción'!$B$11:$BN$100,MATCH('Controles de Corrupción'!C206,'[3]Riesgos de Corrupción'!$B$11:$B$100,0),62)-AK206&lt;=4),"Mayor",IF((INDEX('[3]Riesgos de Corrupción'!$B$11:$BN$100,MATCH('Controles de Corrupción'!C206,'[3]Riesgos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0" t="str">
        <f t="shared" si="72"/>
        <v>-</v>
      </c>
      <c r="C207" s="188"/>
      <c r="D207" s="170"/>
      <c r="E207" s="171"/>
      <c r="F207" s="129"/>
      <c r="G207" s="128"/>
      <c r="H207" s="23"/>
      <c r="I207" s="18"/>
      <c r="J207" s="80">
        <f t="shared" si="66"/>
        <v>0</v>
      </c>
      <c r="K207" s="18"/>
      <c r="L207" s="80">
        <f t="shared" si="67"/>
        <v>0</v>
      </c>
      <c r="M207" s="18"/>
      <c r="N207" s="80">
        <f t="shared" si="68"/>
        <v>0</v>
      </c>
      <c r="O207" s="18"/>
      <c r="P207" s="80">
        <f t="shared" si="69"/>
        <v>0</v>
      </c>
      <c r="Q207" s="18"/>
      <c r="R207" s="80">
        <f t="shared" si="70"/>
        <v>0</v>
      </c>
      <c r="S207" s="18"/>
      <c r="T207" s="80">
        <f t="shared" si="71"/>
        <v>0</v>
      </c>
      <c r="U207" s="18"/>
      <c r="V207" s="80">
        <f t="shared" si="73"/>
        <v>0</v>
      </c>
      <c r="W207" s="19" t="str">
        <f t="shared" si="74"/>
        <v xml:space="preserve"> </v>
      </c>
      <c r="X207" s="19" t="str">
        <f t="shared" si="75"/>
        <v xml:space="preserve"> </v>
      </c>
      <c r="Y207" s="19" t="str">
        <f t="shared" si="76"/>
        <v/>
      </c>
      <c r="Z207" s="23"/>
      <c r="AA207" s="19" t="str">
        <f t="shared" si="77"/>
        <v/>
      </c>
      <c r="AB207" s="19" t="str">
        <f t="shared" si="78"/>
        <v xml:space="preserve"> </v>
      </c>
      <c r="AC207" s="19" t="str">
        <f t="shared" si="79"/>
        <v/>
      </c>
      <c r="AD207" s="19" t="str">
        <f t="shared" si="80"/>
        <v xml:space="preserve"> </v>
      </c>
      <c r="AE207" s="125" t="str">
        <f t="shared" si="81"/>
        <v xml:space="preserve"> </v>
      </c>
      <c r="AF207" s="19" t="str">
        <f t="shared" si="82"/>
        <v xml:space="preserve"> </v>
      </c>
      <c r="AG207" s="50">
        <f t="shared" si="83"/>
        <v>0</v>
      </c>
      <c r="AH207" s="50" t="str">
        <f t="shared" si="84"/>
        <v xml:space="preserve"> </v>
      </c>
      <c r="AI207" s="36" t="str">
        <f>IFERROR(IF((INDEX('[3]Riesgos de Corrupción'!$B$11:$V$100,MATCH('Controles de Corrupción'!C207,'[3]Riesgos de Corrupción'!$B$11:$B$100,0),17)-AH207&lt;=1),"Rara vez",IF((INDEX('[3]Riesgos de Corrupción'!$B$11:$V$100,MATCH('Controles de Corrupción'!C207,'[3]Riesgos de Corrupción'!$B$11:$B$100,0),17)-AH207&lt;=2),"Improbable",IF((INDEX('[3]Riesgos de Corrupción'!$B$11:$V$100,MATCH('Controles de Corrupción'!C207,'[3]Riesgos de Corrupción'!$B$11:$B$100,0),17)-AH207&lt;=3),"Posible",IF((INDEX('[3]Riesgos de Corrupción'!$B$11:$V$100,MATCH('Controles de Corrupción'!C207,'[3]Riesgos de Corrupción'!$B$11:$B$100,0),17)-AH207&lt;=4),"Probable",IF((INDEX('[3]Riesgos de Corrupción'!$B$11:$V$100,MATCH('Controles de Corrupción'!C207,'[3]Riesgos de Corrupción'!$B$11:$B$100,0),17)-AH207&lt;=5),"Casi seguro")))))," ")</f>
        <v xml:space="preserve"> </v>
      </c>
      <c r="AJ207" s="8" t="str">
        <f>IFERROR(IF(OR(AND(AF207="Fuerte",H207="No disminuye"),AND(AF207="Moderado",H207="Indirectamente"),AND(AF207="Moderado",H207="No disminuye"),AND(INDEX('[3]Riesgos de Corrupción'!$B$11:$BN$100,MATCH('Controles de Corrupción'!C207,'[3]Riesgos de Corrupción'!$B$11:$B$100,0),63)="Moderado")),0,IF(OR(AND(AF207="Fuerte",H207="Indirectamente"),AND(AF207="Moderado",H207="Directamente"),AND(INDEX('[3]Riesgos de Corrupción'!$B$11:$BN$100,MATCH('Controles de Corrupción'!C207,'[3]Riesgos de Corrupción'!$B$11:$B$100,0),63)="Mayor")),1,IF(AND(AF207="Fuerte",H207="Directamente",AND(INDEX('[3]Riesgos de Corrupción'!$B$11:$BN$100,MATCH('Controles de Corrupción'!C207,'[3]Riesgos de Corrupción'!$B$11:$B$100,0),63)="Catastrófico")),2)))," ")</f>
        <v xml:space="preserve"> </v>
      </c>
      <c r="AK207" s="19" t="str">
        <f t="shared" si="85"/>
        <v xml:space="preserve"> </v>
      </c>
      <c r="AL207" s="19" t="str">
        <f>IFERROR(IF((INDEX('[3]Riesgos de Corrupción'!$B$11:$BN$100,MATCH('Controles de Corrupción'!C207,'[3]Riesgos de Corrupción'!$B$11:$B$100,0),62)-AK207&lt;=3),"Moderado",IF((INDEX('[3]Riesgos de Corrupción'!$B$11:$BN$100,MATCH('Controles de Corrupción'!C207,'[3]Riesgos de Corrupción'!$B$11:$B$100,0),62)-AK207&lt;=4),"Mayor",IF((INDEX('[3]Riesgos de Corrupción'!$B$11:$BN$100,MATCH('Controles de Corrupción'!C207,'[3]Riesgos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0" t="str">
        <f t="shared" si="72"/>
        <v>-</v>
      </c>
      <c r="C208" s="188"/>
      <c r="D208" s="170"/>
      <c r="E208" s="171"/>
      <c r="F208" s="129"/>
      <c r="G208" s="128"/>
      <c r="H208" s="23"/>
      <c r="I208" s="18"/>
      <c r="J208" s="80">
        <f t="shared" si="66"/>
        <v>0</v>
      </c>
      <c r="K208" s="18"/>
      <c r="L208" s="80">
        <f t="shared" si="67"/>
        <v>0</v>
      </c>
      <c r="M208" s="18"/>
      <c r="N208" s="80">
        <f t="shared" si="68"/>
        <v>0</v>
      </c>
      <c r="O208" s="18"/>
      <c r="P208" s="80">
        <f t="shared" si="69"/>
        <v>0</v>
      </c>
      <c r="Q208" s="18"/>
      <c r="R208" s="80">
        <f t="shared" si="70"/>
        <v>0</v>
      </c>
      <c r="S208" s="18"/>
      <c r="T208" s="80">
        <f t="shared" si="71"/>
        <v>0</v>
      </c>
      <c r="U208" s="18"/>
      <c r="V208" s="80">
        <f t="shared" si="73"/>
        <v>0</v>
      </c>
      <c r="W208" s="19" t="str">
        <f t="shared" si="74"/>
        <v xml:space="preserve"> </v>
      </c>
      <c r="X208" s="19" t="str">
        <f t="shared" si="75"/>
        <v xml:space="preserve"> </v>
      </c>
      <c r="Y208" s="19" t="str">
        <f t="shared" si="76"/>
        <v/>
      </c>
      <c r="Z208" s="23"/>
      <c r="AA208" s="19" t="str">
        <f t="shared" si="77"/>
        <v/>
      </c>
      <c r="AB208" s="19" t="str">
        <f t="shared" si="78"/>
        <v xml:space="preserve"> </v>
      </c>
      <c r="AC208" s="19" t="str">
        <f t="shared" si="79"/>
        <v/>
      </c>
      <c r="AD208" s="19" t="str">
        <f t="shared" si="80"/>
        <v xml:space="preserve"> </v>
      </c>
      <c r="AE208" s="125" t="str">
        <f t="shared" si="81"/>
        <v xml:space="preserve"> </v>
      </c>
      <c r="AF208" s="19" t="str">
        <f t="shared" si="82"/>
        <v xml:space="preserve"> </v>
      </c>
      <c r="AG208" s="50">
        <f t="shared" si="83"/>
        <v>0</v>
      </c>
      <c r="AH208" s="50" t="str">
        <f t="shared" si="84"/>
        <v xml:space="preserve"> </v>
      </c>
      <c r="AI208" s="36" t="str">
        <f>IFERROR(IF((INDEX('[3]Riesgos de Corrupción'!$B$11:$V$100,MATCH('Controles de Corrupción'!C208,'[3]Riesgos de Corrupción'!$B$11:$B$100,0),17)-AH208&lt;=1),"Rara vez",IF((INDEX('[3]Riesgos de Corrupción'!$B$11:$V$100,MATCH('Controles de Corrupción'!C208,'[3]Riesgos de Corrupción'!$B$11:$B$100,0),17)-AH208&lt;=2),"Improbable",IF((INDEX('[3]Riesgos de Corrupción'!$B$11:$V$100,MATCH('Controles de Corrupción'!C208,'[3]Riesgos de Corrupción'!$B$11:$B$100,0),17)-AH208&lt;=3),"Posible",IF((INDEX('[3]Riesgos de Corrupción'!$B$11:$V$100,MATCH('Controles de Corrupción'!C208,'[3]Riesgos de Corrupción'!$B$11:$B$100,0),17)-AH208&lt;=4),"Probable",IF((INDEX('[3]Riesgos de Corrupción'!$B$11:$V$100,MATCH('Controles de Corrupción'!C208,'[3]Riesgos de Corrupción'!$B$11:$B$100,0),17)-AH208&lt;=5),"Casi seguro")))))," ")</f>
        <v xml:space="preserve"> </v>
      </c>
      <c r="AJ208" s="8" t="str">
        <f>IFERROR(IF(OR(AND(AF208="Fuerte",H208="No disminuye"),AND(AF208="Moderado",H208="Indirectamente"),AND(AF208="Moderado",H208="No disminuye"),AND(INDEX('[3]Riesgos de Corrupción'!$B$11:$BN$100,MATCH('Controles de Corrupción'!C208,'[3]Riesgos de Corrupción'!$B$11:$B$100,0),63)="Moderado")),0,IF(OR(AND(AF208="Fuerte",H208="Indirectamente"),AND(AF208="Moderado",H208="Directamente"),AND(INDEX('[3]Riesgos de Corrupción'!$B$11:$BN$100,MATCH('Controles de Corrupción'!C208,'[3]Riesgos de Corrupción'!$B$11:$B$100,0),63)="Mayor")),1,IF(AND(AF208="Fuerte",H208="Directamente",AND(INDEX('[3]Riesgos de Corrupción'!$B$11:$BN$100,MATCH('Controles de Corrupción'!C208,'[3]Riesgos de Corrupción'!$B$11:$B$100,0),63)="Catastrófico")),2)))," ")</f>
        <v xml:space="preserve"> </v>
      </c>
      <c r="AK208" s="19" t="str">
        <f t="shared" si="85"/>
        <v xml:space="preserve"> </v>
      </c>
      <c r="AL208" s="19" t="str">
        <f>IFERROR(IF((INDEX('[3]Riesgos de Corrupción'!$B$11:$BN$100,MATCH('Controles de Corrupción'!C208,'[3]Riesgos de Corrupción'!$B$11:$B$100,0),62)-AK208&lt;=3),"Moderado",IF((INDEX('[3]Riesgos de Corrupción'!$B$11:$BN$100,MATCH('Controles de Corrupción'!C208,'[3]Riesgos de Corrupción'!$B$11:$B$100,0),62)-AK208&lt;=4),"Mayor",IF((INDEX('[3]Riesgos de Corrupción'!$B$11:$BN$100,MATCH('Controles de Corrupción'!C208,'[3]Riesgos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0" t="str">
        <f t="shared" si="72"/>
        <v>-</v>
      </c>
      <c r="C209" s="188"/>
      <c r="D209" s="170"/>
      <c r="E209" s="171"/>
      <c r="F209" s="129"/>
      <c r="G209" s="128"/>
      <c r="H209" s="23"/>
      <c r="I209" s="18"/>
      <c r="J209" s="80">
        <f t="shared" si="66"/>
        <v>0</v>
      </c>
      <c r="K209" s="18"/>
      <c r="L209" s="80">
        <f t="shared" si="67"/>
        <v>0</v>
      </c>
      <c r="M209" s="18"/>
      <c r="N209" s="80">
        <f t="shared" si="68"/>
        <v>0</v>
      </c>
      <c r="O209" s="18"/>
      <c r="P209" s="80">
        <f t="shared" si="69"/>
        <v>0</v>
      </c>
      <c r="Q209" s="18"/>
      <c r="R209" s="80">
        <f t="shared" si="70"/>
        <v>0</v>
      </c>
      <c r="S209" s="18"/>
      <c r="T209" s="80">
        <f t="shared" si="71"/>
        <v>0</v>
      </c>
      <c r="U209" s="18"/>
      <c r="V209" s="80">
        <f t="shared" si="73"/>
        <v>0</v>
      </c>
      <c r="W209" s="19" t="str">
        <f t="shared" si="74"/>
        <v xml:space="preserve"> </v>
      </c>
      <c r="X209" s="19" t="str">
        <f t="shared" si="75"/>
        <v xml:space="preserve"> </v>
      </c>
      <c r="Y209" s="19" t="str">
        <f t="shared" si="76"/>
        <v/>
      </c>
      <c r="Z209" s="23"/>
      <c r="AA209" s="19" t="str">
        <f t="shared" si="77"/>
        <v/>
      </c>
      <c r="AB209" s="19" t="str">
        <f t="shared" si="78"/>
        <v xml:space="preserve"> </v>
      </c>
      <c r="AC209" s="19" t="str">
        <f t="shared" si="79"/>
        <v/>
      </c>
      <c r="AD209" s="19" t="str">
        <f t="shared" si="80"/>
        <v xml:space="preserve"> </v>
      </c>
      <c r="AE209" s="125" t="str">
        <f t="shared" si="81"/>
        <v xml:space="preserve"> </v>
      </c>
      <c r="AF209" s="19" t="str">
        <f t="shared" si="82"/>
        <v xml:space="preserve"> </v>
      </c>
      <c r="AG209" s="50">
        <f t="shared" si="83"/>
        <v>0</v>
      </c>
      <c r="AH209" s="50" t="str">
        <f t="shared" si="84"/>
        <v xml:space="preserve"> </v>
      </c>
      <c r="AI209" s="36" t="str">
        <f>IFERROR(IF((INDEX('[3]Riesgos de Corrupción'!$B$11:$V$100,MATCH('Controles de Corrupción'!C209,'[3]Riesgos de Corrupción'!$B$11:$B$100,0),17)-AH209&lt;=1),"Rara vez",IF((INDEX('[3]Riesgos de Corrupción'!$B$11:$V$100,MATCH('Controles de Corrupción'!C209,'[3]Riesgos de Corrupción'!$B$11:$B$100,0),17)-AH209&lt;=2),"Improbable",IF((INDEX('[3]Riesgos de Corrupción'!$B$11:$V$100,MATCH('Controles de Corrupción'!C209,'[3]Riesgos de Corrupción'!$B$11:$B$100,0),17)-AH209&lt;=3),"Posible",IF((INDEX('[3]Riesgos de Corrupción'!$B$11:$V$100,MATCH('Controles de Corrupción'!C209,'[3]Riesgos de Corrupción'!$B$11:$B$100,0),17)-AH209&lt;=4),"Probable",IF((INDEX('[3]Riesgos de Corrupción'!$B$11:$V$100,MATCH('Controles de Corrupción'!C209,'[3]Riesgos de Corrupción'!$B$11:$B$100,0),17)-AH209&lt;=5),"Casi seguro")))))," ")</f>
        <v xml:space="preserve"> </v>
      </c>
      <c r="AJ209" s="8" t="str">
        <f>IFERROR(IF(OR(AND(AF209="Fuerte",H209="No disminuye"),AND(AF209="Moderado",H209="Indirectamente"),AND(AF209="Moderado",H209="No disminuye"),AND(INDEX('[3]Riesgos de Corrupción'!$B$11:$BN$100,MATCH('Controles de Corrupción'!C209,'[3]Riesgos de Corrupción'!$B$11:$B$100,0),63)="Moderado")),0,IF(OR(AND(AF209="Fuerte",H209="Indirectamente"),AND(AF209="Moderado",H209="Directamente"),AND(INDEX('[3]Riesgos de Corrupción'!$B$11:$BN$100,MATCH('Controles de Corrupción'!C209,'[3]Riesgos de Corrupción'!$B$11:$B$100,0),63)="Mayor")),1,IF(AND(AF209="Fuerte",H209="Directamente",AND(INDEX('[3]Riesgos de Corrupción'!$B$11:$BN$100,MATCH('Controles de Corrupción'!C209,'[3]Riesgos de Corrupción'!$B$11:$B$100,0),63)="Catastrófico")),2)))," ")</f>
        <v xml:space="preserve"> </v>
      </c>
      <c r="AK209" s="19" t="str">
        <f t="shared" si="85"/>
        <v xml:space="preserve"> </v>
      </c>
      <c r="AL209" s="19" t="str">
        <f>IFERROR(IF((INDEX('[3]Riesgos de Corrupción'!$B$11:$BN$100,MATCH('Controles de Corrupción'!C209,'[3]Riesgos de Corrupción'!$B$11:$B$100,0),62)-AK209&lt;=3),"Moderado",IF((INDEX('[3]Riesgos de Corrupción'!$B$11:$BN$100,MATCH('Controles de Corrupción'!C209,'[3]Riesgos de Corrupción'!$B$11:$B$100,0),62)-AK209&lt;=4),"Mayor",IF((INDEX('[3]Riesgos de Corrupción'!$B$11:$BN$100,MATCH('Controles de Corrupción'!C209,'[3]Riesgos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0" t="str">
        <f t="shared" si="72"/>
        <v>-</v>
      </c>
      <c r="C210" s="188"/>
      <c r="D210" s="170"/>
      <c r="E210" s="171"/>
      <c r="F210" s="129"/>
      <c r="G210" s="128"/>
      <c r="H210" s="23"/>
      <c r="I210" s="18"/>
      <c r="J210" s="80">
        <f t="shared" ref="J210:J251" si="88">IF(I210="Asignado",15,IF(I210="No asignado",0,IF(I210=0,0)))</f>
        <v>0</v>
      </c>
      <c r="K210" s="18"/>
      <c r="L210" s="80">
        <f t="shared" ref="L210:L251" si="89">IF(K210="Adecuado",15,IF(K210="Inadecuado",0,IF(I210=0,0)))</f>
        <v>0</v>
      </c>
      <c r="M210" s="18"/>
      <c r="N210" s="80">
        <f t="shared" ref="N210:N251" si="90">IF(M210="Oportuna",15,IF(M210="Inoportuna",0,IF(I210=0,0)))</f>
        <v>0</v>
      </c>
      <c r="O210" s="18"/>
      <c r="P210" s="80">
        <f t="shared" ref="P210:P251" si="91">IF(O210="Prevenir",15,IF(O210="Detectar",10,IF(O210="No es un control",0,IF(I210=0,0))))</f>
        <v>0</v>
      </c>
      <c r="Q210" s="18"/>
      <c r="R210" s="80">
        <f t="shared" ref="R210:R251" si="92">IF(Q210="Confiable",15,IF(Q210="No confiable",0,IF(I210=0,0)))</f>
        <v>0</v>
      </c>
      <c r="S210" s="18"/>
      <c r="T210" s="80">
        <f t="shared" ref="T210:T251" si="93">IF(S210="Se investigan y resuelven oportunamente",15,IF(S210="No se investigan y resuelven oportunamente",0,IF(I210=0,0)))</f>
        <v>0</v>
      </c>
      <c r="U210" s="18"/>
      <c r="V210" s="80">
        <f t="shared" si="73"/>
        <v>0</v>
      </c>
      <c r="W210" s="19" t="str">
        <f t="shared" si="74"/>
        <v xml:space="preserve"> </v>
      </c>
      <c r="X210" s="19" t="str">
        <f t="shared" si="75"/>
        <v xml:space="preserve"> </v>
      </c>
      <c r="Y210" s="19" t="str">
        <f t="shared" si="76"/>
        <v/>
      </c>
      <c r="Z210" s="23"/>
      <c r="AA210" s="19" t="str">
        <f t="shared" si="77"/>
        <v/>
      </c>
      <c r="AB210" s="19" t="str">
        <f t="shared" si="78"/>
        <v xml:space="preserve"> </v>
      </c>
      <c r="AC210" s="19" t="str">
        <f t="shared" si="79"/>
        <v/>
      </c>
      <c r="AD210" s="19" t="str">
        <f t="shared" si="80"/>
        <v xml:space="preserve"> </v>
      </c>
      <c r="AE210" s="125" t="str">
        <f t="shared" si="81"/>
        <v xml:space="preserve"> </v>
      </c>
      <c r="AF210" s="19" t="str">
        <f t="shared" si="82"/>
        <v xml:space="preserve"> </v>
      </c>
      <c r="AG210" s="50">
        <f t="shared" si="83"/>
        <v>0</v>
      </c>
      <c r="AH210" s="50" t="str">
        <f t="shared" si="84"/>
        <v xml:space="preserve"> </v>
      </c>
      <c r="AI210" s="36" t="str">
        <f>IFERROR(IF((INDEX('[3]Riesgos de Corrupción'!$B$11:$V$100,MATCH('Controles de Corrupción'!C210,'[3]Riesgos de Corrupción'!$B$11:$B$100,0),17)-AH210&lt;=1),"Rara vez",IF((INDEX('[3]Riesgos de Corrupción'!$B$11:$V$100,MATCH('Controles de Corrupción'!C210,'[3]Riesgos de Corrupción'!$B$11:$B$100,0),17)-AH210&lt;=2),"Improbable",IF((INDEX('[3]Riesgos de Corrupción'!$B$11:$V$100,MATCH('Controles de Corrupción'!C210,'[3]Riesgos de Corrupción'!$B$11:$B$100,0),17)-AH210&lt;=3),"Posible",IF((INDEX('[3]Riesgos de Corrupción'!$B$11:$V$100,MATCH('Controles de Corrupción'!C210,'[3]Riesgos de Corrupción'!$B$11:$B$100,0),17)-AH210&lt;=4),"Probable",IF((INDEX('[3]Riesgos de Corrupción'!$B$11:$V$100,MATCH('Controles de Corrupción'!C210,'[3]Riesgos de Corrupción'!$B$11:$B$100,0),17)-AH210&lt;=5),"Casi seguro")))))," ")</f>
        <v xml:space="preserve"> </v>
      </c>
      <c r="AJ210" s="8" t="str">
        <f>IFERROR(IF(OR(AND(AF210="Fuerte",H210="No disminuye"),AND(AF210="Moderado",H210="Indirectamente"),AND(AF210="Moderado",H210="No disminuye"),AND(INDEX('[3]Riesgos de Corrupción'!$B$11:$BN$100,MATCH('Controles de Corrupción'!C210,'[3]Riesgos de Corrupción'!$B$11:$B$100,0),63)="Moderado")),0,IF(OR(AND(AF210="Fuerte",H210="Indirectamente"),AND(AF210="Moderado",H210="Directamente"),AND(INDEX('[3]Riesgos de Corrupción'!$B$11:$BN$100,MATCH('Controles de Corrupción'!C210,'[3]Riesgos de Corrupción'!$B$11:$B$100,0),63)="Mayor")),1,IF(AND(AF210="Fuerte",H210="Directamente",AND(INDEX('[3]Riesgos de Corrupción'!$B$11:$BN$100,MATCH('Controles de Corrupción'!C210,'[3]Riesgos de Corrupción'!$B$11:$B$100,0),63)="Catastrófico")),2)))," ")</f>
        <v xml:space="preserve"> </v>
      </c>
      <c r="AK210" s="19" t="str">
        <f t="shared" si="85"/>
        <v xml:space="preserve"> </v>
      </c>
      <c r="AL210" s="19" t="str">
        <f>IFERROR(IF((INDEX('[3]Riesgos de Corrupción'!$B$11:$BN$100,MATCH('Controles de Corrupción'!C210,'[3]Riesgos de Corrupción'!$B$11:$B$100,0),62)-AK210&lt;=3),"Moderado",IF((INDEX('[3]Riesgos de Corrupción'!$B$11:$BN$100,MATCH('Controles de Corrupción'!C210,'[3]Riesgos de Corrupción'!$B$11:$B$100,0),62)-AK210&lt;=4),"Mayor",IF((INDEX('[3]Riesgos de Corrupción'!$B$11:$BN$100,MATCH('Controles de Corrupción'!C210,'[3]Riesgos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0" t="str">
        <f t="shared" si="72"/>
        <v>-</v>
      </c>
      <c r="C211" s="188"/>
      <c r="D211" s="170"/>
      <c r="E211" s="171"/>
      <c r="F211" s="129"/>
      <c r="G211" s="128"/>
      <c r="H211" s="23"/>
      <c r="I211" s="18"/>
      <c r="J211" s="80">
        <f t="shared" si="88"/>
        <v>0</v>
      </c>
      <c r="K211" s="18"/>
      <c r="L211" s="80">
        <f t="shared" si="89"/>
        <v>0</v>
      </c>
      <c r="M211" s="18"/>
      <c r="N211" s="80">
        <f t="shared" si="90"/>
        <v>0</v>
      </c>
      <c r="O211" s="18"/>
      <c r="P211" s="80">
        <f t="shared" si="91"/>
        <v>0</v>
      </c>
      <c r="Q211" s="18"/>
      <c r="R211" s="80">
        <f t="shared" si="92"/>
        <v>0</v>
      </c>
      <c r="S211" s="18"/>
      <c r="T211" s="80">
        <f t="shared" si="93"/>
        <v>0</v>
      </c>
      <c r="U211" s="18"/>
      <c r="V211" s="80">
        <f t="shared" si="73"/>
        <v>0</v>
      </c>
      <c r="W211" s="19" t="str">
        <f t="shared" si="74"/>
        <v xml:space="preserve"> </v>
      </c>
      <c r="X211" s="19" t="str">
        <f t="shared" si="75"/>
        <v xml:space="preserve"> </v>
      </c>
      <c r="Y211" s="19" t="str">
        <f t="shared" si="76"/>
        <v/>
      </c>
      <c r="Z211" s="23"/>
      <c r="AA211" s="19" t="str">
        <f t="shared" si="77"/>
        <v/>
      </c>
      <c r="AB211" s="19" t="str">
        <f t="shared" si="78"/>
        <v xml:space="preserve"> </v>
      </c>
      <c r="AC211" s="19" t="str">
        <f t="shared" si="79"/>
        <v/>
      </c>
      <c r="AD211" s="19" t="str">
        <f t="shared" si="80"/>
        <v xml:space="preserve"> </v>
      </c>
      <c r="AE211" s="125" t="str">
        <f t="shared" si="81"/>
        <v xml:space="preserve"> </v>
      </c>
      <c r="AF211" s="19" t="str">
        <f t="shared" si="82"/>
        <v xml:space="preserve"> </v>
      </c>
      <c r="AG211" s="50">
        <f t="shared" si="83"/>
        <v>0</v>
      </c>
      <c r="AH211" s="50" t="str">
        <f t="shared" si="84"/>
        <v xml:space="preserve"> </v>
      </c>
      <c r="AI211" s="36" t="str">
        <f>IFERROR(IF((INDEX('[3]Riesgos de Corrupción'!$B$11:$V$100,MATCH('Controles de Corrupción'!C211,'[3]Riesgos de Corrupción'!$B$11:$B$100,0),17)-AH211&lt;=1),"Rara vez",IF((INDEX('[3]Riesgos de Corrupción'!$B$11:$V$100,MATCH('Controles de Corrupción'!C211,'[3]Riesgos de Corrupción'!$B$11:$B$100,0),17)-AH211&lt;=2),"Improbable",IF((INDEX('[3]Riesgos de Corrupción'!$B$11:$V$100,MATCH('Controles de Corrupción'!C211,'[3]Riesgos de Corrupción'!$B$11:$B$100,0),17)-AH211&lt;=3),"Posible",IF((INDEX('[3]Riesgos de Corrupción'!$B$11:$V$100,MATCH('Controles de Corrupción'!C211,'[3]Riesgos de Corrupción'!$B$11:$B$100,0),17)-AH211&lt;=4),"Probable",IF((INDEX('[3]Riesgos de Corrupción'!$B$11:$V$100,MATCH('Controles de Corrupción'!C211,'[3]Riesgos de Corrupción'!$B$11:$B$100,0),17)-AH211&lt;=5),"Casi seguro")))))," ")</f>
        <v xml:space="preserve"> </v>
      </c>
      <c r="AJ211" s="8" t="str">
        <f>IFERROR(IF(OR(AND(AF211="Fuerte",H211="No disminuye"),AND(AF211="Moderado",H211="Indirectamente"),AND(AF211="Moderado",H211="No disminuye"),AND(INDEX('[3]Riesgos de Corrupción'!$B$11:$BN$100,MATCH('Controles de Corrupción'!C211,'[3]Riesgos de Corrupción'!$B$11:$B$100,0),63)="Moderado")),0,IF(OR(AND(AF211="Fuerte",H211="Indirectamente"),AND(AF211="Moderado",H211="Directamente"),AND(INDEX('[3]Riesgos de Corrupción'!$B$11:$BN$100,MATCH('Controles de Corrupción'!C211,'[3]Riesgos de Corrupción'!$B$11:$B$100,0),63)="Mayor")),1,IF(AND(AF211="Fuerte",H211="Directamente",AND(INDEX('[3]Riesgos de Corrupción'!$B$11:$BN$100,MATCH('Controles de Corrupción'!C211,'[3]Riesgos de Corrupción'!$B$11:$B$100,0),63)="Catastrófico")),2)))," ")</f>
        <v xml:space="preserve"> </v>
      </c>
      <c r="AK211" s="19" t="str">
        <f t="shared" si="85"/>
        <v xml:space="preserve"> </v>
      </c>
      <c r="AL211" s="19" t="str">
        <f>IFERROR(IF((INDEX('[3]Riesgos de Corrupción'!$B$11:$BN$100,MATCH('Controles de Corrupción'!C211,'[3]Riesgos de Corrupción'!$B$11:$B$100,0),62)-AK211&lt;=3),"Moderado",IF((INDEX('[3]Riesgos de Corrupción'!$B$11:$BN$100,MATCH('Controles de Corrupción'!C211,'[3]Riesgos de Corrupción'!$B$11:$B$100,0),62)-AK211&lt;=4),"Mayor",IF((INDEX('[3]Riesgos de Corrupción'!$B$11:$BN$100,MATCH('Controles de Corrupción'!C211,'[3]Riesgos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0" t="str">
        <f t="shared" si="72"/>
        <v>-</v>
      </c>
      <c r="C212" s="188"/>
      <c r="D212" s="170"/>
      <c r="E212" s="171"/>
      <c r="F212" s="129"/>
      <c r="G212" s="128"/>
      <c r="H212" s="23"/>
      <c r="I212" s="18"/>
      <c r="J212" s="80">
        <f t="shared" si="88"/>
        <v>0</v>
      </c>
      <c r="K212" s="18"/>
      <c r="L212" s="80">
        <f t="shared" si="89"/>
        <v>0</v>
      </c>
      <c r="M212" s="18"/>
      <c r="N212" s="80">
        <f t="shared" si="90"/>
        <v>0</v>
      </c>
      <c r="O212" s="18"/>
      <c r="P212" s="80">
        <f t="shared" si="91"/>
        <v>0</v>
      </c>
      <c r="Q212" s="18"/>
      <c r="R212" s="80">
        <f t="shared" si="92"/>
        <v>0</v>
      </c>
      <c r="S212" s="18"/>
      <c r="T212" s="80">
        <f t="shared" si="93"/>
        <v>0</v>
      </c>
      <c r="U212" s="18"/>
      <c r="V212" s="80">
        <f t="shared" si="73"/>
        <v>0</v>
      </c>
      <c r="W212" s="19" t="str">
        <f t="shared" si="74"/>
        <v xml:space="preserve"> </v>
      </c>
      <c r="X212" s="19" t="str">
        <f t="shared" si="75"/>
        <v xml:space="preserve"> </v>
      </c>
      <c r="Y212" s="19" t="str">
        <f t="shared" si="76"/>
        <v/>
      </c>
      <c r="Z212" s="23"/>
      <c r="AA212" s="19" t="str">
        <f t="shared" si="77"/>
        <v/>
      </c>
      <c r="AB212" s="19" t="str">
        <f t="shared" si="78"/>
        <v xml:space="preserve"> </v>
      </c>
      <c r="AC212" s="19" t="str">
        <f t="shared" si="79"/>
        <v/>
      </c>
      <c r="AD212" s="19" t="str">
        <f t="shared" si="80"/>
        <v xml:space="preserve"> </v>
      </c>
      <c r="AE212" s="125" t="str">
        <f t="shared" si="81"/>
        <v xml:space="preserve"> </v>
      </c>
      <c r="AF212" s="19" t="str">
        <f t="shared" si="82"/>
        <v xml:space="preserve"> </v>
      </c>
      <c r="AG212" s="50">
        <f t="shared" si="83"/>
        <v>0</v>
      </c>
      <c r="AH212" s="50" t="str">
        <f t="shared" si="84"/>
        <v xml:space="preserve"> </v>
      </c>
      <c r="AI212" s="36" t="str">
        <f>IFERROR(IF((INDEX('[3]Riesgos de Corrupción'!$B$11:$V$100,MATCH('Controles de Corrupción'!C212,'[3]Riesgos de Corrupción'!$B$11:$B$100,0),17)-AH212&lt;=1),"Rara vez",IF((INDEX('[3]Riesgos de Corrupción'!$B$11:$V$100,MATCH('Controles de Corrupción'!C212,'[3]Riesgos de Corrupción'!$B$11:$B$100,0),17)-AH212&lt;=2),"Improbable",IF((INDEX('[3]Riesgos de Corrupción'!$B$11:$V$100,MATCH('Controles de Corrupción'!C212,'[3]Riesgos de Corrupción'!$B$11:$B$100,0),17)-AH212&lt;=3),"Posible",IF((INDEX('[3]Riesgos de Corrupción'!$B$11:$V$100,MATCH('Controles de Corrupción'!C212,'[3]Riesgos de Corrupción'!$B$11:$B$100,0),17)-AH212&lt;=4),"Probable",IF((INDEX('[3]Riesgos de Corrupción'!$B$11:$V$100,MATCH('Controles de Corrupción'!C212,'[3]Riesgos de Corrupción'!$B$11:$B$100,0),17)-AH212&lt;=5),"Casi seguro")))))," ")</f>
        <v xml:space="preserve"> </v>
      </c>
      <c r="AJ212" s="8" t="str">
        <f>IFERROR(IF(OR(AND(AF212="Fuerte",H212="No disminuye"),AND(AF212="Moderado",H212="Indirectamente"),AND(AF212="Moderado",H212="No disminuye"),AND(INDEX('[3]Riesgos de Corrupción'!$B$11:$BN$100,MATCH('Controles de Corrupción'!C212,'[3]Riesgos de Corrupción'!$B$11:$B$100,0),63)="Moderado")),0,IF(OR(AND(AF212="Fuerte",H212="Indirectamente"),AND(AF212="Moderado",H212="Directamente"),AND(INDEX('[3]Riesgos de Corrupción'!$B$11:$BN$100,MATCH('Controles de Corrupción'!C212,'[3]Riesgos de Corrupción'!$B$11:$B$100,0),63)="Mayor")),1,IF(AND(AF212="Fuerte",H212="Directamente",AND(INDEX('[3]Riesgos de Corrupción'!$B$11:$BN$100,MATCH('Controles de Corrupción'!C212,'[3]Riesgos de Corrupción'!$B$11:$B$100,0),63)="Catastrófico")),2)))," ")</f>
        <v xml:space="preserve"> </v>
      </c>
      <c r="AK212" s="19" t="str">
        <f t="shared" si="85"/>
        <v xml:space="preserve"> </v>
      </c>
      <c r="AL212" s="19" t="str">
        <f>IFERROR(IF((INDEX('[3]Riesgos de Corrupción'!$B$11:$BN$100,MATCH('Controles de Corrupción'!C212,'[3]Riesgos de Corrupción'!$B$11:$B$100,0),62)-AK212&lt;=3),"Moderado",IF((INDEX('[3]Riesgos de Corrupción'!$B$11:$BN$100,MATCH('Controles de Corrupción'!C212,'[3]Riesgos de Corrupción'!$B$11:$B$100,0),62)-AK212&lt;=4),"Mayor",IF((INDEX('[3]Riesgos de Corrupción'!$B$11:$BN$100,MATCH('Controles de Corrupción'!C212,'[3]Riesgos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0" t="str">
        <f t="shared" si="72"/>
        <v>-</v>
      </c>
      <c r="C213" s="188"/>
      <c r="D213" s="170"/>
      <c r="E213" s="171"/>
      <c r="F213" s="129"/>
      <c r="G213" s="128"/>
      <c r="H213" s="23"/>
      <c r="I213" s="18"/>
      <c r="J213" s="80">
        <f t="shared" si="88"/>
        <v>0</v>
      </c>
      <c r="K213" s="18"/>
      <c r="L213" s="80">
        <f t="shared" si="89"/>
        <v>0</v>
      </c>
      <c r="M213" s="18"/>
      <c r="N213" s="80">
        <f t="shared" si="90"/>
        <v>0</v>
      </c>
      <c r="O213" s="18"/>
      <c r="P213" s="80">
        <f t="shared" si="91"/>
        <v>0</v>
      </c>
      <c r="Q213" s="18"/>
      <c r="R213" s="80">
        <f t="shared" si="92"/>
        <v>0</v>
      </c>
      <c r="S213" s="18"/>
      <c r="T213" s="80">
        <f t="shared" si="93"/>
        <v>0</v>
      </c>
      <c r="U213" s="18"/>
      <c r="V213" s="80">
        <f t="shared" si="73"/>
        <v>0</v>
      </c>
      <c r="W213" s="19" t="str">
        <f t="shared" si="74"/>
        <v xml:space="preserve"> </v>
      </c>
      <c r="X213" s="19" t="str">
        <f t="shared" si="75"/>
        <v xml:space="preserve"> </v>
      </c>
      <c r="Y213" s="19" t="str">
        <f t="shared" si="76"/>
        <v/>
      </c>
      <c r="Z213" s="23"/>
      <c r="AA213" s="19" t="str">
        <f t="shared" si="77"/>
        <v/>
      </c>
      <c r="AB213" s="19" t="str">
        <f t="shared" si="78"/>
        <v xml:space="preserve"> </v>
      </c>
      <c r="AC213" s="19" t="str">
        <f t="shared" si="79"/>
        <v/>
      </c>
      <c r="AD213" s="19" t="str">
        <f t="shared" si="80"/>
        <v xml:space="preserve"> </v>
      </c>
      <c r="AE213" s="125" t="str">
        <f t="shared" si="81"/>
        <v xml:space="preserve"> </v>
      </c>
      <c r="AF213" s="19" t="str">
        <f t="shared" si="82"/>
        <v xml:space="preserve"> </v>
      </c>
      <c r="AG213" s="50">
        <f t="shared" si="83"/>
        <v>0</v>
      </c>
      <c r="AH213" s="50" t="str">
        <f t="shared" si="84"/>
        <v xml:space="preserve"> </v>
      </c>
      <c r="AI213" s="36" t="str">
        <f>IFERROR(IF((INDEX('[3]Riesgos de Corrupción'!$B$11:$V$100,MATCH('Controles de Corrupción'!C213,'[3]Riesgos de Corrupción'!$B$11:$B$100,0),17)-AH213&lt;=1),"Rara vez",IF((INDEX('[3]Riesgos de Corrupción'!$B$11:$V$100,MATCH('Controles de Corrupción'!C213,'[3]Riesgos de Corrupción'!$B$11:$B$100,0),17)-AH213&lt;=2),"Improbable",IF((INDEX('[3]Riesgos de Corrupción'!$B$11:$V$100,MATCH('Controles de Corrupción'!C213,'[3]Riesgos de Corrupción'!$B$11:$B$100,0),17)-AH213&lt;=3),"Posible",IF((INDEX('[3]Riesgos de Corrupción'!$B$11:$V$100,MATCH('Controles de Corrupción'!C213,'[3]Riesgos de Corrupción'!$B$11:$B$100,0),17)-AH213&lt;=4),"Probable",IF((INDEX('[3]Riesgos de Corrupción'!$B$11:$V$100,MATCH('Controles de Corrupción'!C213,'[3]Riesgos de Corrupción'!$B$11:$B$100,0),17)-AH213&lt;=5),"Casi seguro")))))," ")</f>
        <v xml:space="preserve"> </v>
      </c>
      <c r="AJ213" s="8" t="str">
        <f>IFERROR(IF(OR(AND(AF213="Fuerte",H213="No disminuye"),AND(AF213="Moderado",H213="Indirectamente"),AND(AF213="Moderado",H213="No disminuye"),AND(INDEX('[3]Riesgos de Corrupción'!$B$11:$BN$100,MATCH('Controles de Corrupción'!C213,'[3]Riesgos de Corrupción'!$B$11:$B$100,0),63)="Moderado")),0,IF(OR(AND(AF213="Fuerte",H213="Indirectamente"),AND(AF213="Moderado",H213="Directamente"),AND(INDEX('[3]Riesgos de Corrupción'!$B$11:$BN$100,MATCH('Controles de Corrupción'!C213,'[3]Riesgos de Corrupción'!$B$11:$B$100,0),63)="Mayor")),1,IF(AND(AF213="Fuerte",H213="Directamente",AND(INDEX('[3]Riesgos de Corrupción'!$B$11:$BN$100,MATCH('Controles de Corrupción'!C213,'[3]Riesgos de Corrupción'!$B$11:$B$100,0),63)="Catastrófico")),2)))," ")</f>
        <v xml:space="preserve"> </v>
      </c>
      <c r="AK213" s="19" t="str">
        <f t="shared" si="85"/>
        <v xml:space="preserve"> </v>
      </c>
      <c r="AL213" s="19" t="str">
        <f>IFERROR(IF((INDEX('[3]Riesgos de Corrupción'!$B$11:$BN$100,MATCH('Controles de Corrupción'!C213,'[3]Riesgos de Corrupción'!$B$11:$B$100,0),62)-AK213&lt;=3),"Moderado",IF((INDEX('[3]Riesgos de Corrupción'!$B$11:$BN$100,MATCH('Controles de Corrupción'!C213,'[3]Riesgos de Corrupción'!$B$11:$B$100,0),62)-AK213&lt;=4),"Mayor",IF((INDEX('[3]Riesgos de Corrupción'!$B$11:$BN$100,MATCH('Controles de Corrupción'!C213,'[3]Riesgos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0" t="str">
        <f t="shared" si="72"/>
        <v>-</v>
      </c>
      <c r="C214" s="188"/>
      <c r="D214" s="170"/>
      <c r="E214" s="171"/>
      <c r="F214" s="129"/>
      <c r="G214" s="128"/>
      <c r="H214" s="23"/>
      <c r="I214" s="18"/>
      <c r="J214" s="80">
        <f t="shared" si="88"/>
        <v>0</v>
      </c>
      <c r="K214" s="18"/>
      <c r="L214" s="80">
        <f t="shared" si="89"/>
        <v>0</v>
      </c>
      <c r="M214" s="18"/>
      <c r="N214" s="80">
        <f t="shared" si="90"/>
        <v>0</v>
      </c>
      <c r="O214" s="18"/>
      <c r="P214" s="80">
        <f t="shared" si="91"/>
        <v>0</v>
      </c>
      <c r="Q214" s="18"/>
      <c r="R214" s="80">
        <f t="shared" si="92"/>
        <v>0</v>
      </c>
      <c r="S214" s="18"/>
      <c r="T214" s="80">
        <f t="shared" si="93"/>
        <v>0</v>
      </c>
      <c r="U214" s="18"/>
      <c r="V214" s="80">
        <f t="shared" si="73"/>
        <v>0</v>
      </c>
      <c r="W214" s="19" t="str">
        <f t="shared" si="74"/>
        <v xml:space="preserve"> </v>
      </c>
      <c r="X214" s="19" t="str">
        <f t="shared" si="75"/>
        <v xml:space="preserve"> </v>
      </c>
      <c r="Y214" s="19" t="str">
        <f t="shared" si="76"/>
        <v/>
      </c>
      <c r="Z214" s="23"/>
      <c r="AA214" s="19" t="str">
        <f t="shared" si="77"/>
        <v/>
      </c>
      <c r="AB214" s="19" t="str">
        <f t="shared" si="78"/>
        <v xml:space="preserve"> </v>
      </c>
      <c r="AC214" s="19" t="str">
        <f t="shared" si="79"/>
        <v/>
      </c>
      <c r="AD214" s="19" t="str">
        <f t="shared" si="80"/>
        <v xml:space="preserve"> </v>
      </c>
      <c r="AE214" s="125" t="str">
        <f t="shared" si="81"/>
        <v xml:space="preserve"> </v>
      </c>
      <c r="AF214" s="19" t="str">
        <f t="shared" si="82"/>
        <v xml:space="preserve"> </v>
      </c>
      <c r="AG214" s="50">
        <f t="shared" si="83"/>
        <v>0</v>
      </c>
      <c r="AH214" s="50" t="str">
        <f t="shared" si="84"/>
        <v xml:space="preserve"> </v>
      </c>
      <c r="AI214" s="36" t="str">
        <f>IFERROR(IF((INDEX('[3]Riesgos de Corrupción'!$B$11:$V$100,MATCH('Controles de Corrupción'!C214,'[3]Riesgos de Corrupción'!$B$11:$B$100,0),17)-AH214&lt;=1),"Rara vez",IF((INDEX('[3]Riesgos de Corrupción'!$B$11:$V$100,MATCH('Controles de Corrupción'!C214,'[3]Riesgos de Corrupción'!$B$11:$B$100,0),17)-AH214&lt;=2),"Improbable",IF((INDEX('[3]Riesgos de Corrupción'!$B$11:$V$100,MATCH('Controles de Corrupción'!C214,'[3]Riesgos de Corrupción'!$B$11:$B$100,0),17)-AH214&lt;=3),"Posible",IF((INDEX('[3]Riesgos de Corrupción'!$B$11:$V$100,MATCH('Controles de Corrupción'!C214,'[3]Riesgos de Corrupción'!$B$11:$B$100,0),17)-AH214&lt;=4),"Probable",IF((INDEX('[3]Riesgos de Corrupción'!$B$11:$V$100,MATCH('Controles de Corrupción'!C214,'[3]Riesgos de Corrupción'!$B$11:$B$100,0),17)-AH214&lt;=5),"Casi seguro")))))," ")</f>
        <v xml:space="preserve"> </v>
      </c>
      <c r="AJ214" s="8" t="str">
        <f>IFERROR(IF(OR(AND(AF214="Fuerte",H214="No disminuye"),AND(AF214="Moderado",H214="Indirectamente"),AND(AF214="Moderado",H214="No disminuye"),AND(INDEX('[3]Riesgos de Corrupción'!$B$11:$BN$100,MATCH('Controles de Corrupción'!C214,'[3]Riesgos de Corrupción'!$B$11:$B$100,0),63)="Moderado")),0,IF(OR(AND(AF214="Fuerte",H214="Indirectamente"),AND(AF214="Moderado",H214="Directamente"),AND(INDEX('[3]Riesgos de Corrupción'!$B$11:$BN$100,MATCH('Controles de Corrupción'!C214,'[3]Riesgos de Corrupción'!$B$11:$B$100,0),63)="Mayor")),1,IF(AND(AF214="Fuerte",H214="Directamente",AND(INDEX('[3]Riesgos de Corrupción'!$B$11:$BN$100,MATCH('Controles de Corrupción'!C214,'[3]Riesgos de Corrupción'!$B$11:$B$100,0),63)="Catastrófico")),2)))," ")</f>
        <v xml:space="preserve"> </v>
      </c>
      <c r="AK214" s="19" t="str">
        <f t="shared" si="85"/>
        <v xml:space="preserve"> </v>
      </c>
      <c r="AL214" s="19" t="str">
        <f>IFERROR(IF((INDEX('[3]Riesgos de Corrupción'!$B$11:$BN$100,MATCH('Controles de Corrupción'!C214,'[3]Riesgos de Corrupción'!$B$11:$B$100,0),62)-AK214&lt;=3),"Moderado",IF((INDEX('[3]Riesgos de Corrupción'!$B$11:$BN$100,MATCH('Controles de Corrupción'!C214,'[3]Riesgos de Corrupción'!$B$11:$B$100,0),62)-AK214&lt;=4),"Mayor",IF((INDEX('[3]Riesgos de Corrupción'!$B$11:$BN$100,MATCH('Controles de Corrupción'!C214,'[3]Riesgos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0" t="str">
        <f t="shared" si="72"/>
        <v>-</v>
      </c>
      <c r="C215" s="188"/>
      <c r="D215" s="170"/>
      <c r="E215" s="171"/>
      <c r="F215" s="129"/>
      <c r="G215" s="128"/>
      <c r="H215" s="23"/>
      <c r="I215" s="18"/>
      <c r="J215" s="80">
        <f t="shared" si="88"/>
        <v>0</v>
      </c>
      <c r="K215" s="18"/>
      <c r="L215" s="80">
        <f t="shared" si="89"/>
        <v>0</v>
      </c>
      <c r="M215" s="18"/>
      <c r="N215" s="80">
        <f t="shared" si="90"/>
        <v>0</v>
      </c>
      <c r="O215" s="18"/>
      <c r="P215" s="80">
        <f t="shared" si="91"/>
        <v>0</v>
      </c>
      <c r="Q215" s="18"/>
      <c r="R215" s="80">
        <f t="shared" si="92"/>
        <v>0</v>
      </c>
      <c r="S215" s="18"/>
      <c r="T215" s="80">
        <f t="shared" si="93"/>
        <v>0</v>
      </c>
      <c r="U215" s="18"/>
      <c r="V215" s="80">
        <f t="shared" si="73"/>
        <v>0</v>
      </c>
      <c r="W215" s="19" t="str">
        <f t="shared" si="74"/>
        <v xml:space="preserve"> </v>
      </c>
      <c r="X215" s="19" t="str">
        <f t="shared" si="75"/>
        <v xml:space="preserve"> </v>
      </c>
      <c r="Y215" s="19" t="str">
        <f t="shared" si="76"/>
        <v/>
      </c>
      <c r="Z215" s="23"/>
      <c r="AA215" s="19" t="str">
        <f t="shared" si="77"/>
        <v/>
      </c>
      <c r="AB215" s="19" t="str">
        <f t="shared" si="78"/>
        <v xml:space="preserve"> </v>
      </c>
      <c r="AC215" s="19" t="str">
        <f t="shared" si="79"/>
        <v/>
      </c>
      <c r="AD215" s="19" t="str">
        <f t="shared" si="80"/>
        <v xml:space="preserve"> </v>
      </c>
      <c r="AE215" s="125" t="str">
        <f t="shared" si="81"/>
        <v xml:space="preserve"> </v>
      </c>
      <c r="AF215" s="19" t="str">
        <f t="shared" si="82"/>
        <v xml:space="preserve"> </v>
      </c>
      <c r="AG215" s="50">
        <f t="shared" si="83"/>
        <v>0</v>
      </c>
      <c r="AH215" s="50" t="str">
        <f t="shared" si="84"/>
        <v xml:space="preserve"> </v>
      </c>
      <c r="AI215" s="36" t="str">
        <f>IFERROR(IF((INDEX('[3]Riesgos de Corrupción'!$B$11:$V$100,MATCH('Controles de Corrupción'!C215,'[3]Riesgos de Corrupción'!$B$11:$B$100,0),17)-AH215&lt;=1),"Rara vez",IF((INDEX('[3]Riesgos de Corrupción'!$B$11:$V$100,MATCH('Controles de Corrupción'!C215,'[3]Riesgos de Corrupción'!$B$11:$B$100,0),17)-AH215&lt;=2),"Improbable",IF((INDEX('[3]Riesgos de Corrupción'!$B$11:$V$100,MATCH('Controles de Corrupción'!C215,'[3]Riesgos de Corrupción'!$B$11:$B$100,0),17)-AH215&lt;=3),"Posible",IF((INDEX('[3]Riesgos de Corrupción'!$B$11:$V$100,MATCH('Controles de Corrupción'!C215,'[3]Riesgos de Corrupción'!$B$11:$B$100,0),17)-AH215&lt;=4),"Probable",IF((INDEX('[3]Riesgos de Corrupción'!$B$11:$V$100,MATCH('Controles de Corrupción'!C215,'[3]Riesgos de Corrupción'!$B$11:$B$100,0),17)-AH215&lt;=5),"Casi seguro")))))," ")</f>
        <v xml:space="preserve"> </v>
      </c>
      <c r="AJ215" s="8" t="str">
        <f>IFERROR(IF(OR(AND(AF215="Fuerte",H215="No disminuye"),AND(AF215="Moderado",H215="Indirectamente"),AND(AF215="Moderado",H215="No disminuye"),AND(INDEX('[3]Riesgos de Corrupción'!$B$11:$BN$100,MATCH('Controles de Corrupción'!C215,'[3]Riesgos de Corrupción'!$B$11:$B$100,0),63)="Moderado")),0,IF(OR(AND(AF215="Fuerte",H215="Indirectamente"),AND(AF215="Moderado",H215="Directamente"),AND(INDEX('[3]Riesgos de Corrupción'!$B$11:$BN$100,MATCH('Controles de Corrupción'!C215,'[3]Riesgos de Corrupción'!$B$11:$B$100,0),63)="Mayor")),1,IF(AND(AF215="Fuerte",H215="Directamente",AND(INDEX('[3]Riesgos de Corrupción'!$B$11:$BN$100,MATCH('Controles de Corrupción'!C215,'[3]Riesgos de Corrupción'!$B$11:$B$100,0),63)="Catastrófico")),2)))," ")</f>
        <v xml:space="preserve"> </v>
      </c>
      <c r="AK215" s="19" t="str">
        <f t="shared" si="85"/>
        <v xml:space="preserve"> </v>
      </c>
      <c r="AL215" s="19" t="str">
        <f>IFERROR(IF((INDEX('[3]Riesgos de Corrupción'!$B$11:$BN$100,MATCH('Controles de Corrupción'!C215,'[3]Riesgos de Corrupción'!$B$11:$B$100,0),62)-AK215&lt;=3),"Moderado",IF((INDEX('[3]Riesgos de Corrupción'!$B$11:$BN$100,MATCH('Controles de Corrupción'!C215,'[3]Riesgos de Corrupción'!$B$11:$B$100,0),62)-AK215&lt;=4),"Mayor",IF((INDEX('[3]Riesgos de Corrupción'!$B$11:$BN$100,MATCH('Controles de Corrupción'!C215,'[3]Riesgos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0" t="str">
        <f t="shared" si="72"/>
        <v>-</v>
      </c>
      <c r="C216" s="188"/>
      <c r="D216" s="170"/>
      <c r="E216" s="171"/>
      <c r="F216" s="129"/>
      <c r="G216" s="128"/>
      <c r="H216" s="23"/>
      <c r="I216" s="18"/>
      <c r="J216" s="80">
        <f t="shared" si="88"/>
        <v>0</v>
      </c>
      <c r="K216" s="18"/>
      <c r="L216" s="80">
        <f t="shared" si="89"/>
        <v>0</v>
      </c>
      <c r="M216" s="18"/>
      <c r="N216" s="80">
        <f t="shared" si="90"/>
        <v>0</v>
      </c>
      <c r="O216" s="18"/>
      <c r="P216" s="80">
        <f t="shared" si="91"/>
        <v>0</v>
      </c>
      <c r="Q216" s="18"/>
      <c r="R216" s="80">
        <f t="shared" si="92"/>
        <v>0</v>
      </c>
      <c r="S216" s="18"/>
      <c r="T216" s="80">
        <f t="shared" si="93"/>
        <v>0</v>
      </c>
      <c r="U216" s="18"/>
      <c r="V216" s="80">
        <f t="shared" si="73"/>
        <v>0</v>
      </c>
      <c r="W216" s="19" t="str">
        <f t="shared" si="74"/>
        <v xml:space="preserve"> </v>
      </c>
      <c r="X216" s="19" t="str">
        <f t="shared" si="75"/>
        <v xml:space="preserve"> </v>
      </c>
      <c r="Y216" s="19" t="str">
        <f t="shared" si="76"/>
        <v/>
      </c>
      <c r="Z216" s="23"/>
      <c r="AA216" s="19" t="str">
        <f t="shared" si="77"/>
        <v/>
      </c>
      <c r="AB216" s="19" t="str">
        <f t="shared" si="78"/>
        <v xml:space="preserve"> </v>
      </c>
      <c r="AC216" s="19" t="str">
        <f t="shared" si="79"/>
        <v/>
      </c>
      <c r="AD216" s="19" t="str">
        <f t="shared" si="80"/>
        <v xml:space="preserve"> </v>
      </c>
      <c r="AE216" s="125" t="str">
        <f t="shared" si="81"/>
        <v xml:space="preserve"> </v>
      </c>
      <c r="AF216" s="19" t="str">
        <f t="shared" si="82"/>
        <v xml:space="preserve"> </v>
      </c>
      <c r="AG216" s="50">
        <f t="shared" si="83"/>
        <v>0</v>
      </c>
      <c r="AH216" s="50" t="str">
        <f t="shared" si="84"/>
        <v xml:space="preserve"> </v>
      </c>
      <c r="AI216" s="36" t="str">
        <f>IFERROR(IF((INDEX('[3]Riesgos de Corrupción'!$B$11:$V$100,MATCH('Controles de Corrupción'!C216,'[3]Riesgos de Corrupción'!$B$11:$B$100,0),17)-AH216&lt;=1),"Rara vez",IF((INDEX('[3]Riesgos de Corrupción'!$B$11:$V$100,MATCH('Controles de Corrupción'!C216,'[3]Riesgos de Corrupción'!$B$11:$B$100,0),17)-AH216&lt;=2),"Improbable",IF((INDEX('[3]Riesgos de Corrupción'!$B$11:$V$100,MATCH('Controles de Corrupción'!C216,'[3]Riesgos de Corrupción'!$B$11:$B$100,0),17)-AH216&lt;=3),"Posible",IF((INDEX('[3]Riesgos de Corrupción'!$B$11:$V$100,MATCH('Controles de Corrupción'!C216,'[3]Riesgos de Corrupción'!$B$11:$B$100,0),17)-AH216&lt;=4),"Probable",IF((INDEX('[3]Riesgos de Corrupción'!$B$11:$V$100,MATCH('Controles de Corrupción'!C216,'[3]Riesgos de Corrupción'!$B$11:$B$100,0),17)-AH216&lt;=5),"Casi seguro")))))," ")</f>
        <v xml:space="preserve"> </v>
      </c>
      <c r="AJ216" s="8" t="str">
        <f>IFERROR(IF(OR(AND(AF216="Fuerte",H216="No disminuye"),AND(AF216="Moderado",H216="Indirectamente"),AND(AF216="Moderado",H216="No disminuye"),AND(INDEX('[3]Riesgos de Corrupción'!$B$11:$BN$100,MATCH('Controles de Corrupción'!C216,'[3]Riesgos de Corrupción'!$B$11:$B$100,0),63)="Moderado")),0,IF(OR(AND(AF216="Fuerte",H216="Indirectamente"),AND(AF216="Moderado",H216="Directamente"),AND(INDEX('[3]Riesgos de Corrupción'!$B$11:$BN$100,MATCH('Controles de Corrupción'!C216,'[3]Riesgos de Corrupción'!$B$11:$B$100,0),63)="Mayor")),1,IF(AND(AF216="Fuerte",H216="Directamente",AND(INDEX('[3]Riesgos de Corrupción'!$B$11:$BN$100,MATCH('Controles de Corrupción'!C216,'[3]Riesgos de Corrupción'!$B$11:$B$100,0),63)="Catastrófico")),2)))," ")</f>
        <v xml:space="preserve"> </v>
      </c>
      <c r="AK216" s="19" t="str">
        <f t="shared" si="85"/>
        <v xml:space="preserve"> </v>
      </c>
      <c r="AL216" s="19" t="str">
        <f>IFERROR(IF((INDEX('[3]Riesgos de Corrupción'!$B$11:$BN$100,MATCH('Controles de Corrupción'!C216,'[3]Riesgos de Corrupción'!$B$11:$B$100,0),62)-AK216&lt;=3),"Moderado",IF((INDEX('[3]Riesgos de Corrupción'!$B$11:$BN$100,MATCH('Controles de Corrupción'!C216,'[3]Riesgos de Corrupción'!$B$11:$B$100,0),62)-AK216&lt;=4),"Mayor",IF((INDEX('[3]Riesgos de Corrupción'!$B$11:$BN$100,MATCH('Controles de Corrupción'!C216,'[3]Riesgos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0" t="str">
        <f t="shared" si="72"/>
        <v>-</v>
      </c>
      <c r="C217" s="188"/>
      <c r="D217" s="170"/>
      <c r="E217" s="171"/>
      <c r="F217" s="129"/>
      <c r="G217" s="128"/>
      <c r="H217" s="23"/>
      <c r="I217" s="18"/>
      <c r="J217" s="80">
        <f t="shared" si="88"/>
        <v>0</v>
      </c>
      <c r="K217" s="18"/>
      <c r="L217" s="80">
        <f t="shared" si="89"/>
        <v>0</v>
      </c>
      <c r="M217" s="18"/>
      <c r="N217" s="80">
        <f t="shared" si="90"/>
        <v>0</v>
      </c>
      <c r="O217" s="18"/>
      <c r="P217" s="80">
        <f t="shared" si="91"/>
        <v>0</v>
      </c>
      <c r="Q217" s="18"/>
      <c r="R217" s="80">
        <f t="shared" si="92"/>
        <v>0</v>
      </c>
      <c r="S217" s="18"/>
      <c r="T217" s="80">
        <f t="shared" si="93"/>
        <v>0</v>
      </c>
      <c r="U217" s="18"/>
      <c r="V217" s="80">
        <f t="shared" si="73"/>
        <v>0</v>
      </c>
      <c r="W217" s="19" t="str">
        <f t="shared" si="74"/>
        <v xml:space="preserve"> </v>
      </c>
      <c r="X217" s="19" t="str">
        <f t="shared" si="75"/>
        <v xml:space="preserve"> </v>
      </c>
      <c r="Y217" s="19" t="str">
        <f t="shared" si="76"/>
        <v/>
      </c>
      <c r="Z217" s="23"/>
      <c r="AA217" s="19" t="str">
        <f t="shared" si="77"/>
        <v/>
      </c>
      <c r="AB217" s="19" t="str">
        <f t="shared" si="78"/>
        <v xml:space="preserve"> </v>
      </c>
      <c r="AC217" s="19" t="str">
        <f t="shared" si="79"/>
        <v/>
      </c>
      <c r="AD217" s="19" t="str">
        <f t="shared" si="80"/>
        <v xml:space="preserve"> </v>
      </c>
      <c r="AE217" s="125" t="str">
        <f t="shared" si="81"/>
        <v xml:space="preserve"> </v>
      </c>
      <c r="AF217" s="19" t="str">
        <f t="shared" si="82"/>
        <v xml:space="preserve"> </v>
      </c>
      <c r="AG217" s="50">
        <f t="shared" si="83"/>
        <v>0</v>
      </c>
      <c r="AH217" s="50" t="str">
        <f t="shared" si="84"/>
        <v xml:space="preserve"> </v>
      </c>
      <c r="AI217" s="36" t="str">
        <f>IFERROR(IF((INDEX('[3]Riesgos de Corrupción'!$B$11:$V$100,MATCH('Controles de Corrupción'!C217,'[3]Riesgos de Corrupción'!$B$11:$B$100,0),17)-AH217&lt;=1),"Rara vez",IF((INDEX('[3]Riesgos de Corrupción'!$B$11:$V$100,MATCH('Controles de Corrupción'!C217,'[3]Riesgos de Corrupción'!$B$11:$B$100,0),17)-AH217&lt;=2),"Improbable",IF((INDEX('[3]Riesgos de Corrupción'!$B$11:$V$100,MATCH('Controles de Corrupción'!C217,'[3]Riesgos de Corrupción'!$B$11:$B$100,0),17)-AH217&lt;=3),"Posible",IF((INDEX('[3]Riesgos de Corrupción'!$B$11:$V$100,MATCH('Controles de Corrupción'!C217,'[3]Riesgos de Corrupción'!$B$11:$B$100,0),17)-AH217&lt;=4),"Probable",IF((INDEX('[3]Riesgos de Corrupción'!$B$11:$V$100,MATCH('Controles de Corrupción'!C217,'[3]Riesgos de Corrupción'!$B$11:$B$100,0),17)-AH217&lt;=5),"Casi seguro")))))," ")</f>
        <v xml:space="preserve"> </v>
      </c>
      <c r="AJ217" s="8" t="str">
        <f>IFERROR(IF(OR(AND(AF217="Fuerte",H217="No disminuye"),AND(AF217="Moderado",H217="Indirectamente"),AND(AF217="Moderado",H217="No disminuye"),AND(INDEX('[3]Riesgos de Corrupción'!$B$11:$BN$100,MATCH('Controles de Corrupción'!C217,'[3]Riesgos de Corrupción'!$B$11:$B$100,0),63)="Moderado")),0,IF(OR(AND(AF217="Fuerte",H217="Indirectamente"),AND(AF217="Moderado",H217="Directamente"),AND(INDEX('[3]Riesgos de Corrupción'!$B$11:$BN$100,MATCH('Controles de Corrupción'!C217,'[3]Riesgos de Corrupción'!$B$11:$B$100,0),63)="Mayor")),1,IF(AND(AF217="Fuerte",H217="Directamente",AND(INDEX('[3]Riesgos de Corrupción'!$B$11:$BN$100,MATCH('Controles de Corrupción'!C217,'[3]Riesgos de Corrupción'!$B$11:$B$100,0),63)="Catastrófico")),2)))," ")</f>
        <v xml:space="preserve"> </v>
      </c>
      <c r="AK217" s="19" t="str">
        <f t="shared" si="85"/>
        <v xml:space="preserve"> </v>
      </c>
      <c r="AL217" s="19" t="str">
        <f>IFERROR(IF((INDEX('[3]Riesgos de Corrupción'!$B$11:$BN$100,MATCH('Controles de Corrupción'!C217,'[3]Riesgos de Corrupción'!$B$11:$B$100,0),62)-AK217&lt;=3),"Moderado",IF((INDEX('[3]Riesgos de Corrupción'!$B$11:$BN$100,MATCH('Controles de Corrupción'!C217,'[3]Riesgos de Corrupción'!$B$11:$B$100,0),62)-AK217&lt;=4),"Mayor",IF((INDEX('[3]Riesgos de Corrupción'!$B$11:$BN$100,MATCH('Controles de Corrupción'!C217,'[3]Riesgos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0" t="str">
        <f t="shared" si="72"/>
        <v>-</v>
      </c>
      <c r="C218" s="188"/>
      <c r="D218" s="170"/>
      <c r="E218" s="171"/>
      <c r="F218" s="129"/>
      <c r="G218" s="128"/>
      <c r="H218" s="23"/>
      <c r="I218" s="18"/>
      <c r="J218" s="80">
        <f t="shared" si="88"/>
        <v>0</v>
      </c>
      <c r="K218" s="18"/>
      <c r="L218" s="80">
        <f t="shared" si="89"/>
        <v>0</v>
      </c>
      <c r="M218" s="18"/>
      <c r="N218" s="80">
        <f t="shared" si="90"/>
        <v>0</v>
      </c>
      <c r="O218" s="18"/>
      <c r="P218" s="80">
        <f t="shared" si="91"/>
        <v>0</v>
      </c>
      <c r="Q218" s="18"/>
      <c r="R218" s="80">
        <f t="shared" si="92"/>
        <v>0</v>
      </c>
      <c r="S218" s="18"/>
      <c r="T218" s="80">
        <f t="shared" si="93"/>
        <v>0</v>
      </c>
      <c r="U218" s="18"/>
      <c r="V218" s="80">
        <f t="shared" si="73"/>
        <v>0</v>
      </c>
      <c r="W218" s="19" t="str">
        <f t="shared" si="74"/>
        <v xml:space="preserve"> </v>
      </c>
      <c r="X218" s="19" t="str">
        <f t="shared" si="75"/>
        <v xml:space="preserve"> </v>
      </c>
      <c r="Y218" s="19" t="str">
        <f t="shared" si="76"/>
        <v/>
      </c>
      <c r="Z218" s="23"/>
      <c r="AA218" s="19" t="str">
        <f t="shared" si="77"/>
        <v/>
      </c>
      <c r="AB218" s="19" t="str">
        <f t="shared" si="78"/>
        <v xml:space="preserve"> </v>
      </c>
      <c r="AC218" s="19" t="str">
        <f t="shared" si="79"/>
        <v/>
      </c>
      <c r="AD218" s="19" t="str">
        <f t="shared" si="80"/>
        <v xml:space="preserve"> </v>
      </c>
      <c r="AE218" s="125" t="str">
        <f t="shared" si="81"/>
        <v xml:space="preserve"> </v>
      </c>
      <c r="AF218" s="19" t="str">
        <f t="shared" si="82"/>
        <v xml:space="preserve"> </v>
      </c>
      <c r="AG218" s="50">
        <f t="shared" si="83"/>
        <v>0</v>
      </c>
      <c r="AH218" s="50" t="str">
        <f t="shared" si="84"/>
        <v xml:space="preserve"> </v>
      </c>
      <c r="AI218" s="36" t="str">
        <f>IFERROR(IF((INDEX('[3]Riesgos de Corrupción'!$B$11:$V$100,MATCH('Controles de Corrupción'!C218,'[3]Riesgos de Corrupción'!$B$11:$B$100,0),17)-AH218&lt;=1),"Rara vez",IF((INDEX('[3]Riesgos de Corrupción'!$B$11:$V$100,MATCH('Controles de Corrupción'!C218,'[3]Riesgos de Corrupción'!$B$11:$B$100,0),17)-AH218&lt;=2),"Improbable",IF((INDEX('[3]Riesgos de Corrupción'!$B$11:$V$100,MATCH('Controles de Corrupción'!C218,'[3]Riesgos de Corrupción'!$B$11:$B$100,0),17)-AH218&lt;=3),"Posible",IF((INDEX('[3]Riesgos de Corrupción'!$B$11:$V$100,MATCH('Controles de Corrupción'!C218,'[3]Riesgos de Corrupción'!$B$11:$B$100,0),17)-AH218&lt;=4),"Probable",IF((INDEX('[3]Riesgos de Corrupción'!$B$11:$V$100,MATCH('Controles de Corrupción'!C218,'[3]Riesgos de Corrupción'!$B$11:$B$100,0),17)-AH218&lt;=5),"Casi seguro")))))," ")</f>
        <v xml:space="preserve"> </v>
      </c>
      <c r="AJ218" s="8" t="str">
        <f>IFERROR(IF(OR(AND(AF218="Fuerte",H218="No disminuye"),AND(AF218="Moderado",H218="Indirectamente"),AND(AF218="Moderado",H218="No disminuye"),AND(INDEX('[3]Riesgos de Corrupción'!$B$11:$BN$100,MATCH('Controles de Corrupción'!C218,'[3]Riesgos de Corrupción'!$B$11:$B$100,0),63)="Moderado")),0,IF(OR(AND(AF218="Fuerte",H218="Indirectamente"),AND(AF218="Moderado",H218="Directamente"),AND(INDEX('[3]Riesgos de Corrupción'!$B$11:$BN$100,MATCH('Controles de Corrupción'!C218,'[3]Riesgos de Corrupción'!$B$11:$B$100,0),63)="Mayor")),1,IF(AND(AF218="Fuerte",H218="Directamente",AND(INDEX('[3]Riesgos de Corrupción'!$B$11:$BN$100,MATCH('Controles de Corrupción'!C218,'[3]Riesgos de Corrupción'!$B$11:$B$100,0),63)="Catastrófico")),2)))," ")</f>
        <v xml:space="preserve"> </v>
      </c>
      <c r="AK218" s="19" t="str">
        <f t="shared" si="85"/>
        <v xml:space="preserve"> </v>
      </c>
      <c r="AL218" s="19" t="str">
        <f>IFERROR(IF((INDEX('[3]Riesgos de Corrupción'!$B$11:$BN$100,MATCH('Controles de Corrupción'!C218,'[3]Riesgos de Corrupción'!$B$11:$B$100,0),62)-AK218&lt;=3),"Moderado",IF((INDEX('[3]Riesgos de Corrupción'!$B$11:$BN$100,MATCH('Controles de Corrupción'!C218,'[3]Riesgos de Corrupción'!$B$11:$B$100,0),62)-AK218&lt;=4),"Mayor",IF((INDEX('[3]Riesgos de Corrupción'!$B$11:$BN$100,MATCH('Controles de Corrupción'!C218,'[3]Riesgos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0" t="str">
        <f t="shared" si="72"/>
        <v>-</v>
      </c>
      <c r="C219" s="188"/>
      <c r="D219" s="170"/>
      <c r="E219" s="171"/>
      <c r="F219" s="129"/>
      <c r="G219" s="128"/>
      <c r="H219" s="23"/>
      <c r="I219" s="18"/>
      <c r="J219" s="80">
        <f t="shared" si="88"/>
        <v>0</v>
      </c>
      <c r="K219" s="18"/>
      <c r="L219" s="80">
        <f t="shared" si="89"/>
        <v>0</v>
      </c>
      <c r="M219" s="18"/>
      <c r="N219" s="80">
        <f t="shared" si="90"/>
        <v>0</v>
      </c>
      <c r="O219" s="18"/>
      <c r="P219" s="80">
        <f t="shared" si="91"/>
        <v>0</v>
      </c>
      <c r="Q219" s="18"/>
      <c r="R219" s="80">
        <f t="shared" si="92"/>
        <v>0</v>
      </c>
      <c r="S219" s="18"/>
      <c r="T219" s="80">
        <f t="shared" si="93"/>
        <v>0</v>
      </c>
      <c r="U219" s="18"/>
      <c r="V219" s="80">
        <f t="shared" si="73"/>
        <v>0</v>
      </c>
      <c r="W219" s="19" t="str">
        <f t="shared" si="74"/>
        <v xml:space="preserve"> </v>
      </c>
      <c r="X219" s="19" t="str">
        <f t="shared" si="75"/>
        <v xml:space="preserve"> </v>
      </c>
      <c r="Y219" s="19" t="str">
        <f t="shared" si="76"/>
        <v/>
      </c>
      <c r="Z219" s="23"/>
      <c r="AA219" s="19" t="str">
        <f t="shared" si="77"/>
        <v/>
      </c>
      <c r="AB219" s="19" t="str">
        <f t="shared" si="78"/>
        <v xml:space="preserve"> </v>
      </c>
      <c r="AC219" s="19" t="str">
        <f t="shared" si="79"/>
        <v/>
      </c>
      <c r="AD219" s="19" t="str">
        <f t="shared" si="80"/>
        <v xml:space="preserve"> </v>
      </c>
      <c r="AE219" s="125" t="str">
        <f t="shared" si="81"/>
        <v xml:space="preserve"> </v>
      </c>
      <c r="AF219" s="19" t="str">
        <f t="shared" si="82"/>
        <v xml:space="preserve"> </v>
      </c>
      <c r="AG219" s="50">
        <f t="shared" si="83"/>
        <v>0</v>
      </c>
      <c r="AH219" s="50" t="str">
        <f t="shared" si="84"/>
        <v xml:space="preserve"> </v>
      </c>
      <c r="AI219" s="36" t="str">
        <f>IFERROR(IF((INDEX('[3]Riesgos de Corrupción'!$B$11:$V$100,MATCH('Controles de Corrupción'!C219,'[3]Riesgos de Corrupción'!$B$11:$B$100,0),17)-AH219&lt;=1),"Rara vez",IF((INDEX('[3]Riesgos de Corrupción'!$B$11:$V$100,MATCH('Controles de Corrupción'!C219,'[3]Riesgos de Corrupción'!$B$11:$B$100,0),17)-AH219&lt;=2),"Improbable",IF((INDEX('[3]Riesgos de Corrupción'!$B$11:$V$100,MATCH('Controles de Corrupción'!C219,'[3]Riesgos de Corrupción'!$B$11:$B$100,0),17)-AH219&lt;=3),"Posible",IF((INDEX('[3]Riesgos de Corrupción'!$B$11:$V$100,MATCH('Controles de Corrupción'!C219,'[3]Riesgos de Corrupción'!$B$11:$B$100,0),17)-AH219&lt;=4),"Probable",IF((INDEX('[3]Riesgos de Corrupción'!$B$11:$V$100,MATCH('Controles de Corrupción'!C219,'[3]Riesgos de Corrupción'!$B$11:$B$100,0),17)-AH219&lt;=5),"Casi seguro")))))," ")</f>
        <v xml:space="preserve"> </v>
      </c>
      <c r="AJ219" s="8" t="str">
        <f>IFERROR(IF(OR(AND(AF219="Fuerte",H219="No disminuye"),AND(AF219="Moderado",H219="Indirectamente"),AND(AF219="Moderado",H219="No disminuye"),AND(INDEX('[3]Riesgos de Corrupción'!$B$11:$BN$100,MATCH('Controles de Corrupción'!C219,'[3]Riesgos de Corrupción'!$B$11:$B$100,0),63)="Moderado")),0,IF(OR(AND(AF219="Fuerte",H219="Indirectamente"),AND(AF219="Moderado",H219="Directamente"),AND(INDEX('[3]Riesgos de Corrupción'!$B$11:$BN$100,MATCH('Controles de Corrupción'!C219,'[3]Riesgos de Corrupción'!$B$11:$B$100,0),63)="Mayor")),1,IF(AND(AF219="Fuerte",H219="Directamente",AND(INDEX('[3]Riesgos de Corrupción'!$B$11:$BN$100,MATCH('Controles de Corrupción'!C219,'[3]Riesgos de Corrupción'!$B$11:$B$100,0),63)="Catastrófico")),2)))," ")</f>
        <v xml:space="preserve"> </v>
      </c>
      <c r="AK219" s="19" t="str">
        <f t="shared" si="85"/>
        <v xml:space="preserve"> </v>
      </c>
      <c r="AL219" s="19" t="str">
        <f>IFERROR(IF((INDEX('[3]Riesgos de Corrupción'!$B$11:$BN$100,MATCH('Controles de Corrupción'!C219,'[3]Riesgos de Corrupción'!$B$11:$B$100,0),62)-AK219&lt;=3),"Moderado",IF((INDEX('[3]Riesgos de Corrupción'!$B$11:$BN$100,MATCH('Controles de Corrupción'!C219,'[3]Riesgos de Corrupción'!$B$11:$B$100,0),62)-AK219&lt;=4),"Mayor",IF((INDEX('[3]Riesgos de Corrupción'!$B$11:$BN$100,MATCH('Controles de Corrupción'!C219,'[3]Riesgos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0" t="str">
        <f t="shared" si="72"/>
        <v>-</v>
      </c>
      <c r="C220" s="188"/>
      <c r="D220" s="170"/>
      <c r="E220" s="171"/>
      <c r="F220" s="129"/>
      <c r="G220" s="128"/>
      <c r="H220" s="23"/>
      <c r="I220" s="18"/>
      <c r="J220" s="80">
        <f t="shared" si="88"/>
        <v>0</v>
      </c>
      <c r="K220" s="18"/>
      <c r="L220" s="80">
        <f t="shared" si="89"/>
        <v>0</v>
      </c>
      <c r="M220" s="18"/>
      <c r="N220" s="80">
        <f t="shared" si="90"/>
        <v>0</v>
      </c>
      <c r="O220" s="18"/>
      <c r="P220" s="80">
        <f t="shared" si="91"/>
        <v>0</v>
      </c>
      <c r="Q220" s="18"/>
      <c r="R220" s="80">
        <f t="shared" si="92"/>
        <v>0</v>
      </c>
      <c r="S220" s="18"/>
      <c r="T220" s="80">
        <f t="shared" si="93"/>
        <v>0</v>
      </c>
      <c r="U220" s="18"/>
      <c r="V220" s="80">
        <f t="shared" si="73"/>
        <v>0</v>
      </c>
      <c r="W220" s="19" t="str">
        <f t="shared" si="74"/>
        <v xml:space="preserve"> </v>
      </c>
      <c r="X220" s="19" t="str">
        <f t="shared" si="75"/>
        <v xml:space="preserve"> </v>
      </c>
      <c r="Y220" s="19" t="str">
        <f t="shared" si="76"/>
        <v/>
      </c>
      <c r="Z220" s="23"/>
      <c r="AA220" s="19" t="str">
        <f t="shared" si="77"/>
        <v/>
      </c>
      <c r="AB220" s="19" t="str">
        <f t="shared" si="78"/>
        <v xml:space="preserve"> </v>
      </c>
      <c r="AC220" s="19" t="str">
        <f t="shared" si="79"/>
        <v/>
      </c>
      <c r="AD220" s="19" t="str">
        <f t="shared" si="80"/>
        <v xml:space="preserve"> </v>
      </c>
      <c r="AE220" s="125" t="str">
        <f t="shared" si="81"/>
        <v xml:space="preserve"> </v>
      </c>
      <c r="AF220" s="19" t="str">
        <f t="shared" si="82"/>
        <v xml:space="preserve"> </v>
      </c>
      <c r="AG220" s="50">
        <f t="shared" si="83"/>
        <v>0</v>
      </c>
      <c r="AH220" s="50" t="str">
        <f t="shared" si="84"/>
        <v xml:space="preserve"> </v>
      </c>
      <c r="AI220" s="36" t="str">
        <f>IFERROR(IF((INDEX('[3]Riesgos de Corrupción'!$B$11:$V$100,MATCH('Controles de Corrupción'!C220,'[3]Riesgos de Corrupción'!$B$11:$B$100,0),17)-AH220&lt;=1),"Rara vez",IF((INDEX('[3]Riesgos de Corrupción'!$B$11:$V$100,MATCH('Controles de Corrupción'!C220,'[3]Riesgos de Corrupción'!$B$11:$B$100,0),17)-AH220&lt;=2),"Improbable",IF((INDEX('[3]Riesgos de Corrupción'!$B$11:$V$100,MATCH('Controles de Corrupción'!C220,'[3]Riesgos de Corrupción'!$B$11:$B$100,0),17)-AH220&lt;=3),"Posible",IF((INDEX('[3]Riesgos de Corrupción'!$B$11:$V$100,MATCH('Controles de Corrupción'!C220,'[3]Riesgos de Corrupción'!$B$11:$B$100,0),17)-AH220&lt;=4),"Probable",IF((INDEX('[3]Riesgos de Corrupción'!$B$11:$V$100,MATCH('Controles de Corrupción'!C220,'[3]Riesgos de Corrupción'!$B$11:$B$100,0),17)-AH220&lt;=5),"Casi seguro")))))," ")</f>
        <v xml:space="preserve"> </v>
      </c>
      <c r="AJ220" s="8" t="str">
        <f>IFERROR(IF(OR(AND(AF220="Fuerte",H220="No disminuye"),AND(AF220="Moderado",H220="Indirectamente"),AND(AF220="Moderado",H220="No disminuye"),AND(INDEX('[3]Riesgos de Corrupción'!$B$11:$BN$100,MATCH('Controles de Corrupción'!C220,'[3]Riesgos de Corrupción'!$B$11:$B$100,0),63)="Moderado")),0,IF(OR(AND(AF220="Fuerte",H220="Indirectamente"),AND(AF220="Moderado",H220="Directamente"),AND(INDEX('[3]Riesgos de Corrupción'!$B$11:$BN$100,MATCH('Controles de Corrupción'!C220,'[3]Riesgos de Corrupción'!$B$11:$B$100,0),63)="Mayor")),1,IF(AND(AF220="Fuerte",H220="Directamente",AND(INDEX('[3]Riesgos de Corrupción'!$B$11:$BN$100,MATCH('Controles de Corrupción'!C220,'[3]Riesgos de Corrupción'!$B$11:$B$100,0),63)="Catastrófico")),2)))," ")</f>
        <v xml:space="preserve"> </v>
      </c>
      <c r="AK220" s="19" t="str">
        <f t="shared" si="85"/>
        <v xml:space="preserve"> </v>
      </c>
      <c r="AL220" s="19" t="str">
        <f>IFERROR(IF((INDEX('[3]Riesgos de Corrupción'!$B$11:$BN$100,MATCH('Controles de Corrupción'!C220,'[3]Riesgos de Corrupción'!$B$11:$B$100,0),62)-AK220&lt;=3),"Moderado",IF((INDEX('[3]Riesgos de Corrupción'!$B$11:$BN$100,MATCH('Controles de Corrupción'!C220,'[3]Riesgos de Corrupción'!$B$11:$B$100,0),62)-AK220&lt;=4),"Mayor",IF((INDEX('[3]Riesgos de Corrupción'!$B$11:$BN$100,MATCH('Controles de Corrupción'!C220,'[3]Riesgos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0" t="str">
        <f t="shared" si="72"/>
        <v>-</v>
      </c>
      <c r="C221" s="188"/>
      <c r="D221" s="170"/>
      <c r="E221" s="171"/>
      <c r="F221" s="129"/>
      <c r="G221" s="128"/>
      <c r="H221" s="23"/>
      <c r="I221" s="18"/>
      <c r="J221" s="80">
        <f t="shared" si="88"/>
        <v>0</v>
      </c>
      <c r="K221" s="18"/>
      <c r="L221" s="80">
        <f t="shared" si="89"/>
        <v>0</v>
      </c>
      <c r="M221" s="18"/>
      <c r="N221" s="80">
        <f t="shared" si="90"/>
        <v>0</v>
      </c>
      <c r="O221" s="18"/>
      <c r="P221" s="80">
        <f t="shared" si="91"/>
        <v>0</v>
      </c>
      <c r="Q221" s="18"/>
      <c r="R221" s="80">
        <f t="shared" si="92"/>
        <v>0</v>
      </c>
      <c r="S221" s="18"/>
      <c r="T221" s="80">
        <f t="shared" si="93"/>
        <v>0</v>
      </c>
      <c r="U221" s="18"/>
      <c r="V221" s="80">
        <f t="shared" si="73"/>
        <v>0</v>
      </c>
      <c r="W221" s="19" t="str">
        <f t="shared" si="74"/>
        <v xml:space="preserve"> </v>
      </c>
      <c r="X221" s="19" t="str">
        <f t="shared" si="75"/>
        <v xml:space="preserve"> </v>
      </c>
      <c r="Y221" s="19" t="str">
        <f t="shared" si="76"/>
        <v/>
      </c>
      <c r="Z221" s="23"/>
      <c r="AA221" s="19" t="str">
        <f t="shared" si="77"/>
        <v/>
      </c>
      <c r="AB221" s="19" t="str">
        <f t="shared" si="78"/>
        <v xml:space="preserve"> </v>
      </c>
      <c r="AC221" s="19" t="str">
        <f t="shared" si="79"/>
        <v/>
      </c>
      <c r="AD221" s="19" t="str">
        <f t="shared" si="80"/>
        <v xml:space="preserve"> </v>
      </c>
      <c r="AE221" s="125" t="str">
        <f t="shared" si="81"/>
        <v xml:space="preserve"> </v>
      </c>
      <c r="AF221" s="19" t="str">
        <f t="shared" si="82"/>
        <v xml:space="preserve"> </v>
      </c>
      <c r="AG221" s="50">
        <f t="shared" si="83"/>
        <v>0</v>
      </c>
      <c r="AH221" s="50" t="str">
        <f t="shared" si="84"/>
        <v xml:space="preserve"> </v>
      </c>
      <c r="AI221" s="36" t="str">
        <f>IFERROR(IF((INDEX('[3]Riesgos de Corrupción'!$B$11:$V$100,MATCH('Controles de Corrupción'!C221,'[3]Riesgos de Corrupción'!$B$11:$B$100,0),17)-AH221&lt;=1),"Rara vez",IF((INDEX('[3]Riesgos de Corrupción'!$B$11:$V$100,MATCH('Controles de Corrupción'!C221,'[3]Riesgos de Corrupción'!$B$11:$B$100,0),17)-AH221&lt;=2),"Improbable",IF((INDEX('[3]Riesgos de Corrupción'!$B$11:$V$100,MATCH('Controles de Corrupción'!C221,'[3]Riesgos de Corrupción'!$B$11:$B$100,0),17)-AH221&lt;=3),"Posible",IF((INDEX('[3]Riesgos de Corrupción'!$B$11:$V$100,MATCH('Controles de Corrupción'!C221,'[3]Riesgos de Corrupción'!$B$11:$B$100,0),17)-AH221&lt;=4),"Probable",IF((INDEX('[3]Riesgos de Corrupción'!$B$11:$V$100,MATCH('Controles de Corrupción'!C221,'[3]Riesgos de Corrupción'!$B$11:$B$100,0),17)-AH221&lt;=5),"Casi seguro")))))," ")</f>
        <v xml:space="preserve"> </v>
      </c>
      <c r="AJ221" s="8" t="str">
        <f>IFERROR(IF(OR(AND(AF221="Fuerte",H221="No disminuye"),AND(AF221="Moderado",H221="Indirectamente"),AND(AF221="Moderado",H221="No disminuye"),AND(INDEX('[3]Riesgos de Corrupción'!$B$11:$BN$100,MATCH('Controles de Corrupción'!C221,'[3]Riesgos de Corrupción'!$B$11:$B$100,0),63)="Moderado")),0,IF(OR(AND(AF221="Fuerte",H221="Indirectamente"),AND(AF221="Moderado",H221="Directamente"),AND(INDEX('[3]Riesgos de Corrupción'!$B$11:$BN$100,MATCH('Controles de Corrupción'!C221,'[3]Riesgos de Corrupción'!$B$11:$B$100,0),63)="Mayor")),1,IF(AND(AF221="Fuerte",H221="Directamente",AND(INDEX('[3]Riesgos de Corrupción'!$B$11:$BN$100,MATCH('Controles de Corrupción'!C221,'[3]Riesgos de Corrupción'!$B$11:$B$100,0),63)="Catastrófico")),2)))," ")</f>
        <v xml:space="preserve"> </v>
      </c>
      <c r="AK221" s="19" t="str">
        <f t="shared" si="85"/>
        <v xml:space="preserve"> </v>
      </c>
      <c r="AL221" s="19" t="str">
        <f>IFERROR(IF((INDEX('[3]Riesgos de Corrupción'!$B$11:$BN$100,MATCH('Controles de Corrupción'!C221,'[3]Riesgos de Corrupción'!$B$11:$B$100,0),62)-AK221&lt;=3),"Moderado",IF((INDEX('[3]Riesgos de Corrupción'!$B$11:$BN$100,MATCH('Controles de Corrupción'!C221,'[3]Riesgos de Corrupción'!$B$11:$B$100,0),62)-AK221&lt;=4),"Mayor",IF((INDEX('[3]Riesgos de Corrupción'!$B$11:$BN$100,MATCH('Controles de Corrupción'!C221,'[3]Riesgos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0" t="str">
        <f t="shared" si="72"/>
        <v>-</v>
      </c>
      <c r="C222" s="188"/>
      <c r="D222" s="170"/>
      <c r="E222" s="171"/>
      <c r="F222" s="129"/>
      <c r="G222" s="128"/>
      <c r="H222" s="23"/>
      <c r="I222" s="18"/>
      <c r="J222" s="80">
        <f t="shared" si="88"/>
        <v>0</v>
      </c>
      <c r="K222" s="18"/>
      <c r="L222" s="80">
        <f t="shared" si="89"/>
        <v>0</v>
      </c>
      <c r="M222" s="18"/>
      <c r="N222" s="80">
        <f t="shared" si="90"/>
        <v>0</v>
      </c>
      <c r="O222" s="18"/>
      <c r="P222" s="80">
        <f t="shared" si="91"/>
        <v>0</v>
      </c>
      <c r="Q222" s="18"/>
      <c r="R222" s="80">
        <f t="shared" si="92"/>
        <v>0</v>
      </c>
      <c r="S222" s="18"/>
      <c r="T222" s="80">
        <f t="shared" si="93"/>
        <v>0</v>
      </c>
      <c r="U222" s="18"/>
      <c r="V222" s="80">
        <f t="shared" si="73"/>
        <v>0</v>
      </c>
      <c r="W222" s="19" t="str">
        <f t="shared" si="74"/>
        <v xml:space="preserve"> </v>
      </c>
      <c r="X222" s="19" t="str">
        <f t="shared" si="75"/>
        <v xml:space="preserve"> </v>
      </c>
      <c r="Y222" s="19" t="str">
        <f t="shared" si="76"/>
        <v/>
      </c>
      <c r="Z222" s="23"/>
      <c r="AA222" s="19" t="str">
        <f t="shared" si="77"/>
        <v/>
      </c>
      <c r="AB222" s="19" t="str">
        <f t="shared" si="78"/>
        <v xml:space="preserve"> </v>
      </c>
      <c r="AC222" s="19" t="str">
        <f t="shared" si="79"/>
        <v/>
      </c>
      <c r="AD222" s="19" t="str">
        <f t="shared" si="80"/>
        <v xml:space="preserve"> </v>
      </c>
      <c r="AE222" s="125" t="str">
        <f t="shared" si="81"/>
        <v xml:space="preserve"> </v>
      </c>
      <c r="AF222" s="19" t="str">
        <f t="shared" si="82"/>
        <v xml:space="preserve"> </v>
      </c>
      <c r="AG222" s="50">
        <f t="shared" si="83"/>
        <v>0</v>
      </c>
      <c r="AH222" s="50" t="str">
        <f t="shared" si="84"/>
        <v xml:space="preserve"> </v>
      </c>
      <c r="AI222" s="36" t="str">
        <f>IFERROR(IF((INDEX('[3]Riesgos de Corrupción'!$B$11:$V$100,MATCH('Controles de Corrupción'!C222,'[3]Riesgos de Corrupción'!$B$11:$B$100,0),17)-AH222&lt;=1),"Rara vez",IF((INDEX('[3]Riesgos de Corrupción'!$B$11:$V$100,MATCH('Controles de Corrupción'!C222,'[3]Riesgos de Corrupción'!$B$11:$B$100,0),17)-AH222&lt;=2),"Improbable",IF((INDEX('[3]Riesgos de Corrupción'!$B$11:$V$100,MATCH('Controles de Corrupción'!C222,'[3]Riesgos de Corrupción'!$B$11:$B$100,0),17)-AH222&lt;=3),"Posible",IF((INDEX('[3]Riesgos de Corrupción'!$B$11:$V$100,MATCH('Controles de Corrupción'!C222,'[3]Riesgos de Corrupción'!$B$11:$B$100,0),17)-AH222&lt;=4),"Probable",IF((INDEX('[3]Riesgos de Corrupción'!$B$11:$V$100,MATCH('Controles de Corrupción'!C222,'[3]Riesgos de Corrupción'!$B$11:$B$100,0),17)-AH222&lt;=5),"Casi seguro")))))," ")</f>
        <v xml:space="preserve"> </v>
      </c>
      <c r="AJ222" s="8" t="str">
        <f>IFERROR(IF(OR(AND(AF222="Fuerte",H222="No disminuye"),AND(AF222="Moderado",H222="Indirectamente"),AND(AF222="Moderado",H222="No disminuye"),AND(INDEX('[3]Riesgos de Corrupción'!$B$11:$BN$100,MATCH('Controles de Corrupción'!C222,'[3]Riesgos de Corrupción'!$B$11:$B$100,0),63)="Moderado")),0,IF(OR(AND(AF222="Fuerte",H222="Indirectamente"),AND(AF222="Moderado",H222="Directamente"),AND(INDEX('[3]Riesgos de Corrupción'!$B$11:$BN$100,MATCH('Controles de Corrupción'!C222,'[3]Riesgos de Corrupción'!$B$11:$B$100,0),63)="Mayor")),1,IF(AND(AF222="Fuerte",H222="Directamente",AND(INDEX('[3]Riesgos de Corrupción'!$B$11:$BN$100,MATCH('Controles de Corrupción'!C222,'[3]Riesgos de Corrupción'!$B$11:$B$100,0),63)="Catastrófico")),2)))," ")</f>
        <v xml:space="preserve"> </v>
      </c>
      <c r="AK222" s="19" t="str">
        <f t="shared" si="85"/>
        <v xml:space="preserve"> </v>
      </c>
      <c r="AL222" s="19" t="str">
        <f>IFERROR(IF((INDEX('[3]Riesgos de Corrupción'!$B$11:$BN$100,MATCH('Controles de Corrupción'!C222,'[3]Riesgos de Corrupción'!$B$11:$B$100,0),62)-AK222&lt;=3),"Moderado",IF((INDEX('[3]Riesgos de Corrupción'!$B$11:$BN$100,MATCH('Controles de Corrupción'!C222,'[3]Riesgos de Corrupción'!$B$11:$B$100,0),62)-AK222&lt;=4),"Mayor",IF((INDEX('[3]Riesgos de Corrupción'!$B$11:$BN$100,MATCH('Controles de Corrupción'!C222,'[3]Riesgos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0" t="str">
        <f t="shared" si="72"/>
        <v>-</v>
      </c>
      <c r="C223" s="188"/>
      <c r="D223" s="170"/>
      <c r="E223" s="171"/>
      <c r="F223" s="129"/>
      <c r="G223" s="128"/>
      <c r="H223" s="23"/>
      <c r="I223" s="18"/>
      <c r="J223" s="80">
        <f t="shared" si="88"/>
        <v>0</v>
      </c>
      <c r="K223" s="18"/>
      <c r="L223" s="80">
        <f t="shared" si="89"/>
        <v>0</v>
      </c>
      <c r="M223" s="18"/>
      <c r="N223" s="80">
        <f t="shared" si="90"/>
        <v>0</v>
      </c>
      <c r="O223" s="18"/>
      <c r="P223" s="80">
        <f t="shared" si="91"/>
        <v>0</v>
      </c>
      <c r="Q223" s="18"/>
      <c r="R223" s="80">
        <f t="shared" si="92"/>
        <v>0</v>
      </c>
      <c r="S223" s="18"/>
      <c r="T223" s="80">
        <f t="shared" si="93"/>
        <v>0</v>
      </c>
      <c r="U223" s="18"/>
      <c r="V223" s="80">
        <f t="shared" si="73"/>
        <v>0</v>
      </c>
      <c r="W223" s="19" t="str">
        <f t="shared" si="74"/>
        <v xml:space="preserve"> </v>
      </c>
      <c r="X223" s="19" t="str">
        <f t="shared" si="75"/>
        <v xml:space="preserve"> </v>
      </c>
      <c r="Y223" s="19" t="str">
        <f t="shared" si="76"/>
        <v/>
      </c>
      <c r="Z223" s="23"/>
      <c r="AA223" s="19" t="str">
        <f t="shared" si="77"/>
        <v/>
      </c>
      <c r="AB223" s="19" t="str">
        <f t="shared" si="78"/>
        <v xml:space="preserve"> </v>
      </c>
      <c r="AC223" s="19" t="str">
        <f t="shared" si="79"/>
        <v/>
      </c>
      <c r="AD223" s="19" t="str">
        <f t="shared" si="80"/>
        <v xml:space="preserve"> </v>
      </c>
      <c r="AE223" s="125" t="str">
        <f t="shared" si="81"/>
        <v xml:space="preserve"> </v>
      </c>
      <c r="AF223" s="19" t="str">
        <f t="shared" si="82"/>
        <v xml:space="preserve"> </v>
      </c>
      <c r="AG223" s="50">
        <f t="shared" si="83"/>
        <v>0</v>
      </c>
      <c r="AH223" s="50" t="str">
        <f t="shared" si="84"/>
        <v xml:space="preserve"> </v>
      </c>
      <c r="AI223" s="36" t="str">
        <f>IFERROR(IF((INDEX('[3]Riesgos de Corrupción'!$B$11:$V$100,MATCH('Controles de Corrupción'!C223,'[3]Riesgos de Corrupción'!$B$11:$B$100,0),17)-AH223&lt;=1),"Rara vez",IF((INDEX('[3]Riesgos de Corrupción'!$B$11:$V$100,MATCH('Controles de Corrupción'!C223,'[3]Riesgos de Corrupción'!$B$11:$B$100,0),17)-AH223&lt;=2),"Improbable",IF((INDEX('[3]Riesgos de Corrupción'!$B$11:$V$100,MATCH('Controles de Corrupción'!C223,'[3]Riesgos de Corrupción'!$B$11:$B$100,0),17)-AH223&lt;=3),"Posible",IF((INDEX('[3]Riesgos de Corrupción'!$B$11:$V$100,MATCH('Controles de Corrupción'!C223,'[3]Riesgos de Corrupción'!$B$11:$B$100,0),17)-AH223&lt;=4),"Probable",IF((INDEX('[3]Riesgos de Corrupción'!$B$11:$V$100,MATCH('Controles de Corrupción'!C223,'[3]Riesgos de Corrupción'!$B$11:$B$100,0),17)-AH223&lt;=5),"Casi seguro")))))," ")</f>
        <v xml:space="preserve"> </v>
      </c>
      <c r="AJ223" s="8" t="str">
        <f>IFERROR(IF(OR(AND(AF223="Fuerte",H223="No disminuye"),AND(AF223="Moderado",H223="Indirectamente"),AND(AF223="Moderado",H223="No disminuye"),AND(INDEX('[3]Riesgos de Corrupción'!$B$11:$BN$100,MATCH('Controles de Corrupción'!C223,'[3]Riesgos de Corrupción'!$B$11:$B$100,0),63)="Moderado")),0,IF(OR(AND(AF223="Fuerte",H223="Indirectamente"),AND(AF223="Moderado",H223="Directamente"),AND(INDEX('[3]Riesgos de Corrupción'!$B$11:$BN$100,MATCH('Controles de Corrupción'!C223,'[3]Riesgos de Corrupción'!$B$11:$B$100,0),63)="Mayor")),1,IF(AND(AF223="Fuerte",H223="Directamente",AND(INDEX('[3]Riesgos de Corrupción'!$B$11:$BN$100,MATCH('Controles de Corrupción'!C223,'[3]Riesgos de Corrupción'!$B$11:$B$100,0),63)="Catastrófico")),2)))," ")</f>
        <v xml:space="preserve"> </v>
      </c>
      <c r="AK223" s="19" t="str">
        <f t="shared" si="85"/>
        <v xml:space="preserve"> </v>
      </c>
      <c r="AL223" s="19" t="str">
        <f>IFERROR(IF((INDEX('[3]Riesgos de Corrupción'!$B$11:$BN$100,MATCH('Controles de Corrupción'!C223,'[3]Riesgos de Corrupción'!$B$11:$B$100,0),62)-AK223&lt;=3),"Moderado",IF((INDEX('[3]Riesgos de Corrupción'!$B$11:$BN$100,MATCH('Controles de Corrupción'!C223,'[3]Riesgos de Corrupción'!$B$11:$B$100,0),62)-AK223&lt;=4),"Mayor",IF((INDEX('[3]Riesgos de Corrupción'!$B$11:$BN$100,MATCH('Controles de Corrupción'!C223,'[3]Riesgos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0" t="str">
        <f t="shared" si="72"/>
        <v>-</v>
      </c>
      <c r="C224" s="188"/>
      <c r="D224" s="170"/>
      <c r="E224" s="171"/>
      <c r="F224" s="129"/>
      <c r="G224" s="128"/>
      <c r="H224" s="23"/>
      <c r="I224" s="18"/>
      <c r="J224" s="80">
        <f t="shared" si="88"/>
        <v>0</v>
      </c>
      <c r="K224" s="18"/>
      <c r="L224" s="80">
        <f t="shared" si="89"/>
        <v>0</v>
      </c>
      <c r="M224" s="18"/>
      <c r="N224" s="80">
        <f t="shared" si="90"/>
        <v>0</v>
      </c>
      <c r="O224" s="18"/>
      <c r="P224" s="80">
        <f t="shared" si="91"/>
        <v>0</v>
      </c>
      <c r="Q224" s="18"/>
      <c r="R224" s="80">
        <f t="shared" si="92"/>
        <v>0</v>
      </c>
      <c r="S224" s="18"/>
      <c r="T224" s="80">
        <f t="shared" si="93"/>
        <v>0</v>
      </c>
      <c r="U224" s="18"/>
      <c r="V224" s="80">
        <f t="shared" si="73"/>
        <v>0</v>
      </c>
      <c r="W224" s="19" t="str">
        <f t="shared" si="74"/>
        <v xml:space="preserve"> </v>
      </c>
      <c r="X224" s="19" t="str">
        <f t="shared" si="75"/>
        <v xml:space="preserve"> </v>
      </c>
      <c r="Y224" s="19" t="str">
        <f t="shared" si="76"/>
        <v/>
      </c>
      <c r="Z224" s="23"/>
      <c r="AA224" s="19" t="str">
        <f t="shared" si="77"/>
        <v/>
      </c>
      <c r="AB224" s="19" t="str">
        <f t="shared" si="78"/>
        <v xml:space="preserve"> </v>
      </c>
      <c r="AC224" s="19" t="str">
        <f t="shared" si="79"/>
        <v/>
      </c>
      <c r="AD224" s="19" t="str">
        <f t="shared" si="80"/>
        <v xml:space="preserve"> </v>
      </c>
      <c r="AE224" s="125" t="str">
        <f t="shared" si="81"/>
        <v xml:space="preserve"> </v>
      </c>
      <c r="AF224" s="19" t="str">
        <f t="shared" si="82"/>
        <v xml:space="preserve"> </v>
      </c>
      <c r="AG224" s="50">
        <f t="shared" si="83"/>
        <v>0</v>
      </c>
      <c r="AH224" s="50" t="str">
        <f t="shared" si="84"/>
        <v xml:space="preserve"> </v>
      </c>
      <c r="AI224" s="36" t="str">
        <f>IFERROR(IF((INDEX('[3]Riesgos de Corrupción'!$B$11:$V$100,MATCH('Controles de Corrupción'!C224,'[3]Riesgos de Corrupción'!$B$11:$B$100,0),17)-AH224&lt;=1),"Rara vez",IF((INDEX('[3]Riesgos de Corrupción'!$B$11:$V$100,MATCH('Controles de Corrupción'!C224,'[3]Riesgos de Corrupción'!$B$11:$B$100,0),17)-AH224&lt;=2),"Improbable",IF((INDEX('[3]Riesgos de Corrupción'!$B$11:$V$100,MATCH('Controles de Corrupción'!C224,'[3]Riesgos de Corrupción'!$B$11:$B$100,0),17)-AH224&lt;=3),"Posible",IF((INDEX('[3]Riesgos de Corrupción'!$B$11:$V$100,MATCH('Controles de Corrupción'!C224,'[3]Riesgos de Corrupción'!$B$11:$B$100,0),17)-AH224&lt;=4),"Probable",IF((INDEX('[3]Riesgos de Corrupción'!$B$11:$V$100,MATCH('Controles de Corrupción'!C224,'[3]Riesgos de Corrupción'!$B$11:$B$100,0),17)-AH224&lt;=5),"Casi seguro")))))," ")</f>
        <v xml:space="preserve"> </v>
      </c>
      <c r="AJ224" s="8" t="str">
        <f>IFERROR(IF(OR(AND(AF224="Fuerte",H224="No disminuye"),AND(AF224="Moderado",H224="Indirectamente"),AND(AF224="Moderado",H224="No disminuye"),AND(INDEX('[3]Riesgos de Corrupción'!$B$11:$BN$100,MATCH('Controles de Corrupción'!C224,'[3]Riesgos de Corrupción'!$B$11:$B$100,0),63)="Moderado")),0,IF(OR(AND(AF224="Fuerte",H224="Indirectamente"),AND(AF224="Moderado",H224="Directamente"),AND(INDEX('[3]Riesgos de Corrupción'!$B$11:$BN$100,MATCH('Controles de Corrupción'!C224,'[3]Riesgos de Corrupción'!$B$11:$B$100,0),63)="Mayor")),1,IF(AND(AF224="Fuerte",H224="Directamente",AND(INDEX('[3]Riesgos de Corrupción'!$B$11:$BN$100,MATCH('Controles de Corrupción'!C224,'[3]Riesgos de Corrupción'!$B$11:$B$100,0),63)="Catastrófico")),2)))," ")</f>
        <v xml:space="preserve"> </v>
      </c>
      <c r="AK224" s="19" t="str">
        <f t="shared" si="85"/>
        <v xml:space="preserve"> </v>
      </c>
      <c r="AL224" s="19" t="str">
        <f>IFERROR(IF((INDEX('[3]Riesgos de Corrupción'!$B$11:$BN$100,MATCH('Controles de Corrupción'!C224,'[3]Riesgos de Corrupción'!$B$11:$B$100,0),62)-AK224&lt;=3),"Moderado",IF((INDEX('[3]Riesgos de Corrupción'!$B$11:$BN$100,MATCH('Controles de Corrupción'!C224,'[3]Riesgos de Corrupción'!$B$11:$B$100,0),62)-AK224&lt;=4),"Mayor",IF((INDEX('[3]Riesgos de Corrupción'!$B$11:$BN$100,MATCH('Controles de Corrupción'!C224,'[3]Riesgos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0" t="str">
        <f t="shared" si="72"/>
        <v>-</v>
      </c>
      <c r="C225" s="188"/>
      <c r="D225" s="170"/>
      <c r="E225" s="171"/>
      <c r="F225" s="129"/>
      <c r="G225" s="128"/>
      <c r="H225" s="23"/>
      <c r="I225" s="18"/>
      <c r="J225" s="80">
        <f t="shared" si="88"/>
        <v>0</v>
      </c>
      <c r="K225" s="18"/>
      <c r="L225" s="80">
        <f t="shared" si="89"/>
        <v>0</v>
      </c>
      <c r="M225" s="18"/>
      <c r="N225" s="80">
        <f t="shared" si="90"/>
        <v>0</v>
      </c>
      <c r="O225" s="18"/>
      <c r="P225" s="80">
        <f t="shared" si="91"/>
        <v>0</v>
      </c>
      <c r="Q225" s="18"/>
      <c r="R225" s="80">
        <f t="shared" si="92"/>
        <v>0</v>
      </c>
      <c r="S225" s="18"/>
      <c r="T225" s="80">
        <f t="shared" si="93"/>
        <v>0</v>
      </c>
      <c r="U225" s="18"/>
      <c r="V225" s="80">
        <f t="shared" si="73"/>
        <v>0</v>
      </c>
      <c r="W225" s="19" t="str">
        <f t="shared" si="74"/>
        <v xml:space="preserve"> </v>
      </c>
      <c r="X225" s="19" t="str">
        <f t="shared" si="75"/>
        <v xml:space="preserve"> </v>
      </c>
      <c r="Y225" s="19" t="str">
        <f t="shared" si="76"/>
        <v/>
      </c>
      <c r="Z225" s="23"/>
      <c r="AA225" s="19" t="str">
        <f t="shared" si="77"/>
        <v/>
      </c>
      <c r="AB225" s="19" t="str">
        <f t="shared" si="78"/>
        <v xml:space="preserve"> </v>
      </c>
      <c r="AC225" s="19" t="str">
        <f t="shared" si="79"/>
        <v/>
      </c>
      <c r="AD225" s="19" t="str">
        <f t="shared" si="80"/>
        <v xml:space="preserve"> </v>
      </c>
      <c r="AE225" s="125" t="str">
        <f t="shared" si="81"/>
        <v xml:space="preserve"> </v>
      </c>
      <c r="AF225" s="19" t="str">
        <f t="shared" si="82"/>
        <v xml:space="preserve"> </v>
      </c>
      <c r="AG225" s="50">
        <f t="shared" si="83"/>
        <v>0</v>
      </c>
      <c r="AH225" s="50" t="str">
        <f t="shared" si="84"/>
        <v xml:space="preserve"> </v>
      </c>
      <c r="AI225" s="36" t="str">
        <f>IFERROR(IF((INDEX('[3]Riesgos de Corrupción'!$B$11:$V$100,MATCH('Controles de Corrupción'!C225,'[3]Riesgos de Corrupción'!$B$11:$B$100,0),17)-AH225&lt;=1),"Rara vez",IF((INDEX('[3]Riesgos de Corrupción'!$B$11:$V$100,MATCH('Controles de Corrupción'!C225,'[3]Riesgos de Corrupción'!$B$11:$B$100,0),17)-AH225&lt;=2),"Improbable",IF((INDEX('[3]Riesgos de Corrupción'!$B$11:$V$100,MATCH('Controles de Corrupción'!C225,'[3]Riesgos de Corrupción'!$B$11:$B$100,0),17)-AH225&lt;=3),"Posible",IF((INDEX('[3]Riesgos de Corrupción'!$B$11:$V$100,MATCH('Controles de Corrupción'!C225,'[3]Riesgos de Corrupción'!$B$11:$B$100,0),17)-AH225&lt;=4),"Probable",IF((INDEX('[3]Riesgos de Corrupción'!$B$11:$V$100,MATCH('Controles de Corrupción'!C225,'[3]Riesgos de Corrupción'!$B$11:$B$100,0),17)-AH225&lt;=5),"Casi seguro")))))," ")</f>
        <v xml:space="preserve"> </v>
      </c>
      <c r="AJ225" s="8" t="str">
        <f>IFERROR(IF(OR(AND(AF225="Fuerte",H225="No disminuye"),AND(AF225="Moderado",H225="Indirectamente"),AND(AF225="Moderado",H225="No disminuye"),AND(INDEX('[3]Riesgos de Corrupción'!$B$11:$BN$100,MATCH('Controles de Corrupción'!C225,'[3]Riesgos de Corrupción'!$B$11:$B$100,0),63)="Moderado")),0,IF(OR(AND(AF225="Fuerte",H225="Indirectamente"),AND(AF225="Moderado",H225="Directamente"),AND(INDEX('[3]Riesgos de Corrupción'!$B$11:$BN$100,MATCH('Controles de Corrupción'!C225,'[3]Riesgos de Corrupción'!$B$11:$B$100,0),63)="Mayor")),1,IF(AND(AF225="Fuerte",H225="Directamente",AND(INDEX('[3]Riesgos de Corrupción'!$B$11:$BN$100,MATCH('Controles de Corrupción'!C225,'[3]Riesgos de Corrupción'!$B$11:$B$100,0),63)="Catastrófico")),2)))," ")</f>
        <v xml:space="preserve"> </v>
      </c>
      <c r="AK225" s="19" t="str">
        <f t="shared" si="85"/>
        <v xml:space="preserve"> </v>
      </c>
      <c r="AL225" s="19" t="str">
        <f>IFERROR(IF((INDEX('[3]Riesgos de Corrupción'!$B$11:$BN$100,MATCH('Controles de Corrupción'!C225,'[3]Riesgos de Corrupción'!$B$11:$B$100,0),62)-AK225&lt;=3),"Moderado",IF((INDEX('[3]Riesgos de Corrupción'!$B$11:$BN$100,MATCH('Controles de Corrupción'!C225,'[3]Riesgos de Corrupción'!$B$11:$B$100,0),62)-AK225&lt;=4),"Mayor",IF((INDEX('[3]Riesgos de Corrupción'!$B$11:$BN$100,MATCH('Controles de Corrupción'!C225,'[3]Riesgos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0" t="str">
        <f t="shared" si="72"/>
        <v>-</v>
      </c>
      <c r="C226" s="188"/>
      <c r="D226" s="170"/>
      <c r="E226" s="171"/>
      <c r="F226" s="129"/>
      <c r="G226" s="128"/>
      <c r="H226" s="23"/>
      <c r="I226" s="18"/>
      <c r="J226" s="80">
        <f t="shared" si="88"/>
        <v>0</v>
      </c>
      <c r="K226" s="18"/>
      <c r="L226" s="80">
        <f t="shared" si="89"/>
        <v>0</v>
      </c>
      <c r="M226" s="18"/>
      <c r="N226" s="80">
        <f t="shared" si="90"/>
        <v>0</v>
      </c>
      <c r="O226" s="18"/>
      <c r="P226" s="80">
        <f t="shared" si="91"/>
        <v>0</v>
      </c>
      <c r="Q226" s="18"/>
      <c r="R226" s="80">
        <f t="shared" si="92"/>
        <v>0</v>
      </c>
      <c r="S226" s="18"/>
      <c r="T226" s="80">
        <f t="shared" si="93"/>
        <v>0</v>
      </c>
      <c r="U226" s="18"/>
      <c r="V226" s="80">
        <f t="shared" si="73"/>
        <v>0</v>
      </c>
      <c r="W226" s="19" t="str">
        <f t="shared" si="74"/>
        <v xml:space="preserve"> </v>
      </c>
      <c r="X226" s="19" t="str">
        <f t="shared" si="75"/>
        <v xml:space="preserve"> </v>
      </c>
      <c r="Y226" s="19" t="str">
        <f t="shared" si="76"/>
        <v/>
      </c>
      <c r="Z226" s="23"/>
      <c r="AA226" s="19" t="str">
        <f t="shared" si="77"/>
        <v/>
      </c>
      <c r="AB226" s="19" t="str">
        <f t="shared" si="78"/>
        <v xml:space="preserve"> </v>
      </c>
      <c r="AC226" s="19" t="str">
        <f t="shared" si="79"/>
        <v/>
      </c>
      <c r="AD226" s="19" t="str">
        <f t="shared" si="80"/>
        <v xml:space="preserve"> </v>
      </c>
      <c r="AE226" s="125" t="str">
        <f t="shared" si="81"/>
        <v xml:space="preserve"> </v>
      </c>
      <c r="AF226" s="19" t="str">
        <f t="shared" si="82"/>
        <v xml:space="preserve"> </v>
      </c>
      <c r="AG226" s="50">
        <f t="shared" si="83"/>
        <v>0</v>
      </c>
      <c r="AH226" s="50" t="str">
        <f t="shared" si="84"/>
        <v xml:space="preserve"> </v>
      </c>
      <c r="AI226" s="36" t="str">
        <f>IFERROR(IF((INDEX('[3]Riesgos de Corrupción'!$B$11:$V$100,MATCH('Controles de Corrupción'!C226,'[3]Riesgos de Corrupción'!$B$11:$B$100,0),17)-AH226&lt;=1),"Rara vez",IF((INDEX('[3]Riesgos de Corrupción'!$B$11:$V$100,MATCH('Controles de Corrupción'!C226,'[3]Riesgos de Corrupción'!$B$11:$B$100,0),17)-AH226&lt;=2),"Improbable",IF((INDEX('[3]Riesgos de Corrupción'!$B$11:$V$100,MATCH('Controles de Corrupción'!C226,'[3]Riesgos de Corrupción'!$B$11:$B$100,0),17)-AH226&lt;=3),"Posible",IF((INDEX('[3]Riesgos de Corrupción'!$B$11:$V$100,MATCH('Controles de Corrupción'!C226,'[3]Riesgos de Corrupción'!$B$11:$B$100,0),17)-AH226&lt;=4),"Probable",IF((INDEX('[3]Riesgos de Corrupción'!$B$11:$V$100,MATCH('Controles de Corrupción'!C226,'[3]Riesgos de Corrupción'!$B$11:$B$100,0),17)-AH226&lt;=5),"Casi seguro")))))," ")</f>
        <v xml:space="preserve"> </v>
      </c>
      <c r="AJ226" s="8" t="str">
        <f>IFERROR(IF(OR(AND(AF226="Fuerte",H226="No disminuye"),AND(AF226="Moderado",H226="Indirectamente"),AND(AF226="Moderado",H226="No disminuye"),AND(INDEX('[3]Riesgos de Corrupción'!$B$11:$BN$100,MATCH('Controles de Corrupción'!C226,'[3]Riesgos de Corrupción'!$B$11:$B$100,0),63)="Moderado")),0,IF(OR(AND(AF226="Fuerte",H226="Indirectamente"),AND(AF226="Moderado",H226="Directamente"),AND(INDEX('[3]Riesgos de Corrupción'!$B$11:$BN$100,MATCH('Controles de Corrupción'!C226,'[3]Riesgos de Corrupción'!$B$11:$B$100,0),63)="Mayor")),1,IF(AND(AF226="Fuerte",H226="Directamente",AND(INDEX('[3]Riesgos de Corrupción'!$B$11:$BN$100,MATCH('Controles de Corrupción'!C226,'[3]Riesgos de Corrupción'!$B$11:$B$100,0),63)="Catastrófico")),2)))," ")</f>
        <v xml:space="preserve"> </v>
      </c>
      <c r="AK226" s="19" t="str">
        <f t="shared" si="85"/>
        <v xml:space="preserve"> </v>
      </c>
      <c r="AL226" s="19" t="str">
        <f>IFERROR(IF((INDEX('[3]Riesgos de Corrupción'!$B$11:$BN$100,MATCH('Controles de Corrupción'!C226,'[3]Riesgos de Corrupción'!$B$11:$B$100,0),62)-AK226&lt;=3),"Moderado",IF((INDEX('[3]Riesgos de Corrupción'!$B$11:$BN$100,MATCH('Controles de Corrupción'!C226,'[3]Riesgos de Corrupción'!$B$11:$B$100,0),62)-AK226&lt;=4),"Mayor",IF((INDEX('[3]Riesgos de Corrupción'!$B$11:$BN$100,MATCH('Controles de Corrupción'!C226,'[3]Riesgos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0" t="str">
        <f t="shared" si="72"/>
        <v>-</v>
      </c>
      <c r="C227" s="188"/>
      <c r="D227" s="170"/>
      <c r="E227" s="171"/>
      <c r="F227" s="129"/>
      <c r="G227" s="128"/>
      <c r="H227" s="23"/>
      <c r="I227" s="18"/>
      <c r="J227" s="80">
        <f t="shared" si="88"/>
        <v>0</v>
      </c>
      <c r="K227" s="18"/>
      <c r="L227" s="80">
        <f t="shared" si="89"/>
        <v>0</v>
      </c>
      <c r="M227" s="18"/>
      <c r="N227" s="80">
        <f t="shared" si="90"/>
        <v>0</v>
      </c>
      <c r="O227" s="18"/>
      <c r="P227" s="80">
        <f t="shared" si="91"/>
        <v>0</v>
      </c>
      <c r="Q227" s="18"/>
      <c r="R227" s="80">
        <f t="shared" si="92"/>
        <v>0</v>
      </c>
      <c r="S227" s="18"/>
      <c r="T227" s="80">
        <f t="shared" si="93"/>
        <v>0</v>
      </c>
      <c r="U227" s="18"/>
      <c r="V227" s="80">
        <f t="shared" si="73"/>
        <v>0</v>
      </c>
      <c r="W227" s="19" t="str">
        <f t="shared" si="74"/>
        <v xml:space="preserve"> </v>
      </c>
      <c r="X227" s="19" t="str">
        <f t="shared" si="75"/>
        <v xml:space="preserve"> </v>
      </c>
      <c r="Y227" s="19" t="str">
        <f t="shared" si="76"/>
        <v/>
      </c>
      <c r="Z227" s="23"/>
      <c r="AA227" s="19" t="str">
        <f t="shared" si="77"/>
        <v/>
      </c>
      <c r="AB227" s="19" t="str">
        <f t="shared" si="78"/>
        <v xml:space="preserve"> </v>
      </c>
      <c r="AC227" s="19" t="str">
        <f t="shared" si="79"/>
        <v/>
      </c>
      <c r="AD227" s="19" t="str">
        <f t="shared" si="80"/>
        <v xml:space="preserve"> </v>
      </c>
      <c r="AE227" s="125" t="str">
        <f t="shared" si="81"/>
        <v xml:space="preserve"> </v>
      </c>
      <c r="AF227" s="19" t="str">
        <f t="shared" si="82"/>
        <v xml:space="preserve"> </v>
      </c>
      <c r="AG227" s="50">
        <f t="shared" si="83"/>
        <v>0</v>
      </c>
      <c r="AH227" s="50" t="str">
        <f t="shared" si="84"/>
        <v xml:space="preserve"> </v>
      </c>
      <c r="AI227" s="36" t="str">
        <f>IFERROR(IF((INDEX('[3]Riesgos de Corrupción'!$B$11:$V$100,MATCH('Controles de Corrupción'!C227,'[3]Riesgos de Corrupción'!$B$11:$B$100,0),17)-AH227&lt;=1),"Rara vez",IF((INDEX('[3]Riesgos de Corrupción'!$B$11:$V$100,MATCH('Controles de Corrupción'!C227,'[3]Riesgos de Corrupción'!$B$11:$B$100,0),17)-AH227&lt;=2),"Improbable",IF((INDEX('[3]Riesgos de Corrupción'!$B$11:$V$100,MATCH('Controles de Corrupción'!C227,'[3]Riesgos de Corrupción'!$B$11:$B$100,0),17)-AH227&lt;=3),"Posible",IF((INDEX('[3]Riesgos de Corrupción'!$B$11:$V$100,MATCH('Controles de Corrupción'!C227,'[3]Riesgos de Corrupción'!$B$11:$B$100,0),17)-AH227&lt;=4),"Probable",IF((INDEX('[3]Riesgos de Corrupción'!$B$11:$V$100,MATCH('Controles de Corrupción'!C227,'[3]Riesgos de Corrupción'!$B$11:$B$100,0),17)-AH227&lt;=5),"Casi seguro")))))," ")</f>
        <v xml:space="preserve"> </v>
      </c>
      <c r="AJ227" s="8" t="str">
        <f>IFERROR(IF(OR(AND(AF227="Fuerte",H227="No disminuye"),AND(AF227="Moderado",H227="Indirectamente"),AND(AF227="Moderado",H227="No disminuye"),AND(INDEX('[3]Riesgos de Corrupción'!$B$11:$BN$100,MATCH('Controles de Corrupción'!C227,'[3]Riesgos de Corrupción'!$B$11:$B$100,0),63)="Moderado")),0,IF(OR(AND(AF227="Fuerte",H227="Indirectamente"),AND(AF227="Moderado",H227="Directamente"),AND(INDEX('[3]Riesgos de Corrupción'!$B$11:$BN$100,MATCH('Controles de Corrupción'!C227,'[3]Riesgos de Corrupción'!$B$11:$B$100,0),63)="Mayor")),1,IF(AND(AF227="Fuerte",H227="Directamente",AND(INDEX('[3]Riesgos de Corrupción'!$B$11:$BN$100,MATCH('Controles de Corrupción'!C227,'[3]Riesgos de Corrupción'!$B$11:$B$100,0),63)="Catastrófico")),2)))," ")</f>
        <v xml:space="preserve"> </v>
      </c>
      <c r="AK227" s="19" t="str">
        <f t="shared" si="85"/>
        <v xml:space="preserve"> </v>
      </c>
      <c r="AL227" s="19" t="str">
        <f>IFERROR(IF((INDEX('[3]Riesgos de Corrupción'!$B$11:$BN$100,MATCH('Controles de Corrupción'!C227,'[3]Riesgos de Corrupción'!$B$11:$B$100,0),62)-AK227&lt;=3),"Moderado",IF((INDEX('[3]Riesgos de Corrupción'!$B$11:$BN$100,MATCH('Controles de Corrupción'!C227,'[3]Riesgos de Corrupción'!$B$11:$B$100,0),62)-AK227&lt;=4),"Mayor",IF((INDEX('[3]Riesgos de Corrupción'!$B$11:$BN$100,MATCH('Controles de Corrupción'!C227,'[3]Riesgos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0" t="str">
        <f t="shared" si="72"/>
        <v>-</v>
      </c>
      <c r="C228" s="188"/>
      <c r="D228" s="170"/>
      <c r="E228" s="171"/>
      <c r="F228" s="129"/>
      <c r="G228" s="128"/>
      <c r="H228" s="23"/>
      <c r="I228" s="18"/>
      <c r="J228" s="80">
        <f t="shared" si="88"/>
        <v>0</v>
      </c>
      <c r="K228" s="18"/>
      <c r="L228" s="80">
        <f t="shared" si="89"/>
        <v>0</v>
      </c>
      <c r="M228" s="18"/>
      <c r="N228" s="80">
        <f t="shared" si="90"/>
        <v>0</v>
      </c>
      <c r="O228" s="18"/>
      <c r="P228" s="80">
        <f t="shared" si="91"/>
        <v>0</v>
      </c>
      <c r="Q228" s="18"/>
      <c r="R228" s="80">
        <f t="shared" si="92"/>
        <v>0</v>
      </c>
      <c r="S228" s="18"/>
      <c r="T228" s="80">
        <f t="shared" si="93"/>
        <v>0</v>
      </c>
      <c r="U228" s="18"/>
      <c r="V228" s="80">
        <f t="shared" si="73"/>
        <v>0</v>
      </c>
      <c r="W228" s="19" t="str">
        <f t="shared" si="74"/>
        <v xml:space="preserve"> </v>
      </c>
      <c r="X228" s="19" t="str">
        <f t="shared" si="75"/>
        <v xml:space="preserve"> </v>
      </c>
      <c r="Y228" s="19" t="str">
        <f t="shared" si="76"/>
        <v/>
      </c>
      <c r="Z228" s="23"/>
      <c r="AA228" s="19" t="str">
        <f t="shared" si="77"/>
        <v/>
      </c>
      <c r="AB228" s="19" t="str">
        <f t="shared" si="78"/>
        <v xml:space="preserve"> </v>
      </c>
      <c r="AC228" s="19" t="str">
        <f t="shared" si="79"/>
        <v/>
      </c>
      <c r="AD228" s="19" t="str">
        <f t="shared" si="80"/>
        <v xml:space="preserve"> </v>
      </c>
      <c r="AE228" s="125" t="str">
        <f t="shared" si="81"/>
        <v xml:space="preserve"> </v>
      </c>
      <c r="AF228" s="19" t="str">
        <f t="shared" si="82"/>
        <v xml:space="preserve"> </v>
      </c>
      <c r="AG228" s="50">
        <f t="shared" si="83"/>
        <v>0</v>
      </c>
      <c r="AH228" s="50" t="str">
        <f t="shared" si="84"/>
        <v xml:space="preserve"> </v>
      </c>
      <c r="AI228" s="36" t="str">
        <f>IFERROR(IF((INDEX('[3]Riesgos de Corrupción'!$B$11:$V$100,MATCH('Controles de Corrupción'!C228,'[3]Riesgos de Corrupción'!$B$11:$B$100,0),17)-AH228&lt;=1),"Rara vez",IF((INDEX('[3]Riesgos de Corrupción'!$B$11:$V$100,MATCH('Controles de Corrupción'!C228,'[3]Riesgos de Corrupción'!$B$11:$B$100,0),17)-AH228&lt;=2),"Improbable",IF((INDEX('[3]Riesgos de Corrupción'!$B$11:$V$100,MATCH('Controles de Corrupción'!C228,'[3]Riesgos de Corrupción'!$B$11:$B$100,0),17)-AH228&lt;=3),"Posible",IF((INDEX('[3]Riesgos de Corrupción'!$B$11:$V$100,MATCH('Controles de Corrupción'!C228,'[3]Riesgos de Corrupción'!$B$11:$B$100,0),17)-AH228&lt;=4),"Probable",IF((INDEX('[3]Riesgos de Corrupción'!$B$11:$V$100,MATCH('Controles de Corrupción'!C228,'[3]Riesgos de Corrupción'!$B$11:$B$100,0),17)-AH228&lt;=5),"Casi seguro")))))," ")</f>
        <v xml:space="preserve"> </v>
      </c>
      <c r="AJ228" s="8" t="str">
        <f>IFERROR(IF(OR(AND(AF228="Fuerte",H228="No disminuye"),AND(AF228="Moderado",H228="Indirectamente"),AND(AF228="Moderado",H228="No disminuye"),AND(INDEX('[3]Riesgos de Corrupción'!$B$11:$BN$100,MATCH('Controles de Corrupción'!C228,'[3]Riesgos de Corrupción'!$B$11:$B$100,0),63)="Moderado")),0,IF(OR(AND(AF228="Fuerte",H228="Indirectamente"),AND(AF228="Moderado",H228="Directamente"),AND(INDEX('[3]Riesgos de Corrupción'!$B$11:$BN$100,MATCH('Controles de Corrupción'!C228,'[3]Riesgos de Corrupción'!$B$11:$B$100,0),63)="Mayor")),1,IF(AND(AF228="Fuerte",H228="Directamente",AND(INDEX('[3]Riesgos de Corrupción'!$B$11:$BN$100,MATCH('Controles de Corrupción'!C228,'[3]Riesgos de Corrupción'!$B$11:$B$100,0),63)="Catastrófico")),2)))," ")</f>
        <v xml:space="preserve"> </v>
      </c>
      <c r="AK228" s="19" t="str">
        <f t="shared" si="85"/>
        <v xml:space="preserve"> </v>
      </c>
      <c r="AL228" s="19" t="str">
        <f>IFERROR(IF((INDEX('[3]Riesgos de Corrupción'!$B$11:$BN$100,MATCH('Controles de Corrupción'!C228,'[3]Riesgos de Corrupción'!$B$11:$B$100,0),62)-AK228&lt;=3),"Moderado",IF((INDEX('[3]Riesgos de Corrupción'!$B$11:$BN$100,MATCH('Controles de Corrupción'!C228,'[3]Riesgos de Corrupción'!$B$11:$B$100,0),62)-AK228&lt;=4),"Mayor",IF((INDEX('[3]Riesgos de Corrupción'!$B$11:$BN$100,MATCH('Controles de Corrupción'!C228,'[3]Riesgos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0" t="str">
        <f t="shared" si="72"/>
        <v>-</v>
      </c>
      <c r="C229" s="188"/>
      <c r="D229" s="170"/>
      <c r="E229" s="171"/>
      <c r="F229" s="129"/>
      <c r="G229" s="128"/>
      <c r="H229" s="23"/>
      <c r="I229" s="18"/>
      <c r="J229" s="80">
        <f t="shared" si="88"/>
        <v>0</v>
      </c>
      <c r="K229" s="18"/>
      <c r="L229" s="80">
        <f t="shared" si="89"/>
        <v>0</v>
      </c>
      <c r="M229" s="18"/>
      <c r="N229" s="80">
        <f t="shared" si="90"/>
        <v>0</v>
      </c>
      <c r="O229" s="18"/>
      <c r="P229" s="80">
        <f t="shared" si="91"/>
        <v>0</v>
      </c>
      <c r="Q229" s="18"/>
      <c r="R229" s="80">
        <f t="shared" si="92"/>
        <v>0</v>
      </c>
      <c r="S229" s="18"/>
      <c r="T229" s="80">
        <f t="shared" si="93"/>
        <v>0</v>
      </c>
      <c r="U229" s="18"/>
      <c r="V229" s="80">
        <f t="shared" si="73"/>
        <v>0</v>
      </c>
      <c r="W229" s="19" t="str">
        <f t="shared" si="74"/>
        <v xml:space="preserve"> </v>
      </c>
      <c r="X229" s="19" t="str">
        <f t="shared" si="75"/>
        <v xml:space="preserve"> </v>
      </c>
      <c r="Y229" s="19" t="str">
        <f t="shared" si="76"/>
        <v/>
      </c>
      <c r="Z229" s="23"/>
      <c r="AA229" s="19" t="str">
        <f t="shared" si="77"/>
        <v/>
      </c>
      <c r="AB229" s="19" t="str">
        <f t="shared" si="78"/>
        <v xml:space="preserve"> </v>
      </c>
      <c r="AC229" s="19" t="str">
        <f t="shared" si="79"/>
        <v/>
      </c>
      <c r="AD229" s="19" t="str">
        <f t="shared" si="80"/>
        <v xml:space="preserve"> </v>
      </c>
      <c r="AE229" s="125" t="str">
        <f t="shared" si="81"/>
        <v xml:space="preserve"> </v>
      </c>
      <c r="AF229" s="19" t="str">
        <f t="shared" si="82"/>
        <v xml:space="preserve"> </v>
      </c>
      <c r="AG229" s="50">
        <f t="shared" si="83"/>
        <v>0</v>
      </c>
      <c r="AH229" s="50" t="str">
        <f t="shared" si="84"/>
        <v xml:space="preserve"> </v>
      </c>
      <c r="AI229" s="36" t="str">
        <f>IFERROR(IF((INDEX('[3]Riesgos de Corrupción'!$B$11:$V$100,MATCH('Controles de Corrupción'!C229,'[3]Riesgos de Corrupción'!$B$11:$B$100,0),17)-AH229&lt;=1),"Rara vez",IF((INDEX('[3]Riesgos de Corrupción'!$B$11:$V$100,MATCH('Controles de Corrupción'!C229,'[3]Riesgos de Corrupción'!$B$11:$B$100,0),17)-AH229&lt;=2),"Improbable",IF((INDEX('[3]Riesgos de Corrupción'!$B$11:$V$100,MATCH('Controles de Corrupción'!C229,'[3]Riesgos de Corrupción'!$B$11:$B$100,0),17)-AH229&lt;=3),"Posible",IF((INDEX('[3]Riesgos de Corrupción'!$B$11:$V$100,MATCH('Controles de Corrupción'!C229,'[3]Riesgos de Corrupción'!$B$11:$B$100,0),17)-AH229&lt;=4),"Probable",IF((INDEX('[3]Riesgos de Corrupción'!$B$11:$V$100,MATCH('Controles de Corrupción'!C229,'[3]Riesgos de Corrupción'!$B$11:$B$100,0),17)-AH229&lt;=5),"Casi seguro")))))," ")</f>
        <v xml:space="preserve"> </v>
      </c>
      <c r="AJ229" s="8" t="str">
        <f>IFERROR(IF(OR(AND(AF229="Fuerte",H229="No disminuye"),AND(AF229="Moderado",H229="Indirectamente"),AND(AF229="Moderado",H229="No disminuye"),AND(INDEX('[3]Riesgos de Corrupción'!$B$11:$BN$100,MATCH('Controles de Corrupción'!C229,'[3]Riesgos de Corrupción'!$B$11:$B$100,0),63)="Moderado")),0,IF(OR(AND(AF229="Fuerte",H229="Indirectamente"),AND(AF229="Moderado",H229="Directamente"),AND(INDEX('[3]Riesgos de Corrupción'!$B$11:$BN$100,MATCH('Controles de Corrupción'!C229,'[3]Riesgos de Corrupción'!$B$11:$B$100,0),63)="Mayor")),1,IF(AND(AF229="Fuerte",H229="Directamente",AND(INDEX('[3]Riesgos de Corrupción'!$B$11:$BN$100,MATCH('Controles de Corrupción'!C229,'[3]Riesgos de Corrupción'!$B$11:$B$100,0),63)="Catastrófico")),2)))," ")</f>
        <v xml:space="preserve"> </v>
      </c>
      <c r="AK229" s="19" t="str">
        <f t="shared" si="85"/>
        <v xml:space="preserve"> </v>
      </c>
      <c r="AL229" s="19" t="str">
        <f>IFERROR(IF((INDEX('[3]Riesgos de Corrupción'!$B$11:$BN$100,MATCH('Controles de Corrupción'!C229,'[3]Riesgos de Corrupción'!$B$11:$B$100,0),62)-AK229&lt;=3),"Moderado",IF((INDEX('[3]Riesgos de Corrupción'!$B$11:$BN$100,MATCH('Controles de Corrupción'!C229,'[3]Riesgos de Corrupción'!$B$11:$B$100,0),62)-AK229&lt;=4),"Mayor",IF((INDEX('[3]Riesgos de Corrupción'!$B$11:$BN$100,MATCH('Controles de Corrupción'!C229,'[3]Riesgos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0" t="str">
        <f t="shared" si="72"/>
        <v>-</v>
      </c>
      <c r="C230" s="188"/>
      <c r="D230" s="170"/>
      <c r="E230" s="171"/>
      <c r="F230" s="129"/>
      <c r="G230" s="128"/>
      <c r="H230" s="23"/>
      <c r="I230" s="18"/>
      <c r="J230" s="80">
        <f t="shared" si="88"/>
        <v>0</v>
      </c>
      <c r="K230" s="18"/>
      <c r="L230" s="80">
        <f t="shared" si="89"/>
        <v>0</v>
      </c>
      <c r="M230" s="18"/>
      <c r="N230" s="80">
        <f t="shared" si="90"/>
        <v>0</v>
      </c>
      <c r="O230" s="18"/>
      <c r="P230" s="80">
        <f t="shared" si="91"/>
        <v>0</v>
      </c>
      <c r="Q230" s="18"/>
      <c r="R230" s="80">
        <f t="shared" si="92"/>
        <v>0</v>
      </c>
      <c r="S230" s="18"/>
      <c r="T230" s="80">
        <f t="shared" si="93"/>
        <v>0</v>
      </c>
      <c r="U230" s="18"/>
      <c r="V230" s="80">
        <f t="shared" si="73"/>
        <v>0</v>
      </c>
      <c r="W230" s="19" t="str">
        <f t="shared" si="74"/>
        <v xml:space="preserve"> </v>
      </c>
      <c r="X230" s="19" t="str">
        <f t="shared" si="75"/>
        <v xml:space="preserve"> </v>
      </c>
      <c r="Y230" s="19" t="str">
        <f t="shared" si="76"/>
        <v/>
      </c>
      <c r="Z230" s="23"/>
      <c r="AA230" s="19" t="str">
        <f t="shared" si="77"/>
        <v/>
      </c>
      <c r="AB230" s="19" t="str">
        <f t="shared" si="78"/>
        <v xml:space="preserve"> </v>
      </c>
      <c r="AC230" s="19" t="str">
        <f t="shared" si="79"/>
        <v/>
      </c>
      <c r="AD230" s="19" t="str">
        <f t="shared" si="80"/>
        <v xml:space="preserve"> </v>
      </c>
      <c r="AE230" s="125" t="str">
        <f t="shared" si="81"/>
        <v xml:space="preserve"> </v>
      </c>
      <c r="AF230" s="19" t="str">
        <f t="shared" si="82"/>
        <v xml:space="preserve"> </v>
      </c>
      <c r="AG230" s="50">
        <f t="shared" si="83"/>
        <v>0</v>
      </c>
      <c r="AH230" s="50" t="str">
        <f t="shared" si="84"/>
        <v xml:space="preserve"> </v>
      </c>
      <c r="AI230" s="36" t="str">
        <f>IFERROR(IF((INDEX('[3]Riesgos de Corrupción'!$B$11:$V$100,MATCH('Controles de Corrupción'!C230,'[3]Riesgos de Corrupción'!$B$11:$B$100,0),17)-AH230&lt;=1),"Rara vez",IF((INDEX('[3]Riesgos de Corrupción'!$B$11:$V$100,MATCH('Controles de Corrupción'!C230,'[3]Riesgos de Corrupción'!$B$11:$B$100,0),17)-AH230&lt;=2),"Improbable",IF((INDEX('[3]Riesgos de Corrupción'!$B$11:$V$100,MATCH('Controles de Corrupción'!C230,'[3]Riesgos de Corrupción'!$B$11:$B$100,0),17)-AH230&lt;=3),"Posible",IF((INDEX('[3]Riesgos de Corrupción'!$B$11:$V$100,MATCH('Controles de Corrupción'!C230,'[3]Riesgos de Corrupción'!$B$11:$B$100,0),17)-AH230&lt;=4),"Probable",IF((INDEX('[3]Riesgos de Corrupción'!$B$11:$V$100,MATCH('Controles de Corrupción'!C230,'[3]Riesgos de Corrupción'!$B$11:$B$100,0),17)-AH230&lt;=5),"Casi seguro")))))," ")</f>
        <v xml:space="preserve"> </v>
      </c>
      <c r="AJ230" s="8" t="str">
        <f>IFERROR(IF(OR(AND(AF230="Fuerte",H230="No disminuye"),AND(AF230="Moderado",H230="Indirectamente"),AND(AF230="Moderado",H230="No disminuye"),AND(INDEX('[3]Riesgos de Corrupción'!$B$11:$BN$100,MATCH('Controles de Corrupción'!C230,'[3]Riesgos de Corrupción'!$B$11:$B$100,0),63)="Moderado")),0,IF(OR(AND(AF230="Fuerte",H230="Indirectamente"),AND(AF230="Moderado",H230="Directamente"),AND(INDEX('[3]Riesgos de Corrupción'!$B$11:$BN$100,MATCH('Controles de Corrupción'!C230,'[3]Riesgos de Corrupción'!$B$11:$B$100,0),63)="Mayor")),1,IF(AND(AF230="Fuerte",H230="Directamente",AND(INDEX('[3]Riesgos de Corrupción'!$B$11:$BN$100,MATCH('Controles de Corrupción'!C230,'[3]Riesgos de Corrupción'!$B$11:$B$100,0),63)="Catastrófico")),2)))," ")</f>
        <v xml:space="preserve"> </v>
      </c>
      <c r="AK230" s="19" t="str">
        <f t="shared" si="85"/>
        <v xml:space="preserve"> </v>
      </c>
      <c r="AL230" s="19" t="str">
        <f>IFERROR(IF((INDEX('[3]Riesgos de Corrupción'!$B$11:$BN$100,MATCH('Controles de Corrupción'!C230,'[3]Riesgos de Corrupción'!$B$11:$B$100,0),62)-AK230&lt;=3),"Moderado",IF((INDEX('[3]Riesgos de Corrupción'!$B$11:$BN$100,MATCH('Controles de Corrupción'!C230,'[3]Riesgos de Corrupción'!$B$11:$B$100,0),62)-AK230&lt;=4),"Mayor",IF((INDEX('[3]Riesgos de Corrupción'!$B$11:$BN$100,MATCH('Controles de Corrupción'!C230,'[3]Riesgos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0" t="str">
        <f t="shared" si="72"/>
        <v>-</v>
      </c>
      <c r="C231" s="188"/>
      <c r="D231" s="170"/>
      <c r="E231" s="171"/>
      <c r="F231" s="129"/>
      <c r="G231" s="128"/>
      <c r="H231" s="23"/>
      <c r="I231" s="18"/>
      <c r="J231" s="80">
        <f t="shared" si="88"/>
        <v>0</v>
      </c>
      <c r="K231" s="18"/>
      <c r="L231" s="80">
        <f t="shared" si="89"/>
        <v>0</v>
      </c>
      <c r="M231" s="18"/>
      <c r="N231" s="80">
        <f t="shared" si="90"/>
        <v>0</v>
      </c>
      <c r="O231" s="18"/>
      <c r="P231" s="80">
        <f t="shared" si="91"/>
        <v>0</v>
      </c>
      <c r="Q231" s="18"/>
      <c r="R231" s="80">
        <f t="shared" si="92"/>
        <v>0</v>
      </c>
      <c r="S231" s="18"/>
      <c r="T231" s="80">
        <f t="shared" si="93"/>
        <v>0</v>
      </c>
      <c r="U231" s="18"/>
      <c r="V231" s="80">
        <f t="shared" si="73"/>
        <v>0</v>
      </c>
      <c r="W231" s="19" t="str">
        <f t="shared" si="74"/>
        <v xml:space="preserve"> </v>
      </c>
      <c r="X231" s="19" t="str">
        <f t="shared" si="75"/>
        <v xml:space="preserve"> </v>
      </c>
      <c r="Y231" s="19" t="str">
        <f t="shared" si="76"/>
        <v/>
      </c>
      <c r="Z231" s="23"/>
      <c r="AA231" s="19" t="str">
        <f t="shared" si="77"/>
        <v/>
      </c>
      <c r="AB231" s="19" t="str">
        <f t="shared" si="78"/>
        <v xml:space="preserve"> </v>
      </c>
      <c r="AC231" s="19" t="str">
        <f t="shared" si="79"/>
        <v/>
      </c>
      <c r="AD231" s="19" t="str">
        <f t="shared" si="80"/>
        <v xml:space="preserve"> </v>
      </c>
      <c r="AE231" s="125" t="str">
        <f t="shared" si="81"/>
        <v xml:space="preserve"> </v>
      </c>
      <c r="AF231" s="19" t="str">
        <f t="shared" si="82"/>
        <v xml:space="preserve"> </v>
      </c>
      <c r="AG231" s="50">
        <f t="shared" si="83"/>
        <v>0</v>
      </c>
      <c r="AH231" s="50" t="str">
        <f t="shared" si="84"/>
        <v xml:space="preserve"> </v>
      </c>
      <c r="AI231" s="36" t="str">
        <f>IFERROR(IF((INDEX('[3]Riesgos de Corrupción'!$B$11:$V$100,MATCH('Controles de Corrupción'!C231,'[3]Riesgos de Corrupción'!$B$11:$B$100,0),17)-AH231&lt;=1),"Rara vez",IF((INDEX('[3]Riesgos de Corrupción'!$B$11:$V$100,MATCH('Controles de Corrupción'!C231,'[3]Riesgos de Corrupción'!$B$11:$B$100,0),17)-AH231&lt;=2),"Improbable",IF((INDEX('[3]Riesgos de Corrupción'!$B$11:$V$100,MATCH('Controles de Corrupción'!C231,'[3]Riesgos de Corrupción'!$B$11:$B$100,0),17)-AH231&lt;=3),"Posible",IF((INDEX('[3]Riesgos de Corrupción'!$B$11:$V$100,MATCH('Controles de Corrupción'!C231,'[3]Riesgos de Corrupción'!$B$11:$B$100,0),17)-AH231&lt;=4),"Probable",IF((INDEX('[3]Riesgos de Corrupción'!$B$11:$V$100,MATCH('Controles de Corrupción'!C231,'[3]Riesgos de Corrupción'!$B$11:$B$100,0),17)-AH231&lt;=5),"Casi seguro")))))," ")</f>
        <v xml:space="preserve"> </v>
      </c>
      <c r="AJ231" s="8" t="str">
        <f>IFERROR(IF(OR(AND(AF231="Fuerte",H231="No disminuye"),AND(AF231="Moderado",H231="Indirectamente"),AND(AF231="Moderado",H231="No disminuye"),AND(INDEX('[3]Riesgos de Corrupción'!$B$11:$BN$100,MATCH('Controles de Corrupción'!C231,'[3]Riesgos de Corrupción'!$B$11:$B$100,0),63)="Moderado")),0,IF(OR(AND(AF231="Fuerte",H231="Indirectamente"),AND(AF231="Moderado",H231="Directamente"),AND(INDEX('[3]Riesgos de Corrupción'!$B$11:$BN$100,MATCH('Controles de Corrupción'!C231,'[3]Riesgos de Corrupción'!$B$11:$B$100,0),63)="Mayor")),1,IF(AND(AF231="Fuerte",H231="Directamente",AND(INDEX('[3]Riesgos de Corrupción'!$B$11:$BN$100,MATCH('Controles de Corrupción'!C231,'[3]Riesgos de Corrupción'!$B$11:$B$100,0),63)="Catastrófico")),2)))," ")</f>
        <v xml:space="preserve"> </v>
      </c>
      <c r="AK231" s="19" t="str">
        <f t="shared" si="85"/>
        <v xml:space="preserve"> </v>
      </c>
      <c r="AL231" s="19" t="str">
        <f>IFERROR(IF((INDEX('[3]Riesgos de Corrupción'!$B$11:$BN$100,MATCH('Controles de Corrupción'!C231,'[3]Riesgos de Corrupción'!$B$11:$B$100,0),62)-AK231&lt;=3),"Moderado",IF((INDEX('[3]Riesgos de Corrupción'!$B$11:$BN$100,MATCH('Controles de Corrupción'!C231,'[3]Riesgos de Corrupción'!$B$11:$B$100,0),62)-AK231&lt;=4),"Mayor",IF((INDEX('[3]Riesgos de Corrupción'!$B$11:$BN$100,MATCH('Controles de Corrupción'!C231,'[3]Riesgos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0" t="str">
        <f t="shared" si="72"/>
        <v>-</v>
      </c>
      <c r="C232" s="188"/>
      <c r="D232" s="170"/>
      <c r="E232" s="171"/>
      <c r="F232" s="129"/>
      <c r="G232" s="128"/>
      <c r="H232" s="23"/>
      <c r="I232" s="18"/>
      <c r="J232" s="80">
        <f t="shared" si="88"/>
        <v>0</v>
      </c>
      <c r="K232" s="18"/>
      <c r="L232" s="80">
        <f t="shared" si="89"/>
        <v>0</v>
      </c>
      <c r="M232" s="18"/>
      <c r="N232" s="80">
        <f t="shared" si="90"/>
        <v>0</v>
      </c>
      <c r="O232" s="18"/>
      <c r="P232" s="80">
        <f t="shared" si="91"/>
        <v>0</v>
      </c>
      <c r="Q232" s="18"/>
      <c r="R232" s="80">
        <f t="shared" si="92"/>
        <v>0</v>
      </c>
      <c r="S232" s="18"/>
      <c r="T232" s="80">
        <f t="shared" si="93"/>
        <v>0</v>
      </c>
      <c r="U232" s="18"/>
      <c r="V232" s="80">
        <f t="shared" si="73"/>
        <v>0</v>
      </c>
      <c r="W232" s="19" t="str">
        <f t="shared" si="74"/>
        <v xml:space="preserve"> </v>
      </c>
      <c r="X232" s="19" t="str">
        <f t="shared" si="75"/>
        <v xml:space="preserve"> </v>
      </c>
      <c r="Y232" s="19" t="str">
        <f t="shared" si="76"/>
        <v/>
      </c>
      <c r="Z232" s="23"/>
      <c r="AA232" s="19" t="str">
        <f t="shared" si="77"/>
        <v/>
      </c>
      <c r="AB232" s="19" t="str">
        <f t="shared" si="78"/>
        <v xml:space="preserve"> </v>
      </c>
      <c r="AC232" s="19" t="str">
        <f t="shared" si="79"/>
        <v/>
      </c>
      <c r="AD232" s="19" t="str">
        <f t="shared" si="80"/>
        <v xml:space="preserve"> </v>
      </c>
      <c r="AE232" s="125" t="str">
        <f t="shared" si="81"/>
        <v xml:space="preserve"> </v>
      </c>
      <c r="AF232" s="19" t="str">
        <f t="shared" si="82"/>
        <v xml:space="preserve"> </v>
      </c>
      <c r="AG232" s="50">
        <f t="shared" si="83"/>
        <v>0</v>
      </c>
      <c r="AH232" s="50" t="str">
        <f t="shared" si="84"/>
        <v xml:space="preserve"> </v>
      </c>
      <c r="AI232" s="36" t="str">
        <f>IFERROR(IF((INDEX('[3]Riesgos de Corrupción'!$B$11:$V$100,MATCH('Controles de Corrupción'!C232,'[3]Riesgos de Corrupción'!$B$11:$B$100,0),17)-AH232&lt;=1),"Rara vez",IF((INDEX('[3]Riesgos de Corrupción'!$B$11:$V$100,MATCH('Controles de Corrupción'!C232,'[3]Riesgos de Corrupción'!$B$11:$B$100,0),17)-AH232&lt;=2),"Improbable",IF((INDEX('[3]Riesgos de Corrupción'!$B$11:$V$100,MATCH('Controles de Corrupción'!C232,'[3]Riesgos de Corrupción'!$B$11:$B$100,0),17)-AH232&lt;=3),"Posible",IF((INDEX('[3]Riesgos de Corrupción'!$B$11:$V$100,MATCH('Controles de Corrupción'!C232,'[3]Riesgos de Corrupción'!$B$11:$B$100,0),17)-AH232&lt;=4),"Probable",IF((INDEX('[3]Riesgos de Corrupción'!$B$11:$V$100,MATCH('Controles de Corrupción'!C232,'[3]Riesgos de Corrupción'!$B$11:$B$100,0),17)-AH232&lt;=5),"Casi seguro")))))," ")</f>
        <v xml:space="preserve"> </v>
      </c>
      <c r="AJ232" s="8" t="str">
        <f>IFERROR(IF(OR(AND(AF232="Fuerte",H232="No disminuye"),AND(AF232="Moderado",H232="Indirectamente"),AND(AF232="Moderado",H232="No disminuye"),AND(INDEX('[3]Riesgos de Corrupción'!$B$11:$BN$100,MATCH('Controles de Corrupción'!C232,'[3]Riesgos de Corrupción'!$B$11:$B$100,0),63)="Moderado")),0,IF(OR(AND(AF232="Fuerte",H232="Indirectamente"),AND(AF232="Moderado",H232="Directamente"),AND(INDEX('[3]Riesgos de Corrupción'!$B$11:$BN$100,MATCH('Controles de Corrupción'!C232,'[3]Riesgos de Corrupción'!$B$11:$B$100,0),63)="Mayor")),1,IF(AND(AF232="Fuerte",H232="Directamente",AND(INDEX('[3]Riesgos de Corrupción'!$B$11:$BN$100,MATCH('Controles de Corrupción'!C232,'[3]Riesgos de Corrupción'!$B$11:$B$100,0),63)="Catastrófico")),2)))," ")</f>
        <v xml:space="preserve"> </v>
      </c>
      <c r="AK232" s="19" t="str">
        <f t="shared" si="85"/>
        <v xml:space="preserve"> </v>
      </c>
      <c r="AL232" s="19" t="str">
        <f>IFERROR(IF((INDEX('[3]Riesgos de Corrupción'!$B$11:$BN$100,MATCH('Controles de Corrupción'!C232,'[3]Riesgos de Corrupción'!$B$11:$B$100,0),62)-AK232&lt;=3),"Moderado",IF((INDEX('[3]Riesgos de Corrupción'!$B$11:$BN$100,MATCH('Controles de Corrupción'!C232,'[3]Riesgos de Corrupción'!$B$11:$B$100,0),62)-AK232&lt;=4),"Mayor",IF((INDEX('[3]Riesgos de Corrupción'!$B$11:$BN$100,MATCH('Controles de Corrupción'!C232,'[3]Riesgos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0" t="str">
        <f t="shared" si="72"/>
        <v>-</v>
      </c>
      <c r="C233" s="188"/>
      <c r="D233" s="170"/>
      <c r="E233" s="171"/>
      <c r="F233" s="129"/>
      <c r="G233" s="128"/>
      <c r="H233" s="23"/>
      <c r="I233" s="18"/>
      <c r="J233" s="80">
        <f t="shared" si="88"/>
        <v>0</v>
      </c>
      <c r="K233" s="18"/>
      <c r="L233" s="80">
        <f t="shared" si="89"/>
        <v>0</v>
      </c>
      <c r="M233" s="18"/>
      <c r="N233" s="80">
        <f t="shared" si="90"/>
        <v>0</v>
      </c>
      <c r="O233" s="18"/>
      <c r="P233" s="80">
        <f t="shared" si="91"/>
        <v>0</v>
      </c>
      <c r="Q233" s="18"/>
      <c r="R233" s="80">
        <f t="shared" si="92"/>
        <v>0</v>
      </c>
      <c r="S233" s="18"/>
      <c r="T233" s="80">
        <f t="shared" si="93"/>
        <v>0</v>
      </c>
      <c r="U233" s="18"/>
      <c r="V233" s="80">
        <f t="shared" si="73"/>
        <v>0</v>
      </c>
      <c r="W233" s="19" t="str">
        <f t="shared" si="74"/>
        <v xml:space="preserve"> </v>
      </c>
      <c r="X233" s="19" t="str">
        <f t="shared" si="75"/>
        <v xml:space="preserve"> </v>
      </c>
      <c r="Y233" s="19" t="str">
        <f t="shared" si="76"/>
        <v/>
      </c>
      <c r="Z233" s="23"/>
      <c r="AA233" s="19" t="str">
        <f t="shared" si="77"/>
        <v/>
      </c>
      <c r="AB233" s="19" t="str">
        <f t="shared" si="78"/>
        <v xml:space="preserve"> </v>
      </c>
      <c r="AC233" s="19" t="str">
        <f t="shared" si="79"/>
        <v/>
      </c>
      <c r="AD233" s="19" t="str">
        <f t="shared" si="80"/>
        <v xml:space="preserve"> </v>
      </c>
      <c r="AE233" s="125" t="str">
        <f t="shared" si="81"/>
        <v xml:space="preserve"> </v>
      </c>
      <c r="AF233" s="19" t="str">
        <f t="shared" si="82"/>
        <v xml:space="preserve"> </v>
      </c>
      <c r="AG233" s="50">
        <f t="shared" si="83"/>
        <v>0</v>
      </c>
      <c r="AH233" s="50" t="str">
        <f t="shared" si="84"/>
        <v xml:space="preserve"> </v>
      </c>
      <c r="AI233" s="36" t="str">
        <f>IFERROR(IF((INDEX('[3]Riesgos de Corrupción'!$B$11:$V$100,MATCH('Controles de Corrupción'!C233,'[3]Riesgos de Corrupción'!$B$11:$B$100,0),17)-AH233&lt;=1),"Rara vez",IF((INDEX('[3]Riesgos de Corrupción'!$B$11:$V$100,MATCH('Controles de Corrupción'!C233,'[3]Riesgos de Corrupción'!$B$11:$B$100,0),17)-AH233&lt;=2),"Improbable",IF((INDEX('[3]Riesgos de Corrupción'!$B$11:$V$100,MATCH('Controles de Corrupción'!C233,'[3]Riesgos de Corrupción'!$B$11:$B$100,0),17)-AH233&lt;=3),"Posible",IF((INDEX('[3]Riesgos de Corrupción'!$B$11:$V$100,MATCH('Controles de Corrupción'!C233,'[3]Riesgos de Corrupción'!$B$11:$B$100,0),17)-AH233&lt;=4),"Probable",IF((INDEX('[3]Riesgos de Corrupción'!$B$11:$V$100,MATCH('Controles de Corrupción'!C233,'[3]Riesgos de Corrupción'!$B$11:$B$100,0),17)-AH233&lt;=5),"Casi seguro")))))," ")</f>
        <v xml:space="preserve"> </v>
      </c>
      <c r="AJ233" s="8" t="str">
        <f>IFERROR(IF(OR(AND(AF233="Fuerte",H233="No disminuye"),AND(AF233="Moderado",H233="Indirectamente"),AND(AF233="Moderado",H233="No disminuye"),AND(INDEX('[3]Riesgos de Corrupción'!$B$11:$BN$100,MATCH('Controles de Corrupción'!C233,'[3]Riesgos de Corrupción'!$B$11:$B$100,0),63)="Moderado")),0,IF(OR(AND(AF233="Fuerte",H233="Indirectamente"),AND(AF233="Moderado",H233="Directamente"),AND(INDEX('[3]Riesgos de Corrupción'!$B$11:$BN$100,MATCH('Controles de Corrupción'!C233,'[3]Riesgos de Corrupción'!$B$11:$B$100,0),63)="Mayor")),1,IF(AND(AF233="Fuerte",H233="Directamente",AND(INDEX('[3]Riesgos de Corrupción'!$B$11:$BN$100,MATCH('Controles de Corrupción'!C233,'[3]Riesgos de Corrupción'!$B$11:$B$100,0),63)="Catastrófico")),2)))," ")</f>
        <v xml:space="preserve"> </v>
      </c>
      <c r="AK233" s="19" t="str">
        <f t="shared" si="85"/>
        <v xml:space="preserve"> </v>
      </c>
      <c r="AL233" s="19" t="str">
        <f>IFERROR(IF((INDEX('[3]Riesgos de Corrupción'!$B$11:$BN$100,MATCH('Controles de Corrupción'!C233,'[3]Riesgos de Corrupción'!$B$11:$B$100,0),62)-AK233&lt;=3),"Moderado",IF((INDEX('[3]Riesgos de Corrupción'!$B$11:$BN$100,MATCH('Controles de Corrupción'!C233,'[3]Riesgos de Corrupción'!$B$11:$B$100,0),62)-AK233&lt;=4),"Mayor",IF((INDEX('[3]Riesgos de Corrupción'!$B$11:$BN$100,MATCH('Controles de Corrupción'!C233,'[3]Riesgos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0" t="str">
        <f t="shared" si="72"/>
        <v>-</v>
      </c>
      <c r="C234" s="188"/>
      <c r="D234" s="170"/>
      <c r="E234" s="171"/>
      <c r="F234" s="129"/>
      <c r="G234" s="128"/>
      <c r="H234" s="23"/>
      <c r="I234" s="18"/>
      <c r="J234" s="80">
        <f t="shared" si="88"/>
        <v>0</v>
      </c>
      <c r="K234" s="18"/>
      <c r="L234" s="80">
        <f t="shared" si="89"/>
        <v>0</v>
      </c>
      <c r="M234" s="18"/>
      <c r="N234" s="80">
        <f t="shared" si="90"/>
        <v>0</v>
      </c>
      <c r="O234" s="18"/>
      <c r="P234" s="80">
        <f t="shared" si="91"/>
        <v>0</v>
      </c>
      <c r="Q234" s="18"/>
      <c r="R234" s="80">
        <f t="shared" si="92"/>
        <v>0</v>
      </c>
      <c r="S234" s="18"/>
      <c r="T234" s="80">
        <f t="shared" si="93"/>
        <v>0</v>
      </c>
      <c r="U234" s="18"/>
      <c r="V234" s="80">
        <f t="shared" si="73"/>
        <v>0</v>
      </c>
      <c r="W234" s="19" t="str">
        <f t="shared" si="74"/>
        <v xml:space="preserve"> </v>
      </c>
      <c r="X234" s="19" t="str">
        <f t="shared" si="75"/>
        <v xml:space="preserve"> </v>
      </c>
      <c r="Y234" s="19" t="str">
        <f t="shared" si="76"/>
        <v/>
      </c>
      <c r="Z234" s="23"/>
      <c r="AA234" s="19" t="str">
        <f t="shared" si="77"/>
        <v/>
      </c>
      <c r="AB234" s="19" t="str">
        <f t="shared" si="78"/>
        <v xml:space="preserve"> </v>
      </c>
      <c r="AC234" s="19" t="str">
        <f t="shared" si="79"/>
        <v/>
      </c>
      <c r="AD234" s="19" t="str">
        <f t="shared" si="80"/>
        <v xml:space="preserve"> </v>
      </c>
      <c r="AE234" s="125" t="str">
        <f t="shared" si="81"/>
        <v xml:space="preserve"> </v>
      </c>
      <c r="AF234" s="19" t="str">
        <f t="shared" si="82"/>
        <v xml:space="preserve"> </v>
      </c>
      <c r="AG234" s="50">
        <f t="shared" si="83"/>
        <v>0</v>
      </c>
      <c r="AH234" s="50" t="str">
        <f t="shared" si="84"/>
        <v xml:space="preserve"> </v>
      </c>
      <c r="AI234" s="36" t="str">
        <f>IFERROR(IF((INDEX('[3]Riesgos de Corrupción'!$B$11:$V$100,MATCH('Controles de Corrupción'!C234,'[3]Riesgos de Corrupción'!$B$11:$B$100,0),17)-AH234&lt;=1),"Rara vez",IF((INDEX('[3]Riesgos de Corrupción'!$B$11:$V$100,MATCH('Controles de Corrupción'!C234,'[3]Riesgos de Corrupción'!$B$11:$B$100,0),17)-AH234&lt;=2),"Improbable",IF((INDEX('[3]Riesgos de Corrupción'!$B$11:$V$100,MATCH('Controles de Corrupción'!C234,'[3]Riesgos de Corrupción'!$B$11:$B$100,0),17)-AH234&lt;=3),"Posible",IF((INDEX('[3]Riesgos de Corrupción'!$B$11:$V$100,MATCH('Controles de Corrupción'!C234,'[3]Riesgos de Corrupción'!$B$11:$B$100,0),17)-AH234&lt;=4),"Probable",IF((INDEX('[3]Riesgos de Corrupción'!$B$11:$V$100,MATCH('Controles de Corrupción'!C234,'[3]Riesgos de Corrupción'!$B$11:$B$100,0),17)-AH234&lt;=5),"Casi seguro")))))," ")</f>
        <v xml:space="preserve"> </v>
      </c>
      <c r="AJ234" s="8" t="str">
        <f>IFERROR(IF(OR(AND(AF234="Fuerte",H234="No disminuye"),AND(AF234="Moderado",H234="Indirectamente"),AND(AF234="Moderado",H234="No disminuye"),AND(INDEX('[3]Riesgos de Corrupción'!$B$11:$BN$100,MATCH('Controles de Corrupción'!C234,'[3]Riesgos de Corrupción'!$B$11:$B$100,0),63)="Moderado")),0,IF(OR(AND(AF234="Fuerte",H234="Indirectamente"),AND(AF234="Moderado",H234="Directamente"),AND(INDEX('[3]Riesgos de Corrupción'!$B$11:$BN$100,MATCH('Controles de Corrupción'!C234,'[3]Riesgos de Corrupción'!$B$11:$B$100,0),63)="Mayor")),1,IF(AND(AF234="Fuerte",H234="Directamente",AND(INDEX('[3]Riesgos de Corrupción'!$B$11:$BN$100,MATCH('Controles de Corrupción'!C234,'[3]Riesgos de Corrupción'!$B$11:$B$100,0),63)="Catastrófico")),2)))," ")</f>
        <v xml:space="preserve"> </v>
      </c>
      <c r="AK234" s="19" t="str">
        <f t="shared" si="85"/>
        <v xml:space="preserve"> </v>
      </c>
      <c r="AL234" s="19" t="str">
        <f>IFERROR(IF((INDEX('[3]Riesgos de Corrupción'!$B$11:$BN$100,MATCH('Controles de Corrupción'!C234,'[3]Riesgos de Corrupción'!$B$11:$B$100,0),62)-AK234&lt;=3),"Moderado",IF((INDEX('[3]Riesgos de Corrupción'!$B$11:$BN$100,MATCH('Controles de Corrupción'!C234,'[3]Riesgos de Corrupción'!$B$11:$B$100,0),62)-AK234&lt;=4),"Mayor",IF((INDEX('[3]Riesgos de Corrupción'!$B$11:$BN$100,MATCH('Controles de Corrupción'!C234,'[3]Riesgos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0" t="str">
        <f t="shared" si="72"/>
        <v>-</v>
      </c>
      <c r="C235" s="188"/>
      <c r="D235" s="170"/>
      <c r="E235" s="171"/>
      <c r="F235" s="129"/>
      <c r="G235" s="128"/>
      <c r="H235" s="23"/>
      <c r="I235" s="18"/>
      <c r="J235" s="80">
        <f t="shared" si="88"/>
        <v>0</v>
      </c>
      <c r="K235" s="18"/>
      <c r="L235" s="80">
        <f t="shared" si="89"/>
        <v>0</v>
      </c>
      <c r="M235" s="18"/>
      <c r="N235" s="80">
        <f t="shared" si="90"/>
        <v>0</v>
      </c>
      <c r="O235" s="18"/>
      <c r="P235" s="80">
        <f t="shared" si="91"/>
        <v>0</v>
      </c>
      <c r="Q235" s="18"/>
      <c r="R235" s="80">
        <f t="shared" si="92"/>
        <v>0</v>
      </c>
      <c r="S235" s="18"/>
      <c r="T235" s="80">
        <f t="shared" si="93"/>
        <v>0</v>
      </c>
      <c r="U235" s="18"/>
      <c r="V235" s="80">
        <f t="shared" si="73"/>
        <v>0</v>
      </c>
      <c r="W235" s="19" t="str">
        <f t="shared" si="74"/>
        <v xml:space="preserve"> </v>
      </c>
      <c r="X235" s="19" t="str">
        <f t="shared" si="75"/>
        <v xml:space="preserve"> </v>
      </c>
      <c r="Y235" s="19" t="str">
        <f t="shared" si="76"/>
        <v/>
      </c>
      <c r="Z235" s="23"/>
      <c r="AA235" s="19" t="str">
        <f t="shared" si="77"/>
        <v/>
      </c>
      <c r="AB235" s="19" t="str">
        <f t="shared" si="78"/>
        <v xml:space="preserve"> </v>
      </c>
      <c r="AC235" s="19" t="str">
        <f t="shared" si="79"/>
        <v/>
      </c>
      <c r="AD235" s="19" t="str">
        <f t="shared" si="80"/>
        <v xml:space="preserve"> </v>
      </c>
      <c r="AE235" s="125" t="str">
        <f t="shared" si="81"/>
        <v xml:space="preserve"> </v>
      </c>
      <c r="AF235" s="19" t="str">
        <f t="shared" si="82"/>
        <v xml:space="preserve"> </v>
      </c>
      <c r="AG235" s="50">
        <f t="shared" si="83"/>
        <v>0</v>
      </c>
      <c r="AH235" s="50" t="str">
        <f t="shared" si="84"/>
        <v xml:space="preserve"> </v>
      </c>
      <c r="AI235" s="36" t="str">
        <f>IFERROR(IF((INDEX('[3]Riesgos de Corrupción'!$B$11:$V$100,MATCH('Controles de Corrupción'!C235,'[3]Riesgos de Corrupción'!$B$11:$B$100,0),17)-AH235&lt;=1),"Rara vez",IF((INDEX('[3]Riesgos de Corrupción'!$B$11:$V$100,MATCH('Controles de Corrupción'!C235,'[3]Riesgos de Corrupción'!$B$11:$B$100,0),17)-AH235&lt;=2),"Improbable",IF((INDEX('[3]Riesgos de Corrupción'!$B$11:$V$100,MATCH('Controles de Corrupción'!C235,'[3]Riesgos de Corrupción'!$B$11:$B$100,0),17)-AH235&lt;=3),"Posible",IF((INDEX('[3]Riesgos de Corrupción'!$B$11:$V$100,MATCH('Controles de Corrupción'!C235,'[3]Riesgos de Corrupción'!$B$11:$B$100,0),17)-AH235&lt;=4),"Probable",IF((INDEX('[3]Riesgos de Corrupción'!$B$11:$V$100,MATCH('Controles de Corrupción'!C235,'[3]Riesgos de Corrupción'!$B$11:$B$100,0),17)-AH235&lt;=5),"Casi seguro")))))," ")</f>
        <v xml:space="preserve"> </v>
      </c>
      <c r="AJ235" s="8" t="str">
        <f>IFERROR(IF(OR(AND(AF235="Fuerte",H235="No disminuye"),AND(AF235="Moderado",H235="Indirectamente"),AND(AF235="Moderado",H235="No disminuye"),AND(INDEX('[3]Riesgos de Corrupción'!$B$11:$BN$100,MATCH('Controles de Corrupción'!C235,'[3]Riesgos de Corrupción'!$B$11:$B$100,0),63)="Moderado")),0,IF(OR(AND(AF235="Fuerte",H235="Indirectamente"),AND(AF235="Moderado",H235="Directamente"),AND(INDEX('[3]Riesgos de Corrupción'!$B$11:$BN$100,MATCH('Controles de Corrupción'!C235,'[3]Riesgos de Corrupción'!$B$11:$B$100,0),63)="Mayor")),1,IF(AND(AF235="Fuerte",H235="Directamente",AND(INDEX('[3]Riesgos de Corrupción'!$B$11:$BN$100,MATCH('Controles de Corrupción'!C235,'[3]Riesgos de Corrupción'!$B$11:$B$100,0),63)="Catastrófico")),2)))," ")</f>
        <v xml:space="preserve"> </v>
      </c>
      <c r="AK235" s="19" t="str">
        <f t="shared" si="85"/>
        <v xml:space="preserve"> </v>
      </c>
      <c r="AL235" s="19" t="str">
        <f>IFERROR(IF((INDEX('[3]Riesgos de Corrupción'!$B$11:$BN$100,MATCH('Controles de Corrupción'!C235,'[3]Riesgos de Corrupción'!$B$11:$B$100,0),62)-AK235&lt;=3),"Moderado",IF((INDEX('[3]Riesgos de Corrupción'!$B$11:$BN$100,MATCH('Controles de Corrupción'!C235,'[3]Riesgos de Corrupción'!$B$11:$B$100,0),62)-AK235&lt;=4),"Mayor",IF((INDEX('[3]Riesgos de Corrupción'!$B$11:$BN$100,MATCH('Controles de Corrupción'!C235,'[3]Riesgos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0" t="str">
        <f t="shared" si="72"/>
        <v>-</v>
      </c>
      <c r="C236" s="188"/>
      <c r="D236" s="170"/>
      <c r="E236" s="171"/>
      <c r="F236" s="129"/>
      <c r="G236" s="128"/>
      <c r="H236" s="23"/>
      <c r="I236" s="18"/>
      <c r="J236" s="80">
        <f t="shared" si="88"/>
        <v>0</v>
      </c>
      <c r="K236" s="18"/>
      <c r="L236" s="80">
        <f t="shared" si="89"/>
        <v>0</v>
      </c>
      <c r="M236" s="18"/>
      <c r="N236" s="80">
        <f t="shared" si="90"/>
        <v>0</v>
      </c>
      <c r="O236" s="18"/>
      <c r="P236" s="80">
        <f t="shared" si="91"/>
        <v>0</v>
      </c>
      <c r="Q236" s="18"/>
      <c r="R236" s="80">
        <f t="shared" si="92"/>
        <v>0</v>
      </c>
      <c r="S236" s="18"/>
      <c r="T236" s="80">
        <f t="shared" si="93"/>
        <v>0</v>
      </c>
      <c r="U236" s="18"/>
      <c r="V236" s="80">
        <f t="shared" si="73"/>
        <v>0</v>
      </c>
      <c r="W236" s="19" t="str">
        <f t="shared" si="74"/>
        <v xml:space="preserve"> </v>
      </c>
      <c r="X236" s="19" t="str">
        <f t="shared" si="75"/>
        <v xml:space="preserve"> </v>
      </c>
      <c r="Y236" s="19" t="str">
        <f t="shared" si="76"/>
        <v/>
      </c>
      <c r="Z236" s="23"/>
      <c r="AA236" s="19" t="str">
        <f t="shared" si="77"/>
        <v/>
      </c>
      <c r="AB236" s="19" t="str">
        <f t="shared" si="78"/>
        <v xml:space="preserve"> </v>
      </c>
      <c r="AC236" s="19" t="str">
        <f t="shared" si="79"/>
        <v/>
      </c>
      <c r="AD236" s="19" t="str">
        <f t="shared" si="80"/>
        <v xml:space="preserve"> </v>
      </c>
      <c r="AE236" s="125" t="str">
        <f t="shared" si="81"/>
        <v xml:space="preserve"> </v>
      </c>
      <c r="AF236" s="19" t="str">
        <f t="shared" si="82"/>
        <v xml:space="preserve"> </v>
      </c>
      <c r="AG236" s="50">
        <f t="shared" si="83"/>
        <v>0</v>
      </c>
      <c r="AH236" s="50" t="str">
        <f t="shared" si="84"/>
        <v xml:space="preserve"> </v>
      </c>
      <c r="AI236" s="36" t="str">
        <f>IFERROR(IF((INDEX('[3]Riesgos de Corrupción'!$B$11:$V$100,MATCH('Controles de Corrupción'!C236,'[3]Riesgos de Corrupción'!$B$11:$B$100,0),17)-AH236&lt;=1),"Rara vez",IF((INDEX('[3]Riesgos de Corrupción'!$B$11:$V$100,MATCH('Controles de Corrupción'!C236,'[3]Riesgos de Corrupción'!$B$11:$B$100,0),17)-AH236&lt;=2),"Improbable",IF((INDEX('[3]Riesgos de Corrupción'!$B$11:$V$100,MATCH('Controles de Corrupción'!C236,'[3]Riesgos de Corrupción'!$B$11:$B$100,0),17)-AH236&lt;=3),"Posible",IF((INDEX('[3]Riesgos de Corrupción'!$B$11:$V$100,MATCH('Controles de Corrupción'!C236,'[3]Riesgos de Corrupción'!$B$11:$B$100,0),17)-AH236&lt;=4),"Probable",IF((INDEX('[3]Riesgos de Corrupción'!$B$11:$V$100,MATCH('Controles de Corrupción'!C236,'[3]Riesgos de Corrupción'!$B$11:$B$100,0),17)-AH236&lt;=5),"Casi seguro")))))," ")</f>
        <v xml:space="preserve"> </v>
      </c>
      <c r="AJ236" s="8" t="str">
        <f>IFERROR(IF(OR(AND(AF236="Fuerte",H236="No disminuye"),AND(AF236="Moderado",H236="Indirectamente"),AND(AF236="Moderado",H236="No disminuye"),AND(INDEX('[3]Riesgos de Corrupción'!$B$11:$BN$100,MATCH('Controles de Corrupción'!C236,'[3]Riesgos de Corrupción'!$B$11:$B$100,0),63)="Moderado")),0,IF(OR(AND(AF236="Fuerte",H236="Indirectamente"),AND(AF236="Moderado",H236="Directamente"),AND(INDEX('[3]Riesgos de Corrupción'!$B$11:$BN$100,MATCH('Controles de Corrupción'!C236,'[3]Riesgos de Corrupción'!$B$11:$B$100,0),63)="Mayor")),1,IF(AND(AF236="Fuerte",H236="Directamente",AND(INDEX('[3]Riesgos de Corrupción'!$B$11:$BN$100,MATCH('Controles de Corrupción'!C236,'[3]Riesgos de Corrupción'!$B$11:$B$100,0),63)="Catastrófico")),2)))," ")</f>
        <v xml:space="preserve"> </v>
      </c>
      <c r="AK236" s="19" t="str">
        <f t="shared" si="85"/>
        <v xml:space="preserve"> </v>
      </c>
      <c r="AL236" s="19" t="str">
        <f>IFERROR(IF((INDEX('[3]Riesgos de Corrupción'!$B$11:$BN$100,MATCH('Controles de Corrupción'!C236,'[3]Riesgos de Corrupción'!$B$11:$B$100,0),62)-AK236&lt;=3),"Moderado",IF((INDEX('[3]Riesgos de Corrupción'!$B$11:$BN$100,MATCH('Controles de Corrupción'!C236,'[3]Riesgos de Corrupción'!$B$11:$B$100,0),62)-AK236&lt;=4),"Mayor",IF((INDEX('[3]Riesgos de Corrupción'!$B$11:$BN$100,MATCH('Controles de Corrupción'!C236,'[3]Riesgos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0" t="str">
        <f t="shared" si="72"/>
        <v>-</v>
      </c>
      <c r="C237" s="188"/>
      <c r="D237" s="170"/>
      <c r="E237" s="171"/>
      <c r="F237" s="129"/>
      <c r="G237" s="128"/>
      <c r="H237" s="23"/>
      <c r="I237" s="18"/>
      <c r="J237" s="80">
        <f t="shared" si="88"/>
        <v>0</v>
      </c>
      <c r="K237" s="18"/>
      <c r="L237" s="80">
        <f t="shared" si="89"/>
        <v>0</v>
      </c>
      <c r="M237" s="18"/>
      <c r="N237" s="80">
        <f t="shared" si="90"/>
        <v>0</v>
      </c>
      <c r="O237" s="18"/>
      <c r="P237" s="80">
        <f t="shared" si="91"/>
        <v>0</v>
      </c>
      <c r="Q237" s="18"/>
      <c r="R237" s="80">
        <f t="shared" si="92"/>
        <v>0</v>
      </c>
      <c r="S237" s="18"/>
      <c r="T237" s="80">
        <f t="shared" si="93"/>
        <v>0</v>
      </c>
      <c r="U237" s="18"/>
      <c r="V237" s="80">
        <f t="shared" si="73"/>
        <v>0</v>
      </c>
      <c r="W237" s="19" t="str">
        <f t="shared" si="74"/>
        <v xml:space="preserve"> </v>
      </c>
      <c r="X237" s="19" t="str">
        <f t="shared" si="75"/>
        <v xml:space="preserve"> </v>
      </c>
      <c r="Y237" s="19" t="str">
        <f t="shared" si="76"/>
        <v/>
      </c>
      <c r="Z237" s="23"/>
      <c r="AA237" s="19" t="str">
        <f t="shared" si="77"/>
        <v/>
      </c>
      <c r="AB237" s="19" t="str">
        <f t="shared" si="78"/>
        <v xml:space="preserve"> </v>
      </c>
      <c r="AC237" s="19" t="str">
        <f t="shared" si="79"/>
        <v/>
      </c>
      <c r="AD237" s="19" t="str">
        <f t="shared" si="80"/>
        <v xml:space="preserve"> </v>
      </c>
      <c r="AE237" s="125" t="str">
        <f t="shared" si="81"/>
        <v xml:space="preserve"> </v>
      </c>
      <c r="AF237" s="19" t="str">
        <f t="shared" si="82"/>
        <v xml:space="preserve"> </v>
      </c>
      <c r="AG237" s="50">
        <f t="shared" si="83"/>
        <v>0</v>
      </c>
      <c r="AH237" s="50" t="str">
        <f t="shared" si="84"/>
        <v xml:space="preserve"> </v>
      </c>
      <c r="AI237" s="36" t="str">
        <f>IFERROR(IF((INDEX('[3]Riesgos de Corrupción'!$B$11:$V$100,MATCH('Controles de Corrupción'!C237,'[3]Riesgos de Corrupción'!$B$11:$B$100,0),17)-AH237&lt;=1),"Rara vez",IF((INDEX('[3]Riesgos de Corrupción'!$B$11:$V$100,MATCH('Controles de Corrupción'!C237,'[3]Riesgos de Corrupción'!$B$11:$B$100,0),17)-AH237&lt;=2),"Improbable",IF((INDEX('[3]Riesgos de Corrupción'!$B$11:$V$100,MATCH('Controles de Corrupción'!C237,'[3]Riesgos de Corrupción'!$B$11:$B$100,0),17)-AH237&lt;=3),"Posible",IF((INDEX('[3]Riesgos de Corrupción'!$B$11:$V$100,MATCH('Controles de Corrupción'!C237,'[3]Riesgos de Corrupción'!$B$11:$B$100,0),17)-AH237&lt;=4),"Probable",IF((INDEX('[3]Riesgos de Corrupción'!$B$11:$V$100,MATCH('Controles de Corrupción'!C237,'[3]Riesgos de Corrupción'!$B$11:$B$100,0),17)-AH237&lt;=5),"Casi seguro")))))," ")</f>
        <v xml:space="preserve"> </v>
      </c>
      <c r="AJ237" s="8" t="str">
        <f>IFERROR(IF(OR(AND(AF237="Fuerte",H237="No disminuye"),AND(AF237="Moderado",H237="Indirectamente"),AND(AF237="Moderado",H237="No disminuye"),AND(INDEX('[3]Riesgos de Corrupción'!$B$11:$BN$100,MATCH('Controles de Corrupción'!C237,'[3]Riesgos de Corrupción'!$B$11:$B$100,0),63)="Moderado")),0,IF(OR(AND(AF237="Fuerte",H237="Indirectamente"),AND(AF237="Moderado",H237="Directamente"),AND(INDEX('[3]Riesgos de Corrupción'!$B$11:$BN$100,MATCH('Controles de Corrupción'!C237,'[3]Riesgos de Corrupción'!$B$11:$B$100,0),63)="Mayor")),1,IF(AND(AF237="Fuerte",H237="Directamente",AND(INDEX('[3]Riesgos de Corrupción'!$B$11:$BN$100,MATCH('Controles de Corrupción'!C237,'[3]Riesgos de Corrupción'!$B$11:$B$100,0),63)="Catastrófico")),2)))," ")</f>
        <v xml:space="preserve"> </v>
      </c>
      <c r="AK237" s="19" t="str">
        <f t="shared" si="85"/>
        <v xml:space="preserve"> </v>
      </c>
      <c r="AL237" s="19" t="str">
        <f>IFERROR(IF((INDEX('[3]Riesgos de Corrupción'!$B$11:$BN$100,MATCH('Controles de Corrupción'!C237,'[3]Riesgos de Corrupción'!$B$11:$B$100,0),62)-AK237&lt;=3),"Moderado",IF((INDEX('[3]Riesgos de Corrupción'!$B$11:$BN$100,MATCH('Controles de Corrupción'!C237,'[3]Riesgos de Corrupción'!$B$11:$B$100,0),62)-AK237&lt;=4),"Mayor",IF((INDEX('[3]Riesgos de Corrupción'!$B$11:$BN$100,MATCH('Controles de Corrupción'!C237,'[3]Riesgos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0" t="str">
        <f t="shared" si="72"/>
        <v>-</v>
      </c>
      <c r="C238" s="188"/>
      <c r="D238" s="170"/>
      <c r="E238" s="171"/>
      <c r="F238" s="129"/>
      <c r="G238" s="128"/>
      <c r="H238" s="23"/>
      <c r="I238" s="18"/>
      <c r="J238" s="80">
        <f t="shared" si="88"/>
        <v>0</v>
      </c>
      <c r="K238" s="18"/>
      <c r="L238" s="80">
        <f t="shared" si="89"/>
        <v>0</v>
      </c>
      <c r="M238" s="18"/>
      <c r="N238" s="80">
        <f t="shared" si="90"/>
        <v>0</v>
      </c>
      <c r="O238" s="18"/>
      <c r="P238" s="80">
        <f t="shared" si="91"/>
        <v>0</v>
      </c>
      <c r="Q238" s="18"/>
      <c r="R238" s="80">
        <f t="shared" si="92"/>
        <v>0</v>
      </c>
      <c r="S238" s="18"/>
      <c r="T238" s="80">
        <f t="shared" si="93"/>
        <v>0</v>
      </c>
      <c r="U238" s="18"/>
      <c r="V238" s="80">
        <f t="shared" si="73"/>
        <v>0</v>
      </c>
      <c r="W238" s="19" t="str">
        <f t="shared" si="74"/>
        <v xml:space="preserve"> </v>
      </c>
      <c r="X238" s="19" t="str">
        <f t="shared" si="75"/>
        <v xml:space="preserve"> </v>
      </c>
      <c r="Y238" s="19" t="str">
        <f t="shared" si="76"/>
        <v/>
      </c>
      <c r="Z238" s="23"/>
      <c r="AA238" s="19" t="str">
        <f t="shared" si="77"/>
        <v/>
      </c>
      <c r="AB238" s="19" t="str">
        <f t="shared" si="78"/>
        <v xml:space="preserve"> </v>
      </c>
      <c r="AC238" s="19" t="str">
        <f t="shared" si="79"/>
        <v/>
      </c>
      <c r="AD238" s="19" t="str">
        <f t="shared" si="80"/>
        <v xml:space="preserve"> </v>
      </c>
      <c r="AE238" s="125" t="str">
        <f t="shared" si="81"/>
        <v xml:space="preserve"> </v>
      </c>
      <c r="AF238" s="19" t="str">
        <f t="shared" si="82"/>
        <v xml:space="preserve"> </v>
      </c>
      <c r="AG238" s="50">
        <f t="shared" si="83"/>
        <v>0</v>
      </c>
      <c r="AH238" s="50" t="str">
        <f t="shared" si="84"/>
        <v xml:space="preserve"> </v>
      </c>
      <c r="AI238" s="36" t="str">
        <f>IFERROR(IF((INDEX('[3]Riesgos de Corrupción'!$B$11:$V$100,MATCH('Controles de Corrupción'!C238,'[3]Riesgos de Corrupción'!$B$11:$B$100,0),17)-AH238&lt;=1),"Rara vez",IF((INDEX('[3]Riesgos de Corrupción'!$B$11:$V$100,MATCH('Controles de Corrupción'!C238,'[3]Riesgos de Corrupción'!$B$11:$B$100,0),17)-AH238&lt;=2),"Improbable",IF((INDEX('[3]Riesgos de Corrupción'!$B$11:$V$100,MATCH('Controles de Corrupción'!C238,'[3]Riesgos de Corrupción'!$B$11:$B$100,0),17)-AH238&lt;=3),"Posible",IF((INDEX('[3]Riesgos de Corrupción'!$B$11:$V$100,MATCH('Controles de Corrupción'!C238,'[3]Riesgos de Corrupción'!$B$11:$B$100,0),17)-AH238&lt;=4),"Probable",IF((INDEX('[3]Riesgos de Corrupción'!$B$11:$V$100,MATCH('Controles de Corrupción'!C238,'[3]Riesgos de Corrupción'!$B$11:$B$100,0),17)-AH238&lt;=5),"Casi seguro")))))," ")</f>
        <v xml:space="preserve"> </v>
      </c>
      <c r="AJ238" s="8" t="str">
        <f>IFERROR(IF(OR(AND(AF238="Fuerte",H238="No disminuye"),AND(AF238="Moderado",H238="Indirectamente"),AND(AF238="Moderado",H238="No disminuye"),AND(INDEX('[3]Riesgos de Corrupción'!$B$11:$BN$100,MATCH('Controles de Corrupción'!C238,'[3]Riesgos de Corrupción'!$B$11:$B$100,0),63)="Moderado")),0,IF(OR(AND(AF238="Fuerte",H238="Indirectamente"),AND(AF238="Moderado",H238="Directamente"),AND(INDEX('[3]Riesgos de Corrupción'!$B$11:$BN$100,MATCH('Controles de Corrupción'!C238,'[3]Riesgos de Corrupción'!$B$11:$B$100,0),63)="Mayor")),1,IF(AND(AF238="Fuerte",H238="Directamente",AND(INDEX('[3]Riesgos de Corrupción'!$B$11:$BN$100,MATCH('Controles de Corrupción'!C238,'[3]Riesgos de Corrupción'!$B$11:$B$100,0),63)="Catastrófico")),2)))," ")</f>
        <v xml:space="preserve"> </v>
      </c>
      <c r="AK238" s="19" t="str">
        <f t="shared" si="85"/>
        <v xml:space="preserve"> </v>
      </c>
      <c r="AL238" s="19" t="str">
        <f>IFERROR(IF((INDEX('[3]Riesgos de Corrupción'!$B$11:$BN$100,MATCH('Controles de Corrupción'!C238,'[3]Riesgos de Corrupción'!$B$11:$B$100,0),62)-AK238&lt;=3),"Moderado",IF((INDEX('[3]Riesgos de Corrupción'!$B$11:$BN$100,MATCH('Controles de Corrupción'!C238,'[3]Riesgos de Corrupción'!$B$11:$B$100,0),62)-AK238&lt;=4),"Mayor",IF((INDEX('[3]Riesgos de Corrupción'!$B$11:$BN$100,MATCH('Controles de Corrupción'!C238,'[3]Riesgos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0" t="str">
        <f t="shared" si="72"/>
        <v>-</v>
      </c>
      <c r="C239" s="188"/>
      <c r="D239" s="170"/>
      <c r="E239" s="171"/>
      <c r="F239" s="129"/>
      <c r="G239" s="128"/>
      <c r="H239" s="23"/>
      <c r="I239" s="18"/>
      <c r="J239" s="80">
        <f t="shared" si="88"/>
        <v>0</v>
      </c>
      <c r="K239" s="18"/>
      <c r="L239" s="80">
        <f t="shared" si="89"/>
        <v>0</v>
      </c>
      <c r="M239" s="18"/>
      <c r="N239" s="80">
        <f t="shared" si="90"/>
        <v>0</v>
      </c>
      <c r="O239" s="18"/>
      <c r="P239" s="80">
        <f t="shared" si="91"/>
        <v>0</v>
      </c>
      <c r="Q239" s="18"/>
      <c r="R239" s="80">
        <f t="shared" si="92"/>
        <v>0</v>
      </c>
      <c r="S239" s="18"/>
      <c r="T239" s="80">
        <f t="shared" si="93"/>
        <v>0</v>
      </c>
      <c r="U239" s="18"/>
      <c r="V239" s="80">
        <f t="shared" si="73"/>
        <v>0</v>
      </c>
      <c r="W239" s="19" t="str">
        <f t="shared" si="74"/>
        <v xml:space="preserve"> </v>
      </c>
      <c r="X239" s="19" t="str">
        <f t="shared" si="75"/>
        <v xml:space="preserve"> </v>
      </c>
      <c r="Y239" s="19" t="str">
        <f t="shared" si="76"/>
        <v/>
      </c>
      <c r="Z239" s="23"/>
      <c r="AA239" s="19" t="str">
        <f t="shared" si="77"/>
        <v/>
      </c>
      <c r="AB239" s="19" t="str">
        <f t="shared" si="78"/>
        <v xml:space="preserve"> </v>
      </c>
      <c r="AC239" s="19" t="str">
        <f t="shared" si="79"/>
        <v/>
      </c>
      <c r="AD239" s="19" t="str">
        <f t="shared" si="80"/>
        <v xml:space="preserve"> </v>
      </c>
      <c r="AE239" s="125" t="str">
        <f t="shared" si="81"/>
        <v xml:space="preserve"> </v>
      </c>
      <c r="AF239" s="19" t="str">
        <f t="shared" si="82"/>
        <v xml:space="preserve"> </v>
      </c>
      <c r="AG239" s="50">
        <f t="shared" si="83"/>
        <v>0</v>
      </c>
      <c r="AH239" s="50" t="str">
        <f t="shared" si="84"/>
        <v xml:space="preserve"> </v>
      </c>
      <c r="AI239" s="36" t="str">
        <f>IFERROR(IF((INDEX('[3]Riesgos de Corrupción'!$B$11:$V$100,MATCH('Controles de Corrupción'!C239,'[3]Riesgos de Corrupción'!$B$11:$B$100,0),17)-AH239&lt;=1),"Rara vez",IF((INDEX('[3]Riesgos de Corrupción'!$B$11:$V$100,MATCH('Controles de Corrupción'!C239,'[3]Riesgos de Corrupción'!$B$11:$B$100,0),17)-AH239&lt;=2),"Improbable",IF((INDEX('[3]Riesgos de Corrupción'!$B$11:$V$100,MATCH('Controles de Corrupción'!C239,'[3]Riesgos de Corrupción'!$B$11:$B$100,0),17)-AH239&lt;=3),"Posible",IF((INDEX('[3]Riesgos de Corrupción'!$B$11:$V$100,MATCH('Controles de Corrupción'!C239,'[3]Riesgos de Corrupción'!$B$11:$B$100,0),17)-AH239&lt;=4),"Probable",IF((INDEX('[3]Riesgos de Corrupción'!$B$11:$V$100,MATCH('Controles de Corrupción'!C239,'[3]Riesgos de Corrupción'!$B$11:$B$100,0),17)-AH239&lt;=5),"Casi seguro")))))," ")</f>
        <v xml:space="preserve"> </v>
      </c>
      <c r="AJ239" s="8" t="str">
        <f>IFERROR(IF(OR(AND(AF239="Fuerte",H239="No disminuye"),AND(AF239="Moderado",H239="Indirectamente"),AND(AF239="Moderado",H239="No disminuye"),AND(INDEX('[3]Riesgos de Corrupción'!$B$11:$BN$100,MATCH('Controles de Corrupción'!C239,'[3]Riesgos de Corrupción'!$B$11:$B$100,0),63)="Moderado")),0,IF(OR(AND(AF239="Fuerte",H239="Indirectamente"),AND(AF239="Moderado",H239="Directamente"),AND(INDEX('[3]Riesgos de Corrupción'!$B$11:$BN$100,MATCH('Controles de Corrupción'!C239,'[3]Riesgos de Corrupción'!$B$11:$B$100,0),63)="Mayor")),1,IF(AND(AF239="Fuerte",H239="Directamente",AND(INDEX('[3]Riesgos de Corrupción'!$B$11:$BN$100,MATCH('Controles de Corrupción'!C239,'[3]Riesgos de Corrupción'!$B$11:$B$100,0),63)="Catastrófico")),2)))," ")</f>
        <v xml:space="preserve"> </v>
      </c>
      <c r="AK239" s="19" t="str">
        <f t="shared" si="85"/>
        <v xml:space="preserve"> </v>
      </c>
      <c r="AL239" s="19" t="str">
        <f>IFERROR(IF((INDEX('[3]Riesgos de Corrupción'!$B$11:$BN$100,MATCH('Controles de Corrupción'!C239,'[3]Riesgos de Corrupción'!$B$11:$B$100,0),62)-AK239&lt;=3),"Moderado",IF((INDEX('[3]Riesgos de Corrupción'!$B$11:$BN$100,MATCH('Controles de Corrupción'!C239,'[3]Riesgos de Corrupción'!$B$11:$B$100,0),62)-AK239&lt;=4),"Mayor",IF((INDEX('[3]Riesgos de Corrupción'!$B$11:$BN$100,MATCH('Controles de Corrupción'!C239,'[3]Riesgos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0" t="str">
        <f t="shared" si="72"/>
        <v>-</v>
      </c>
      <c r="C240" s="188"/>
      <c r="D240" s="170"/>
      <c r="E240" s="171"/>
      <c r="F240" s="129"/>
      <c r="G240" s="128"/>
      <c r="H240" s="23"/>
      <c r="I240" s="18"/>
      <c r="J240" s="80">
        <f t="shared" si="88"/>
        <v>0</v>
      </c>
      <c r="K240" s="18"/>
      <c r="L240" s="80">
        <f t="shared" si="89"/>
        <v>0</v>
      </c>
      <c r="M240" s="18"/>
      <c r="N240" s="80">
        <f t="shared" si="90"/>
        <v>0</v>
      </c>
      <c r="O240" s="18"/>
      <c r="P240" s="80">
        <f t="shared" si="91"/>
        <v>0</v>
      </c>
      <c r="Q240" s="18"/>
      <c r="R240" s="80">
        <f t="shared" si="92"/>
        <v>0</v>
      </c>
      <c r="S240" s="18"/>
      <c r="T240" s="80">
        <f t="shared" si="93"/>
        <v>0</v>
      </c>
      <c r="U240" s="18"/>
      <c r="V240" s="80">
        <f t="shared" si="73"/>
        <v>0</v>
      </c>
      <c r="W240" s="19" t="str">
        <f t="shared" si="74"/>
        <v xml:space="preserve"> </v>
      </c>
      <c r="X240" s="19" t="str">
        <f t="shared" si="75"/>
        <v xml:space="preserve"> </v>
      </c>
      <c r="Y240" s="19" t="str">
        <f t="shared" si="76"/>
        <v/>
      </c>
      <c r="Z240" s="23"/>
      <c r="AA240" s="19" t="str">
        <f t="shared" si="77"/>
        <v/>
      </c>
      <c r="AB240" s="19" t="str">
        <f t="shared" si="78"/>
        <v xml:space="preserve"> </v>
      </c>
      <c r="AC240" s="19" t="str">
        <f t="shared" si="79"/>
        <v/>
      </c>
      <c r="AD240" s="19" t="str">
        <f t="shared" si="80"/>
        <v xml:space="preserve"> </v>
      </c>
      <c r="AE240" s="125" t="str">
        <f t="shared" si="81"/>
        <v xml:space="preserve"> </v>
      </c>
      <c r="AF240" s="19" t="str">
        <f t="shared" si="82"/>
        <v xml:space="preserve"> </v>
      </c>
      <c r="AG240" s="50">
        <f t="shared" si="83"/>
        <v>0</v>
      </c>
      <c r="AH240" s="50" t="str">
        <f t="shared" si="84"/>
        <v xml:space="preserve"> </v>
      </c>
      <c r="AI240" s="36" t="str">
        <f>IFERROR(IF((INDEX('[3]Riesgos de Corrupción'!$B$11:$V$100,MATCH('Controles de Corrupción'!C240,'[3]Riesgos de Corrupción'!$B$11:$B$100,0),17)-AH240&lt;=1),"Rara vez",IF((INDEX('[3]Riesgos de Corrupción'!$B$11:$V$100,MATCH('Controles de Corrupción'!C240,'[3]Riesgos de Corrupción'!$B$11:$B$100,0),17)-AH240&lt;=2),"Improbable",IF((INDEX('[3]Riesgos de Corrupción'!$B$11:$V$100,MATCH('Controles de Corrupción'!C240,'[3]Riesgos de Corrupción'!$B$11:$B$100,0),17)-AH240&lt;=3),"Posible",IF((INDEX('[3]Riesgos de Corrupción'!$B$11:$V$100,MATCH('Controles de Corrupción'!C240,'[3]Riesgos de Corrupción'!$B$11:$B$100,0),17)-AH240&lt;=4),"Probable",IF((INDEX('[3]Riesgos de Corrupción'!$B$11:$V$100,MATCH('Controles de Corrupción'!C240,'[3]Riesgos de Corrupción'!$B$11:$B$100,0),17)-AH240&lt;=5),"Casi seguro")))))," ")</f>
        <v xml:space="preserve"> </v>
      </c>
      <c r="AJ240" s="8" t="str">
        <f>IFERROR(IF(OR(AND(AF240="Fuerte",H240="No disminuye"),AND(AF240="Moderado",H240="Indirectamente"),AND(AF240="Moderado",H240="No disminuye"),AND(INDEX('[3]Riesgos de Corrupción'!$B$11:$BN$100,MATCH('Controles de Corrupción'!C240,'[3]Riesgos de Corrupción'!$B$11:$B$100,0),63)="Moderado")),0,IF(OR(AND(AF240="Fuerte",H240="Indirectamente"),AND(AF240="Moderado",H240="Directamente"),AND(INDEX('[3]Riesgos de Corrupción'!$B$11:$BN$100,MATCH('Controles de Corrupción'!C240,'[3]Riesgos de Corrupción'!$B$11:$B$100,0),63)="Mayor")),1,IF(AND(AF240="Fuerte",H240="Directamente",AND(INDEX('[3]Riesgos de Corrupción'!$B$11:$BN$100,MATCH('Controles de Corrupción'!C240,'[3]Riesgos de Corrupción'!$B$11:$B$100,0),63)="Catastrófico")),2)))," ")</f>
        <v xml:space="preserve"> </v>
      </c>
      <c r="AK240" s="19" t="str">
        <f t="shared" si="85"/>
        <v xml:space="preserve"> </v>
      </c>
      <c r="AL240" s="19" t="str">
        <f>IFERROR(IF((INDEX('[3]Riesgos de Corrupción'!$B$11:$BN$100,MATCH('Controles de Corrupción'!C240,'[3]Riesgos de Corrupción'!$B$11:$B$100,0),62)-AK240&lt;=3),"Moderado",IF((INDEX('[3]Riesgos de Corrupción'!$B$11:$BN$100,MATCH('Controles de Corrupción'!C240,'[3]Riesgos de Corrupción'!$B$11:$B$100,0),62)-AK240&lt;=4),"Mayor",IF((INDEX('[3]Riesgos de Corrupción'!$B$11:$BN$100,MATCH('Controles de Corrupción'!C240,'[3]Riesgos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0" t="str">
        <f t="shared" si="72"/>
        <v>-</v>
      </c>
      <c r="C241" s="188"/>
      <c r="D241" s="170"/>
      <c r="E241" s="171"/>
      <c r="F241" s="129"/>
      <c r="G241" s="128"/>
      <c r="H241" s="23"/>
      <c r="I241" s="18"/>
      <c r="J241" s="80">
        <f t="shared" si="88"/>
        <v>0</v>
      </c>
      <c r="K241" s="18"/>
      <c r="L241" s="80">
        <f t="shared" si="89"/>
        <v>0</v>
      </c>
      <c r="M241" s="18"/>
      <c r="N241" s="80">
        <f t="shared" si="90"/>
        <v>0</v>
      </c>
      <c r="O241" s="18"/>
      <c r="P241" s="80">
        <f t="shared" si="91"/>
        <v>0</v>
      </c>
      <c r="Q241" s="18"/>
      <c r="R241" s="80">
        <f t="shared" si="92"/>
        <v>0</v>
      </c>
      <c r="S241" s="18"/>
      <c r="T241" s="80">
        <f t="shared" si="93"/>
        <v>0</v>
      </c>
      <c r="U241" s="18"/>
      <c r="V241" s="80">
        <f t="shared" si="73"/>
        <v>0</v>
      </c>
      <c r="W241" s="19" t="str">
        <f t="shared" si="74"/>
        <v xml:space="preserve"> </v>
      </c>
      <c r="X241" s="19" t="str">
        <f t="shared" si="75"/>
        <v xml:space="preserve"> </v>
      </c>
      <c r="Y241" s="19" t="str">
        <f t="shared" si="76"/>
        <v/>
      </c>
      <c r="Z241" s="23"/>
      <c r="AA241" s="19" t="str">
        <f t="shared" si="77"/>
        <v/>
      </c>
      <c r="AB241" s="19" t="str">
        <f t="shared" si="78"/>
        <v xml:space="preserve"> </v>
      </c>
      <c r="AC241" s="19" t="str">
        <f t="shared" si="79"/>
        <v/>
      </c>
      <c r="AD241" s="19" t="str">
        <f t="shared" si="80"/>
        <v xml:space="preserve"> </v>
      </c>
      <c r="AE241" s="125" t="str">
        <f t="shared" si="81"/>
        <v xml:space="preserve"> </v>
      </c>
      <c r="AF241" s="19" t="str">
        <f t="shared" si="82"/>
        <v xml:space="preserve"> </v>
      </c>
      <c r="AG241" s="50">
        <f t="shared" si="83"/>
        <v>0</v>
      </c>
      <c r="AH241" s="50" t="str">
        <f t="shared" si="84"/>
        <v xml:space="preserve"> </v>
      </c>
      <c r="AI241" s="36" t="str">
        <f>IFERROR(IF((INDEX('[3]Riesgos de Corrupción'!$B$11:$V$100,MATCH('Controles de Corrupción'!C241,'[3]Riesgos de Corrupción'!$B$11:$B$100,0),17)-AH241&lt;=1),"Rara vez",IF((INDEX('[3]Riesgos de Corrupción'!$B$11:$V$100,MATCH('Controles de Corrupción'!C241,'[3]Riesgos de Corrupción'!$B$11:$B$100,0),17)-AH241&lt;=2),"Improbable",IF((INDEX('[3]Riesgos de Corrupción'!$B$11:$V$100,MATCH('Controles de Corrupción'!C241,'[3]Riesgos de Corrupción'!$B$11:$B$100,0),17)-AH241&lt;=3),"Posible",IF((INDEX('[3]Riesgos de Corrupción'!$B$11:$V$100,MATCH('Controles de Corrupción'!C241,'[3]Riesgos de Corrupción'!$B$11:$B$100,0),17)-AH241&lt;=4),"Probable",IF((INDEX('[3]Riesgos de Corrupción'!$B$11:$V$100,MATCH('Controles de Corrupción'!C241,'[3]Riesgos de Corrupción'!$B$11:$B$100,0),17)-AH241&lt;=5),"Casi seguro")))))," ")</f>
        <v xml:space="preserve"> </v>
      </c>
      <c r="AJ241" s="8" t="str">
        <f>IFERROR(IF(OR(AND(AF241="Fuerte",H241="No disminuye"),AND(AF241="Moderado",H241="Indirectamente"),AND(AF241="Moderado",H241="No disminuye"),AND(INDEX('[3]Riesgos de Corrupción'!$B$11:$BN$100,MATCH('Controles de Corrupción'!C241,'[3]Riesgos de Corrupción'!$B$11:$B$100,0),63)="Moderado")),0,IF(OR(AND(AF241="Fuerte",H241="Indirectamente"),AND(AF241="Moderado",H241="Directamente"),AND(INDEX('[3]Riesgos de Corrupción'!$B$11:$BN$100,MATCH('Controles de Corrupción'!C241,'[3]Riesgos de Corrupción'!$B$11:$B$100,0),63)="Mayor")),1,IF(AND(AF241="Fuerte",H241="Directamente",AND(INDEX('[3]Riesgos de Corrupción'!$B$11:$BN$100,MATCH('Controles de Corrupción'!C241,'[3]Riesgos de Corrupción'!$B$11:$B$100,0),63)="Catastrófico")),2)))," ")</f>
        <v xml:space="preserve"> </v>
      </c>
      <c r="AK241" s="19" t="str">
        <f t="shared" si="85"/>
        <v xml:space="preserve"> </v>
      </c>
      <c r="AL241" s="19" t="str">
        <f>IFERROR(IF((INDEX('[3]Riesgos de Corrupción'!$B$11:$BN$100,MATCH('Controles de Corrupción'!C241,'[3]Riesgos de Corrupción'!$B$11:$B$100,0),62)-AK241&lt;=3),"Moderado",IF((INDEX('[3]Riesgos de Corrupción'!$B$11:$BN$100,MATCH('Controles de Corrupción'!C241,'[3]Riesgos de Corrupción'!$B$11:$B$100,0),62)-AK241&lt;=4),"Mayor",IF((INDEX('[3]Riesgos de Corrupción'!$B$11:$BN$100,MATCH('Controles de Corrupción'!C241,'[3]Riesgos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0" t="str">
        <f t="shared" si="72"/>
        <v>-</v>
      </c>
      <c r="C242" s="188"/>
      <c r="D242" s="170"/>
      <c r="E242" s="171"/>
      <c r="F242" s="129"/>
      <c r="G242" s="128"/>
      <c r="H242" s="23"/>
      <c r="I242" s="18"/>
      <c r="J242" s="80">
        <f t="shared" si="88"/>
        <v>0</v>
      </c>
      <c r="K242" s="18"/>
      <c r="L242" s="80">
        <f t="shared" si="89"/>
        <v>0</v>
      </c>
      <c r="M242" s="18"/>
      <c r="N242" s="80">
        <f t="shared" si="90"/>
        <v>0</v>
      </c>
      <c r="O242" s="18"/>
      <c r="P242" s="80">
        <f t="shared" si="91"/>
        <v>0</v>
      </c>
      <c r="Q242" s="18"/>
      <c r="R242" s="80">
        <f t="shared" si="92"/>
        <v>0</v>
      </c>
      <c r="S242" s="18"/>
      <c r="T242" s="80">
        <f t="shared" si="93"/>
        <v>0</v>
      </c>
      <c r="U242" s="18"/>
      <c r="V242" s="80">
        <f t="shared" si="73"/>
        <v>0</v>
      </c>
      <c r="W242" s="19" t="str">
        <f t="shared" si="74"/>
        <v xml:space="preserve"> </v>
      </c>
      <c r="X242" s="19" t="str">
        <f t="shared" si="75"/>
        <v xml:space="preserve"> </v>
      </c>
      <c r="Y242" s="19" t="str">
        <f t="shared" si="76"/>
        <v/>
      </c>
      <c r="Z242" s="23"/>
      <c r="AA242" s="19" t="str">
        <f t="shared" si="77"/>
        <v/>
      </c>
      <c r="AB242" s="19" t="str">
        <f t="shared" si="78"/>
        <v xml:space="preserve"> </v>
      </c>
      <c r="AC242" s="19" t="str">
        <f t="shared" si="79"/>
        <v/>
      </c>
      <c r="AD242" s="19" t="str">
        <f t="shared" si="80"/>
        <v xml:space="preserve"> </v>
      </c>
      <c r="AE242" s="125" t="str">
        <f t="shared" si="81"/>
        <v xml:space="preserve"> </v>
      </c>
      <c r="AF242" s="19" t="str">
        <f t="shared" si="82"/>
        <v xml:space="preserve"> </v>
      </c>
      <c r="AG242" s="50">
        <f t="shared" si="83"/>
        <v>0</v>
      </c>
      <c r="AH242" s="50" t="str">
        <f t="shared" si="84"/>
        <v xml:space="preserve"> </v>
      </c>
      <c r="AI242" s="36" t="str">
        <f>IFERROR(IF((INDEX('[3]Riesgos de Corrupción'!$B$11:$V$100,MATCH('Controles de Corrupción'!C242,'[3]Riesgos de Corrupción'!$B$11:$B$100,0),17)-AH242&lt;=1),"Rara vez",IF((INDEX('[3]Riesgos de Corrupción'!$B$11:$V$100,MATCH('Controles de Corrupción'!C242,'[3]Riesgos de Corrupción'!$B$11:$B$100,0),17)-AH242&lt;=2),"Improbable",IF((INDEX('[3]Riesgos de Corrupción'!$B$11:$V$100,MATCH('Controles de Corrupción'!C242,'[3]Riesgos de Corrupción'!$B$11:$B$100,0),17)-AH242&lt;=3),"Posible",IF((INDEX('[3]Riesgos de Corrupción'!$B$11:$V$100,MATCH('Controles de Corrupción'!C242,'[3]Riesgos de Corrupción'!$B$11:$B$100,0),17)-AH242&lt;=4),"Probable",IF((INDEX('[3]Riesgos de Corrupción'!$B$11:$V$100,MATCH('Controles de Corrupción'!C242,'[3]Riesgos de Corrupción'!$B$11:$B$100,0),17)-AH242&lt;=5),"Casi seguro")))))," ")</f>
        <v xml:space="preserve"> </v>
      </c>
      <c r="AJ242" s="8" t="str">
        <f>IFERROR(IF(OR(AND(AF242="Fuerte",H242="No disminuye"),AND(AF242="Moderado",H242="Indirectamente"),AND(AF242="Moderado",H242="No disminuye"),AND(INDEX('[3]Riesgos de Corrupción'!$B$11:$BN$100,MATCH('Controles de Corrupción'!C242,'[3]Riesgos de Corrupción'!$B$11:$B$100,0),63)="Moderado")),0,IF(OR(AND(AF242="Fuerte",H242="Indirectamente"),AND(AF242="Moderado",H242="Directamente"),AND(INDEX('[3]Riesgos de Corrupción'!$B$11:$BN$100,MATCH('Controles de Corrupción'!C242,'[3]Riesgos de Corrupción'!$B$11:$B$100,0),63)="Mayor")),1,IF(AND(AF242="Fuerte",H242="Directamente",AND(INDEX('[3]Riesgos de Corrupción'!$B$11:$BN$100,MATCH('Controles de Corrupción'!C242,'[3]Riesgos de Corrupción'!$B$11:$B$100,0),63)="Catastrófico")),2)))," ")</f>
        <v xml:space="preserve"> </v>
      </c>
      <c r="AK242" s="19" t="str">
        <f t="shared" si="85"/>
        <v xml:space="preserve"> </v>
      </c>
      <c r="AL242" s="19" t="str">
        <f>IFERROR(IF((INDEX('[3]Riesgos de Corrupción'!$B$11:$BN$100,MATCH('Controles de Corrupción'!C242,'[3]Riesgos de Corrupción'!$B$11:$B$100,0),62)-AK242&lt;=3),"Moderado",IF((INDEX('[3]Riesgos de Corrupción'!$B$11:$BN$100,MATCH('Controles de Corrupción'!C242,'[3]Riesgos de Corrupción'!$B$11:$B$100,0),62)-AK242&lt;=4),"Mayor",IF((INDEX('[3]Riesgos de Corrupción'!$B$11:$BN$100,MATCH('Controles de Corrupción'!C242,'[3]Riesgos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0" t="str">
        <f t="shared" si="72"/>
        <v>-</v>
      </c>
      <c r="C243" s="188"/>
      <c r="D243" s="170"/>
      <c r="E243" s="171"/>
      <c r="F243" s="129"/>
      <c r="G243" s="128"/>
      <c r="H243" s="23"/>
      <c r="I243" s="18"/>
      <c r="J243" s="80">
        <f t="shared" si="88"/>
        <v>0</v>
      </c>
      <c r="K243" s="18"/>
      <c r="L243" s="80">
        <f t="shared" si="89"/>
        <v>0</v>
      </c>
      <c r="M243" s="18"/>
      <c r="N243" s="80">
        <f t="shared" si="90"/>
        <v>0</v>
      </c>
      <c r="O243" s="18"/>
      <c r="P243" s="80">
        <f t="shared" si="91"/>
        <v>0</v>
      </c>
      <c r="Q243" s="18"/>
      <c r="R243" s="80">
        <f t="shared" si="92"/>
        <v>0</v>
      </c>
      <c r="S243" s="18"/>
      <c r="T243" s="80">
        <f t="shared" si="93"/>
        <v>0</v>
      </c>
      <c r="U243" s="18"/>
      <c r="V243" s="80">
        <f t="shared" si="73"/>
        <v>0</v>
      </c>
      <c r="W243" s="19" t="str">
        <f t="shared" si="74"/>
        <v xml:space="preserve"> </v>
      </c>
      <c r="X243" s="19" t="str">
        <f t="shared" si="75"/>
        <v xml:space="preserve"> </v>
      </c>
      <c r="Y243" s="19" t="str">
        <f t="shared" si="76"/>
        <v/>
      </c>
      <c r="Z243" s="23"/>
      <c r="AA243" s="19" t="str">
        <f t="shared" si="77"/>
        <v/>
      </c>
      <c r="AB243" s="19" t="str">
        <f t="shared" si="78"/>
        <v xml:space="preserve"> </v>
      </c>
      <c r="AC243" s="19" t="str">
        <f t="shared" si="79"/>
        <v/>
      </c>
      <c r="AD243" s="19" t="str">
        <f t="shared" si="80"/>
        <v xml:space="preserve"> </v>
      </c>
      <c r="AE243" s="125" t="str">
        <f t="shared" si="81"/>
        <v xml:space="preserve"> </v>
      </c>
      <c r="AF243" s="19" t="str">
        <f t="shared" si="82"/>
        <v xml:space="preserve"> </v>
      </c>
      <c r="AG243" s="50">
        <f t="shared" si="83"/>
        <v>0</v>
      </c>
      <c r="AH243" s="50" t="str">
        <f t="shared" si="84"/>
        <v xml:space="preserve"> </v>
      </c>
      <c r="AI243" s="36" t="str">
        <f>IFERROR(IF((INDEX('[3]Riesgos de Corrupción'!$B$11:$V$100,MATCH('Controles de Corrupción'!C243,'[3]Riesgos de Corrupción'!$B$11:$B$100,0),17)-AH243&lt;=1),"Rara vez",IF((INDEX('[3]Riesgos de Corrupción'!$B$11:$V$100,MATCH('Controles de Corrupción'!C243,'[3]Riesgos de Corrupción'!$B$11:$B$100,0),17)-AH243&lt;=2),"Improbable",IF((INDEX('[3]Riesgos de Corrupción'!$B$11:$V$100,MATCH('Controles de Corrupción'!C243,'[3]Riesgos de Corrupción'!$B$11:$B$100,0),17)-AH243&lt;=3),"Posible",IF((INDEX('[3]Riesgos de Corrupción'!$B$11:$V$100,MATCH('Controles de Corrupción'!C243,'[3]Riesgos de Corrupción'!$B$11:$B$100,0),17)-AH243&lt;=4),"Probable",IF((INDEX('[3]Riesgos de Corrupción'!$B$11:$V$100,MATCH('Controles de Corrupción'!C243,'[3]Riesgos de Corrupción'!$B$11:$B$100,0),17)-AH243&lt;=5),"Casi seguro")))))," ")</f>
        <v xml:space="preserve"> </v>
      </c>
      <c r="AJ243" s="8" t="str">
        <f>IFERROR(IF(OR(AND(AF243="Fuerte",H243="No disminuye"),AND(AF243="Moderado",H243="Indirectamente"),AND(AF243="Moderado",H243="No disminuye"),AND(INDEX('[3]Riesgos de Corrupción'!$B$11:$BN$100,MATCH('Controles de Corrupción'!C243,'[3]Riesgos de Corrupción'!$B$11:$B$100,0),63)="Moderado")),0,IF(OR(AND(AF243="Fuerte",H243="Indirectamente"),AND(AF243="Moderado",H243="Directamente"),AND(INDEX('[3]Riesgos de Corrupción'!$B$11:$BN$100,MATCH('Controles de Corrupción'!C243,'[3]Riesgos de Corrupción'!$B$11:$B$100,0),63)="Mayor")),1,IF(AND(AF243="Fuerte",H243="Directamente",AND(INDEX('[3]Riesgos de Corrupción'!$B$11:$BN$100,MATCH('Controles de Corrupción'!C243,'[3]Riesgos de Corrupción'!$B$11:$B$100,0),63)="Catastrófico")),2)))," ")</f>
        <v xml:space="preserve"> </v>
      </c>
      <c r="AK243" s="19" t="str">
        <f t="shared" si="85"/>
        <v xml:space="preserve"> </v>
      </c>
      <c r="AL243" s="19" t="str">
        <f>IFERROR(IF((INDEX('[3]Riesgos de Corrupción'!$B$11:$BN$100,MATCH('Controles de Corrupción'!C243,'[3]Riesgos de Corrupción'!$B$11:$B$100,0),62)-AK243&lt;=3),"Moderado",IF((INDEX('[3]Riesgos de Corrupción'!$B$11:$BN$100,MATCH('Controles de Corrupción'!C243,'[3]Riesgos de Corrupción'!$B$11:$B$100,0),62)-AK243&lt;=4),"Mayor",IF((INDEX('[3]Riesgos de Corrupción'!$B$11:$BN$100,MATCH('Controles de Corrupción'!C243,'[3]Riesgos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0" t="str">
        <f t="shared" si="72"/>
        <v>-</v>
      </c>
      <c r="C244" s="188"/>
      <c r="D244" s="170"/>
      <c r="E244" s="171"/>
      <c r="F244" s="129"/>
      <c r="G244" s="128"/>
      <c r="H244" s="23"/>
      <c r="I244" s="18"/>
      <c r="J244" s="80">
        <f t="shared" si="88"/>
        <v>0</v>
      </c>
      <c r="K244" s="18"/>
      <c r="L244" s="80">
        <f t="shared" si="89"/>
        <v>0</v>
      </c>
      <c r="M244" s="18"/>
      <c r="N244" s="80">
        <f t="shared" si="90"/>
        <v>0</v>
      </c>
      <c r="O244" s="18"/>
      <c r="P244" s="80">
        <f t="shared" si="91"/>
        <v>0</v>
      </c>
      <c r="Q244" s="18"/>
      <c r="R244" s="80">
        <f t="shared" si="92"/>
        <v>0</v>
      </c>
      <c r="S244" s="18"/>
      <c r="T244" s="80">
        <f t="shared" si="93"/>
        <v>0</v>
      </c>
      <c r="U244" s="18"/>
      <c r="V244" s="80">
        <f t="shared" si="73"/>
        <v>0</v>
      </c>
      <c r="W244" s="19" t="str">
        <f t="shared" si="74"/>
        <v xml:space="preserve"> </v>
      </c>
      <c r="X244" s="19" t="str">
        <f t="shared" si="75"/>
        <v xml:space="preserve"> </v>
      </c>
      <c r="Y244" s="19" t="str">
        <f t="shared" si="76"/>
        <v/>
      </c>
      <c r="Z244" s="23"/>
      <c r="AA244" s="19" t="str">
        <f t="shared" si="77"/>
        <v/>
      </c>
      <c r="AB244" s="19" t="str">
        <f t="shared" si="78"/>
        <v xml:space="preserve"> </v>
      </c>
      <c r="AC244" s="19" t="str">
        <f t="shared" si="79"/>
        <v/>
      </c>
      <c r="AD244" s="19" t="str">
        <f t="shared" si="80"/>
        <v xml:space="preserve"> </v>
      </c>
      <c r="AE244" s="125" t="str">
        <f t="shared" si="81"/>
        <v xml:space="preserve"> </v>
      </c>
      <c r="AF244" s="19" t="str">
        <f t="shared" si="82"/>
        <v xml:space="preserve"> </v>
      </c>
      <c r="AG244" s="50">
        <f t="shared" si="83"/>
        <v>0</v>
      </c>
      <c r="AH244" s="50" t="str">
        <f t="shared" si="84"/>
        <v xml:space="preserve"> </v>
      </c>
      <c r="AI244" s="36" t="str">
        <f>IFERROR(IF((INDEX('[3]Riesgos de Corrupción'!$B$11:$V$100,MATCH('Controles de Corrupción'!C244,'[3]Riesgos de Corrupción'!$B$11:$B$100,0),17)-AH244&lt;=1),"Rara vez",IF((INDEX('[3]Riesgos de Corrupción'!$B$11:$V$100,MATCH('Controles de Corrupción'!C244,'[3]Riesgos de Corrupción'!$B$11:$B$100,0),17)-AH244&lt;=2),"Improbable",IF((INDEX('[3]Riesgos de Corrupción'!$B$11:$V$100,MATCH('Controles de Corrupción'!C244,'[3]Riesgos de Corrupción'!$B$11:$B$100,0),17)-AH244&lt;=3),"Posible",IF((INDEX('[3]Riesgos de Corrupción'!$B$11:$V$100,MATCH('Controles de Corrupción'!C244,'[3]Riesgos de Corrupción'!$B$11:$B$100,0),17)-AH244&lt;=4),"Probable",IF((INDEX('[3]Riesgos de Corrupción'!$B$11:$V$100,MATCH('Controles de Corrupción'!C244,'[3]Riesgos de Corrupción'!$B$11:$B$100,0),17)-AH244&lt;=5),"Casi seguro")))))," ")</f>
        <v xml:space="preserve"> </v>
      </c>
      <c r="AJ244" s="8" t="str">
        <f>IFERROR(IF(OR(AND(AF244="Fuerte",H244="No disminuye"),AND(AF244="Moderado",H244="Indirectamente"),AND(AF244="Moderado",H244="No disminuye"),AND(INDEX('[3]Riesgos de Corrupción'!$B$11:$BN$100,MATCH('Controles de Corrupción'!C244,'[3]Riesgos de Corrupción'!$B$11:$B$100,0),63)="Moderado")),0,IF(OR(AND(AF244="Fuerte",H244="Indirectamente"),AND(AF244="Moderado",H244="Directamente"),AND(INDEX('[3]Riesgos de Corrupción'!$B$11:$BN$100,MATCH('Controles de Corrupción'!C244,'[3]Riesgos de Corrupción'!$B$11:$B$100,0),63)="Mayor")),1,IF(AND(AF244="Fuerte",H244="Directamente",AND(INDEX('[3]Riesgos de Corrupción'!$B$11:$BN$100,MATCH('Controles de Corrupción'!C244,'[3]Riesgos de Corrupción'!$B$11:$B$100,0),63)="Catastrófico")),2)))," ")</f>
        <v xml:space="preserve"> </v>
      </c>
      <c r="AK244" s="19" t="str">
        <f t="shared" si="85"/>
        <v xml:space="preserve"> </v>
      </c>
      <c r="AL244" s="19" t="str">
        <f>IFERROR(IF((INDEX('[3]Riesgos de Corrupción'!$B$11:$BN$100,MATCH('Controles de Corrupción'!C244,'[3]Riesgos de Corrupción'!$B$11:$B$100,0),62)-AK244&lt;=3),"Moderado",IF((INDEX('[3]Riesgos de Corrupción'!$B$11:$BN$100,MATCH('Controles de Corrupción'!C244,'[3]Riesgos de Corrupción'!$B$11:$B$100,0),62)-AK244&lt;=4),"Mayor",IF((INDEX('[3]Riesgos de Corrupción'!$B$11:$BN$100,MATCH('Controles de Corrupción'!C244,'[3]Riesgos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0" t="str">
        <f t="shared" si="72"/>
        <v>-</v>
      </c>
      <c r="C245" s="188"/>
      <c r="D245" s="170"/>
      <c r="E245" s="171"/>
      <c r="F245" s="129"/>
      <c r="G245" s="128"/>
      <c r="H245" s="23"/>
      <c r="I245" s="18"/>
      <c r="J245" s="80">
        <f t="shared" si="88"/>
        <v>0</v>
      </c>
      <c r="K245" s="18"/>
      <c r="L245" s="80">
        <f t="shared" si="89"/>
        <v>0</v>
      </c>
      <c r="M245" s="18"/>
      <c r="N245" s="80">
        <f t="shared" si="90"/>
        <v>0</v>
      </c>
      <c r="O245" s="18"/>
      <c r="P245" s="80">
        <f t="shared" si="91"/>
        <v>0</v>
      </c>
      <c r="Q245" s="18"/>
      <c r="R245" s="80">
        <f t="shared" si="92"/>
        <v>0</v>
      </c>
      <c r="S245" s="18"/>
      <c r="T245" s="80">
        <f t="shared" si="93"/>
        <v>0</v>
      </c>
      <c r="U245" s="18"/>
      <c r="V245" s="80">
        <f t="shared" si="73"/>
        <v>0</v>
      </c>
      <c r="W245" s="19" t="str">
        <f t="shared" si="74"/>
        <v xml:space="preserve"> </v>
      </c>
      <c r="X245" s="19" t="str">
        <f t="shared" si="75"/>
        <v xml:space="preserve"> </v>
      </c>
      <c r="Y245" s="19" t="str">
        <f t="shared" si="76"/>
        <v/>
      </c>
      <c r="Z245" s="23"/>
      <c r="AA245" s="19" t="str">
        <f t="shared" si="77"/>
        <v/>
      </c>
      <c r="AB245" s="19" t="str">
        <f t="shared" si="78"/>
        <v xml:space="preserve"> </v>
      </c>
      <c r="AC245" s="19" t="str">
        <f t="shared" si="79"/>
        <v/>
      </c>
      <c r="AD245" s="19" t="str">
        <f t="shared" si="80"/>
        <v xml:space="preserve"> </v>
      </c>
      <c r="AE245" s="125" t="str">
        <f t="shared" si="81"/>
        <v xml:space="preserve"> </v>
      </c>
      <c r="AF245" s="19" t="str">
        <f t="shared" si="82"/>
        <v xml:space="preserve"> </v>
      </c>
      <c r="AG245" s="50">
        <f t="shared" si="83"/>
        <v>0</v>
      </c>
      <c r="AH245" s="50" t="str">
        <f t="shared" si="84"/>
        <v xml:space="preserve"> </v>
      </c>
      <c r="AI245" s="36" t="str">
        <f>IFERROR(IF((INDEX('[3]Riesgos de Corrupción'!$B$11:$V$100,MATCH('Controles de Corrupción'!C245,'[3]Riesgos de Corrupción'!$B$11:$B$100,0),17)-AH245&lt;=1),"Rara vez",IF((INDEX('[3]Riesgos de Corrupción'!$B$11:$V$100,MATCH('Controles de Corrupción'!C245,'[3]Riesgos de Corrupción'!$B$11:$B$100,0),17)-AH245&lt;=2),"Improbable",IF((INDEX('[3]Riesgos de Corrupción'!$B$11:$V$100,MATCH('Controles de Corrupción'!C245,'[3]Riesgos de Corrupción'!$B$11:$B$100,0),17)-AH245&lt;=3),"Posible",IF((INDEX('[3]Riesgos de Corrupción'!$B$11:$V$100,MATCH('Controles de Corrupción'!C245,'[3]Riesgos de Corrupción'!$B$11:$B$100,0),17)-AH245&lt;=4),"Probable",IF((INDEX('[3]Riesgos de Corrupción'!$B$11:$V$100,MATCH('Controles de Corrupción'!C245,'[3]Riesgos de Corrupción'!$B$11:$B$100,0),17)-AH245&lt;=5),"Casi seguro")))))," ")</f>
        <v xml:space="preserve"> </v>
      </c>
      <c r="AJ245" s="8" t="str">
        <f>IFERROR(IF(OR(AND(AF245="Fuerte",H245="No disminuye"),AND(AF245="Moderado",H245="Indirectamente"),AND(AF245="Moderado",H245="No disminuye"),AND(INDEX('[3]Riesgos de Corrupción'!$B$11:$BN$100,MATCH('Controles de Corrupción'!C245,'[3]Riesgos de Corrupción'!$B$11:$B$100,0),63)="Moderado")),0,IF(OR(AND(AF245="Fuerte",H245="Indirectamente"),AND(AF245="Moderado",H245="Directamente"),AND(INDEX('[3]Riesgos de Corrupción'!$B$11:$BN$100,MATCH('Controles de Corrupción'!C245,'[3]Riesgos de Corrupción'!$B$11:$B$100,0),63)="Mayor")),1,IF(AND(AF245="Fuerte",H245="Directamente",AND(INDEX('[3]Riesgos de Corrupción'!$B$11:$BN$100,MATCH('Controles de Corrupción'!C245,'[3]Riesgos de Corrupción'!$B$11:$B$100,0),63)="Catastrófico")),2)))," ")</f>
        <v xml:space="preserve"> </v>
      </c>
      <c r="AK245" s="19" t="str">
        <f t="shared" si="85"/>
        <v xml:space="preserve"> </v>
      </c>
      <c r="AL245" s="19" t="str">
        <f>IFERROR(IF((INDEX('[3]Riesgos de Corrupción'!$B$11:$BN$100,MATCH('Controles de Corrupción'!C245,'[3]Riesgos de Corrupción'!$B$11:$B$100,0),62)-AK245&lt;=3),"Moderado",IF((INDEX('[3]Riesgos de Corrupción'!$B$11:$BN$100,MATCH('Controles de Corrupción'!C245,'[3]Riesgos de Corrupción'!$B$11:$B$100,0),62)-AK245&lt;=4),"Mayor",IF((INDEX('[3]Riesgos de Corrupción'!$B$11:$BN$100,MATCH('Controles de Corrupción'!C245,'[3]Riesgos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0" t="str">
        <f t="shared" si="72"/>
        <v>-</v>
      </c>
      <c r="C246" s="188"/>
      <c r="D246" s="170"/>
      <c r="E246" s="171"/>
      <c r="F246" s="129"/>
      <c r="G246" s="128"/>
      <c r="H246" s="23"/>
      <c r="I246" s="18"/>
      <c r="J246" s="80">
        <f t="shared" si="88"/>
        <v>0</v>
      </c>
      <c r="K246" s="18"/>
      <c r="L246" s="80">
        <f t="shared" si="89"/>
        <v>0</v>
      </c>
      <c r="M246" s="18"/>
      <c r="N246" s="80">
        <f t="shared" si="90"/>
        <v>0</v>
      </c>
      <c r="O246" s="18"/>
      <c r="P246" s="80">
        <f t="shared" si="91"/>
        <v>0</v>
      </c>
      <c r="Q246" s="18"/>
      <c r="R246" s="80">
        <f t="shared" si="92"/>
        <v>0</v>
      </c>
      <c r="S246" s="18"/>
      <c r="T246" s="80">
        <f t="shared" si="93"/>
        <v>0</v>
      </c>
      <c r="U246" s="18"/>
      <c r="V246" s="80">
        <f t="shared" si="73"/>
        <v>0</v>
      </c>
      <c r="W246" s="19" t="str">
        <f t="shared" si="74"/>
        <v xml:space="preserve"> </v>
      </c>
      <c r="X246" s="19" t="str">
        <f t="shared" si="75"/>
        <v xml:space="preserve"> </v>
      </c>
      <c r="Y246" s="19" t="str">
        <f t="shared" si="76"/>
        <v/>
      </c>
      <c r="Z246" s="23"/>
      <c r="AA246" s="19" t="str">
        <f t="shared" si="77"/>
        <v/>
      </c>
      <c r="AB246" s="19" t="str">
        <f t="shared" si="78"/>
        <v xml:space="preserve"> </v>
      </c>
      <c r="AC246" s="19" t="str">
        <f t="shared" si="79"/>
        <v/>
      </c>
      <c r="AD246" s="19" t="str">
        <f t="shared" si="80"/>
        <v xml:space="preserve"> </v>
      </c>
      <c r="AE246" s="125" t="str">
        <f t="shared" si="81"/>
        <v xml:space="preserve"> </v>
      </c>
      <c r="AF246" s="19" t="str">
        <f t="shared" si="82"/>
        <v xml:space="preserve"> </v>
      </c>
      <c r="AG246" s="50">
        <f t="shared" si="83"/>
        <v>0</v>
      </c>
      <c r="AH246" s="50" t="str">
        <f t="shared" si="84"/>
        <v xml:space="preserve"> </v>
      </c>
      <c r="AI246" s="36" t="str">
        <f>IFERROR(IF((INDEX('[3]Riesgos de Corrupción'!$B$11:$V$100,MATCH('Controles de Corrupción'!C246,'[3]Riesgos de Corrupción'!$B$11:$B$100,0),17)-AH246&lt;=1),"Rara vez",IF((INDEX('[3]Riesgos de Corrupción'!$B$11:$V$100,MATCH('Controles de Corrupción'!C246,'[3]Riesgos de Corrupción'!$B$11:$B$100,0),17)-AH246&lt;=2),"Improbable",IF((INDEX('[3]Riesgos de Corrupción'!$B$11:$V$100,MATCH('Controles de Corrupción'!C246,'[3]Riesgos de Corrupción'!$B$11:$B$100,0),17)-AH246&lt;=3),"Posible",IF((INDEX('[3]Riesgos de Corrupción'!$B$11:$V$100,MATCH('Controles de Corrupción'!C246,'[3]Riesgos de Corrupción'!$B$11:$B$100,0),17)-AH246&lt;=4),"Probable",IF((INDEX('[3]Riesgos de Corrupción'!$B$11:$V$100,MATCH('Controles de Corrupción'!C246,'[3]Riesgos de Corrupción'!$B$11:$B$100,0),17)-AH246&lt;=5),"Casi seguro")))))," ")</f>
        <v xml:space="preserve"> </v>
      </c>
      <c r="AJ246" s="8" t="str">
        <f>IFERROR(IF(OR(AND(AF246="Fuerte",H246="No disminuye"),AND(AF246="Moderado",H246="Indirectamente"),AND(AF246="Moderado",H246="No disminuye"),AND(INDEX('[3]Riesgos de Corrupción'!$B$11:$BN$100,MATCH('Controles de Corrupción'!C246,'[3]Riesgos de Corrupción'!$B$11:$B$100,0),63)="Moderado")),0,IF(OR(AND(AF246="Fuerte",H246="Indirectamente"),AND(AF246="Moderado",H246="Directamente"),AND(INDEX('[3]Riesgos de Corrupción'!$B$11:$BN$100,MATCH('Controles de Corrupción'!C246,'[3]Riesgos de Corrupción'!$B$11:$B$100,0),63)="Mayor")),1,IF(AND(AF246="Fuerte",H246="Directamente",AND(INDEX('[3]Riesgos de Corrupción'!$B$11:$BN$100,MATCH('Controles de Corrupción'!C246,'[3]Riesgos de Corrupción'!$B$11:$B$100,0),63)="Catastrófico")),2)))," ")</f>
        <v xml:space="preserve"> </v>
      </c>
      <c r="AK246" s="19" t="str">
        <f t="shared" si="85"/>
        <v xml:space="preserve"> </v>
      </c>
      <c r="AL246" s="19" t="str">
        <f>IFERROR(IF((INDEX('[3]Riesgos de Corrupción'!$B$11:$BN$100,MATCH('Controles de Corrupción'!C246,'[3]Riesgos de Corrupción'!$B$11:$B$100,0),62)-AK246&lt;=3),"Moderado",IF((INDEX('[3]Riesgos de Corrupción'!$B$11:$BN$100,MATCH('Controles de Corrupción'!C246,'[3]Riesgos de Corrupción'!$B$11:$B$100,0),62)-AK246&lt;=4),"Mayor",IF((INDEX('[3]Riesgos de Corrupción'!$B$11:$BN$100,MATCH('Controles de Corrupción'!C246,'[3]Riesgos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0" t="str">
        <f t="shared" si="72"/>
        <v>-</v>
      </c>
      <c r="C247" s="188"/>
      <c r="D247" s="170"/>
      <c r="E247" s="171"/>
      <c r="F247" s="129"/>
      <c r="G247" s="128"/>
      <c r="H247" s="23"/>
      <c r="I247" s="18"/>
      <c r="J247" s="80">
        <f t="shared" si="88"/>
        <v>0</v>
      </c>
      <c r="K247" s="18"/>
      <c r="L247" s="80">
        <f t="shared" si="89"/>
        <v>0</v>
      </c>
      <c r="M247" s="18"/>
      <c r="N247" s="80">
        <f t="shared" si="90"/>
        <v>0</v>
      </c>
      <c r="O247" s="18"/>
      <c r="P247" s="80">
        <f t="shared" si="91"/>
        <v>0</v>
      </c>
      <c r="Q247" s="18"/>
      <c r="R247" s="80">
        <f t="shared" si="92"/>
        <v>0</v>
      </c>
      <c r="S247" s="18"/>
      <c r="T247" s="80">
        <f t="shared" si="93"/>
        <v>0</v>
      </c>
      <c r="U247" s="18"/>
      <c r="V247" s="80">
        <f t="shared" si="73"/>
        <v>0</v>
      </c>
      <c r="W247" s="19" t="str">
        <f t="shared" si="74"/>
        <v xml:space="preserve"> </v>
      </c>
      <c r="X247" s="19" t="str">
        <f t="shared" si="75"/>
        <v xml:space="preserve"> </v>
      </c>
      <c r="Y247" s="19" t="str">
        <f t="shared" si="76"/>
        <v/>
      </c>
      <c r="Z247" s="23"/>
      <c r="AA247" s="19" t="str">
        <f t="shared" si="77"/>
        <v/>
      </c>
      <c r="AB247" s="19" t="str">
        <f t="shared" si="78"/>
        <v xml:space="preserve"> </v>
      </c>
      <c r="AC247" s="19" t="str">
        <f t="shared" si="79"/>
        <v/>
      </c>
      <c r="AD247" s="19" t="str">
        <f t="shared" si="80"/>
        <v xml:space="preserve"> </v>
      </c>
      <c r="AE247" s="125" t="str">
        <f t="shared" si="81"/>
        <v xml:space="preserve"> </v>
      </c>
      <c r="AF247" s="19" t="str">
        <f t="shared" si="82"/>
        <v xml:space="preserve"> </v>
      </c>
      <c r="AG247" s="50">
        <f t="shared" si="83"/>
        <v>0</v>
      </c>
      <c r="AH247" s="50" t="str">
        <f t="shared" si="84"/>
        <v xml:space="preserve"> </v>
      </c>
      <c r="AI247" s="36" t="str">
        <f>IFERROR(IF((INDEX('[3]Riesgos de Corrupción'!$B$11:$V$100,MATCH('Controles de Corrupción'!C247,'[3]Riesgos de Corrupción'!$B$11:$B$100,0),17)-AH247&lt;=1),"Rara vez",IF((INDEX('[3]Riesgos de Corrupción'!$B$11:$V$100,MATCH('Controles de Corrupción'!C247,'[3]Riesgos de Corrupción'!$B$11:$B$100,0),17)-AH247&lt;=2),"Improbable",IF((INDEX('[3]Riesgos de Corrupción'!$B$11:$V$100,MATCH('Controles de Corrupción'!C247,'[3]Riesgos de Corrupción'!$B$11:$B$100,0),17)-AH247&lt;=3),"Posible",IF((INDEX('[3]Riesgos de Corrupción'!$B$11:$V$100,MATCH('Controles de Corrupción'!C247,'[3]Riesgos de Corrupción'!$B$11:$B$100,0),17)-AH247&lt;=4),"Probable",IF((INDEX('[3]Riesgos de Corrupción'!$B$11:$V$100,MATCH('Controles de Corrupción'!C247,'[3]Riesgos de Corrupción'!$B$11:$B$100,0),17)-AH247&lt;=5),"Casi seguro")))))," ")</f>
        <v xml:space="preserve"> </v>
      </c>
      <c r="AJ247" s="8" t="str">
        <f>IFERROR(IF(OR(AND(AF247="Fuerte",H247="No disminuye"),AND(AF247="Moderado",H247="Indirectamente"),AND(AF247="Moderado",H247="No disminuye"),AND(INDEX('[3]Riesgos de Corrupción'!$B$11:$BN$100,MATCH('Controles de Corrupción'!C247,'[3]Riesgos de Corrupción'!$B$11:$B$100,0),63)="Moderado")),0,IF(OR(AND(AF247="Fuerte",H247="Indirectamente"),AND(AF247="Moderado",H247="Directamente"),AND(INDEX('[3]Riesgos de Corrupción'!$B$11:$BN$100,MATCH('Controles de Corrupción'!C247,'[3]Riesgos de Corrupción'!$B$11:$B$100,0),63)="Mayor")),1,IF(AND(AF247="Fuerte",H247="Directamente",AND(INDEX('[3]Riesgos de Corrupción'!$B$11:$BN$100,MATCH('Controles de Corrupción'!C247,'[3]Riesgos de Corrupción'!$B$11:$B$100,0),63)="Catastrófico")),2)))," ")</f>
        <v xml:space="preserve"> </v>
      </c>
      <c r="AK247" s="19" t="str">
        <f t="shared" si="85"/>
        <v xml:space="preserve"> </v>
      </c>
      <c r="AL247" s="19" t="str">
        <f>IFERROR(IF((INDEX('[3]Riesgos de Corrupción'!$B$11:$BN$100,MATCH('Controles de Corrupción'!C247,'[3]Riesgos de Corrupción'!$B$11:$B$100,0),62)-AK247&lt;=3),"Moderado",IF((INDEX('[3]Riesgos de Corrupción'!$B$11:$BN$100,MATCH('Controles de Corrupción'!C247,'[3]Riesgos de Corrupción'!$B$11:$B$100,0),62)-AK247&lt;=4),"Mayor",IF((INDEX('[3]Riesgos de Corrupción'!$B$11:$BN$100,MATCH('Controles de Corrupción'!C247,'[3]Riesgos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0" t="str">
        <f t="shared" si="72"/>
        <v>-</v>
      </c>
      <c r="C248" s="188"/>
      <c r="D248" s="170"/>
      <c r="E248" s="171"/>
      <c r="F248" s="129"/>
      <c r="G248" s="128"/>
      <c r="H248" s="23"/>
      <c r="I248" s="18"/>
      <c r="J248" s="80">
        <f t="shared" si="88"/>
        <v>0</v>
      </c>
      <c r="K248" s="18"/>
      <c r="L248" s="80">
        <f t="shared" si="89"/>
        <v>0</v>
      </c>
      <c r="M248" s="18"/>
      <c r="N248" s="80">
        <f t="shared" si="90"/>
        <v>0</v>
      </c>
      <c r="O248" s="18"/>
      <c r="P248" s="80">
        <f t="shared" si="91"/>
        <v>0</v>
      </c>
      <c r="Q248" s="18"/>
      <c r="R248" s="80">
        <f t="shared" si="92"/>
        <v>0</v>
      </c>
      <c r="S248" s="18"/>
      <c r="T248" s="80">
        <f t="shared" si="93"/>
        <v>0</v>
      </c>
      <c r="U248" s="18"/>
      <c r="V248" s="80">
        <f t="shared" si="73"/>
        <v>0</v>
      </c>
      <c r="W248" s="19" t="str">
        <f t="shared" si="74"/>
        <v xml:space="preserve"> </v>
      </c>
      <c r="X248" s="19" t="str">
        <f t="shared" si="75"/>
        <v xml:space="preserve"> </v>
      </c>
      <c r="Y248" s="19" t="str">
        <f t="shared" si="76"/>
        <v/>
      </c>
      <c r="Z248" s="23"/>
      <c r="AA248" s="19" t="str">
        <f t="shared" si="77"/>
        <v/>
      </c>
      <c r="AB248" s="19" t="str">
        <f t="shared" si="78"/>
        <v xml:space="preserve"> </v>
      </c>
      <c r="AC248" s="19" t="str">
        <f t="shared" si="79"/>
        <v/>
      </c>
      <c r="AD248" s="19" t="str">
        <f t="shared" si="80"/>
        <v xml:space="preserve"> </v>
      </c>
      <c r="AE248" s="125" t="str">
        <f t="shared" si="81"/>
        <v xml:space="preserve"> </v>
      </c>
      <c r="AF248" s="19" t="str">
        <f t="shared" si="82"/>
        <v xml:space="preserve"> </v>
      </c>
      <c r="AG248" s="50">
        <f t="shared" si="83"/>
        <v>0</v>
      </c>
      <c r="AH248" s="50" t="str">
        <f t="shared" si="84"/>
        <v xml:space="preserve"> </v>
      </c>
      <c r="AI248" s="36" t="str">
        <f>IFERROR(IF((INDEX('[3]Riesgos de Corrupción'!$B$11:$V$100,MATCH('Controles de Corrupción'!C248,'[3]Riesgos de Corrupción'!$B$11:$B$100,0),17)-AH248&lt;=1),"Rara vez",IF((INDEX('[3]Riesgos de Corrupción'!$B$11:$V$100,MATCH('Controles de Corrupción'!C248,'[3]Riesgos de Corrupción'!$B$11:$B$100,0),17)-AH248&lt;=2),"Improbable",IF((INDEX('[3]Riesgos de Corrupción'!$B$11:$V$100,MATCH('Controles de Corrupción'!C248,'[3]Riesgos de Corrupción'!$B$11:$B$100,0),17)-AH248&lt;=3),"Posible",IF((INDEX('[3]Riesgos de Corrupción'!$B$11:$V$100,MATCH('Controles de Corrupción'!C248,'[3]Riesgos de Corrupción'!$B$11:$B$100,0),17)-AH248&lt;=4),"Probable",IF((INDEX('[3]Riesgos de Corrupción'!$B$11:$V$100,MATCH('Controles de Corrupción'!C248,'[3]Riesgos de Corrupción'!$B$11:$B$100,0),17)-AH248&lt;=5),"Casi seguro")))))," ")</f>
        <v xml:space="preserve"> </v>
      </c>
      <c r="AJ248" s="8" t="str">
        <f>IFERROR(IF(OR(AND(AF248="Fuerte",H248="No disminuye"),AND(AF248="Moderado",H248="Indirectamente"),AND(AF248="Moderado",H248="No disminuye"),AND(INDEX('[3]Riesgos de Corrupción'!$B$11:$BN$100,MATCH('Controles de Corrupción'!C248,'[3]Riesgos de Corrupción'!$B$11:$B$100,0),63)="Moderado")),0,IF(OR(AND(AF248="Fuerte",H248="Indirectamente"),AND(AF248="Moderado",H248="Directamente"),AND(INDEX('[3]Riesgos de Corrupción'!$B$11:$BN$100,MATCH('Controles de Corrupción'!C248,'[3]Riesgos de Corrupción'!$B$11:$B$100,0),63)="Mayor")),1,IF(AND(AF248="Fuerte",H248="Directamente",AND(INDEX('[3]Riesgos de Corrupción'!$B$11:$BN$100,MATCH('Controles de Corrupción'!C248,'[3]Riesgos de Corrupción'!$B$11:$B$100,0),63)="Catastrófico")),2)))," ")</f>
        <v xml:space="preserve"> </v>
      </c>
      <c r="AK248" s="19" t="str">
        <f t="shared" si="85"/>
        <v xml:space="preserve"> </v>
      </c>
      <c r="AL248" s="19" t="str">
        <f>IFERROR(IF((INDEX('[3]Riesgos de Corrupción'!$B$11:$BN$100,MATCH('Controles de Corrupción'!C248,'[3]Riesgos de Corrupción'!$B$11:$B$100,0),62)-AK248&lt;=3),"Moderado",IF((INDEX('[3]Riesgos de Corrupción'!$B$11:$BN$100,MATCH('Controles de Corrupción'!C248,'[3]Riesgos de Corrupción'!$B$11:$B$100,0),62)-AK248&lt;=4),"Mayor",IF((INDEX('[3]Riesgos de Corrupción'!$B$11:$BN$100,MATCH('Controles de Corrupción'!C248,'[3]Riesgos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0" t="str">
        <f t="shared" si="72"/>
        <v>-</v>
      </c>
      <c r="C249" s="188"/>
      <c r="D249" s="170"/>
      <c r="E249" s="171"/>
      <c r="F249" s="129"/>
      <c r="G249" s="128"/>
      <c r="H249" s="23"/>
      <c r="I249" s="18"/>
      <c r="J249" s="80">
        <f t="shared" si="88"/>
        <v>0</v>
      </c>
      <c r="K249" s="18"/>
      <c r="L249" s="80">
        <f t="shared" si="89"/>
        <v>0</v>
      </c>
      <c r="M249" s="18"/>
      <c r="N249" s="80">
        <f t="shared" si="90"/>
        <v>0</v>
      </c>
      <c r="O249" s="18"/>
      <c r="P249" s="80">
        <f t="shared" si="91"/>
        <v>0</v>
      </c>
      <c r="Q249" s="18"/>
      <c r="R249" s="80">
        <f t="shared" si="92"/>
        <v>0</v>
      </c>
      <c r="S249" s="18"/>
      <c r="T249" s="80">
        <f t="shared" si="93"/>
        <v>0</v>
      </c>
      <c r="U249" s="18"/>
      <c r="V249" s="80">
        <f t="shared" si="73"/>
        <v>0</v>
      </c>
      <c r="W249" s="19" t="str">
        <f t="shared" si="74"/>
        <v xml:space="preserve"> </v>
      </c>
      <c r="X249" s="19" t="str">
        <f t="shared" si="75"/>
        <v xml:space="preserve"> </v>
      </c>
      <c r="Y249" s="19" t="str">
        <f t="shared" si="76"/>
        <v/>
      </c>
      <c r="Z249" s="23"/>
      <c r="AA249" s="19" t="str">
        <f t="shared" si="77"/>
        <v/>
      </c>
      <c r="AB249" s="19" t="str">
        <f t="shared" si="78"/>
        <v xml:space="preserve"> </v>
      </c>
      <c r="AC249" s="19" t="str">
        <f t="shared" si="79"/>
        <v/>
      </c>
      <c r="AD249" s="19" t="str">
        <f t="shared" si="80"/>
        <v xml:space="preserve"> </v>
      </c>
      <c r="AE249" s="125" t="str">
        <f t="shared" si="81"/>
        <v xml:space="preserve"> </v>
      </c>
      <c r="AF249" s="19" t="str">
        <f t="shared" si="82"/>
        <v xml:space="preserve"> </v>
      </c>
      <c r="AG249" s="50">
        <f t="shared" si="83"/>
        <v>0</v>
      </c>
      <c r="AH249" s="50" t="str">
        <f t="shared" si="84"/>
        <v xml:space="preserve"> </v>
      </c>
      <c r="AI249" s="36" t="str">
        <f>IFERROR(IF((INDEX('[3]Riesgos de Corrupción'!$B$11:$V$100,MATCH('Controles de Corrupción'!C249,'[3]Riesgos de Corrupción'!$B$11:$B$100,0),17)-AH249&lt;=1),"Rara vez",IF((INDEX('[3]Riesgos de Corrupción'!$B$11:$V$100,MATCH('Controles de Corrupción'!C249,'[3]Riesgos de Corrupción'!$B$11:$B$100,0),17)-AH249&lt;=2),"Improbable",IF((INDEX('[3]Riesgos de Corrupción'!$B$11:$V$100,MATCH('Controles de Corrupción'!C249,'[3]Riesgos de Corrupción'!$B$11:$B$100,0),17)-AH249&lt;=3),"Posible",IF((INDEX('[3]Riesgos de Corrupción'!$B$11:$V$100,MATCH('Controles de Corrupción'!C249,'[3]Riesgos de Corrupción'!$B$11:$B$100,0),17)-AH249&lt;=4),"Probable",IF((INDEX('[3]Riesgos de Corrupción'!$B$11:$V$100,MATCH('Controles de Corrupción'!C249,'[3]Riesgos de Corrupción'!$B$11:$B$100,0),17)-AH249&lt;=5),"Casi seguro")))))," ")</f>
        <v xml:space="preserve"> </v>
      </c>
      <c r="AJ249" s="8" t="str">
        <f>IFERROR(IF(OR(AND(AF249="Fuerte",H249="No disminuye"),AND(AF249="Moderado",H249="Indirectamente"),AND(AF249="Moderado",H249="No disminuye"),AND(INDEX('[3]Riesgos de Corrupción'!$B$11:$BN$100,MATCH('Controles de Corrupción'!C249,'[3]Riesgos de Corrupción'!$B$11:$B$100,0),63)="Moderado")),0,IF(OR(AND(AF249="Fuerte",H249="Indirectamente"),AND(AF249="Moderado",H249="Directamente"),AND(INDEX('[3]Riesgos de Corrupción'!$B$11:$BN$100,MATCH('Controles de Corrupción'!C249,'[3]Riesgos de Corrupción'!$B$11:$B$100,0),63)="Mayor")),1,IF(AND(AF249="Fuerte",H249="Directamente",AND(INDEX('[3]Riesgos de Corrupción'!$B$11:$BN$100,MATCH('Controles de Corrupción'!C249,'[3]Riesgos de Corrupción'!$B$11:$B$100,0),63)="Catastrófico")),2)))," ")</f>
        <v xml:space="preserve"> </v>
      </c>
      <c r="AK249" s="19" t="str">
        <f t="shared" si="85"/>
        <v xml:space="preserve"> </v>
      </c>
      <c r="AL249" s="19" t="str">
        <f>IFERROR(IF((INDEX('[3]Riesgos de Corrupción'!$B$11:$BN$100,MATCH('Controles de Corrupción'!C249,'[3]Riesgos de Corrupción'!$B$11:$B$100,0),62)-AK249&lt;=3),"Moderado",IF((INDEX('[3]Riesgos de Corrupción'!$B$11:$BN$100,MATCH('Controles de Corrupción'!C249,'[3]Riesgos de Corrupción'!$B$11:$B$100,0),62)-AK249&lt;=4),"Mayor",IF((INDEX('[3]Riesgos de Corrupción'!$B$11:$BN$100,MATCH('Controles de Corrupción'!C249,'[3]Riesgos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0" t="str">
        <f t="shared" si="72"/>
        <v>-</v>
      </c>
      <c r="C250" s="188"/>
      <c r="D250" s="170"/>
      <c r="E250" s="171"/>
      <c r="F250" s="129"/>
      <c r="G250" s="128"/>
      <c r="H250" s="23"/>
      <c r="I250" s="18"/>
      <c r="J250" s="80">
        <f t="shared" si="88"/>
        <v>0</v>
      </c>
      <c r="K250" s="18"/>
      <c r="L250" s="80">
        <f t="shared" si="89"/>
        <v>0</v>
      </c>
      <c r="M250" s="18"/>
      <c r="N250" s="80">
        <f t="shared" si="90"/>
        <v>0</v>
      </c>
      <c r="O250" s="18"/>
      <c r="P250" s="80">
        <f t="shared" si="91"/>
        <v>0</v>
      </c>
      <c r="Q250" s="18"/>
      <c r="R250" s="80">
        <f t="shared" si="92"/>
        <v>0</v>
      </c>
      <c r="S250" s="18"/>
      <c r="T250" s="80">
        <f t="shared" si="93"/>
        <v>0</v>
      </c>
      <c r="U250" s="18"/>
      <c r="V250" s="80">
        <f t="shared" si="73"/>
        <v>0</v>
      </c>
      <c r="W250" s="19" t="str">
        <f t="shared" si="74"/>
        <v xml:space="preserve"> </v>
      </c>
      <c r="X250" s="19" t="str">
        <f t="shared" si="75"/>
        <v xml:space="preserve"> </v>
      </c>
      <c r="Y250" s="19" t="str">
        <f t="shared" si="76"/>
        <v/>
      </c>
      <c r="Z250" s="23"/>
      <c r="AA250" s="19" t="str">
        <f t="shared" si="77"/>
        <v/>
      </c>
      <c r="AB250" s="19" t="str">
        <f t="shared" si="78"/>
        <v xml:space="preserve"> </v>
      </c>
      <c r="AC250" s="19" t="str">
        <f t="shared" si="79"/>
        <v/>
      </c>
      <c r="AD250" s="19" t="str">
        <f t="shared" si="80"/>
        <v xml:space="preserve"> </v>
      </c>
      <c r="AE250" s="125" t="str">
        <f t="shared" si="81"/>
        <v xml:space="preserve"> </v>
      </c>
      <c r="AF250" s="19" t="str">
        <f t="shared" si="82"/>
        <v xml:space="preserve"> </v>
      </c>
      <c r="AG250" s="50">
        <f t="shared" si="83"/>
        <v>0</v>
      </c>
      <c r="AH250" s="50" t="str">
        <f t="shared" si="84"/>
        <v xml:space="preserve"> </v>
      </c>
      <c r="AI250" s="36" t="str">
        <f>IFERROR(IF((INDEX('[3]Riesgos de Corrupción'!$B$11:$V$100,MATCH('Controles de Corrupción'!C250,'[3]Riesgos de Corrupción'!$B$11:$B$100,0),17)-AH250&lt;=1),"Rara vez",IF((INDEX('[3]Riesgos de Corrupción'!$B$11:$V$100,MATCH('Controles de Corrupción'!C250,'[3]Riesgos de Corrupción'!$B$11:$B$100,0),17)-AH250&lt;=2),"Improbable",IF((INDEX('[3]Riesgos de Corrupción'!$B$11:$V$100,MATCH('Controles de Corrupción'!C250,'[3]Riesgos de Corrupción'!$B$11:$B$100,0),17)-AH250&lt;=3),"Posible",IF((INDEX('[3]Riesgos de Corrupción'!$B$11:$V$100,MATCH('Controles de Corrupción'!C250,'[3]Riesgos de Corrupción'!$B$11:$B$100,0),17)-AH250&lt;=4),"Probable",IF((INDEX('[3]Riesgos de Corrupción'!$B$11:$V$100,MATCH('Controles de Corrupción'!C250,'[3]Riesgos de Corrupción'!$B$11:$B$100,0),17)-AH250&lt;=5),"Casi seguro")))))," ")</f>
        <v xml:space="preserve"> </v>
      </c>
      <c r="AJ250" s="8" t="str">
        <f>IFERROR(IF(OR(AND(AF250="Fuerte",H250="No disminuye"),AND(AF250="Moderado",H250="Indirectamente"),AND(AF250="Moderado",H250="No disminuye"),AND(INDEX('[3]Riesgos de Corrupción'!$B$11:$BN$100,MATCH('Controles de Corrupción'!C250,'[3]Riesgos de Corrupción'!$B$11:$B$100,0),63)="Moderado")),0,IF(OR(AND(AF250="Fuerte",H250="Indirectamente"),AND(AF250="Moderado",H250="Directamente"),AND(INDEX('[3]Riesgos de Corrupción'!$B$11:$BN$100,MATCH('Controles de Corrupción'!C250,'[3]Riesgos de Corrupción'!$B$11:$B$100,0),63)="Mayor")),1,IF(AND(AF250="Fuerte",H250="Directamente",AND(INDEX('[3]Riesgos de Corrupción'!$B$11:$BN$100,MATCH('Controles de Corrupción'!C250,'[3]Riesgos de Corrupción'!$B$11:$B$100,0),63)="Catastrófico")),2)))," ")</f>
        <v xml:space="preserve"> </v>
      </c>
      <c r="AK250" s="19" t="str">
        <f t="shared" si="85"/>
        <v xml:space="preserve"> </v>
      </c>
      <c r="AL250" s="19" t="str">
        <f>IFERROR(IF((INDEX('[3]Riesgos de Corrupción'!$B$11:$BN$100,MATCH('Controles de Corrupción'!C250,'[3]Riesgos de Corrupción'!$B$11:$B$100,0),62)-AK250&lt;=3),"Moderado",IF((INDEX('[3]Riesgos de Corrupción'!$B$11:$BN$100,MATCH('Controles de Corrupción'!C250,'[3]Riesgos de Corrupción'!$B$11:$B$100,0),62)-AK250&lt;=4),"Mayor",IF((INDEX('[3]Riesgos de Corrupción'!$B$11:$BN$100,MATCH('Controles de Corrupción'!C250,'[3]Riesgos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0" t="str">
        <f t="shared" si="72"/>
        <v>-</v>
      </c>
      <c r="C251" s="188"/>
      <c r="D251" s="170"/>
      <c r="E251" s="171"/>
      <c r="F251" s="129"/>
      <c r="G251" s="131"/>
      <c r="H251" s="23"/>
      <c r="I251" s="18"/>
      <c r="J251" s="80">
        <f t="shared" si="88"/>
        <v>0</v>
      </c>
      <c r="K251" s="18"/>
      <c r="L251" s="80">
        <f t="shared" si="89"/>
        <v>0</v>
      </c>
      <c r="M251" s="18"/>
      <c r="N251" s="80">
        <f t="shared" si="90"/>
        <v>0</v>
      </c>
      <c r="O251" s="18"/>
      <c r="P251" s="80">
        <f t="shared" si="91"/>
        <v>0</v>
      </c>
      <c r="Q251" s="18"/>
      <c r="R251" s="80">
        <f t="shared" si="92"/>
        <v>0</v>
      </c>
      <c r="S251" s="18"/>
      <c r="T251" s="80">
        <f t="shared" si="93"/>
        <v>0</v>
      </c>
      <c r="U251" s="18"/>
      <c r="V251" s="80">
        <f t="shared" si="73"/>
        <v>0</v>
      </c>
      <c r="W251" s="19" t="str">
        <f t="shared" si="74"/>
        <v xml:space="preserve"> </v>
      </c>
      <c r="X251" s="19" t="str">
        <f t="shared" si="75"/>
        <v xml:space="preserve"> </v>
      </c>
      <c r="Y251" s="19" t="str">
        <f t="shared" si="76"/>
        <v/>
      </c>
      <c r="Z251" s="23"/>
      <c r="AA251" s="19" t="str">
        <f t="shared" si="77"/>
        <v/>
      </c>
      <c r="AB251" s="19" t="str">
        <f t="shared" si="78"/>
        <v xml:space="preserve"> </v>
      </c>
      <c r="AC251" s="19" t="str">
        <f t="shared" si="79"/>
        <v/>
      </c>
      <c r="AD251" s="19" t="str">
        <f t="shared" si="80"/>
        <v xml:space="preserve"> </v>
      </c>
      <c r="AE251" s="50" t="str">
        <f t="shared" si="81"/>
        <v xml:space="preserve"> </v>
      </c>
      <c r="AF251" s="19" t="str">
        <f t="shared" si="82"/>
        <v xml:space="preserve"> </v>
      </c>
      <c r="AG251" s="50">
        <f t="shared" si="83"/>
        <v>0</v>
      </c>
      <c r="AH251" s="50" t="str">
        <f t="shared" si="84"/>
        <v xml:space="preserve"> </v>
      </c>
      <c r="AI251" s="36" t="str">
        <f>IFERROR(IF((INDEX('[3]Riesgos de Corrupción'!$B$11:$V$100,MATCH('Controles de Corrupción'!C251,'[3]Riesgos de Corrupción'!$B$11:$B$100,0),17)-AH251&lt;=1),"Rara vez",IF((INDEX('[3]Riesgos de Corrupción'!$B$11:$V$100,MATCH('Controles de Corrupción'!C251,'[3]Riesgos de Corrupción'!$B$11:$B$100,0),17)-AH251&lt;=2),"Improbable",IF((INDEX('[3]Riesgos de Corrupción'!$B$11:$V$100,MATCH('Controles de Corrupción'!C251,'[3]Riesgos de Corrupción'!$B$11:$B$100,0),17)-AH251&lt;=3),"Posible",IF((INDEX('[3]Riesgos de Corrupción'!$B$11:$V$100,MATCH('Controles de Corrupción'!C251,'[3]Riesgos de Corrupción'!$B$11:$B$100,0),17)-AH251&lt;=4),"Probable",IF((INDEX('[3]Riesgos de Corrupción'!$B$11:$V$100,MATCH('Controles de Corrupción'!C251,'[3]Riesgos de Corrupción'!$B$11:$B$100,0),17)-AH251&lt;=5),"Casi seguro")))))," ")</f>
        <v xml:space="preserve"> </v>
      </c>
      <c r="AJ251" s="8" t="str">
        <f>IFERROR(IF(OR(AND(AF251="Fuerte",H251="No disminuye"),AND(AF251="Moderado",H251="Indirectamente"),AND(AF251="Moderado",H251="No disminuye"),AND(INDEX('[3]Riesgos de Corrupción'!$B$11:$BN$100,MATCH('Controles de Corrupción'!C251,'[3]Riesgos de Corrupción'!$B$11:$B$100,0),63)="Moderado")),0,IF(OR(AND(AF251="Fuerte",H251="Indirectamente"),AND(AF251="Moderado",H251="Directamente"),AND(INDEX('[3]Riesgos de Corrupción'!$B$11:$BN$100,MATCH('Controles de Corrupción'!C251,'[3]Riesgos de Corrupción'!$B$11:$B$100,0),63)="Mayor")),1,IF(AND(AF251="Fuerte",H251="Directamente",AND(INDEX('[3]Riesgos de Corrupción'!$B$11:$BN$100,MATCH('Controles de Corrupción'!C251,'[3]Riesgos de Corrupción'!$B$11:$B$100,0),63)="Catastrófico")),2)))," ")</f>
        <v xml:space="preserve"> </v>
      </c>
      <c r="AK251" s="19" t="str">
        <f t="shared" si="85"/>
        <v xml:space="preserve"> </v>
      </c>
      <c r="AL251" s="19" t="str">
        <f>IFERROR(IF((INDEX('[3]Riesgos de Corrupción'!$B$11:$BN$100,MATCH('Controles de Corrupción'!C251,'[3]Riesgos de Corrupción'!$B$11:$B$100,0),62)-AK251&lt;=3),"Moderado",IF((INDEX('[3]Riesgos de Corrupción'!$B$11:$BN$100,MATCH('Controles de Corrupción'!C251,'[3]Riesgos de Corrupción'!$B$11:$B$100,0),62)-AK251&lt;=4),"Mayor",IF((INDEX('[3]Riesgos de Corrupción'!$B$11:$BN$100,MATCH('Controles de Corrupción'!C251,'[3]Riesgos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o0j22vbDgm9DPhZJ8cmsVM/p4qNlVE9A5B6BeQtwmrma5IV8Aik10oeJJGvDgedAL7ym0zW7HKvTDmGZSFFC9A==" saltValue="mE/07ksHalhC393Qubu4hA==" spinCount="100000" sheet="1"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conditionalFormatting sqref="I10:V251">
    <cfRule type="cellIs" dxfId="161" priority="1" stopIfTrue="1" operator="equal">
      <formula>"TOLERABLE"</formula>
    </cfRule>
  </conditionalFormatting>
  <conditionalFormatting sqref="X10:X251">
    <cfRule type="containsText" dxfId="160" priority="20" operator="containsText" text="Débil">
      <formula>NOT(ISERROR(SEARCH("Débil",X10)))</formula>
    </cfRule>
    <cfRule type="containsText" dxfId="159" priority="21" operator="containsText" text="Moderado">
      <formula>NOT(ISERROR(SEARCH("Moderado",X10)))</formula>
    </cfRule>
    <cfRule type="containsText" dxfId="158" priority="22" operator="containsText" text="Fuerte">
      <formula>NOT(ISERROR(SEARCH("Fuerte",X10)))</formula>
    </cfRule>
  </conditionalFormatting>
  <conditionalFormatting sqref="AA10:AB251">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1">
    <cfRule type="cellIs" dxfId="154" priority="27" stopIfTrue="1" operator="equal">
      <formula>"Sí"</formula>
    </cfRule>
    <cfRule type="cellIs" dxfId="153" priority="28" stopIfTrue="1" operator="equal">
      <formula>"No"</formula>
    </cfRule>
  </conditionalFormatting>
  <conditionalFormatting sqref="AE251">
    <cfRule type="containsText" dxfId="152" priority="8" operator="containsText" text="Débil">
      <formula>NOT(ISERROR(SEARCH("Débil",AE251)))</formula>
    </cfRule>
    <cfRule type="containsText" dxfId="151" priority="9" operator="containsText" text="Moderado">
      <formula>NOT(ISERROR(SEARCH("Moderado",AE251)))</formula>
    </cfRule>
    <cfRule type="containsText" dxfId="150" priority="10" operator="containsText" text="Fuerte">
      <formula>NOT(ISERROR(SEARCH("Fuerte",AE251)))</formula>
    </cfRule>
  </conditionalFormatting>
  <conditionalFormatting sqref="AF10:AH251">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1">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1">
    <cfRule type="cellIs" dxfId="143" priority="23" stopIfTrue="1" operator="equal">
      <formula>"Zona Extrema"</formula>
    </cfRule>
    <cfRule type="cellIs" dxfId="142" priority="24" stopIfTrue="1" operator="equal">
      <formula>"Zona Alta"</formula>
    </cfRule>
    <cfRule type="cellIs" dxfId="141" priority="25" stopIfTrue="1" operator="equal">
      <formula>"Zona Moderada"</formula>
    </cfRule>
    <cfRule type="cellIs" dxfId="140" priority="26"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0" zoomScaleNormal="70" workbookViewId="0">
      <selection activeCell="K38" sqref="K38:K62"/>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2"/>
      <c r="L1" s="143"/>
      <c r="M1" s="1002" t="s">
        <v>204</v>
      </c>
      <c r="N1" s="1004" t="s">
        <v>205</v>
      </c>
      <c r="O1" s="942"/>
      <c r="P1" s="942"/>
      <c r="Q1" s="942"/>
      <c r="R1" s="942"/>
      <c r="S1" s="942"/>
      <c r="T1" s="942"/>
      <c r="U1" s="942"/>
      <c r="V1" s="942"/>
      <c r="W1" s="942"/>
      <c r="X1" s="936"/>
      <c r="Y1" s="162" t="s">
        <v>206</v>
      </c>
      <c r="Z1" s="1006" t="s">
        <v>207</v>
      </c>
      <c r="AA1" s="1007"/>
      <c r="AB1" s="1008"/>
    </row>
    <row r="2" spans="2:28" ht="29.25" customHeight="1" x14ac:dyDescent="0.25">
      <c r="K2" s="134"/>
      <c r="L2" s="135"/>
      <c r="M2" s="1003"/>
      <c r="N2" s="1005"/>
      <c r="O2" s="941"/>
      <c r="P2" s="941"/>
      <c r="Q2" s="941"/>
      <c r="R2" s="941"/>
      <c r="S2" s="941"/>
      <c r="T2" s="941"/>
      <c r="U2" s="941"/>
      <c r="V2" s="941"/>
      <c r="W2" s="941"/>
      <c r="X2" s="856"/>
      <c r="Y2" s="162" t="s">
        <v>209</v>
      </c>
      <c r="Z2" s="1009" t="s">
        <v>1269</v>
      </c>
      <c r="AA2" s="961"/>
      <c r="AB2" s="857"/>
    </row>
    <row r="3" spans="2:28" ht="32.25" customHeight="1" x14ac:dyDescent="0.25">
      <c r="K3" s="134"/>
      <c r="L3" s="135"/>
      <c r="M3" s="164" t="s">
        <v>212</v>
      </c>
      <c r="N3" s="1009" t="s">
        <v>786</v>
      </c>
      <c r="O3" s="961"/>
      <c r="P3" s="961"/>
      <c r="Q3" s="961"/>
      <c r="R3" s="961"/>
      <c r="S3" s="961"/>
      <c r="T3" s="961"/>
      <c r="U3" s="961"/>
      <c r="V3" s="961"/>
      <c r="W3" s="961"/>
      <c r="X3" s="857"/>
      <c r="Y3" s="162" t="s">
        <v>214</v>
      </c>
      <c r="Z3" s="1010">
        <v>45817</v>
      </c>
      <c r="AA3" s="1011"/>
      <c r="AB3" s="1012"/>
    </row>
    <row r="4" spans="2:28" ht="23.25" customHeight="1" x14ac:dyDescent="0.25">
      <c r="K4" s="144"/>
      <c r="L4" s="145"/>
      <c r="M4" s="156"/>
      <c r="N4" s="1001" t="s">
        <v>216</v>
      </c>
      <c r="O4" s="1001"/>
      <c r="P4" s="1001"/>
      <c r="Q4" s="1001"/>
      <c r="R4" s="1001"/>
      <c r="S4" s="1001"/>
      <c r="T4" s="1001"/>
      <c r="U4" s="1001"/>
      <c r="V4" s="1001"/>
      <c r="W4" s="1001"/>
      <c r="X4" s="1001"/>
      <c r="Y4" s="145"/>
      <c r="Z4" s="145"/>
      <c r="AA4" s="145"/>
      <c r="AB4" s="146"/>
    </row>
    <row r="5" spans="2:28" ht="15" customHeight="1" thickBot="1" x14ac:dyDescent="0.3"/>
    <row r="6" spans="2:28" ht="30.75" customHeight="1" thickBot="1" x14ac:dyDescent="0.3">
      <c r="K6" s="982" t="s">
        <v>95</v>
      </c>
      <c r="L6" s="983"/>
      <c r="M6" s="983"/>
      <c r="N6" s="983"/>
      <c r="O6" s="983"/>
      <c r="P6" s="983"/>
      <c r="Q6" s="984"/>
      <c r="S6" s="985" t="str">
        <f>K8</f>
        <v>Gestión Tecnológica</v>
      </c>
      <c r="T6" s="986"/>
      <c r="U6" s="986"/>
      <c r="V6" s="986"/>
      <c r="W6" s="986"/>
      <c r="X6" s="986"/>
      <c r="Y6" s="986"/>
      <c r="Z6" s="986"/>
      <c r="AA6" s="986"/>
      <c r="AB6" s="987"/>
    </row>
    <row r="7" spans="2:28" ht="36" customHeight="1" thickBot="1" x14ac:dyDescent="0.3">
      <c r="B7" s="993" t="s">
        <v>1270</v>
      </c>
      <c r="C7" s="995" t="s">
        <v>842</v>
      </c>
      <c r="D7" s="996"/>
      <c r="E7" s="996"/>
      <c r="F7" s="996"/>
      <c r="G7" s="997"/>
      <c r="K7" s="386" t="s">
        <v>73</v>
      </c>
      <c r="L7" s="387" t="s">
        <v>865</v>
      </c>
      <c r="M7" s="387" t="s">
        <v>188</v>
      </c>
      <c r="N7" s="387" t="s">
        <v>1271</v>
      </c>
      <c r="O7" s="387" t="s">
        <v>81</v>
      </c>
      <c r="P7" s="387" t="s">
        <v>1272</v>
      </c>
      <c r="Q7" s="387" t="s">
        <v>95</v>
      </c>
      <c r="S7" s="81"/>
      <c r="T7" s="82"/>
      <c r="U7" s="82"/>
      <c r="V7" s="82"/>
      <c r="W7" s="82"/>
      <c r="X7" s="82"/>
      <c r="Y7" s="82"/>
      <c r="Z7" s="82"/>
      <c r="AA7" s="82"/>
      <c r="AB7" s="83"/>
    </row>
    <row r="8" spans="2:28" ht="45.75" customHeight="1" thickBot="1" x14ac:dyDescent="0.3">
      <c r="B8" s="994"/>
      <c r="C8" s="84" t="s">
        <v>674</v>
      </c>
      <c r="D8" s="84" t="s">
        <v>678</v>
      </c>
      <c r="E8" s="84" t="s">
        <v>194</v>
      </c>
      <c r="F8" s="84" t="s">
        <v>685</v>
      </c>
      <c r="G8" s="84" t="s">
        <v>689</v>
      </c>
      <c r="K8" s="998" t="str">
        <f>'Riesgos de Corrupción'!C6</f>
        <v>Gestión Tecnológica</v>
      </c>
      <c r="L8" s="85" t="s">
        <v>230</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91" t="s">
        <v>1270</v>
      </c>
      <c r="T8" s="86"/>
      <c r="AB8" s="87"/>
    </row>
    <row r="9" spans="2:28" ht="45.75" customHeight="1" thickBot="1" x14ac:dyDescent="0.3">
      <c r="B9" s="88" t="s">
        <v>1273</v>
      </c>
      <c r="C9" s="89" t="s">
        <v>1274</v>
      </c>
      <c r="D9" s="89" t="s">
        <v>1275</v>
      </c>
      <c r="E9" s="90" t="s">
        <v>1276</v>
      </c>
      <c r="F9" s="90" t="s">
        <v>1277</v>
      </c>
      <c r="G9" s="90" t="s">
        <v>1278</v>
      </c>
      <c r="K9" s="999"/>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91"/>
      <c r="T9" s="91" t="s">
        <v>1279</v>
      </c>
      <c r="U9" s="78"/>
      <c r="AB9" s="87"/>
    </row>
    <row r="10" spans="2:28" ht="45.75" customHeight="1" thickBot="1" x14ac:dyDescent="0.3">
      <c r="B10" s="88" t="s">
        <v>767</v>
      </c>
      <c r="C10" s="92" t="s">
        <v>1280</v>
      </c>
      <c r="D10" s="89" t="s">
        <v>1281</v>
      </c>
      <c r="E10" s="89" t="s">
        <v>1282</v>
      </c>
      <c r="F10" s="90" t="s">
        <v>1283</v>
      </c>
      <c r="G10" s="90" t="s">
        <v>1277</v>
      </c>
      <c r="K10" s="999"/>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91"/>
      <c r="T10" s="91" t="s">
        <v>1284</v>
      </c>
      <c r="U10" s="78"/>
      <c r="AB10" s="87"/>
    </row>
    <row r="11" spans="2:28" ht="45" customHeight="1" thickBot="1" x14ac:dyDescent="0.3">
      <c r="B11" s="88" t="s">
        <v>769</v>
      </c>
      <c r="C11" s="93" t="s">
        <v>1285</v>
      </c>
      <c r="D11" s="92" t="s">
        <v>1286</v>
      </c>
      <c r="E11" s="89" t="s">
        <v>1287</v>
      </c>
      <c r="F11" s="90" t="s">
        <v>1288</v>
      </c>
      <c r="G11" s="90" t="s">
        <v>1276</v>
      </c>
      <c r="K11" s="999"/>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91"/>
      <c r="T11" s="91" t="s">
        <v>1289</v>
      </c>
      <c r="U11" s="78"/>
      <c r="AB11" s="87"/>
    </row>
    <row r="12" spans="2:28" ht="45.75" customHeight="1" thickBot="1" x14ac:dyDescent="0.3">
      <c r="B12" s="88" t="s">
        <v>771</v>
      </c>
      <c r="C12" s="93" t="s">
        <v>1290</v>
      </c>
      <c r="D12" s="93" t="s">
        <v>1291</v>
      </c>
      <c r="E12" s="92" t="s">
        <v>1286</v>
      </c>
      <c r="F12" s="89" t="s">
        <v>1281</v>
      </c>
      <c r="G12" s="90" t="s">
        <v>1292</v>
      </c>
      <c r="K12" s="999"/>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91"/>
      <c r="T12" s="91" t="s">
        <v>1293</v>
      </c>
      <c r="U12" s="78"/>
      <c r="AB12" s="87"/>
    </row>
    <row r="13" spans="2:28" ht="46.5" customHeight="1" thickBot="1" x14ac:dyDescent="0.3">
      <c r="B13" s="88" t="s">
        <v>773</v>
      </c>
      <c r="C13" s="93" t="s">
        <v>1294</v>
      </c>
      <c r="D13" s="93" t="s">
        <v>1290</v>
      </c>
      <c r="E13" s="92" t="s">
        <v>1295</v>
      </c>
      <c r="F13" s="89" t="s">
        <v>1296</v>
      </c>
      <c r="G13" s="90" t="s">
        <v>1297</v>
      </c>
      <c r="K13" s="999"/>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91"/>
      <c r="T13" s="91" t="s">
        <v>1298</v>
      </c>
      <c r="U13" s="78"/>
      <c r="AB13" s="87"/>
    </row>
    <row r="14" spans="2:28" ht="45.75" customHeight="1" x14ac:dyDescent="0.25">
      <c r="K14" s="999"/>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91"/>
      <c r="T14" s="94"/>
      <c r="AB14" s="87"/>
    </row>
    <row r="15" spans="2:28" ht="37.5" customHeight="1" x14ac:dyDescent="0.25">
      <c r="K15" s="999"/>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1299</v>
      </c>
      <c r="W15" s="96" t="s">
        <v>1300</v>
      </c>
      <c r="X15" s="97" t="s">
        <v>1301</v>
      </c>
      <c r="Y15" s="98" t="s">
        <v>1302</v>
      </c>
      <c r="Z15" s="98" t="s">
        <v>1303</v>
      </c>
      <c r="AB15" s="87"/>
    </row>
    <row r="16" spans="2:28" ht="30.2" customHeight="1" thickBot="1" x14ac:dyDescent="0.3">
      <c r="K16" s="999"/>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92" t="s">
        <v>842</v>
      </c>
      <c r="V16" s="992"/>
      <c r="W16" s="992"/>
      <c r="X16" s="992"/>
      <c r="Y16" s="992"/>
      <c r="Z16" s="992"/>
      <c r="AA16" s="992"/>
      <c r="AB16" s="101"/>
    </row>
    <row r="17" spans="11:27" ht="30.2" customHeight="1" x14ac:dyDescent="0.25">
      <c r="K17" s="999"/>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99"/>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99"/>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99"/>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99"/>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99"/>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99"/>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99"/>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99"/>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99"/>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99"/>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99"/>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99"/>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99"/>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99"/>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99"/>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99"/>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1000"/>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82" t="s">
        <v>1224</v>
      </c>
      <c r="L36" s="983"/>
      <c r="M36" s="983"/>
      <c r="N36" s="983"/>
      <c r="O36" s="983"/>
      <c r="P36" s="983"/>
      <c r="Q36" s="984"/>
      <c r="S36" s="985" t="str">
        <f>K38</f>
        <v>Gestión Tecnológica</v>
      </c>
      <c r="T36" s="986"/>
      <c r="U36" s="986"/>
      <c r="V36" s="986"/>
      <c r="W36" s="986"/>
      <c r="X36" s="986"/>
      <c r="Y36" s="986"/>
      <c r="Z36" s="986"/>
      <c r="AA36" s="986"/>
      <c r="AB36" s="987"/>
    </row>
    <row r="37" spans="11:28" ht="30.2" customHeight="1" thickBot="1" x14ac:dyDescent="0.3">
      <c r="K37" s="386" t="s">
        <v>73</v>
      </c>
      <c r="L37" s="386" t="s">
        <v>865</v>
      </c>
      <c r="M37" s="387" t="s">
        <v>188</v>
      </c>
      <c r="N37" s="387" t="s">
        <v>1271</v>
      </c>
      <c r="O37" s="387" t="s">
        <v>81</v>
      </c>
      <c r="P37" s="387" t="s">
        <v>1272</v>
      </c>
      <c r="Q37" s="387" t="s">
        <v>1224</v>
      </c>
      <c r="S37" s="81"/>
      <c r="T37" s="82"/>
      <c r="U37" s="82"/>
      <c r="V37" s="82"/>
      <c r="W37" s="82"/>
      <c r="X37" s="82"/>
      <c r="Y37" s="82"/>
      <c r="Z37" s="82"/>
      <c r="AA37" s="82"/>
      <c r="AB37" s="83"/>
    </row>
    <row r="38" spans="11:28" ht="45.75" customHeight="1" x14ac:dyDescent="0.25">
      <c r="K38" s="988" t="str">
        <f>K8</f>
        <v>Gestión Tecnológica</v>
      </c>
      <c r="L38" s="485" t="s">
        <v>230</v>
      </c>
      <c r="M38" s="32" t="str">
        <f>IFERROR(INDEX('Controles de Corrupción'!$C$10:$AN$246,MATCH('Mapa de calor Corrupción'!L38,'Controles de Corrupción'!$C$10:$C$246,0),33), " ")</f>
        <v>Rara vez</v>
      </c>
      <c r="N38" s="32">
        <f>IF(M38="Rara vez",1,IF(M38="Improbable",2,IF(M38="Posible",3,IF(M38="Probable",4,IF(M38="Casi seguro",5," ")))))</f>
        <v>1</v>
      </c>
      <c r="O38" s="32" t="str">
        <f>IFERROR(INDEX('Controles de Corrupción'!$C$10:$AN$246,MATCH('Mapa de calor Corrupción'!L38,'Controles de Corrupción'!$C$10:$C$246,0),36)," ")</f>
        <v>Moderado</v>
      </c>
      <c r="P38" s="32">
        <f>IFERROR(IF(O38="Insignificante",1,IF(O38="Menor",2,IF(O38="Moderado",3,IF(O38="Mayor",4,IF(O38="Catastrófico",5,IF(O38=" "," ")))))),"")</f>
        <v>3</v>
      </c>
      <c r="Q38" s="33" t="str">
        <f>IFERROR(INDEX('Controles de Corrupción'!$C$10:$AN$246,MATCH('Mapa de calor Corrupción'!L38,'Controles de Corrupción'!$C$10:$C$246,0),37)," ")</f>
        <v>Zona Moderada</v>
      </c>
      <c r="S38" s="991" t="s">
        <v>1270</v>
      </c>
      <c r="T38" s="86"/>
      <c r="AB38" s="87"/>
    </row>
    <row r="39" spans="11:28" ht="45.75" customHeight="1" x14ac:dyDescent="0.25">
      <c r="K39" s="989"/>
      <c r="L39" s="485"/>
      <c r="M39" s="32" t="str">
        <f>IFERROR(INDEX('Controles de Corrupción'!$C$10:$AM$246,MATCH('Mapa de calor Corrupción'!L39,'Controles de Corrupción'!#REF!,0),33), " ")</f>
        <v xml:space="preserve"> </v>
      </c>
      <c r="N39" s="32" t="str">
        <f t="shared" ref="N39:N62" si="2">IF(M39="Rara vez",1,IF(M39="Improbable",2,IF(M39="Posible",3,IF(M39="Probable",4,IF(M39="Casi seguro",5," ")))))</f>
        <v xml:space="preserve"> </v>
      </c>
      <c r="O39" s="32" t="str">
        <f>IFERROR(INDEX('Controles de Corrupción'!$C$10:$AM$246,MATCH('Mapa de calor Corrupción'!L39,'Controles de Corrupción'!#REF!,0),36)," ")</f>
        <v xml:space="preserve"> </v>
      </c>
      <c r="P39" s="32" t="str">
        <f t="shared" ref="P39:P62" si="3">IFERROR(IF(O39="Insignificante",1,IF(O39="Menor",2,IF(O39="Moderado",3,IF(O39="Mayor",4,IF(O39="Catastrófico",5,IF(O39=" "," ")))))),"")</f>
        <v xml:space="preserve"> </v>
      </c>
      <c r="Q39" s="33" t="str">
        <f>IFERROR(INDEX('Controles de Corrupción'!$C$10:$AM$246,MATCH('Mapa de calor Corrupción'!L39,'Controles de Corrupción'!#REF!,0),37)," ")</f>
        <v xml:space="preserve"> </v>
      </c>
      <c r="S39" s="991"/>
      <c r="T39" s="91" t="s">
        <v>1279</v>
      </c>
      <c r="U39" s="78"/>
      <c r="AB39" s="87"/>
    </row>
    <row r="40" spans="11:28" ht="45.75" customHeight="1" x14ac:dyDescent="0.25">
      <c r="K40" s="989"/>
      <c r="L40" s="485"/>
      <c r="M40" s="32" t="str">
        <f>IFERROR(INDEX('Controles de Corrupción'!$C$10:$AM$246,MATCH('Mapa de calor Corrupción'!L40,'Controles de Corrupción'!#REF!,0),33), " ")</f>
        <v xml:space="preserve"> </v>
      </c>
      <c r="N40" s="32" t="str">
        <f t="shared" si="2"/>
        <v xml:space="preserve"> </v>
      </c>
      <c r="O40" s="32" t="str">
        <f>IFERROR(INDEX('Controles de Corrupción'!$C$10:$AM$246,MATCH('Mapa de calor Corrupción'!L40,'Controles de Corrupción'!#REF!,0),36)," ")</f>
        <v xml:space="preserve"> </v>
      </c>
      <c r="P40" s="32" t="str">
        <f t="shared" si="3"/>
        <v xml:space="preserve"> </v>
      </c>
      <c r="Q40" s="33" t="str">
        <f>IFERROR(INDEX('Controles de Corrupción'!$C$10:$AM$246,MATCH('Mapa de calor Corrupción'!L40,'Controles de Corrupción'!#REF!,0),37)," ")</f>
        <v xml:space="preserve"> </v>
      </c>
      <c r="S40" s="991"/>
      <c r="T40" s="91" t="s">
        <v>1284</v>
      </c>
      <c r="U40" s="78"/>
      <c r="AB40" s="87"/>
    </row>
    <row r="41" spans="11:28" ht="45.75" customHeight="1" x14ac:dyDescent="0.25">
      <c r="K41" s="989"/>
      <c r="L41" s="485"/>
      <c r="M41" s="32" t="str">
        <f>IFERROR(INDEX('Controles de Corrupción'!$C$10:$AM$246,MATCH('Mapa de calor Corrupción'!L41,'Controles de Corrupción'!#REF!,0),33), " ")</f>
        <v xml:space="preserve"> </v>
      </c>
      <c r="N41" s="32" t="str">
        <f t="shared" si="2"/>
        <v xml:space="preserve"> </v>
      </c>
      <c r="O41" s="32" t="str">
        <f>IFERROR(INDEX('Controles de Corrupción'!$C$10:$AM$246,MATCH('Mapa de calor Corrupción'!L41,'Controles de Corrupción'!#REF!,0),36)," ")</f>
        <v xml:space="preserve"> </v>
      </c>
      <c r="P41" s="32" t="str">
        <f t="shared" si="3"/>
        <v xml:space="preserve"> </v>
      </c>
      <c r="Q41" s="33" t="str">
        <f>IFERROR(INDEX('Controles de Corrupción'!$C$10:$AM$246,MATCH('Mapa de calor Corrupción'!L41,'Controles de Corrupción'!#REF!,0),37)," ")</f>
        <v xml:space="preserve"> </v>
      </c>
      <c r="S41" s="991"/>
      <c r="T41" s="91" t="s">
        <v>1289</v>
      </c>
      <c r="U41" s="78"/>
      <c r="AB41" s="87"/>
    </row>
    <row r="42" spans="11:28" ht="45.75" customHeight="1" x14ac:dyDescent="0.25">
      <c r="K42" s="989"/>
      <c r="L42" s="485"/>
      <c r="M42" s="32" t="str">
        <f>IFERROR(INDEX('Controles de Corrupción'!$C$10:$AM$246,MATCH('Mapa de calor Corrupción'!L42,'Controles de Corrupción'!#REF!,0),33), " ")</f>
        <v xml:space="preserve"> </v>
      </c>
      <c r="N42" s="32" t="str">
        <f t="shared" si="2"/>
        <v xml:space="preserve"> </v>
      </c>
      <c r="O42" s="32" t="str">
        <f>IFERROR(INDEX('Controles de Corrupción'!$C$10:$AM$246,MATCH('Mapa de calor Corrupción'!L42,'Controles de Corrupción'!#REF!,0),36)," ")</f>
        <v xml:space="preserve"> </v>
      </c>
      <c r="P42" s="32" t="str">
        <f t="shared" si="3"/>
        <v xml:space="preserve"> </v>
      </c>
      <c r="Q42" s="33" t="str">
        <f>IFERROR(INDEX('Controles de Corrupción'!$C$10:$AM$246,MATCH('Mapa de calor Corrupción'!L42,'Controles de Corrupción'!#REF!,0),37)," ")</f>
        <v xml:space="preserve"> </v>
      </c>
      <c r="S42" s="991"/>
      <c r="T42" s="91" t="s">
        <v>1293</v>
      </c>
      <c r="U42" s="78"/>
      <c r="AB42" s="87"/>
    </row>
    <row r="43" spans="11:28" ht="45.75" customHeight="1" x14ac:dyDescent="0.25">
      <c r="K43" s="989"/>
      <c r="L43" s="485"/>
      <c r="M43" s="32" t="str">
        <f>IFERROR(INDEX('Controles de Corrupción'!$C$10:$AM$246,MATCH('Mapa de calor Corrupción'!L43,'Controles de Corrupción'!#REF!,0),33), " ")</f>
        <v xml:space="preserve"> </v>
      </c>
      <c r="N43" s="32" t="str">
        <f t="shared" si="2"/>
        <v xml:space="preserve"> </v>
      </c>
      <c r="O43" s="32" t="str">
        <f>IFERROR(INDEX('Controles de Corrupción'!$C$10:$AM$246,MATCH('Mapa de calor Corrupción'!L43,'Controles de Corrupción'!#REF!,0),36)," ")</f>
        <v xml:space="preserve"> </v>
      </c>
      <c r="P43" s="32" t="str">
        <f t="shared" si="3"/>
        <v xml:space="preserve"> </v>
      </c>
      <c r="Q43" s="33" t="str">
        <f>IFERROR(INDEX('Controles de Corrupción'!$C$10:$AM$246,MATCH('Mapa de calor Corrupción'!L43,'Controles de Corrupción'!#REF!,0),37)," ")</f>
        <v xml:space="preserve"> </v>
      </c>
      <c r="S43" s="991"/>
      <c r="T43" s="91" t="s">
        <v>1298</v>
      </c>
      <c r="U43" s="78"/>
      <c r="AB43" s="87"/>
    </row>
    <row r="44" spans="11:28" ht="45.75" customHeight="1" x14ac:dyDescent="0.25">
      <c r="K44" s="989"/>
      <c r="L44" s="485"/>
      <c r="M44" s="32" t="str">
        <f>IFERROR(INDEX('Controles de Corrupción'!$C$10:$AM$246,MATCH('Mapa de calor Corrupción'!L44,'Controles de Corrupción'!#REF!,0),33), " ")</f>
        <v xml:space="preserve"> </v>
      </c>
      <c r="N44" s="32" t="str">
        <f t="shared" si="2"/>
        <v xml:space="preserve"> </v>
      </c>
      <c r="O44" s="32" t="str">
        <f>IFERROR(INDEX('Controles de Corrupción'!$C$10:$AM$246,MATCH('Mapa de calor Corrupción'!L44,'Controles de Corrupción'!#REF!,0),36)," ")</f>
        <v xml:space="preserve"> </v>
      </c>
      <c r="P44" s="32" t="str">
        <f t="shared" si="3"/>
        <v xml:space="preserve"> </v>
      </c>
      <c r="Q44" s="33" t="str">
        <f>IFERROR(INDEX('Controles de Corrupción'!$C$10:$AM$246,MATCH('Mapa de calor Corrupción'!L44,'Controles de Corrupción'!#REF!,0),37)," ")</f>
        <v xml:space="preserve"> </v>
      </c>
      <c r="S44" s="991"/>
      <c r="T44" s="94"/>
      <c r="AB44" s="87"/>
    </row>
    <row r="45" spans="11:28" ht="45" customHeight="1" x14ac:dyDescent="0.25">
      <c r="K45" s="989"/>
      <c r="L45" s="485"/>
      <c r="M45" s="32" t="str">
        <f>IFERROR(INDEX('Controles de Corrupción'!$C$10:$AM$246,MATCH('Mapa de calor Corrupción'!L45,'Controles de Corrupción'!#REF!,0),33), " ")</f>
        <v xml:space="preserve"> </v>
      </c>
      <c r="N45" s="32" t="str">
        <f t="shared" si="2"/>
        <v xml:space="preserve"> </v>
      </c>
      <c r="O45" s="32" t="str">
        <f>IFERROR(INDEX('Controles de Corrupción'!$C$10:$AM$246,MATCH('Mapa de calor Corrupción'!L45,'Controles de Corrupción'!#REF!,0),36)," ")</f>
        <v xml:space="preserve"> </v>
      </c>
      <c r="P45" s="32" t="str">
        <f t="shared" si="3"/>
        <v xml:space="preserve"> </v>
      </c>
      <c r="Q45" s="33" t="str">
        <f>IFERROR(INDEX('Controles de Corrupción'!$C$10:$AM$246,MATCH('Mapa de calor Corrupción'!L45,'Controles de Corrupción'!#REF!,0),37)," ")</f>
        <v xml:space="preserve"> </v>
      </c>
      <c r="S45" s="81"/>
      <c r="T45" s="94"/>
      <c r="V45" s="104" t="s">
        <v>1299</v>
      </c>
      <c r="W45" s="96" t="s">
        <v>1300</v>
      </c>
      <c r="X45" s="97" t="s">
        <v>1301</v>
      </c>
      <c r="Y45" s="98" t="s">
        <v>1302</v>
      </c>
      <c r="Z45" s="98" t="s">
        <v>1303</v>
      </c>
      <c r="AB45" s="87"/>
    </row>
    <row r="46" spans="11:28" ht="44.45" customHeight="1" thickBot="1" x14ac:dyDescent="0.3">
      <c r="K46" s="989"/>
      <c r="L46" s="485"/>
      <c r="M46" s="32" t="str">
        <f>IFERROR(INDEX('Controles de Corrupción'!$C$10:$AM$246,MATCH('Mapa de calor Corrupción'!L46,'Controles de Corrupción'!#REF!,0),33), " ")</f>
        <v xml:space="preserve"> </v>
      </c>
      <c r="N46" s="32" t="str">
        <f t="shared" si="2"/>
        <v xml:space="preserve"> </v>
      </c>
      <c r="O46" s="32" t="str">
        <f>IFERROR(INDEX('Controles de Corrupción'!$C$10:$AM$246,MATCH('Mapa de calor Corrupción'!L46,'Controles de Corrupción'!#REF!,0),36)," ")</f>
        <v xml:space="preserve"> </v>
      </c>
      <c r="P46" s="32" t="str">
        <f t="shared" si="3"/>
        <v xml:space="preserve"> </v>
      </c>
      <c r="Q46" s="33" t="str">
        <f>IFERROR(INDEX('Controles de Corrupción'!$C$10:$AM$246,MATCH('Mapa de calor Corrupción'!L46,'Controles de Corrupción'!#REF!,0),37)," ")</f>
        <v xml:space="preserve"> </v>
      </c>
      <c r="S46" s="99"/>
      <c r="T46" s="100"/>
      <c r="U46" s="992" t="s">
        <v>842</v>
      </c>
      <c r="V46" s="992"/>
      <c r="W46" s="992"/>
      <c r="X46" s="992"/>
      <c r="Y46" s="992"/>
      <c r="Z46" s="992"/>
      <c r="AA46" s="992"/>
      <c r="AB46" s="101"/>
    </row>
    <row r="47" spans="11:28" ht="50.25" customHeight="1" x14ac:dyDescent="0.25">
      <c r="K47" s="989"/>
      <c r="L47" s="485"/>
      <c r="M47" s="32" t="str">
        <f>IFERROR(INDEX('Controles de Corrupción'!$C$10:$AM$246,MATCH('Mapa de calor Corrupción'!L47,'Controles de Corrupción'!#REF!,0),33), " ")</f>
        <v xml:space="preserve"> </v>
      </c>
      <c r="N47" s="32" t="str">
        <f t="shared" si="2"/>
        <v xml:space="preserve"> </v>
      </c>
      <c r="O47" s="32" t="str">
        <f>IFERROR(INDEX('Controles de Corrupción'!$C$10:$AM$246,MATCH('Mapa de calor Corrupción'!L47,'Controles de Corrupción'!#REF!,0),36)," ")</f>
        <v xml:space="preserve"> </v>
      </c>
      <c r="P47" s="32" t="str">
        <f t="shared" si="3"/>
        <v xml:space="preserve"> </v>
      </c>
      <c r="Q47" s="33" t="str">
        <f>IFERROR(INDEX('Controles de Corrupción'!$C$10:$AM$246,MATCH('Mapa de calor Corrupción'!L47,'Controles de Corrupción'!#REF!,0),37)," ")</f>
        <v xml:space="preserve"> </v>
      </c>
      <c r="T47" s="94"/>
      <c r="U47" s="102"/>
      <c r="V47" s="102"/>
      <c r="W47" s="102"/>
      <c r="X47" s="102"/>
      <c r="Y47" s="102"/>
      <c r="Z47" s="102"/>
      <c r="AA47" s="102"/>
    </row>
    <row r="48" spans="11:28" ht="47.25" customHeight="1" x14ac:dyDescent="0.25">
      <c r="K48" s="989"/>
      <c r="L48" s="485"/>
      <c r="M48" s="32" t="str">
        <f>IFERROR(INDEX('Controles de Corrupción'!$C$10:$AM$246,MATCH('Mapa de calor Corrupción'!L48,'Controles de Corrupción'!#REF!,0),33), " ")</f>
        <v xml:space="preserve"> </v>
      </c>
      <c r="N48" s="32" t="str">
        <f t="shared" si="2"/>
        <v xml:space="preserve"> </v>
      </c>
      <c r="O48" s="32" t="str">
        <f>IFERROR(INDEX('Controles de Corrupción'!$C$10:$AM$246,MATCH('Mapa de calor Corrupción'!L48,'Controles de Corrupción'!#REF!,0),36)," ")</f>
        <v xml:space="preserve"> </v>
      </c>
      <c r="P48" s="32" t="str">
        <f t="shared" si="3"/>
        <v xml:space="preserve"> </v>
      </c>
      <c r="Q48" s="33" t="str">
        <f>IFERROR(INDEX('Controles de Corrupción'!$C$10:$AM$246,MATCH('Mapa de calor Corrupción'!L48,'Controles de Corrupción'!#REF!,0),37)," ")</f>
        <v xml:space="preserve"> </v>
      </c>
      <c r="T48" s="94"/>
      <c r="U48" s="102"/>
      <c r="V48" s="102"/>
      <c r="W48" s="102"/>
      <c r="X48" s="102"/>
      <c r="Y48" s="102"/>
      <c r="Z48" s="102"/>
      <c r="AA48" s="102"/>
    </row>
    <row r="49" spans="11:27" ht="51.75" customHeight="1" x14ac:dyDescent="0.25">
      <c r="K49" s="989"/>
      <c r="L49" s="485"/>
      <c r="M49" s="32" t="str">
        <f>IFERROR(INDEX('Controles de Corrupción'!$C$10:$AM$246,MATCH('Mapa de calor Corrupción'!L49,'Controles de Corrupción'!#REF!,0),33), " ")</f>
        <v xml:space="preserve"> </v>
      </c>
      <c r="N49" s="32" t="str">
        <f t="shared" si="2"/>
        <v xml:space="preserve"> </v>
      </c>
      <c r="O49" s="32" t="str">
        <f>IFERROR(INDEX('Controles de Corrupción'!$C$10:$AM$246,MATCH('Mapa de calor Corrupción'!L49,'Controles de Corrupción'!#REF!,0),36)," ")</f>
        <v xml:space="preserve"> </v>
      </c>
      <c r="P49" s="32" t="str">
        <f t="shared" si="3"/>
        <v xml:space="preserve"> </v>
      </c>
      <c r="Q49" s="33" t="str">
        <f>IFERROR(INDEX('Controles de Corrupción'!$C$10:$AM$246,MATCH('Mapa de calor Corrupción'!L49,'Controles de Corrupción'!#REF!,0),37)," ")</f>
        <v xml:space="preserve"> </v>
      </c>
      <c r="T49" s="94"/>
      <c r="U49" s="102"/>
      <c r="V49" s="102"/>
      <c r="W49" s="102"/>
      <c r="X49" s="102"/>
      <c r="Y49" s="102"/>
      <c r="Z49" s="102"/>
      <c r="AA49" s="102"/>
    </row>
    <row r="50" spans="11:27" ht="42" customHeight="1" x14ac:dyDescent="0.25">
      <c r="K50" s="989"/>
      <c r="L50" s="485"/>
      <c r="M50" s="32" t="str">
        <f>IFERROR(INDEX('Controles de Corrupción'!$C$10:$AM$246,MATCH('Mapa de calor Corrupción'!L50,'Controles de Corrupción'!#REF!,0),33), " ")</f>
        <v xml:space="preserve"> </v>
      </c>
      <c r="N50" s="32" t="str">
        <f t="shared" si="2"/>
        <v xml:space="preserve"> </v>
      </c>
      <c r="O50" s="32" t="str">
        <f>IFERROR(INDEX('Controles de Corrupción'!$C$10:$AM$246,MATCH('Mapa de calor Corrupción'!L50,'Controles de Corrupción'!#REF!,0),36)," ")</f>
        <v xml:space="preserve"> </v>
      </c>
      <c r="P50" s="32" t="str">
        <f t="shared" si="3"/>
        <v xml:space="preserve"> </v>
      </c>
      <c r="Q50" s="33" t="str">
        <f>IFERROR(INDEX('Controles de Corrupción'!$C$10:$AM$246,MATCH('Mapa de calor Corrupción'!L50,'Controles de Corrupción'!#REF!,0),37)," ")</f>
        <v xml:space="preserve"> </v>
      </c>
      <c r="T50" s="94"/>
      <c r="U50" s="102"/>
      <c r="V50" s="102"/>
      <c r="W50" s="102"/>
      <c r="X50" s="102"/>
      <c r="Y50" s="102"/>
      <c r="Z50" s="102"/>
      <c r="AA50" s="102"/>
    </row>
    <row r="51" spans="11:27" ht="45.75" customHeight="1" x14ac:dyDescent="0.25">
      <c r="K51" s="989"/>
      <c r="L51" s="485"/>
      <c r="M51" s="32" t="str">
        <f>IFERROR(INDEX('Controles de Corrupción'!$C$10:$AM$246,MATCH('Mapa de calor Corrupción'!L51,'Controles de Corrupción'!#REF!,0),33), " ")</f>
        <v xml:space="preserve"> </v>
      </c>
      <c r="N51" s="32" t="str">
        <f t="shared" si="2"/>
        <v xml:space="preserve"> </v>
      </c>
      <c r="O51" s="32" t="str">
        <f>IFERROR(INDEX('Controles de Corrupción'!$C$10:$AM$246,MATCH('Mapa de calor Corrupción'!L51,'Controles de Corrupción'!#REF!,0),36)," ")</f>
        <v xml:space="preserve"> </v>
      </c>
      <c r="P51" s="32" t="str">
        <f t="shared" si="3"/>
        <v xml:space="preserve"> </v>
      </c>
      <c r="Q51" s="33" t="str">
        <f>IFERROR(INDEX('Controles de Corrupción'!$C$10:$AM$246,MATCH('Mapa de calor Corrupción'!L51,'Controles de Corrupción'!#REF!,0),37)," ")</f>
        <v xml:space="preserve"> </v>
      </c>
      <c r="T51" s="94"/>
      <c r="U51" s="102"/>
      <c r="V51" s="102"/>
      <c r="W51" s="102"/>
      <c r="X51" s="102"/>
      <c r="Y51" s="102"/>
      <c r="Z51" s="102"/>
      <c r="AA51" s="102"/>
    </row>
    <row r="52" spans="11:27" ht="42.75" customHeight="1" x14ac:dyDescent="0.25">
      <c r="K52" s="989"/>
      <c r="L52" s="485"/>
      <c r="M52" s="32" t="str">
        <f>IFERROR(INDEX('Controles de Corrupción'!$C$10:$AM$246,MATCH('Mapa de calor Corrupción'!L52,'Controles de Corrupción'!#REF!,0),33), " ")</f>
        <v xml:space="preserve"> </v>
      </c>
      <c r="N52" s="32" t="str">
        <f t="shared" si="2"/>
        <v xml:space="preserve"> </v>
      </c>
      <c r="O52" s="32" t="str">
        <f>IFERROR(INDEX('Controles de Corrupción'!$C$10:$AM$246,MATCH('Mapa de calor Corrupción'!L52,'Controles de Corrupción'!#REF!,0),36)," ")</f>
        <v xml:space="preserve"> </v>
      </c>
      <c r="P52" s="32" t="str">
        <f t="shared" si="3"/>
        <v xml:space="preserve"> </v>
      </c>
      <c r="Q52" s="33" t="str">
        <f>IFERROR(INDEX('Controles de Corrupción'!$C$10:$AM$246,MATCH('Mapa de calor Corrupción'!L52,'Controles de Corrupción'!#REF!,0),37)," ")</f>
        <v xml:space="preserve"> </v>
      </c>
      <c r="T52" s="94"/>
      <c r="U52" s="102"/>
      <c r="V52" s="102"/>
      <c r="W52" s="102"/>
      <c r="X52" s="102"/>
      <c r="Y52" s="102"/>
      <c r="Z52" s="102"/>
      <c r="AA52" s="102"/>
    </row>
    <row r="53" spans="11:27" ht="42.75" customHeight="1" x14ac:dyDescent="0.25">
      <c r="K53" s="989"/>
      <c r="L53" s="485"/>
      <c r="M53" s="32" t="str">
        <f>IFERROR(INDEX('Controles de Corrupción'!$C$10:$AM$246,MATCH('Mapa de calor Corrupción'!L53,'Controles de Corrupción'!#REF!,0),33), " ")</f>
        <v xml:space="preserve"> </v>
      </c>
      <c r="N53" s="32" t="str">
        <f t="shared" si="2"/>
        <v xml:space="preserve"> </v>
      </c>
      <c r="O53" s="32" t="str">
        <f>IFERROR(INDEX('Controles de Corrupción'!$C$10:$AM$246,MATCH('Mapa de calor Corrupción'!L53,'Controles de Corrupción'!#REF!,0),36)," ")</f>
        <v xml:space="preserve"> </v>
      </c>
      <c r="P53" s="32" t="str">
        <f t="shared" si="3"/>
        <v xml:space="preserve"> </v>
      </c>
      <c r="Q53" s="33" t="str">
        <f>IFERROR(INDEX('Controles de Corrupción'!$C$10:$AM$246,MATCH('Mapa de calor Corrupción'!L53,'Controles de Corrupción'!#REF!,0),37)," ")</f>
        <v xml:space="preserve"> </v>
      </c>
      <c r="T53" s="94"/>
      <c r="U53" s="102"/>
      <c r="V53" s="102"/>
      <c r="W53" s="102"/>
      <c r="X53" s="102"/>
      <c r="Y53" s="102"/>
      <c r="Z53" s="102"/>
      <c r="AA53" s="102"/>
    </row>
    <row r="54" spans="11:27" ht="42.75" customHeight="1" x14ac:dyDescent="0.25">
      <c r="K54" s="989"/>
      <c r="L54" s="485"/>
      <c r="M54" s="32" t="str">
        <f>IFERROR(INDEX('Controles de Corrupción'!$C$10:$AM$246,MATCH('Mapa de calor Corrupción'!L54,'Controles de Corrupción'!#REF!,0),33), " ")</f>
        <v xml:space="preserve"> </v>
      </c>
      <c r="N54" s="32" t="str">
        <f t="shared" si="2"/>
        <v xml:space="preserve"> </v>
      </c>
      <c r="O54" s="32" t="str">
        <f>IFERROR(INDEX('Controles de Corrupción'!$C$10:$AM$246,MATCH('Mapa de calor Corrupción'!L54,'Controles de Corrupción'!#REF!,0),36)," ")</f>
        <v xml:space="preserve"> </v>
      </c>
      <c r="P54" s="32" t="str">
        <f t="shared" si="3"/>
        <v xml:space="preserve"> </v>
      </c>
      <c r="Q54" s="33" t="str">
        <f>IFERROR(INDEX('Controles de Corrupción'!$C$10:$AM$246,MATCH('Mapa de calor Corrupción'!L54,'Controles de Corrupción'!#REF!,0),37)," ")</f>
        <v xml:space="preserve"> </v>
      </c>
      <c r="T54" s="94"/>
      <c r="U54" s="102"/>
      <c r="V54" s="102"/>
      <c r="W54" s="102"/>
      <c r="X54" s="102"/>
      <c r="Y54" s="102"/>
      <c r="Z54" s="102"/>
      <c r="AA54" s="102"/>
    </row>
    <row r="55" spans="11:27" ht="42.75" customHeight="1" x14ac:dyDescent="0.25">
      <c r="K55" s="989"/>
      <c r="L55" s="485"/>
      <c r="M55" s="32" t="str">
        <f>IFERROR(INDEX('Controles de Corrupción'!$C$10:$AM$246,MATCH('Mapa de calor Corrupción'!L55,'Controles de Corrupción'!#REF!,0),33), " ")</f>
        <v xml:space="preserve"> </v>
      </c>
      <c r="N55" s="32" t="str">
        <f t="shared" si="2"/>
        <v xml:space="preserve"> </v>
      </c>
      <c r="O55" s="32" t="str">
        <f>IFERROR(INDEX('Controles de Corrupción'!$C$10:$AM$246,MATCH('Mapa de calor Corrupción'!L55,'Controles de Corrupción'!#REF!,0),36)," ")</f>
        <v xml:space="preserve"> </v>
      </c>
      <c r="P55" s="32" t="str">
        <f t="shared" si="3"/>
        <v xml:space="preserve"> </v>
      </c>
      <c r="Q55" s="33" t="str">
        <f>IFERROR(INDEX('Controles de Corrupción'!$C$10:$AM$246,MATCH('Mapa de calor Corrupción'!L55,'Controles de Corrupción'!#REF!,0),37)," ")</f>
        <v xml:space="preserve"> </v>
      </c>
      <c r="T55" s="94"/>
      <c r="U55" s="102"/>
      <c r="V55" s="102"/>
      <c r="W55" s="102"/>
      <c r="X55" s="102"/>
      <c r="Y55" s="102"/>
      <c r="Z55" s="102"/>
      <c r="AA55" s="102"/>
    </row>
    <row r="56" spans="11:27" ht="42.75" customHeight="1" x14ac:dyDescent="0.25">
      <c r="K56" s="989"/>
      <c r="L56" s="485"/>
      <c r="M56" s="32" t="str">
        <f>IFERROR(INDEX('Controles de Corrupción'!$C$10:$AM$246,MATCH('Mapa de calor Corrupción'!L56,'Controles de Corrupción'!#REF!,0),33), " ")</f>
        <v xml:space="preserve"> </v>
      </c>
      <c r="N56" s="32" t="str">
        <f t="shared" si="2"/>
        <v xml:space="preserve"> </v>
      </c>
      <c r="O56" s="32" t="str">
        <f>IFERROR(INDEX('Controles de Corrupción'!$C$10:$AM$246,MATCH('Mapa de calor Corrupción'!L56,'Controles de Corrupción'!#REF!,0),36)," ")</f>
        <v xml:space="preserve"> </v>
      </c>
      <c r="P56" s="32" t="str">
        <f t="shared" si="3"/>
        <v xml:space="preserve"> </v>
      </c>
      <c r="Q56" s="33" t="str">
        <f>IFERROR(INDEX('Controles de Corrupción'!$C$10:$AM$246,MATCH('Mapa de calor Corrupción'!L56,'Controles de Corrupción'!#REF!,0),37)," ")</f>
        <v xml:space="preserve"> </v>
      </c>
      <c r="T56" s="94"/>
      <c r="U56" s="102"/>
      <c r="V56" s="102"/>
      <c r="W56" s="102"/>
      <c r="X56" s="102"/>
      <c r="Y56" s="102"/>
      <c r="Z56" s="102"/>
      <c r="AA56" s="102"/>
    </row>
    <row r="57" spans="11:27" ht="42.75" customHeight="1" x14ac:dyDescent="0.25">
      <c r="K57" s="989"/>
      <c r="L57" s="485"/>
      <c r="M57" s="32" t="str">
        <f>IFERROR(INDEX('Controles de Corrupción'!$C$10:$AM$246,MATCH('Mapa de calor Corrupción'!L57,'Controles de Corrupción'!#REF!,0),33), " ")</f>
        <v xml:space="preserve"> </v>
      </c>
      <c r="N57" s="32" t="str">
        <f t="shared" si="2"/>
        <v xml:space="preserve"> </v>
      </c>
      <c r="O57" s="32" t="str">
        <f>IFERROR(INDEX('Controles de Corrupción'!$C$10:$AM$246,MATCH('Mapa de calor Corrupción'!L57,'Controles de Corrupción'!#REF!,0),36)," ")</f>
        <v xml:space="preserve"> </v>
      </c>
      <c r="P57" s="32" t="str">
        <f t="shared" si="3"/>
        <v xml:space="preserve"> </v>
      </c>
      <c r="Q57" s="33" t="str">
        <f>IFERROR(INDEX('Controles de Corrupción'!$C$10:$AM$246,MATCH('Mapa de calor Corrupción'!L57,'Controles de Corrupción'!#REF!,0),37)," ")</f>
        <v xml:space="preserve"> </v>
      </c>
      <c r="T57" s="94"/>
      <c r="U57" s="102"/>
      <c r="V57" s="102"/>
      <c r="W57" s="102"/>
      <c r="X57" s="102"/>
      <c r="Y57" s="102"/>
      <c r="Z57" s="102"/>
      <c r="AA57" s="102"/>
    </row>
    <row r="58" spans="11:27" ht="42.75" customHeight="1" x14ac:dyDescent="0.25">
      <c r="K58" s="989"/>
      <c r="L58" s="485"/>
      <c r="M58" s="32" t="str">
        <f>IFERROR(INDEX('Controles de Corrupción'!$C$10:$AM$246,MATCH('Mapa de calor Corrupción'!L58,'Controles de Corrupción'!#REF!,0),33), " ")</f>
        <v xml:space="preserve"> </v>
      </c>
      <c r="N58" s="32" t="str">
        <f t="shared" si="2"/>
        <v xml:space="preserve"> </v>
      </c>
      <c r="O58" s="32" t="str">
        <f>IFERROR(INDEX('Controles de Corrupción'!$C$10:$AM$246,MATCH('Mapa de calor Corrupción'!L58,'Controles de Corrupción'!#REF!,0),36)," ")</f>
        <v xml:space="preserve"> </v>
      </c>
      <c r="P58" s="32" t="str">
        <f t="shared" si="3"/>
        <v xml:space="preserve"> </v>
      </c>
      <c r="Q58" s="33" t="str">
        <f>IFERROR(INDEX('Controles de Corrupción'!$C$10:$AM$246,MATCH('Mapa de calor Corrupción'!L58,'Controles de Corrupción'!#REF!,0),37)," ")</f>
        <v xml:space="preserve"> </v>
      </c>
      <c r="T58" s="94"/>
      <c r="U58" s="102"/>
      <c r="V58" s="102"/>
      <c r="W58" s="102"/>
      <c r="X58" s="102"/>
      <c r="Y58" s="102"/>
      <c r="Z58" s="102"/>
      <c r="AA58" s="102"/>
    </row>
    <row r="59" spans="11:27" ht="42.75" customHeight="1" x14ac:dyDescent="0.25">
      <c r="K59" s="989"/>
      <c r="L59" s="485"/>
      <c r="M59" s="32" t="str">
        <f>IFERROR(INDEX('Controles de Corrupción'!$C$10:$AM$246,MATCH('Mapa de calor Corrupción'!L59,'Controles de Corrupción'!#REF!,0),33), " ")</f>
        <v xml:space="preserve"> </v>
      </c>
      <c r="N59" s="32" t="str">
        <f t="shared" si="2"/>
        <v xml:space="preserve"> </v>
      </c>
      <c r="O59" s="32" t="str">
        <f>IFERROR(INDEX('Controles de Corrupción'!$C$10:$AM$246,MATCH('Mapa de calor Corrupción'!L59,'Controles de Corrupción'!#REF!,0),36)," ")</f>
        <v xml:space="preserve"> </v>
      </c>
      <c r="P59" s="32" t="str">
        <f t="shared" si="3"/>
        <v xml:space="preserve"> </v>
      </c>
      <c r="Q59" s="33" t="str">
        <f>IFERROR(INDEX('Controles de Corrupción'!$C$10:$AM$246,MATCH('Mapa de calor Corrupción'!L59,'Controles de Corrupción'!#REF!,0),37)," ")</f>
        <v xml:space="preserve"> </v>
      </c>
    </row>
    <row r="60" spans="11:27" ht="42.75" customHeight="1" x14ac:dyDescent="0.25">
      <c r="K60" s="989"/>
      <c r="L60" s="485"/>
      <c r="M60" s="32" t="str">
        <f>IFERROR(INDEX('Controles de Corrupción'!$C$10:$AM$246,MATCH('Mapa de calor Corrupción'!L60,'Controles de Corrupción'!#REF!,0),33), " ")</f>
        <v xml:space="preserve"> </v>
      </c>
      <c r="N60" s="32" t="str">
        <f t="shared" si="2"/>
        <v xml:space="preserve"> </v>
      </c>
      <c r="O60" s="32" t="str">
        <f>IFERROR(INDEX('Controles de Corrupción'!$C$10:$AM$246,MATCH('Mapa de calor Corrupción'!L60,'Controles de Corrupción'!#REF!,0),36)," ")</f>
        <v xml:space="preserve"> </v>
      </c>
      <c r="P60" s="32" t="str">
        <f t="shared" si="3"/>
        <v xml:space="preserve"> </v>
      </c>
      <c r="Q60" s="33" t="str">
        <f>IFERROR(INDEX('Controles de Corrupción'!$C$10:$AM$246,MATCH('Mapa de calor Corrupción'!L60,'Controles de Corrupción'!#REF!,0),37)," ")</f>
        <v xml:space="preserve"> </v>
      </c>
    </row>
    <row r="61" spans="11:27" ht="42.75" customHeight="1" x14ac:dyDescent="0.25">
      <c r="K61" s="989"/>
      <c r="L61" s="485"/>
      <c r="M61" s="32" t="str">
        <f>IFERROR(INDEX('Controles de Corrupción'!$C$10:$AM$246,MATCH('Mapa de calor Corrupción'!L61,'Controles de Corrupción'!#REF!,0),33), " ")</f>
        <v xml:space="preserve"> </v>
      </c>
      <c r="N61" s="32" t="str">
        <f t="shared" si="2"/>
        <v xml:space="preserve"> </v>
      </c>
      <c r="O61" s="32" t="str">
        <f>IFERROR(INDEX('Controles de Corrupción'!$C$10:$AM$246,MATCH('Mapa de calor Corrupción'!L61,'Controles de Corrupción'!#REF!,0),36)," ")</f>
        <v xml:space="preserve"> </v>
      </c>
      <c r="P61" s="32" t="str">
        <f t="shared" si="3"/>
        <v xml:space="preserve"> </v>
      </c>
      <c r="Q61" s="33" t="str">
        <f>IFERROR(INDEX('Controles de Corrupción'!$C$10:$AM$246,MATCH('Mapa de calor Corrupción'!L61,'Controles de Corrupción'!#REF!,0),37)," ")</f>
        <v xml:space="preserve"> </v>
      </c>
    </row>
    <row r="62" spans="11:27" ht="42.75" customHeight="1" thickBot="1" x14ac:dyDescent="0.3">
      <c r="K62" s="990"/>
      <c r="L62" s="485"/>
      <c r="M62" s="32" t="str">
        <f>IFERROR(INDEX('Controles de Corrupción'!$C$10:$AM$246,MATCH('Mapa de calor Corrupción'!L62,'Controles de Corrupción'!#REF!,0),33), " ")</f>
        <v xml:space="preserve"> </v>
      </c>
      <c r="N62" s="32" t="str">
        <f t="shared" si="2"/>
        <v xml:space="preserve"> </v>
      </c>
      <c r="O62" s="32" t="str">
        <f>IFERROR(INDEX('Controles de Corrupción'!$C$10:$AM$246,MATCH('Mapa de calor Corrupción'!L62,'Controles de Corrupción'!#REF!,0),36)," ")</f>
        <v xml:space="preserve"> </v>
      </c>
      <c r="P62" s="32" t="str">
        <f t="shared" si="3"/>
        <v xml:space="preserve"> </v>
      </c>
      <c r="Q62" s="33" t="str">
        <f>IFERROR(INDEX('Controles de Corrupción'!$C$10:$AM$246,MATCH('Mapa de calor Corrupción'!L62,'Controles de Corrupción'!#REF!,0),37)," ")</f>
        <v xml:space="preserve"> </v>
      </c>
    </row>
  </sheetData>
  <sheetProtection algorithmName="SHA-512" hashValue="3zQ9inPwhtz6QBBJGsYSeBJ2F6cTk/2yiMCb4seIW6I/bIcIDdUPczKjzfpdtIKJHB8BLZg+8wZyF5/L7badwQ==" saltValue="FFWdJT3FiXfuWwtoywKBP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L8:L34 L38:L62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O8" sqref="O8"/>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8"/>
      <c r="C1" s="157"/>
      <c r="D1" s="868" t="s">
        <v>204</v>
      </c>
      <c r="E1" s="852" t="s">
        <v>205</v>
      </c>
      <c r="F1" s="870"/>
      <c r="G1" s="870"/>
      <c r="H1" s="870"/>
      <c r="I1" s="870"/>
      <c r="J1" s="870"/>
      <c r="K1" s="870"/>
      <c r="L1" s="870"/>
      <c r="M1" s="870"/>
      <c r="N1" s="870"/>
      <c r="O1" s="870"/>
      <c r="P1" s="162" t="s">
        <v>206</v>
      </c>
      <c r="Q1" s="161" t="s">
        <v>207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49" t="s">
        <v>208</v>
      </c>
      <c r="CL1" s="850"/>
    </row>
    <row r="2" spans="1:90" ht="24" customHeight="1" thickBot="1" x14ac:dyDescent="0.3">
      <c r="A2" s="112"/>
      <c r="B2" s="147"/>
      <c r="C2" s="158"/>
      <c r="D2" s="869"/>
      <c r="E2" s="852"/>
      <c r="F2" s="870"/>
      <c r="G2" s="870"/>
      <c r="H2" s="870"/>
      <c r="I2" s="870"/>
      <c r="J2" s="870"/>
      <c r="K2" s="870"/>
      <c r="L2" s="870"/>
      <c r="M2" s="870"/>
      <c r="N2" s="870"/>
      <c r="O2" s="870"/>
      <c r="P2" s="162" t="s">
        <v>209</v>
      </c>
      <c r="Q2" s="162" t="s">
        <v>210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49" t="s">
        <v>211</v>
      </c>
      <c r="CL2" s="850"/>
    </row>
    <row r="3" spans="1:90" s="107" customFormat="1" ht="36.75" customHeight="1" thickBot="1" x14ac:dyDescent="0.3">
      <c r="A3" s="112"/>
      <c r="B3" s="147"/>
      <c r="C3" s="159"/>
      <c r="D3" s="165" t="s">
        <v>212</v>
      </c>
      <c r="E3" s="851" t="s">
        <v>786</v>
      </c>
      <c r="F3" s="851"/>
      <c r="G3" s="851"/>
      <c r="H3" s="851"/>
      <c r="I3" s="851"/>
      <c r="J3" s="851"/>
      <c r="K3" s="851"/>
      <c r="L3" s="851"/>
      <c r="M3" s="851"/>
      <c r="N3" s="851"/>
      <c r="O3" s="852"/>
      <c r="P3" s="162" t="s">
        <v>214</v>
      </c>
      <c r="Q3" s="163">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3" t="s">
        <v>215</v>
      </c>
      <c r="CL3" s="854"/>
    </row>
    <row r="4" spans="1:90" ht="27" customHeight="1" x14ac:dyDescent="0.25">
      <c r="A4" s="112"/>
      <c r="B4" s="149"/>
      <c r="C4" s="150"/>
      <c r="D4" s="151"/>
      <c r="E4" s="855" t="s">
        <v>216</v>
      </c>
      <c r="F4" s="855"/>
      <c r="G4" s="855"/>
      <c r="H4" s="855"/>
      <c r="I4" s="855"/>
      <c r="J4" s="855"/>
      <c r="K4" s="855"/>
      <c r="L4" s="855"/>
      <c r="M4" s="855"/>
      <c r="N4" s="855"/>
      <c r="O4" s="855"/>
      <c r="P4" s="152"/>
      <c r="Q4" s="136"/>
    </row>
    <row r="5" spans="1:90" customFormat="1" ht="41.25" customHeight="1" thickBot="1" x14ac:dyDescent="0.3">
      <c r="A5" s="113"/>
      <c r="B5" s="388" t="s">
        <v>217</v>
      </c>
      <c r="C5" s="200" t="str">
        <f>'Riesgos de Corrupción'!C6</f>
        <v>Gestión Tecnológica</v>
      </c>
      <c r="D5" s="389"/>
      <c r="Q5" s="390"/>
    </row>
    <row r="6" spans="1:90" s="1" customFormat="1" ht="85.7" customHeight="1" thickBot="1" x14ac:dyDescent="0.3">
      <c r="A6" s="114" t="s">
        <v>218</v>
      </c>
      <c r="B6" s="391" t="s">
        <v>219</v>
      </c>
      <c r="C6" s="369" t="s">
        <v>220</v>
      </c>
      <c r="D6" s="392" t="s">
        <v>154</v>
      </c>
      <c r="E6" s="393" t="s">
        <v>221</v>
      </c>
      <c r="F6" s="474" t="s">
        <v>188</v>
      </c>
      <c r="G6" s="474" t="s">
        <v>81</v>
      </c>
      <c r="H6" s="474" t="s">
        <v>222</v>
      </c>
      <c r="I6" s="474" t="s">
        <v>188</v>
      </c>
      <c r="J6" s="474" t="s">
        <v>81</v>
      </c>
      <c r="K6" s="474" t="s">
        <v>223</v>
      </c>
      <c r="L6" s="474" t="s">
        <v>224</v>
      </c>
      <c r="M6" s="369" t="s">
        <v>225</v>
      </c>
      <c r="N6" s="369" t="s">
        <v>226</v>
      </c>
      <c r="O6" s="369" t="s">
        <v>149</v>
      </c>
      <c r="P6" s="369" t="s">
        <v>227</v>
      </c>
      <c r="Q6" s="369" t="s">
        <v>228</v>
      </c>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row>
    <row r="7" spans="1:90" ht="153" x14ac:dyDescent="0.25">
      <c r="A7" s="115" t="s">
        <v>229</v>
      </c>
      <c r="B7" s="856" t="s">
        <v>230</v>
      </c>
      <c r="C7" s="862" t="str">
        <f>IFERROR(INDEX('Riesgos de Corrupción'!$B$11:$BN$100,MATCH('Mapa Riesgo Corrupción'!B7,'Riesgos de Corrupción'!$B$11:$B$100,0),2),"")</f>
        <v>Posibilidad de recibir o solicitar dádivas en la ejecución de los proyectos tecnológicos (adquisición de bienes y prestación de servicios tecnológicos) en beneficio propio o de un tercero.</v>
      </c>
      <c r="D7" s="928" t="str">
        <f>IFERROR(INDEX('Riesgos de Corrupción'!$B$11:$BN$100,MATCH('Mapa Riesgo Corrupción'!B7,'Riesgos de Corrupción'!$B$11:$B$100,0),4),"")</f>
        <v xml:space="preserve">Corrupción </v>
      </c>
      <c r="E7" s="862" t="str">
        <f>IFERROR(INDEX('Riesgos de Corrupción'!$B$11:$BN$100,MATCH('Mapa Riesgo Corrupción'!B7,'Riesgos de Corrupción'!$B$11:$B$100,0),5),"")</f>
        <v>CA1. Falta de transparencia en los procesos de adquisición y contratación de prestación de servicios tecnológicos.
CA2. Debilidad o ausencia de controles internos.</v>
      </c>
      <c r="F7" s="865" t="str">
        <f>IFERROR(INDEX('Riesgos de Corrupción'!$B$11:$BN$100,MATCH('Mapa Riesgo Corrupción'!B7,'Riesgos de Corrupción'!$B$11:$B$100,0),18),"")</f>
        <v>Rara vez</v>
      </c>
      <c r="G7" s="865" t="str">
        <f>IFERROR(INDEX('Riesgos de Corrupción'!$B$11:$BN$100,MATCH('Mapa Riesgo Corrupción'!B7,'Riesgos de Corrupción'!$B$11:$B$100,0),63),"")</f>
        <v>Catastrófico</v>
      </c>
      <c r="H7" s="867" t="str">
        <f>IFERROR(INDEX('Riesgos de Corrupción'!$B$11:$BN$100,MATCH('Mapa Riesgo Corrupción'!B7,'Riesgos de Corrupción'!$B$11:$B$100,0),64),"")</f>
        <v>Zona Extrema</v>
      </c>
      <c r="I7" s="865" t="str">
        <f>IFERROR(INDEX('Controles de Corrupción'!$C$10:$AZ$251,MATCH('Mapa Riesgo Corrupción'!B7,'Controles de Corrupción'!$C$10:$C$251,0),33),"")</f>
        <v>Rara vez</v>
      </c>
      <c r="J7" s="865" t="str">
        <f>IFERROR(INDEX('Controles de Corrupción'!$C$10:$AZ$245,MATCH('Mapa Riesgo Corrupción'!B7,'Controles de Corrupción'!$C$10:$C$245,0),36),"")</f>
        <v>Moderado</v>
      </c>
      <c r="K7" s="865" t="str">
        <f>IFERROR(INDEX('Controles de Corrupción'!$C$10:$AZ$245,MATCH('Mapa Riesgo Corrupción'!B7,'Controles de Corrupción'!$C$10:$C$245,0),37),"")</f>
        <v>Zona Moderada</v>
      </c>
      <c r="L7" s="865" t="str">
        <f>IFERROR(INDEX('Controles de Corrupción'!$C$10:$AZ$245,MATCH('Mapa Riesgo Corrupción'!B7,'Controles de Corrupción'!$C$10:$C$245,0),38),"")</f>
        <v>Reducir riesgo</v>
      </c>
      <c r="M7" s="185" t="str">
        <f>IFERROR(INDEX('Controles de Corrupción'!$C$10:$AY$249,MATCH(A7,'Controles de Corrupción'!$B$10:$B$249,0),4),"")</f>
        <v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v>
      </c>
      <c r="N7" s="70" t="str">
        <f>IFERROR(INDEX('Controles de Corrupción'!$C$10:$AY$249,MATCH(A7,'Controles de Corrupción'!$B$10:$B$249,0),40),"")</f>
        <v>Lista de asistentes</v>
      </c>
      <c r="O7" s="70" t="str">
        <f>IFERROR(INDEX('Controles de Corrupción'!$C$10:$AY$251,MATCH(A7,'Controles de Corrupción'!$B$10:$B$251,0),41),"")</f>
        <v>Oficina de Información Pública del Interior
Jefe de la Oficina de Información Pública del Interior, equipo técnico, jurídico y financiero.</v>
      </c>
      <c r="P7" s="70" t="str">
        <f>IFERROR(INDEX('Controles de Corrupción'!$C$10:$AY$251,MATCH(A7,'Controles de Corrupción'!$B$10:$B$251,0),42),"")</f>
        <v>Mensual</v>
      </c>
      <c r="Q7" s="186" t="str">
        <f>IFERROR(INDEX('Controles de Corrupción'!$C$10:$AY$251,MATCH(A7,'Controles de Corrupción'!$B$10:$B$251,0),47),"")</f>
        <v xml:space="preserve">Indicador de Eficacia: Número de proyectos tecnológicos contratados/Números de proyectos tecnológicos planificados.
</v>
      </c>
    </row>
    <row r="8" spans="1:90" ht="142.5" customHeight="1" x14ac:dyDescent="0.25">
      <c r="A8" s="115" t="s">
        <v>235</v>
      </c>
      <c r="B8" s="857"/>
      <c r="C8" s="863"/>
      <c r="D8" s="861"/>
      <c r="E8" s="863"/>
      <c r="F8" s="865"/>
      <c r="G8" s="865"/>
      <c r="H8" s="867"/>
      <c r="I8" s="865"/>
      <c r="J8" s="865"/>
      <c r="K8" s="865"/>
      <c r="L8" s="865"/>
      <c r="M8" s="185" t="str">
        <f>IFERROR(INDEX('Controles de Corrupción'!$C$10:$AY$249,MATCH(A8,'Controles de Corrupción'!$B$10:$B$249,0),4),"")</f>
        <v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v>
      </c>
      <c r="N8" s="70" t="str">
        <f>IFERROR(INDEX('Controles de Corrupción'!$C$10:$AY$249,MATCH(A8,'Controles de Corrupción'!$B$10:$B$249,0),40),"")</f>
        <v>Lista de asistentes</v>
      </c>
      <c r="O8" s="70" t="str">
        <f>IFERROR(INDEX('Controles de Corrupción'!$C$10:$AY$251,MATCH(A8,'Controles de Corrupción'!$B$10:$B$251,0),41),"")</f>
        <v>Oficina de Información Pública del Interior
Jefe de la Oficina de Información Pública del Interior y equipo jurídico</v>
      </c>
      <c r="P8" s="70" t="str">
        <f>IFERROR(INDEX('Controles de Corrupción'!$C$10:$AY$251,MATCH(A8,'Controles de Corrupción'!$B$10:$B$251,0),42),"")</f>
        <v>Mensual</v>
      </c>
      <c r="Q8" s="186" t="str">
        <f>IFERROR(INDEX('Controles de Corrupción'!$C$10:$AY$251,MATCH(A8,'Controles de Corrupción'!$B$10:$B$251,0),47),"")</f>
        <v>Indicador de Efectividad: Número de funcionarios y/o contratistas con evaluación satisfactoria / Número de funcionarios y/o contratistas capacitados</v>
      </c>
    </row>
    <row r="9" spans="1:90" x14ac:dyDescent="0.25">
      <c r="A9" s="115" t="s">
        <v>238</v>
      </c>
      <c r="B9" s="857"/>
      <c r="C9" s="863"/>
      <c r="D9" s="861"/>
      <c r="E9" s="863"/>
      <c r="F9" s="865"/>
      <c r="G9" s="865"/>
      <c r="H9" s="867"/>
      <c r="I9" s="865"/>
      <c r="J9" s="865"/>
      <c r="K9" s="865"/>
      <c r="L9" s="865"/>
      <c r="M9" s="185" t="str">
        <f>IFERROR(INDEX('Controles de Corrupción'!$C$10:$AY$249,MATCH(A9,'Controles de Corrupción'!$B$10:$B$249,0),4),"")</f>
        <v/>
      </c>
      <c r="N9" s="70" t="str">
        <f>IFERROR(INDEX('Controles de Corrupción'!$C$10:$AY$249,MATCH(A9,'Controles de Corrupción'!$B$10:$B$249,0),40),"")</f>
        <v/>
      </c>
      <c r="O9" s="70" t="str">
        <f>IFERROR(INDEX('Controles de Corrupción'!$C$10:$AY$251,MATCH(A9,'Controles de Corrupción'!$B$10:$B$251,0),41),"")</f>
        <v/>
      </c>
      <c r="P9" s="70" t="str">
        <f>IFERROR(INDEX('Controles de Corrupción'!$C$10:$AY$251,MATCH(A9,'Controles de Corrupción'!$B$10:$B$251,0),42),"")</f>
        <v/>
      </c>
      <c r="Q9" s="186" t="str">
        <f>IFERROR(INDEX('Controles de Corrupción'!$C$10:$AY$251,MATCH(A9,'Controles de Corrupción'!$B$10:$B$251,0),47),"")</f>
        <v/>
      </c>
    </row>
    <row r="10" spans="1:90" x14ac:dyDescent="0.25">
      <c r="A10" s="115" t="s">
        <v>242</v>
      </c>
      <c r="B10" s="857"/>
      <c r="C10" s="863"/>
      <c r="D10" s="861"/>
      <c r="E10" s="863"/>
      <c r="F10" s="865"/>
      <c r="G10" s="865"/>
      <c r="H10" s="867"/>
      <c r="I10" s="865"/>
      <c r="J10" s="865"/>
      <c r="K10" s="865"/>
      <c r="L10" s="865"/>
      <c r="M10" s="185" t="str">
        <f>IFERROR(INDEX('Controles de Corrupción'!$C$10:$AY$249,MATCH(A10,'Controles de Corrupción'!$B$10:$B$249,0),4),"")</f>
        <v/>
      </c>
      <c r="N10" s="70" t="str">
        <f>IFERROR(INDEX('Controles de Corrupción'!$C$10:$AY$249,MATCH(A10,'Controles de Corrupción'!$B$10:$B$249,0),40),"")</f>
        <v/>
      </c>
      <c r="O10" s="70" t="str">
        <f>IFERROR(INDEX('Controles de Corrupción'!$C$10:$AY$251,MATCH(A10,'Controles de Corrupción'!$B$10:$B$251,0),41),"")</f>
        <v/>
      </c>
      <c r="P10" s="70" t="str">
        <f>IFERROR(INDEX('Controles de Corrupción'!$C$10:$AY$251,MATCH(A10,'Controles de Corrupción'!$B$10:$B$251,0),42),"")</f>
        <v/>
      </c>
      <c r="Q10" s="186" t="str">
        <f>IFERROR(INDEX('Controles de Corrupción'!$C$10:$AY$251,MATCH(A10,'Controles de Corrupción'!$B$10:$B$251,0),47),"")</f>
        <v/>
      </c>
    </row>
    <row r="11" spans="1:90" x14ac:dyDescent="0.25">
      <c r="A11" s="115" t="s">
        <v>243</v>
      </c>
      <c r="B11" s="857"/>
      <c r="C11" s="863"/>
      <c r="D11" s="861"/>
      <c r="E11" s="863"/>
      <c r="F11" s="865"/>
      <c r="G11" s="865"/>
      <c r="H11" s="867"/>
      <c r="I11" s="865"/>
      <c r="J11" s="865"/>
      <c r="K11" s="865"/>
      <c r="L11" s="865"/>
      <c r="M11" s="185" t="str">
        <f>IFERROR(INDEX('Controles de Corrupción'!$C$10:$AY$249,MATCH(A11,'Controles de Corrupción'!$B$10:$B$249,0),4),"")</f>
        <v/>
      </c>
      <c r="N11" s="70" t="str">
        <f>IFERROR(INDEX('Controles de Corrupción'!$C$10:$AY$249,MATCH(A11,'Controles de Corrupción'!$B$10:$B$249,0),40),"")</f>
        <v/>
      </c>
      <c r="O11" s="70" t="str">
        <f>IFERROR(INDEX('Controles de Corrupción'!$C$10:$AY$251,MATCH(A11,'Controles de Corrupción'!$B$10:$B$251,0),41),"")</f>
        <v/>
      </c>
      <c r="P11" s="70" t="str">
        <f>IFERROR(INDEX('Controles de Corrupción'!$C$10:$AY$251,MATCH(A11,'Controles de Corrupción'!$B$10:$B$251,0),42),"")</f>
        <v/>
      </c>
      <c r="Q11" s="186" t="str">
        <f>IFERROR(INDEX('Controles de Corrupción'!$C$10:$AY$251,MATCH(A11,'Controles de Corrupción'!$B$10:$B$251,0),47),"")</f>
        <v/>
      </c>
    </row>
    <row r="12" spans="1:90" x14ac:dyDescent="0.25">
      <c r="A12" s="115" t="s">
        <v>244</v>
      </c>
      <c r="B12" s="857"/>
      <c r="C12" s="863"/>
      <c r="D12" s="861"/>
      <c r="E12" s="863"/>
      <c r="F12" s="865"/>
      <c r="G12" s="865"/>
      <c r="H12" s="867"/>
      <c r="I12" s="865"/>
      <c r="J12" s="865"/>
      <c r="K12" s="865"/>
      <c r="L12" s="865"/>
      <c r="M12" s="185" t="str">
        <f>IFERROR(INDEX('Controles de Corrupción'!$C$10:$AY$249,MATCH(A12,'Controles de Corrupción'!$B$10:$B$249,0),4),"")</f>
        <v/>
      </c>
      <c r="N12" s="70" t="str">
        <f>IFERROR(INDEX('Controles de Corrupción'!$C$10:$AY$249,MATCH(A12,'Controles de Corrupción'!$B$10:$B$249,0),40),"")</f>
        <v/>
      </c>
      <c r="O12" s="70" t="str">
        <f>IFERROR(INDEX('Controles de Corrupción'!$C$10:$AY$251,MATCH(A12,'Controles de Corrupción'!$B$10:$B$251,0),41),"")</f>
        <v/>
      </c>
      <c r="P12" s="70" t="str">
        <f>IFERROR(INDEX('Controles de Corrupción'!$C$10:$AY$251,MATCH(A12,'Controles de Corrupción'!$B$10:$B$251,0),42),"")</f>
        <v/>
      </c>
      <c r="Q12" s="186" t="str">
        <f>IFERROR(INDEX('Controles de Corrupción'!$C$10:$AY$251,MATCH(A12,'Controles de Corrupción'!$B$10:$B$251,0),47),"")</f>
        <v/>
      </c>
    </row>
    <row r="13" spans="1:90" x14ac:dyDescent="0.25">
      <c r="A13" s="115" t="s">
        <v>245</v>
      </c>
      <c r="B13" s="936"/>
      <c r="C13" s="1022" t="str">
        <f>IFERROR(INDEX('Riesgos de Corrupción'!$B$11:$BN$100,MATCH('Mapa Riesgo Corrupción'!B13,'Riesgos de Corrupción'!$B$11:$B$100,0),2),"")</f>
        <v/>
      </c>
      <c r="D13" s="861" t="str">
        <f>IFERROR(INDEX('Riesgos de Corrupción'!$B$11:$BN$100,MATCH('Mapa Riesgo Corrupción'!B13,'Riesgos de Corrupción'!$B$11:$B$100,0),4),"")</f>
        <v/>
      </c>
      <c r="E13" s="863" t="str">
        <f>IFERROR(INDEX('Riesgos de Corrupción'!$B$11:$BN$100,MATCH('Mapa Riesgo Corrupción'!B13,'Riesgos de Corrupción'!$B$11:$B$100,0),5),"")</f>
        <v/>
      </c>
      <c r="F13" s="865" t="str">
        <f>IFERROR(INDEX('Riesgos de Corrupción'!$B$11:$BN$100,MATCH('Mapa Riesgo Corrupción'!B13,'Riesgos de Corrupción'!$B$11:$B$100,0),18),"")</f>
        <v/>
      </c>
      <c r="G13" s="865" t="str">
        <f>IFERROR(INDEX('Riesgos de Corrupción'!$B$11:$BN$100,MATCH('Mapa Riesgo Corrupción'!B13,'Riesgos de Corrupción'!$B$11:$B$100,0),63),"")</f>
        <v/>
      </c>
      <c r="H13" s="867" t="str">
        <f>IFERROR(INDEX('Riesgos de Corrupción'!$B$11:$BN$100,MATCH('Mapa Riesgo Corrupción'!B13,'Riesgos de Corrupción'!$B$11:$B$100,0),64),"")</f>
        <v/>
      </c>
      <c r="I13" s="865" t="str">
        <f>IFERROR(INDEX('Controles de Corrupción'!$C$10:$AY$251,MATCH('Mapa Riesgo Corrupción'!B13,'Controles de Corrupción'!#REF!,0),33),"")</f>
        <v/>
      </c>
      <c r="J13" s="865" t="str">
        <f>IFERROR(INDEX('Controles de Corrupción'!$C$10:$AY$251,MATCH('Mapa Riesgo Corrupción'!B13,'Controles de Corrupción'!#REF!,0),36),"")</f>
        <v/>
      </c>
      <c r="K13" s="865" t="str">
        <f>IFERROR(INDEX('Controles de Corrupción'!$C$10:$AY$251,MATCH('Mapa Riesgo Corrupción'!B13,'Controles de Corrupción'!#REF!,0),37),"")</f>
        <v/>
      </c>
      <c r="L13" s="865" t="str">
        <f>IFERROR(INDEX('Controles de Corrupción'!$C$10:$AY$251,MATCH('Mapa Riesgo Corrupción'!B13,'Controles de Corrupción'!#REF!,0),38),"")</f>
        <v/>
      </c>
      <c r="M13" s="185" t="str">
        <f>IFERROR(INDEX('Controles de Corrupción'!$C$10:$AY$249,MATCH(A13,'Controles de Corrupción'!$B$10:$B$249,0),4),"")</f>
        <v/>
      </c>
      <c r="N13" s="70" t="str">
        <f>IFERROR(INDEX('Controles de Corrupción'!$C$10:$AY$249,MATCH(A13,'Controles de Corrupción'!$B$10:$B$249,0),40),"")</f>
        <v/>
      </c>
      <c r="O13" s="70" t="str">
        <f>IFERROR(INDEX('Controles de Corrupción'!$C$10:$AY$251,MATCH(A13,'Controles de Corrupción'!$B$10:$B$251,0),41),"")</f>
        <v/>
      </c>
      <c r="P13" s="70" t="str">
        <f>IFERROR(INDEX('Controles de Corrupción'!$C$10:$AY$251,MATCH(A13,'Controles de Corrupción'!$B$10:$B$251,0),42),"")</f>
        <v/>
      </c>
      <c r="Q13" s="186" t="str">
        <f>IFERROR(INDEX('Controles de Corrupción'!$C$10:$AY$251,MATCH(A13,'Controles de Corrupción'!$B$10:$B$251,0),47),"")</f>
        <v/>
      </c>
    </row>
    <row r="14" spans="1:90" x14ac:dyDescent="0.25">
      <c r="A14" s="115" t="s">
        <v>246</v>
      </c>
      <c r="B14" s="940"/>
      <c r="C14" s="1022"/>
      <c r="D14" s="861"/>
      <c r="E14" s="863"/>
      <c r="F14" s="865"/>
      <c r="G14" s="865"/>
      <c r="H14" s="867"/>
      <c r="I14" s="865"/>
      <c r="J14" s="865"/>
      <c r="K14" s="865"/>
      <c r="L14" s="865"/>
      <c r="M14" s="185" t="str">
        <f>IFERROR(INDEX('Controles de Corrupción'!$C$10:$AY$249,MATCH(A14,'Controles de Corrupción'!$B$10:$B$249,0),4),"")</f>
        <v/>
      </c>
      <c r="N14" s="70" t="str">
        <f>IFERROR(INDEX('Controles de Corrupción'!$C$10:$AY$249,MATCH(A14,'Controles de Corrupción'!$B$10:$B$249,0),40),"")</f>
        <v/>
      </c>
      <c r="O14" s="70" t="str">
        <f>IFERROR(INDEX('Controles de Corrupción'!$C$10:$AY$251,MATCH(A14,'Controles de Corrupción'!$B$10:$B$251,0),41),"")</f>
        <v/>
      </c>
      <c r="P14" s="70" t="str">
        <f>IFERROR(INDEX('Controles de Corrupción'!$C$10:$AY$251,MATCH(A14,'Controles de Corrupción'!$B$10:$B$251,0),42),"")</f>
        <v/>
      </c>
      <c r="Q14" s="186" t="str">
        <f>IFERROR(INDEX('Controles de Corrupción'!$C$10:$AY$251,MATCH(A14,'Controles de Corrupción'!$B$10:$B$251,0),47),"")</f>
        <v/>
      </c>
    </row>
    <row r="15" spans="1:90" x14ac:dyDescent="0.25">
      <c r="A15" s="115" t="s">
        <v>247</v>
      </c>
      <c r="B15" s="940"/>
      <c r="C15" s="1022"/>
      <c r="D15" s="861"/>
      <c r="E15" s="863"/>
      <c r="F15" s="865"/>
      <c r="G15" s="865"/>
      <c r="H15" s="867"/>
      <c r="I15" s="865"/>
      <c r="J15" s="865"/>
      <c r="K15" s="865"/>
      <c r="L15" s="865"/>
      <c r="M15" s="185" t="str">
        <f>IFERROR(INDEX('Controles de Corrupción'!$C$10:$AY$249,MATCH(A15,'Controles de Corrupción'!$B$10:$B$249,0),4),"")</f>
        <v/>
      </c>
      <c r="N15" s="70" t="str">
        <f>IFERROR(INDEX('Controles de Corrupción'!$C$10:$AY$249,MATCH(A15,'Controles de Corrupción'!$B$10:$B$249,0),40),"")</f>
        <v/>
      </c>
      <c r="O15" s="70" t="str">
        <f>IFERROR(INDEX('Controles de Corrupción'!$C$10:$AY$251,MATCH(A15,'Controles de Corrupción'!$B$10:$B$251,0),41),"")</f>
        <v/>
      </c>
      <c r="P15" s="70" t="str">
        <f>IFERROR(INDEX('Controles de Corrupción'!$C$10:$AY$251,MATCH(A15,'Controles de Corrupción'!$B$10:$B$251,0),42),"")</f>
        <v/>
      </c>
      <c r="Q15" s="186" t="str">
        <f>IFERROR(INDEX('Controles de Corrupción'!$C$10:$AY$251,MATCH(A15,'Controles de Corrupción'!$B$10:$B$251,0),47),"")</f>
        <v/>
      </c>
    </row>
    <row r="16" spans="1:90" x14ac:dyDescent="0.25">
      <c r="A16" s="115" t="s">
        <v>248</v>
      </c>
      <c r="B16" s="940"/>
      <c r="C16" s="1022"/>
      <c r="D16" s="861"/>
      <c r="E16" s="863"/>
      <c r="F16" s="865"/>
      <c r="G16" s="865"/>
      <c r="H16" s="867"/>
      <c r="I16" s="865"/>
      <c r="J16" s="865"/>
      <c r="K16" s="865"/>
      <c r="L16" s="865"/>
      <c r="M16" s="185" t="str">
        <f>IFERROR(INDEX('Controles de Corrupción'!$C$10:$AY$249,MATCH(A16,'Controles de Corrupción'!$B$10:$B$249,0),4),"")</f>
        <v/>
      </c>
      <c r="N16" s="70" t="str">
        <f>IFERROR(INDEX('Controles de Corrupción'!$C$10:$AY$249,MATCH(A16,'Controles de Corrupción'!$B$10:$B$249,0),40),"")</f>
        <v/>
      </c>
      <c r="O16" s="70" t="str">
        <f>IFERROR(INDEX('Controles de Corrupción'!$C$10:$AY$251,MATCH(A16,'Controles de Corrupción'!$B$10:$B$251,0),41),"")</f>
        <v/>
      </c>
      <c r="P16" s="70" t="str">
        <f>IFERROR(INDEX('Controles de Corrupción'!$C$10:$AY$251,MATCH(A16,'Controles de Corrupción'!$B$10:$B$251,0),42),"")</f>
        <v/>
      </c>
      <c r="Q16" s="186" t="str">
        <f>IFERROR(INDEX('Controles de Corrupción'!$C$10:$AY$251,MATCH(A16,'Controles de Corrupción'!$B$10:$B$251,0),47),"")</f>
        <v/>
      </c>
    </row>
    <row r="17" spans="1:17" x14ac:dyDescent="0.25">
      <c r="A17" s="115" t="s">
        <v>249</v>
      </c>
      <c r="B17" s="940"/>
      <c r="C17" s="1022"/>
      <c r="D17" s="861"/>
      <c r="E17" s="863"/>
      <c r="F17" s="865"/>
      <c r="G17" s="865"/>
      <c r="H17" s="867"/>
      <c r="I17" s="865"/>
      <c r="J17" s="865"/>
      <c r="K17" s="865"/>
      <c r="L17" s="865"/>
      <c r="M17" s="185" t="str">
        <f>IFERROR(INDEX('Controles de Corrupción'!$C$10:$AY$249,MATCH(A17,'Controles de Corrupción'!$B$10:$B$249,0),4),"")</f>
        <v/>
      </c>
      <c r="N17" s="70" t="str">
        <f>IFERROR(INDEX('Controles de Corrupción'!$C$10:$AY$249,MATCH(A17,'Controles de Corrupción'!$B$10:$B$249,0),40),"")</f>
        <v/>
      </c>
      <c r="O17" s="70" t="str">
        <f>IFERROR(INDEX('Controles de Corrupción'!$C$10:$AY$251,MATCH(A17,'Controles de Corrupción'!$B$10:$B$251,0),41),"")</f>
        <v/>
      </c>
      <c r="P17" s="70" t="str">
        <f>IFERROR(INDEX('Controles de Corrupción'!$C$10:$AY$251,MATCH(A17,'Controles de Corrupción'!$B$10:$B$251,0),42),"")</f>
        <v/>
      </c>
      <c r="Q17" s="186" t="str">
        <f>IFERROR(INDEX('Controles de Corrupción'!$C$10:$AY$251,MATCH(A17,'Controles de Corrupción'!$B$10:$B$251,0),47),"")</f>
        <v/>
      </c>
    </row>
    <row r="18" spans="1:17" x14ac:dyDescent="0.25">
      <c r="A18" s="115" t="s">
        <v>250</v>
      </c>
      <c r="B18" s="856"/>
      <c r="C18" s="1022"/>
      <c r="D18" s="861"/>
      <c r="E18" s="863"/>
      <c r="F18" s="865"/>
      <c r="G18" s="865"/>
      <c r="H18" s="867"/>
      <c r="I18" s="865"/>
      <c r="J18" s="865"/>
      <c r="K18" s="865"/>
      <c r="L18" s="865"/>
      <c r="M18" s="185" t="str">
        <f>IFERROR(INDEX('Controles de Corrupción'!$C$10:$AY$249,MATCH(A18,'Controles de Corrupción'!$B$10:$B$249,0),4),"")</f>
        <v/>
      </c>
      <c r="N18" s="70" t="str">
        <f>IFERROR(INDEX('Controles de Corrupción'!$C$10:$AY$249,MATCH(A18,'Controles de Corrupción'!$B$10:$B$249,0),40),"")</f>
        <v/>
      </c>
      <c r="O18" s="70" t="str">
        <f>IFERROR(INDEX('Controles de Corrupción'!$C$10:$AY$251,MATCH(A18,'Controles de Corrupción'!$B$10:$B$251,0),41),"")</f>
        <v/>
      </c>
      <c r="P18" s="70" t="str">
        <f>IFERROR(INDEX('Controles de Corrupción'!$C$10:$AY$251,MATCH(A18,'Controles de Corrupción'!$B$10:$B$251,0),42),"")</f>
        <v/>
      </c>
      <c r="Q18" s="186" t="str">
        <f>IFERROR(INDEX('Controles de Corrupción'!$C$10:$AY$251,MATCH(A18,'Controles de Corrupción'!$B$10:$B$251,0),47),"")</f>
        <v/>
      </c>
    </row>
    <row r="19" spans="1:17" x14ac:dyDescent="0.25">
      <c r="A19" s="115" t="s">
        <v>251</v>
      </c>
      <c r="B19" s="936"/>
      <c r="C19" s="1022" t="str">
        <f>IFERROR(INDEX('Riesgos de Corrupción'!$B$11:$BN$100,MATCH('Mapa Riesgo Corrupción'!B19,'Riesgos de Corrupción'!$B$11:$B$100,0),2),"")</f>
        <v/>
      </c>
      <c r="D19" s="861" t="str">
        <f>IFERROR(INDEX('Riesgos de Corrupción'!$B$11:$BN$100,MATCH('Mapa Riesgo Corrupción'!B19,'Riesgos de Corrupción'!$B$11:$B$100,0),4),"")</f>
        <v/>
      </c>
      <c r="E19" s="863" t="str">
        <f>IFERROR(INDEX('Riesgos de Corrupción'!$B$11:$BN$100,MATCH('Mapa Riesgo Corrupción'!B19,'Riesgos de Corrupción'!$B$11:$B$100,0),5),"")</f>
        <v/>
      </c>
      <c r="F19" s="865" t="str">
        <f>IFERROR(INDEX('Riesgos de Corrupción'!$B$11:$BN$100,MATCH('Mapa Riesgo Corrupción'!B19,'Riesgos de Corrupción'!$B$11:$B$100,0),18),"")</f>
        <v/>
      </c>
      <c r="G19" s="865" t="str">
        <f>IFERROR(INDEX('Riesgos de Corrupción'!$B$11:$BN$100,MATCH('Mapa Riesgo Corrupción'!B19,'Riesgos de Corrupción'!$B$11:$B$100,0),63),"")</f>
        <v/>
      </c>
      <c r="H19" s="867" t="str">
        <f>IFERROR(INDEX('Riesgos de Corrupción'!$B$11:$BN$100,MATCH('Mapa Riesgo Corrupción'!B19,'Riesgos de Corrupción'!$B$11:$B$100,0),64),"")</f>
        <v/>
      </c>
      <c r="I19" s="865" t="str">
        <f>IFERROR(INDEX('Controles de Corrupción'!$C$10:$AY$251,MATCH('Mapa Riesgo Corrupción'!B19,'Controles de Corrupción'!#REF!,0),33),"")</f>
        <v/>
      </c>
      <c r="J19" s="865" t="str">
        <f>IFERROR(INDEX('Controles de Corrupción'!$C$10:$AY$251,MATCH('Mapa Riesgo Corrupción'!B19,'Controles de Corrupción'!#REF!,0),36),"")</f>
        <v/>
      </c>
      <c r="K19" s="865" t="str">
        <f>IFERROR(INDEX('Controles de Corrupción'!$C$10:$AY$251,MATCH('Mapa Riesgo Corrupción'!B19,'Controles de Corrupción'!#REF!,0),37),"")</f>
        <v/>
      </c>
      <c r="L19" s="865" t="str">
        <f>IFERROR(INDEX('Controles de Corrupción'!$C$10:$AY$251,MATCH('Mapa Riesgo Corrupción'!B19,'Controles de Corrupción'!#REF!,0),38),"")</f>
        <v/>
      </c>
      <c r="M19" s="185" t="str">
        <f>IFERROR(INDEX('Controles de Corrupción'!$C$10:$AY$249,MATCH(A19,'Controles de Corrupción'!$B$10:$B$249,0),4),"")</f>
        <v/>
      </c>
      <c r="N19" s="70" t="str">
        <f>IFERROR(INDEX('Controles de Corrupción'!$C$10:$AY$249,MATCH(A19,'Controles de Corrupción'!$B$10:$B$249,0),40),"")</f>
        <v/>
      </c>
      <c r="O19" s="70" t="str">
        <f>IFERROR(INDEX('Controles de Corrupción'!$C$10:$AY$251,MATCH(A19,'Controles de Corrupción'!$B$10:$B$251,0),41),"")</f>
        <v/>
      </c>
      <c r="P19" s="70" t="str">
        <f>IFERROR(INDEX('Controles de Corrupción'!$C$10:$AY$251,MATCH(A19,'Controles de Corrupción'!$B$10:$B$251,0),42),"")</f>
        <v/>
      </c>
      <c r="Q19" s="186" t="str">
        <f>IFERROR(INDEX('Controles de Corrupción'!$C$10:$AY$251,MATCH(A19,'Controles de Corrupción'!$B$10:$B$251,0),47),"")</f>
        <v/>
      </c>
    </row>
    <row r="20" spans="1:17" x14ac:dyDescent="0.25">
      <c r="A20" s="115" t="s">
        <v>252</v>
      </c>
      <c r="B20" s="940"/>
      <c r="C20" s="1022"/>
      <c r="D20" s="861"/>
      <c r="E20" s="863"/>
      <c r="F20" s="865"/>
      <c r="G20" s="865"/>
      <c r="H20" s="867"/>
      <c r="I20" s="865"/>
      <c r="J20" s="865"/>
      <c r="K20" s="865"/>
      <c r="L20" s="865"/>
      <c r="M20" s="185" t="str">
        <f>IFERROR(INDEX('Controles de Corrupción'!$C$10:$AY$249,MATCH(A20,'Controles de Corrupción'!$B$10:$B$249,0),4),"")</f>
        <v/>
      </c>
      <c r="N20" s="70" t="str">
        <f>IFERROR(INDEX('Controles de Corrupción'!$C$10:$AY$249,MATCH(A20,'Controles de Corrupción'!$B$10:$B$249,0),40),"")</f>
        <v/>
      </c>
      <c r="O20" s="70" t="str">
        <f>IFERROR(INDEX('Controles de Corrupción'!$C$10:$AY$251,MATCH(A20,'Controles de Corrupción'!$B$10:$B$251,0),41),"")</f>
        <v/>
      </c>
      <c r="P20" s="70" t="str">
        <f>IFERROR(INDEX('Controles de Corrupción'!$C$10:$AY$251,MATCH(A20,'Controles de Corrupción'!$B$10:$B$251,0),42),"")</f>
        <v/>
      </c>
      <c r="Q20" s="186" t="str">
        <f>IFERROR(INDEX('Controles de Corrupción'!$C$10:$AY$251,MATCH(A20,'Controles de Corrupción'!$B$10:$B$251,0),47),"")</f>
        <v/>
      </c>
    </row>
    <row r="21" spans="1:17" x14ac:dyDescent="0.25">
      <c r="A21" s="115" t="s">
        <v>253</v>
      </c>
      <c r="B21" s="940"/>
      <c r="C21" s="1022"/>
      <c r="D21" s="861"/>
      <c r="E21" s="863"/>
      <c r="F21" s="865"/>
      <c r="G21" s="865"/>
      <c r="H21" s="867"/>
      <c r="I21" s="865"/>
      <c r="J21" s="865"/>
      <c r="K21" s="865"/>
      <c r="L21" s="865"/>
      <c r="M21" s="185" t="str">
        <f>IFERROR(INDEX('Controles de Corrupción'!$C$10:$AY$249,MATCH(A21,'Controles de Corrupción'!$B$10:$B$249,0),4),"")</f>
        <v/>
      </c>
      <c r="N21" s="70" t="str">
        <f>IFERROR(INDEX('Controles de Corrupción'!$C$10:$AY$249,MATCH(A21,'Controles de Corrupción'!$B$10:$B$249,0),40),"")</f>
        <v/>
      </c>
      <c r="O21" s="70" t="str">
        <f>IFERROR(INDEX('Controles de Corrupción'!$C$10:$AY$251,MATCH(A21,'Controles de Corrupción'!$B$10:$B$251,0),41),"")</f>
        <v/>
      </c>
      <c r="P21" s="70" t="str">
        <f>IFERROR(INDEX('Controles de Corrupción'!$C$10:$AY$251,MATCH(A21,'Controles de Corrupción'!$B$10:$B$251,0),42),"")</f>
        <v/>
      </c>
      <c r="Q21" s="186" t="str">
        <f>IFERROR(INDEX('Controles de Corrupción'!$C$10:$AY$251,MATCH(A21,'Controles de Corrupción'!$B$10:$B$251,0),47),"")</f>
        <v/>
      </c>
    </row>
    <row r="22" spans="1:17" x14ac:dyDescent="0.25">
      <c r="A22" s="115" t="s">
        <v>254</v>
      </c>
      <c r="B22" s="940"/>
      <c r="C22" s="1022"/>
      <c r="D22" s="861"/>
      <c r="E22" s="863"/>
      <c r="F22" s="865"/>
      <c r="G22" s="865"/>
      <c r="H22" s="867"/>
      <c r="I22" s="865"/>
      <c r="J22" s="865"/>
      <c r="K22" s="865"/>
      <c r="L22" s="865"/>
      <c r="M22" s="185" t="str">
        <f>IFERROR(INDEX('Controles de Corrupción'!$C$10:$AY$249,MATCH(A22,'Controles de Corrupción'!$B$10:$B$249,0),4),"")</f>
        <v/>
      </c>
      <c r="N22" s="70" t="str">
        <f>IFERROR(INDEX('Controles de Corrupción'!$C$10:$AY$249,MATCH(A22,'Controles de Corrupción'!$B$10:$B$249,0),40),"")</f>
        <v/>
      </c>
      <c r="O22" s="70" t="str">
        <f>IFERROR(INDEX('Controles de Corrupción'!$C$10:$AY$251,MATCH(A22,'Controles de Corrupción'!$B$10:$B$251,0),41),"")</f>
        <v/>
      </c>
      <c r="P22" s="70" t="str">
        <f>IFERROR(INDEX('Controles de Corrupción'!$C$10:$AY$251,MATCH(A22,'Controles de Corrupción'!$B$10:$B$251,0),42),"")</f>
        <v/>
      </c>
      <c r="Q22" s="186" t="str">
        <f>IFERROR(INDEX('Controles de Corrupción'!$C$10:$AY$251,MATCH(A22,'Controles de Corrupción'!$B$10:$B$251,0),47),"")</f>
        <v/>
      </c>
    </row>
    <row r="23" spans="1:17" x14ac:dyDescent="0.25">
      <c r="A23" s="115" t="s">
        <v>255</v>
      </c>
      <c r="B23" s="940"/>
      <c r="C23" s="1022"/>
      <c r="D23" s="861"/>
      <c r="E23" s="863"/>
      <c r="F23" s="865"/>
      <c r="G23" s="865"/>
      <c r="H23" s="867"/>
      <c r="I23" s="865"/>
      <c r="J23" s="865"/>
      <c r="K23" s="865"/>
      <c r="L23" s="865"/>
      <c r="M23" s="185" t="str">
        <f>IFERROR(INDEX('Controles de Corrupción'!$C$10:$AY$249,MATCH(A23,'Controles de Corrupción'!$B$10:$B$249,0),4),"")</f>
        <v/>
      </c>
      <c r="N23" s="70" t="str">
        <f>IFERROR(INDEX('Controles de Corrupción'!$C$10:$AY$249,MATCH(A23,'Controles de Corrupción'!$B$10:$B$249,0),40),"")</f>
        <v/>
      </c>
      <c r="O23" s="70" t="str">
        <f>IFERROR(INDEX('Controles de Corrupción'!$C$10:$AY$251,MATCH(A23,'Controles de Corrupción'!$B$10:$B$251,0),41),"")</f>
        <v/>
      </c>
      <c r="P23" s="70" t="str">
        <f>IFERROR(INDEX('Controles de Corrupción'!$C$10:$AY$251,MATCH(A23,'Controles de Corrupción'!$B$10:$B$251,0),42),"")</f>
        <v/>
      </c>
      <c r="Q23" s="186" t="str">
        <f>IFERROR(INDEX('Controles de Corrupción'!$C$10:$AY$251,MATCH(A23,'Controles de Corrupción'!$B$10:$B$251,0),47),"")</f>
        <v/>
      </c>
    </row>
    <row r="24" spans="1:17" x14ac:dyDescent="0.25">
      <c r="A24" s="115" t="s">
        <v>256</v>
      </c>
      <c r="B24" s="856"/>
      <c r="C24" s="1022"/>
      <c r="D24" s="861"/>
      <c r="E24" s="863"/>
      <c r="F24" s="865"/>
      <c r="G24" s="865"/>
      <c r="H24" s="867"/>
      <c r="I24" s="865"/>
      <c r="J24" s="865"/>
      <c r="K24" s="865"/>
      <c r="L24" s="865"/>
      <c r="M24" s="185" t="str">
        <f>IFERROR(INDEX('Controles de Corrupción'!$C$10:$AY$249,MATCH(A24,'Controles de Corrupción'!$B$10:$B$249,0),4),"")</f>
        <v/>
      </c>
      <c r="N24" s="70" t="str">
        <f>IFERROR(INDEX('Controles de Corrupción'!$C$10:$AY$249,MATCH(A24,'Controles de Corrupción'!$B$10:$B$249,0),40),"")</f>
        <v/>
      </c>
      <c r="O24" s="70" t="str">
        <f>IFERROR(INDEX('Controles de Corrupción'!$C$10:$AY$251,MATCH(A24,'Controles de Corrupción'!$B$10:$B$251,0),41),"")</f>
        <v/>
      </c>
      <c r="P24" s="70" t="str">
        <f>IFERROR(INDEX('Controles de Corrupción'!$C$10:$AY$251,MATCH(A24,'Controles de Corrupción'!$B$10:$B$251,0),42),"")</f>
        <v/>
      </c>
      <c r="Q24" s="186" t="str">
        <f>IFERROR(INDEX('Controles de Corrupción'!$C$10:$AY$251,MATCH(A24,'Controles de Corrupción'!$B$10:$B$251,0),47),"")</f>
        <v/>
      </c>
    </row>
    <row r="25" spans="1:17" x14ac:dyDescent="0.25">
      <c r="A25" s="115" t="s">
        <v>257</v>
      </c>
      <c r="B25" s="936"/>
      <c r="C25" s="1022" t="str">
        <f>IFERROR(INDEX('Riesgos de Corrupción'!$B$11:$BN$100,MATCH('Mapa Riesgo Corrupción'!B25,'Riesgos de Corrupción'!$B$11:$B$100,0),2),"")</f>
        <v/>
      </c>
      <c r="D25" s="861" t="str">
        <f>IFERROR(INDEX('Riesgos de Corrupción'!$B$11:$BN$100,MATCH('Mapa Riesgo Corrupción'!B25,'Riesgos de Corrupción'!$B$11:$B$100,0),4),"")</f>
        <v/>
      </c>
      <c r="E25" s="863" t="str">
        <f>IFERROR(INDEX('Riesgos de Corrupción'!$B$11:$BN$100,MATCH('Mapa Riesgo Corrupción'!B25,'Riesgos de Corrupción'!$B$11:$B$100,0),5),"")</f>
        <v/>
      </c>
      <c r="F25" s="865" t="str">
        <f>IFERROR(INDEX('Riesgos de Corrupción'!$B$11:$BN$100,MATCH('Mapa Riesgo Corrupción'!B25,'Riesgos de Corrupción'!$B$11:$B$100,0),18),"")</f>
        <v/>
      </c>
      <c r="G25" s="865" t="str">
        <f>IFERROR(INDEX('Riesgos de Corrupción'!$B$11:$BN$100,MATCH('Mapa Riesgo Corrupción'!B25,'Riesgos de Corrupción'!$B$11:$B$100,0),63),"")</f>
        <v/>
      </c>
      <c r="H25" s="867" t="str">
        <f>IFERROR(INDEX('Riesgos de Corrupción'!$B$11:$BN$100,MATCH('Mapa Riesgo Corrupción'!B25,'Riesgos de Corrupción'!$B$11:$B$100,0),64),"")</f>
        <v/>
      </c>
      <c r="I25" s="865" t="str">
        <f>IFERROR(INDEX('Controles de Corrupción'!$C$10:$AY$251,MATCH('Mapa Riesgo Corrupción'!B25,'Controles de Corrupción'!#REF!,0),33),"")</f>
        <v/>
      </c>
      <c r="J25" s="865" t="str">
        <f>IFERROR(INDEX('Controles de Corrupción'!$C$10:$AY$251,MATCH('Mapa Riesgo Corrupción'!B25,'Controles de Corrupción'!#REF!,0),36),"")</f>
        <v/>
      </c>
      <c r="K25" s="865" t="str">
        <f>IFERROR(INDEX('Controles de Corrupción'!$C$10:$AY$251,MATCH('Mapa Riesgo Corrupción'!B25,'Controles de Corrupción'!#REF!,0),37),"")</f>
        <v/>
      </c>
      <c r="L25" s="865" t="str">
        <f>IFERROR(INDEX('Controles de Corrupción'!$C$10:$AY$251,MATCH('Mapa Riesgo Corrupción'!B25,'Controles de Corrupción'!#REF!,0),38),"")</f>
        <v/>
      </c>
      <c r="M25" s="185" t="str">
        <f>IFERROR(INDEX('Controles de Corrupción'!$C$10:$AY$249,MATCH(A25,'Controles de Corrupción'!$B$10:$B$249,0),4),"")</f>
        <v/>
      </c>
      <c r="N25" s="70" t="str">
        <f>IFERROR(INDEX('Controles de Corrupción'!$C$10:$AY$249,MATCH(A25,'Controles de Corrupción'!$B$10:$B$249,0),40),"")</f>
        <v/>
      </c>
      <c r="O25" s="70" t="str">
        <f>IFERROR(INDEX('Controles de Corrupción'!$C$10:$AY$251,MATCH(A25,'Controles de Corrupción'!$B$10:$B$251,0),41),"")</f>
        <v/>
      </c>
      <c r="P25" s="70" t="str">
        <f>IFERROR(INDEX('Controles de Corrupción'!$C$10:$AY$251,MATCH(A25,'Controles de Corrupción'!$B$10:$B$251,0),42),"")</f>
        <v/>
      </c>
      <c r="Q25" s="186" t="str">
        <f>IFERROR(INDEX('Controles de Corrupción'!$C$10:$AY$251,MATCH(A25,'Controles de Corrupción'!$B$10:$B$251,0),47),"")</f>
        <v/>
      </c>
    </row>
    <row r="26" spans="1:17" x14ac:dyDescent="0.25">
      <c r="A26" s="115" t="s">
        <v>258</v>
      </c>
      <c r="B26" s="940"/>
      <c r="C26" s="1022"/>
      <c r="D26" s="861"/>
      <c r="E26" s="863"/>
      <c r="F26" s="865"/>
      <c r="G26" s="865"/>
      <c r="H26" s="867"/>
      <c r="I26" s="865"/>
      <c r="J26" s="865"/>
      <c r="K26" s="865"/>
      <c r="L26" s="865"/>
      <c r="M26" s="185" t="str">
        <f>IFERROR(INDEX('Controles de Corrupción'!$C$10:$AY$249,MATCH(A26,'Controles de Corrupción'!$B$10:$B$249,0),4),"")</f>
        <v/>
      </c>
      <c r="N26" s="70" t="str">
        <f>IFERROR(INDEX('Controles de Corrupción'!$C$10:$AY$249,MATCH(A26,'Controles de Corrupción'!$B$10:$B$249,0),40),"")</f>
        <v/>
      </c>
      <c r="O26" s="70" t="str">
        <f>IFERROR(INDEX('Controles de Corrupción'!$C$10:$AY$251,MATCH(A26,'Controles de Corrupción'!$B$10:$B$251,0),41),"")</f>
        <v/>
      </c>
      <c r="P26" s="70" t="str">
        <f>IFERROR(INDEX('Controles de Corrupción'!$C$10:$AY$251,MATCH(A26,'Controles de Corrupción'!$B$10:$B$251,0),42),"")</f>
        <v/>
      </c>
      <c r="Q26" s="186" t="str">
        <f>IFERROR(INDEX('Controles de Corrupción'!$C$10:$AY$251,MATCH(A26,'Controles de Corrupción'!$B$10:$B$251,0),47),"")</f>
        <v/>
      </c>
    </row>
    <row r="27" spans="1:17" x14ac:dyDescent="0.25">
      <c r="A27" s="115" t="s">
        <v>259</v>
      </c>
      <c r="B27" s="940"/>
      <c r="C27" s="1022"/>
      <c r="D27" s="861"/>
      <c r="E27" s="863"/>
      <c r="F27" s="865"/>
      <c r="G27" s="865"/>
      <c r="H27" s="867"/>
      <c r="I27" s="865"/>
      <c r="J27" s="865"/>
      <c r="K27" s="865"/>
      <c r="L27" s="865"/>
      <c r="M27" s="185" t="str">
        <f>IFERROR(INDEX('Controles de Corrupción'!$C$10:$AY$249,MATCH(A27,'Controles de Corrupción'!$B$10:$B$249,0),4),"")</f>
        <v/>
      </c>
      <c r="N27" s="70" t="str">
        <f>IFERROR(INDEX('Controles de Corrupción'!$C$10:$AY$249,MATCH(A27,'Controles de Corrupción'!$B$10:$B$249,0),40),"")</f>
        <v/>
      </c>
      <c r="O27" s="70" t="str">
        <f>IFERROR(INDEX('Controles de Corrupción'!$C$10:$AY$251,MATCH(A27,'Controles de Corrupción'!$B$10:$B$251,0),41),"")</f>
        <v/>
      </c>
      <c r="P27" s="70" t="str">
        <f>IFERROR(INDEX('Controles de Corrupción'!$C$10:$AY$251,MATCH(A27,'Controles de Corrupción'!$B$10:$B$251,0),42),"")</f>
        <v/>
      </c>
      <c r="Q27" s="186" t="str">
        <f>IFERROR(INDEX('Controles de Corrupción'!$C$10:$AY$251,MATCH(A27,'Controles de Corrupción'!$B$10:$B$251,0),47),"")</f>
        <v/>
      </c>
    </row>
    <row r="28" spans="1:17" x14ac:dyDescent="0.25">
      <c r="A28" s="115" t="s">
        <v>260</v>
      </c>
      <c r="B28" s="940"/>
      <c r="C28" s="1022"/>
      <c r="D28" s="861"/>
      <c r="E28" s="863"/>
      <c r="F28" s="865"/>
      <c r="G28" s="865"/>
      <c r="H28" s="867"/>
      <c r="I28" s="865"/>
      <c r="J28" s="865"/>
      <c r="K28" s="865"/>
      <c r="L28" s="865"/>
      <c r="M28" s="185" t="str">
        <f>IFERROR(INDEX('Controles de Corrupción'!$C$10:$AY$249,MATCH(A28,'Controles de Corrupción'!$B$10:$B$249,0),4),"")</f>
        <v/>
      </c>
      <c r="N28" s="70" t="str">
        <f>IFERROR(INDEX('Controles de Corrupción'!$C$10:$AY$249,MATCH(A28,'Controles de Corrupción'!$B$10:$B$249,0),40),"")</f>
        <v/>
      </c>
      <c r="O28" s="70" t="str">
        <f>IFERROR(INDEX('Controles de Corrupción'!$C$10:$AY$251,MATCH(A28,'Controles de Corrupción'!$B$10:$B$251,0),41),"")</f>
        <v/>
      </c>
      <c r="P28" s="70" t="str">
        <f>IFERROR(INDEX('Controles de Corrupción'!$C$10:$AY$251,MATCH(A28,'Controles de Corrupción'!$B$10:$B$251,0),42),"")</f>
        <v/>
      </c>
      <c r="Q28" s="186" t="str">
        <f>IFERROR(INDEX('Controles de Corrupción'!$C$10:$AY$251,MATCH(A28,'Controles de Corrupción'!$B$10:$B$251,0),47),"")</f>
        <v/>
      </c>
    </row>
    <row r="29" spans="1:17" x14ac:dyDescent="0.25">
      <c r="A29" s="115" t="s">
        <v>261</v>
      </c>
      <c r="B29" s="940"/>
      <c r="C29" s="1022"/>
      <c r="D29" s="861"/>
      <c r="E29" s="863"/>
      <c r="F29" s="865"/>
      <c r="G29" s="865"/>
      <c r="H29" s="867"/>
      <c r="I29" s="865"/>
      <c r="J29" s="865"/>
      <c r="K29" s="865"/>
      <c r="L29" s="865"/>
      <c r="M29" s="185" t="str">
        <f>IFERROR(INDEX('Controles de Corrupción'!$C$10:$AY$249,MATCH(A29,'Controles de Corrupción'!$B$10:$B$249,0),4),"")</f>
        <v/>
      </c>
      <c r="N29" s="70" t="str">
        <f>IFERROR(INDEX('Controles de Corrupción'!$C$10:$AY$249,MATCH(A29,'Controles de Corrupción'!$B$10:$B$249,0),40),"")</f>
        <v/>
      </c>
      <c r="O29" s="70" t="str">
        <f>IFERROR(INDEX('Controles de Corrupción'!$C$10:$AY$251,MATCH(A29,'Controles de Corrupción'!$B$10:$B$251,0),41),"")</f>
        <v/>
      </c>
      <c r="P29" s="70" t="str">
        <f>IFERROR(INDEX('Controles de Corrupción'!$C$10:$AY$251,MATCH(A29,'Controles de Corrupción'!$B$10:$B$251,0),42),"")</f>
        <v/>
      </c>
      <c r="Q29" s="186" t="str">
        <f>IFERROR(INDEX('Controles de Corrupción'!$C$10:$AY$251,MATCH(A29,'Controles de Corrupción'!$B$10:$B$251,0),47),"")</f>
        <v/>
      </c>
    </row>
    <row r="30" spans="1:17" x14ac:dyDescent="0.25">
      <c r="A30" s="115" t="s">
        <v>262</v>
      </c>
      <c r="B30" s="856"/>
      <c r="C30" s="1022"/>
      <c r="D30" s="861"/>
      <c r="E30" s="863"/>
      <c r="F30" s="865"/>
      <c r="G30" s="865"/>
      <c r="H30" s="867"/>
      <c r="I30" s="865"/>
      <c r="J30" s="865"/>
      <c r="K30" s="865"/>
      <c r="L30" s="865"/>
      <c r="M30" s="185" t="str">
        <f>IFERROR(INDEX('Controles de Corrupción'!$C$10:$AY$249,MATCH(A30,'Controles de Corrupción'!$B$10:$B$249,0),4),"")</f>
        <v/>
      </c>
      <c r="N30" s="70" t="str">
        <f>IFERROR(INDEX('Controles de Corrupción'!$C$10:$AY$249,MATCH(A30,'Controles de Corrupción'!$B$10:$B$249,0),40),"")</f>
        <v/>
      </c>
      <c r="O30" s="70" t="str">
        <f>IFERROR(INDEX('Controles de Corrupción'!$C$10:$AY$251,MATCH(A30,'Controles de Corrupción'!$B$10:$B$251,0),41),"")</f>
        <v/>
      </c>
      <c r="P30" s="70" t="str">
        <f>IFERROR(INDEX('Controles de Corrupción'!$C$10:$AY$251,MATCH(A30,'Controles de Corrupción'!$B$10:$B$251,0),42),"")</f>
        <v/>
      </c>
      <c r="Q30" s="186" t="str">
        <f>IFERROR(INDEX('Controles de Corrupción'!$C$10:$AY$251,MATCH(A30,'Controles de Corrupción'!$B$10:$B$251,0),47),"")</f>
        <v/>
      </c>
    </row>
    <row r="31" spans="1:17" x14ac:dyDescent="0.25">
      <c r="A31" s="115" t="s">
        <v>263</v>
      </c>
      <c r="B31" s="936"/>
      <c r="C31" s="1022" t="str">
        <f>IFERROR(INDEX('Riesgos de Corrupción'!$B$11:$BN$100,MATCH('Mapa Riesgo Corrupción'!B31,'Riesgos de Corrupción'!$B$11:$B$100,0),2),"")</f>
        <v/>
      </c>
      <c r="D31" s="861" t="str">
        <f>IFERROR(INDEX('Riesgos de Corrupción'!$B$11:$BN$100,MATCH('Mapa Riesgo Corrupción'!B31,'Riesgos de Corrupción'!$B$11:$B$100,0),4),"")</f>
        <v/>
      </c>
      <c r="E31" s="863" t="str">
        <f>IFERROR(INDEX('Riesgos de Corrupción'!$B$11:$BN$100,MATCH('Mapa Riesgo Corrupción'!B31,'Riesgos de Corrupción'!$B$11:$B$100,0),5),"")</f>
        <v/>
      </c>
      <c r="F31" s="865" t="str">
        <f>IFERROR(INDEX('Riesgos de Corrupción'!$B$11:$BN$100,MATCH('Mapa Riesgo Corrupción'!B31,'Riesgos de Corrupción'!$B$11:$B$100,0),18),"")</f>
        <v/>
      </c>
      <c r="G31" s="865" t="str">
        <f>IFERROR(INDEX('Riesgos de Corrupción'!$B$11:$BN$100,MATCH('Mapa Riesgo Corrupción'!B31,'Riesgos de Corrupción'!$B$11:$B$100,0),63),"")</f>
        <v/>
      </c>
      <c r="H31" s="867" t="str">
        <f>IFERROR(INDEX('Riesgos de Corrupción'!$B$11:$BN$100,MATCH('Mapa Riesgo Corrupción'!B31,'Riesgos de Corrupción'!$B$11:$B$100,0),64),"")</f>
        <v/>
      </c>
      <c r="I31" s="865" t="str">
        <f>IFERROR(INDEX('Controles de Corrupción'!$C$10:$AY$251,MATCH('Mapa Riesgo Corrupción'!B31,'Controles de Corrupción'!#REF!,0),33),"")</f>
        <v/>
      </c>
      <c r="J31" s="865" t="str">
        <f>IFERROR(INDEX('Controles de Corrupción'!$C$10:$AY$251,MATCH('Mapa Riesgo Corrupción'!B31,'Controles de Corrupción'!#REF!,0),36),"")</f>
        <v/>
      </c>
      <c r="K31" s="865" t="str">
        <f>IFERROR(INDEX('Controles de Corrupción'!$C$10:$AY$251,MATCH('Mapa Riesgo Corrupción'!B31,'Controles de Corrupción'!#REF!,0),37),"")</f>
        <v/>
      </c>
      <c r="L31" s="865" t="str">
        <f>IFERROR(INDEX('Controles de Corrupción'!$C$10:$AY$251,MATCH('Mapa Riesgo Corrupción'!B31,'Controles de Corrupción'!#REF!,0),38),"")</f>
        <v/>
      </c>
      <c r="M31" s="185" t="str">
        <f>IFERROR(INDEX('Controles de Corrupción'!$C$10:$AY$249,MATCH(A31,'Controles de Corrupción'!$B$10:$B$249,0),4),"")</f>
        <v/>
      </c>
      <c r="N31" s="70" t="str">
        <f>IFERROR(INDEX('Controles de Corrupción'!$C$10:$AY$249,MATCH(A31,'Controles de Corrupción'!$B$10:$B$249,0),40),"")</f>
        <v/>
      </c>
      <c r="O31" s="70" t="str">
        <f>IFERROR(INDEX('Controles de Corrupción'!$C$10:$AY$251,MATCH(A31,'Controles de Corrupción'!$B$10:$B$251,0),41),"")</f>
        <v/>
      </c>
      <c r="P31" s="70" t="str">
        <f>IFERROR(INDEX('Controles de Corrupción'!$C$10:$AY$251,MATCH(A31,'Controles de Corrupción'!$B$10:$B$251,0),42),"")</f>
        <v/>
      </c>
      <c r="Q31" s="186" t="str">
        <f>IFERROR(INDEX('Controles de Corrupción'!$C$10:$AY$251,MATCH(A31,'Controles de Corrupción'!$B$10:$B$251,0),47),"")</f>
        <v/>
      </c>
    </row>
    <row r="32" spans="1:17" x14ac:dyDescent="0.25">
      <c r="A32" s="115" t="s">
        <v>264</v>
      </c>
      <c r="B32" s="940"/>
      <c r="C32" s="1022"/>
      <c r="D32" s="861"/>
      <c r="E32" s="863"/>
      <c r="F32" s="865"/>
      <c r="G32" s="865"/>
      <c r="H32" s="867"/>
      <c r="I32" s="865"/>
      <c r="J32" s="865"/>
      <c r="K32" s="865"/>
      <c r="L32" s="865"/>
      <c r="M32" s="185" t="str">
        <f>IFERROR(INDEX('Controles de Corrupción'!$C$10:$AY$249,MATCH(A32,'Controles de Corrupción'!$B$10:$B$249,0),4),"")</f>
        <v/>
      </c>
      <c r="N32" s="70" t="str">
        <f>IFERROR(INDEX('Controles de Corrupción'!$C$10:$AY$249,MATCH(A32,'Controles de Corrupción'!$B$10:$B$249,0),40),"")</f>
        <v/>
      </c>
      <c r="O32" s="70" t="str">
        <f>IFERROR(INDEX('Controles de Corrupción'!$C$10:$AY$251,MATCH(A32,'Controles de Corrupción'!$B$10:$B$251,0),41),"")</f>
        <v/>
      </c>
      <c r="P32" s="70" t="str">
        <f>IFERROR(INDEX('Controles de Corrupción'!$C$10:$AY$251,MATCH(A32,'Controles de Corrupción'!$B$10:$B$251,0),42),"")</f>
        <v/>
      </c>
      <c r="Q32" s="186" t="str">
        <f>IFERROR(INDEX('Controles de Corrupción'!$C$10:$AY$251,MATCH(A32,'Controles de Corrupción'!$B$10:$B$251,0),47),"")</f>
        <v/>
      </c>
    </row>
    <row r="33" spans="1:17" x14ac:dyDescent="0.25">
      <c r="A33" s="115" t="s">
        <v>265</v>
      </c>
      <c r="B33" s="940"/>
      <c r="C33" s="1022"/>
      <c r="D33" s="861"/>
      <c r="E33" s="863"/>
      <c r="F33" s="865"/>
      <c r="G33" s="865"/>
      <c r="H33" s="867"/>
      <c r="I33" s="865"/>
      <c r="J33" s="865"/>
      <c r="K33" s="865"/>
      <c r="L33" s="865"/>
      <c r="M33" s="185" t="str">
        <f>IFERROR(INDEX('Controles de Corrupción'!$C$10:$AY$249,MATCH(A33,'Controles de Corrupción'!$B$10:$B$249,0),4),"")</f>
        <v/>
      </c>
      <c r="N33" s="70" t="str">
        <f>IFERROR(INDEX('Controles de Corrupción'!$C$10:$AY$249,MATCH(A33,'Controles de Corrupción'!$B$10:$B$249,0),40),"")</f>
        <v/>
      </c>
      <c r="O33" s="70" t="str">
        <f>IFERROR(INDEX('Controles de Corrupción'!$C$10:$AY$251,MATCH(A33,'Controles de Corrupción'!$B$10:$B$251,0),41),"")</f>
        <v/>
      </c>
      <c r="P33" s="70" t="str">
        <f>IFERROR(INDEX('Controles de Corrupción'!$C$10:$AY$251,MATCH(A33,'Controles de Corrupción'!$B$10:$B$251,0),42),"")</f>
        <v/>
      </c>
      <c r="Q33" s="186" t="str">
        <f>IFERROR(INDEX('Controles de Corrupción'!$C$10:$AY$251,MATCH(A33,'Controles de Corrupción'!$B$10:$B$251,0),47),"")</f>
        <v/>
      </c>
    </row>
    <row r="34" spans="1:17" x14ac:dyDescent="0.25">
      <c r="A34" s="115" t="s">
        <v>266</v>
      </c>
      <c r="B34" s="940"/>
      <c r="C34" s="1022"/>
      <c r="D34" s="861"/>
      <c r="E34" s="863"/>
      <c r="F34" s="865"/>
      <c r="G34" s="865"/>
      <c r="H34" s="867"/>
      <c r="I34" s="865"/>
      <c r="J34" s="865"/>
      <c r="K34" s="865"/>
      <c r="L34" s="865"/>
      <c r="M34" s="185" t="str">
        <f>IFERROR(INDEX('Controles de Corrupción'!$C$10:$AY$249,MATCH(A34,'Controles de Corrupción'!$B$10:$B$249,0),4),"")</f>
        <v/>
      </c>
      <c r="N34" s="70" t="str">
        <f>IFERROR(INDEX('Controles de Corrupción'!$C$10:$AY$249,MATCH(A34,'Controles de Corrupción'!$B$10:$B$249,0),40),"")</f>
        <v/>
      </c>
      <c r="O34" s="70" t="str">
        <f>IFERROR(INDEX('Controles de Corrupción'!$C$10:$AY$251,MATCH(A34,'Controles de Corrupción'!$B$10:$B$251,0),41),"")</f>
        <v/>
      </c>
      <c r="P34" s="70" t="str">
        <f>IFERROR(INDEX('Controles de Corrupción'!$C$10:$AY$251,MATCH(A34,'Controles de Corrupción'!$B$10:$B$251,0),42),"")</f>
        <v/>
      </c>
      <c r="Q34" s="186" t="str">
        <f>IFERROR(INDEX('Controles de Corrupción'!$C$10:$AY$251,MATCH(A34,'Controles de Corrupción'!$B$10:$B$251,0),47),"")</f>
        <v/>
      </c>
    </row>
    <row r="35" spans="1:17" x14ac:dyDescent="0.25">
      <c r="A35" s="115" t="s">
        <v>267</v>
      </c>
      <c r="B35" s="940"/>
      <c r="C35" s="1022"/>
      <c r="D35" s="861"/>
      <c r="E35" s="863"/>
      <c r="F35" s="865"/>
      <c r="G35" s="865"/>
      <c r="H35" s="867"/>
      <c r="I35" s="865"/>
      <c r="J35" s="865"/>
      <c r="K35" s="865"/>
      <c r="L35" s="865"/>
      <c r="M35" s="185" t="str">
        <f>IFERROR(INDEX('Controles de Corrupción'!$C$10:$AY$249,MATCH(A35,'Controles de Corrupción'!$B$10:$B$249,0),4),"")</f>
        <v/>
      </c>
      <c r="N35" s="70" t="str">
        <f>IFERROR(INDEX('Controles de Corrupción'!$C$10:$AY$249,MATCH(A35,'Controles de Corrupción'!$B$10:$B$249,0),40),"")</f>
        <v/>
      </c>
      <c r="O35" s="70" t="str">
        <f>IFERROR(INDEX('Controles de Corrupción'!$C$10:$AY$251,MATCH(A35,'Controles de Corrupción'!$B$10:$B$251,0),41),"")</f>
        <v/>
      </c>
      <c r="P35" s="70" t="str">
        <f>IFERROR(INDEX('Controles de Corrupción'!$C$10:$AY$251,MATCH(A35,'Controles de Corrupción'!$B$10:$B$251,0),42),"")</f>
        <v/>
      </c>
      <c r="Q35" s="186" t="str">
        <f>IFERROR(INDEX('Controles de Corrupción'!$C$10:$AY$251,MATCH(A35,'Controles de Corrupción'!$B$10:$B$251,0),47),"")</f>
        <v/>
      </c>
    </row>
    <row r="36" spans="1:17" x14ac:dyDescent="0.25">
      <c r="A36" s="115" t="s">
        <v>268</v>
      </c>
      <c r="B36" s="856"/>
      <c r="C36" s="1022"/>
      <c r="D36" s="861"/>
      <c r="E36" s="863"/>
      <c r="F36" s="865"/>
      <c r="G36" s="865"/>
      <c r="H36" s="867"/>
      <c r="I36" s="865"/>
      <c r="J36" s="865"/>
      <c r="K36" s="865"/>
      <c r="L36" s="865"/>
      <c r="M36" s="185" t="str">
        <f>IFERROR(INDEX('Controles de Corrupción'!$C$10:$AY$249,MATCH(A36,'Controles de Corrupción'!$B$10:$B$249,0),4),"")</f>
        <v/>
      </c>
      <c r="N36" s="70" t="str">
        <f>IFERROR(INDEX('Controles de Corrupción'!$C$10:$AY$249,MATCH(A36,'Controles de Corrupción'!$B$10:$B$249,0),40),"")</f>
        <v/>
      </c>
      <c r="O36" s="70" t="str">
        <f>IFERROR(INDEX('Controles de Corrupción'!$C$10:$AY$251,MATCH(A36,'Controles de Corrupción'!$B$10:$B$251,0),41),"")</f>
        <v/>
      </c>
      <c r="P36" s="70" t="str">
        <f>IFERROR(INDEX('Controles de Corrupción'!$C$10:$AY$251,MATCH(A36,'Controles de Corrupción'!$B$10:$B$251,0),42),"")</f>
        <v/>
      </c>
      <c r="Q36" s="186" t="str">
        <f>IFERROR(INDEX('Controles de Corrupción'!$C$10:$AY$251,MATCH(A36,'Controles de Corrupción'!$B$10:$B$251,0),47),"")</f>
        <v/>
      </c>
    </row>
    <row r="37" spans="1:17" x14ac:dyDescent="0.25">
      <c r="A37" s="115" t="s">
        <v>269</v>
      </c>
      <c r="B37" s="936"/>
      <c r="C37" s="1022" t="str">
        <f>IFERROR(INDEX('Riesgos de Corrupción'!$B$11:$BN$100,MATCH('Mapa Riesgo Corrupción'!B37,'Riesgos de Corrupción'!$B$11:$B$100,0),2),"")</f>
        <v/>
      </c>
      <c r="D37" s="861" t="str">
        <f>IFERROR(INDEX('Riesgos de Corrupción'!$B$11:$BN$100,MATCH('Mapa Riesgo Corrupción'!B37,'Riesgos de Corrupción'!$B$11:$B$100,0),4),"")</f>
        <v/>
      </c>
      <c r="E37" s="863" t="str">
        <f>IFERROR(INDEX('Riesgos de Corrupción'!$B$11:$BN$100,MATCH('Mapa Riesgo Corrupción'!B37,'Riesgos de Corrupción'!$B$11:$B$100,0),5),"")</f>
        <v/>
      </c>
      <c r="F37" s="865" t="str">
        <f>IFERROR(INDEX('Riesgos de Corrupción'!$B$11:$BN$100,MATCH('Mapa Riesgo Corrupción'!B37,'Riesgos de Corrupción'!$B$11:$B$100,0),18),"")</f>
        <v/>
      </c>
      <c r="G37" s="865" t="str">
        <f>IFERROR(INDEX('Riesgos de Corrupción'!$B$11:$BN$100,MATCH('Mapa Riesgo Corrupción'!B37,'Riesgos de Corrupción'!$B$11:$B$100,0),63),"")</f>
        <v/>
      </c>
      <c r="H37" s="867" t="str">
        <f>IFERROR(INDEX('Riesgos de Corrupción'!$B$11:$BN$100,MATCH('Mapa Riesgo Corrupción'!B37,'Riesgos de Corrupción'!$B$11:$B$100,0),64),"")</f>
        <v/>
      </c>
      <c r="I37" s="865" t="str">
        <f>IFERROR(INDEX('Controles de Corrupción'!$C$10:$AY$251,MATCH('Mapa Riesgo Corrupción'!B37,'Controles de Corrupción'!#REF!,0),33),"")</f>
        <v/>
      </c>
      <c r="J37" s="865" t="str">
        <f>IFERROR(INDEX('Controles de Corrupción'!$C$10:$AY$251,MATCH('Mapa Riesgo Corrupción'!B37,'Controles de Corrupción'!#REF!,0),36),"")</f>
        <v/>
      </c>
      <c r="K37" s="865" t="str">
        <f>IFERROR(INDEX('Controles de Corrupción'!$C$10:$AY$251,MATCH('Mapa Riesgo Corrupción'!B37,'Controles de Corrupción'!#REF!,0),37),"")</f>
        <v/>
      </c>
      <c r="L37" s="865" t="str">
        <f>IFERROR(INDEX('Controles de Corrupción'!$C$10:$AY$251,MATCH('Mapa Riesgo Corrupción'!B37,'Controles de Corrupción'!#REF!,0),38),"")</f>
        <v/>
      </c>
      <c r="M37" s="185" t="str">
        <f>IFERROR(INDEX('Controles de Corrupción'!$C$10:$AY$249,MATCH(A37,'Controles de Corrupción'!$B$10:$B$249,0),4),"")</f>
        <v/>
      </c>
      <c r="N37" s="70" t="str">
        <f>IFERROR(INDEX('Controles de Corrupción'!$C$10:$AY$249,MATCH(A37,'Controles de Corrupción'!$B$10:$B$249,0),40),"")</f>
        <v/>
      </c>
      <c r="O37" s="70" t="str">
        <f>IFERROR(INDEX('Controles de Corrupción'!$C$10:$AY$251,MATCH(A37,'Controles de Corrupción'!$B$10:$B$251,0),41),"")</f>
        <v/>
      </c>
      <c r="P37" s="70" t="str">
        <f>IFERROR(INDEX('Controles de Corrupción'!$C$10:$AY$251,MATCH(A37,'Controles de Corrupción'!$B$10:$B$251,0),42),"")</f>
        <v/>
      </c>
      <c r="Q37" s="186" t="str">
        <f>IFERROR(INDEX('Controles de Corrupción'!$C$10:$AY$251,MATCH(A37,'Controles de Corrupción'!$B$10:$B$251,0),47),"")</f>
        <v/>
      </c>
    </row>
    <row r="38" spans="1:17" x14ac:dyDescent="0.25">
      <c r="A38" s="115" t="s">
        <v>270</v>
      </c>
      <c r="B38" s="940"/>
      <c r="C38" s="1022"/>
      <c r="D38" s="861"/>
      <c r="E38" s="863"/>
      <c r="F38" s="865"/>
      <c r="G38" s="865"/>
      <c r="H38" s="867"/>
      <c r="I38" s="865"/>
      <c r="J38" s="865"/>
      <c r="K38" s="865"/>
      <c r="L38" s="865"/>
      <c r="M38" s="185" t="str">
        <f>IFERROR(INDEX('Controles de Corrupción'!$C$10:$AY$249,MATCH(A38,'Controles de Corrupción'!$B$10:$B$249,0),4),"")</f>
        <v/>
      </c>
      <c r="N38" s="70" t="str">
        <f>IFERROR(INDEX('Controles de Corrupción'!$C$10:$AY$249,MATCH(A38,'Controles de Corrupción'!$B$10:$B$249,0),40),"")</f>
        <v/>
      </c>
      <c r="O38" s="70" t="str">
        <f>IFERROR(INDEX('Controles de Corrupción'!$C$10:$AY$251,MATCH(A38,'Controles de Corrupción'!$B$10:$B$251,0),41),"")</f>
        <v/>
      </c>
      <c r="P38" s="70" t="str">
        <f>IFERROR(INDEX('Controles de Corrupción'!$C$10:$AY$251,MATCH(A38,'Controles de Corrupción'!$B$10:$B$251,0),42),"")</f>
        <v/>
      </c>
      <c r="Q38" s="186" t="str">
        <f>IFERROR(INDEX('Controles de Corrupción'!$C$10:$AY$251,MATCH(A38,'Controles de Corrupción'!$B$10:$B$251,0),47),"")</f>
        <v/>
      </c>
    </row>
    <row r="39" spans="1:17" x14ac:dyDescent="0.25">
      <c r="A39" s="115" t="s">
        <v>271</v>
      </c>
      <c r="B39" s="940"/>
      <c r="C39" s="1022"/>
      <c r="D39" s="861"/>
      <c r="E39" s="863"/>
      <c r="F39" s="865"/>
      <c r="G39" s="865"/>
      <c r="H39" s="867"/>
      <c r="I39" s="865"/>
      <c r="J39" s="865"/>
      <c r="K39" s="865"/>
      <c r="L39" s="865"/>
      <c r="M39" s="185" t="str">
        <f>IFERROR(INDEX('Controles de Corrupción'!$C$10:$AY$249,MATCH(A39,'Controles de Corrupción'!$B$10:$B$249,0),4),"")</f>
        <v/>
      </c>
      <c r="N39" s="70" t="str">
        <f>IFERROR(INDEX('Controles de Corrupción'!$C$10:$AY$249,MATCH(A39,'Controles de Corrupción'!$B$10:$B$249,0),40),"")</f>
        <v/>
      </c>
      <c r="O39" s="70" t="str">
        <f>IFERROR(INDEX('Controles de Corrupción'!$C$10:$AY$251,MATCH(A39,'Controles de Corrupción'!$B$10:$B$251,0),41),"")</f>
        <v/>
      </c>
      <c r="P39" s="70" t="str">
        <f>IFERROR(INDEX('Controles de Corrupción'!$C$10:$AY$251,MATCH(A39,'Controles de Corrupción'!$B$10:$B$251,0),42),"")</f>
        <v/>
      </c>
      <c r="Q39" s="186" t="str">
        <f>IFERROR(INDEX('Controles de Corrupción'!$C$10:$AY$251,MATCH(A39,'Controles de Corrupción'!$B$10:$B$251,0),47),"")</f>
        <v/>
      </c>
    </row>
    <row r="40" spans="1:17" x14ac:dyDescent="0.25">
      <c r="A40" s="115" t="s">
        <v>272</v>
      </c>
      <c r="B40" s="940"/>
      <c r="C40" s="1022"/>
      <c r="D40" s="861"/>
      <c r="E40" s="863"/>
      <c r="F40" s="865"/>
      <c r="G40" s="865"/>
      <c r="H40" s="867"/>
      <c r="I40" s="865"/>
      <c r="J40" s="865"/>
      <c r="K40" s="865"/>
      <c r="L40" s="865"/>
      <c r="M40" s="185" t="str">
        <f>IFERROR(INDEX('Controles de Corrupción'!$C$10:$AY$249,MATCH(A40,'Controles de Corrupción'!$B$10:$B$249,0),4),"")</f>
        <v/>
      </c>
      <c r="N40" s="70" t="str">
        <f>IFERROR(INDEX('Controles de Corrupción'!$C$10:$AY$249,MATCH(A40,'Controles de Corrupción'!$B$10:$B$249,0),40),"")</f>
        <v/>
      </c>
      <c r="O40" s="70" t="str">
        <f>IFERROR(INDEX('Controles de Corrupción'!$C$10:$AY$251,MATCH(A40,'Controles de Corrupción'!$B$10:$B$251,0),41),"")</f>
        <v/>
      </c>
      <c r="P40" s="70" t="str">
        <f>IFERROR(INDEX('Controles de Corrupción'!$C$10:$AY$251,MATCH(A40,'Controles de Corrupción'!$B$10:$B$251,0),42),"")</f>
        <v/>
      </c>
      <c r="Q40" s="186" t="str">
        <f>IFERROR(INDEX('Controles de Corrupción'!$C$10:$AY$251,MATCH(A40,'Controles de Corrupción'!$B$10:$B$251,0),47),"")</f>
        <v/>
      </c>
    </row>
    <row r="41" spans="1:17" x14ac:dyDescent="0.25">
      <c r="A41" s="115" t="s">
        <v>273</v>
      </c>
      <c r="B41" s="940"/>
      <c r="C41" s="1022"/>
      <c r="D41" s="861"/>
      <c r="E41" s="863"/>
      <c r="F41" s="865"/>
      <c r="G41" s="865"/>
      <c r="H41" s="867"/>
      <c r="I41" s="865"/>
      <c r="J41" s="865"/>
      <c r="K41" s="865"/>
      <c r="L41" s="865"/>
      <c r="M41" s="185" t="str">
        <f>IFERROR(INDEX('Controles de Corrupción'!$C$10:$AY$249,MATCH(A41,'Controles de Corrupción'!$B$10:$B$249,0),4),"")</f>
        <v/>
      </c>
      <c r="N41" s="70" t="str">
        <f>IFERROR(INDEX('Controles de Corrupción'!$C$10:$AY$249,MATCH(A41,'Controles de Corrupción'!$B$10:$B$249,0),40),"")</f>
        <v/>
      </c>
      <c r="O41" s="70" t="str">
        <f>IFERROR(INDEX('Controles de Corrupción'!$C$10:$AY$251,MATCH(A41,'Controles de Corrupción'!$B$10:$B$251,0),41),"")</f>
        <v/>
      </c>
      <c r="P41" s="70" t="str">
        <f>IFERROR(INDEX('Controles de Corrupción'!$C$10:$AY$251,MATCH(A41,'Controles de Corrupción'!$B$10:$B$251,0),42),"")</f>
        <v/>
      </c>
      <c r="Q41" s="186" t="str">
        <f>IFERROR(INDEX('Controles de Corrupción'!$C$10:$AY$251,MATCH(A41,'Controles de Corrupción'!$B$10:$B$251,0),47),"")</f>
        <v/>
      </c>
    </row>
    <row r="42" spans="1:17" x14ac:dyDescent="0.25">
      <c r="A42" s="115" t="s">
        <v>274</v>
      </c>
      <c r="B42" s="856"/>
      <c r="C42" s="1022"/>
      <c r="D42" s="861"/>
      <c r="E42" s="863"/>
      <c r="F42" s="865"/>
      <c r="G42" s="865"/>
      <c r="H42" s="867"/>
      <c r="I42" s="865"/>
      <c r="J42" s="865"/>
      <c r="K42" s="865"/>
      <c r="L42" s="865"/>
      <c r="M42" s="185" t="str">
        <f>IFERROR(INDEX('Controles de Corrupción'!$C$10:$AY$249,MATCH(A42,'Controles de Corrupción'!$B$10:$B$249,0),4),"")</f>
        <v/>
      </c>
      <c r="N42" s="70" t="str">
        <f>IFERROR(INDEX('Controles de Corrupción'!$C$10:$AY$249,MATCH(A42,'Controles de Corrupción'!$B$10:$B$249,0),40),"")</f>
        <v/>
      </c>
      <c r="O42" s="70" t="str">
        <f>IFERROR(INDEX('Controles de Corrupción'!$C$10:$AY$251,MATCH(A42,'Controles de Corrupción'!$B$10:$B$251,0),41),"")</f>
        <v/>
      </c>
      <c r="P42" s="70" t="str">
        <f>IFERROR(INDEX('Controles de Corrupción'!$C$10:$AY$251,MATCH(A42,'Controles de Corrupción'!$B$10:$B$251,0),42),"")</f>
        <v/>
      </c>
      <c r="Q42" s="186" t="str">
        <f>IFERROR(INDEX('Controles de Corrupción'!$C$10:$AY$251,MATCH(A42,'Controles de Corrupción'!$B$10:$B$251,0),47),"")</f>
        <v/>
      </c>
    </row>
    <row r="43" spans="1:17" x14ac:dyDescent="0.25">
      <c r="A43" s="115" t="s">
        <v>275</v>
      </c>
      <c r="B43" s="936"/>
      <c r="C43" s="1022" t="str">
        <f>IFERROR(INDEX('Riesgos de Corrupción'!$B$11:$BN$100,MATCH('Mapa Riesgo Corrupción'!B43,'Riesgos de Corrupción'!$B$11:$B$100,0),2),"")</f>
        <v/>
      </c>
      <c r="D43" s="861" t="str">
        <f>IFERROR(INDEX('Riesgos de Corrupción'!$B$11:$BN$100,MATCH('Mapa Riesgo Corrupción'!B43,'Riesgos de Corrupción'!$B$11:$B$100,0),4),"")</f>
        <v/>
      </c>
      <c r="E43" s="863" t="str">
        <f>IFERROR(INDEX('Riesgos de Corrupción'!$B$11:$BN$100,MATCH('Mapa Riesgo Corrupción'!B43,'Riesgos de Corrupción'!$B$11:$B$100,0),5),"")</f>
        <v/>
      </c>
      <c r="F43" s="865" t="str">
        <f>IFERROR(INDEX('Riesgos de Corrupción'!$B$11:$BN$100,MATCH('Mapa Riesgo Corrupción'!B43,'Riesgos de Corrupción'!$B$11:$B$100,0),18),"")</f>
        <v/>
      </c>
      <c r="G43" s="865" t="str">
        <f>IFERROR(INDEX('Riesgos de Corrupción'!$B$11:$BN$100,MATCH('Mapa Riesgo Corrupción'!B43,'Riesgos de Corrupción'!$B$11:$B$100,0),63),"")</f>
        <v/>
      </c>
      <c r="H43" s="867" t="str">
        <f>IFERROR(INDEX('Riesgos de Corrupción'!$B$11:$BN$100,MATCH('Mapa Riesgo Corrupción'!B43,'Riesgos de Corrupción'!$B$11:$B$100,0),64),"")</f>
        <v/>
      </c>
      <c r="I43" s="865" t="str">
        <f>IFERROR(INDEX('Controles de Corrupción'!$C$10:$AY$251,MATCH('Mapa Riesgo Corrupción'!B43,'Controles de Corrupción'!#REF!,0),33),"")</f>
        <v/>
      </c>
      <c r="J43" s="865" t="str">
        <f>IFERROR(INDEX('Controles de Corrupción'!$C$10:$AY$251,MATCH('Mapa Riesgo Corrupción'!B43,'Controles de Corrupción'!#REF!,0),36),"")</f>
        <v/>
      </c>
      <c r="K43" s="865" t="str">
        <f>IFERROR(INDEX('Controles de Corrupción'!$C$10:$AY$251,MATCH('Mapa Riesgo Corrupción'!B43,'Controles de Corrupción'!#REF!,0),37),"")</f>
        <v/>
      </c>
      <c r="L43" s="865" t="str">
        <f>IFERROR(INDEX('Controles de Corrupción'!$C$10:$AY$251,MATCH('Mapa Riesgo Corrupción'!B43,'Controles de Corrupción'!#REF!,0),38),"")</f>
        <v/>
      </c>
      <c r="M43" s="185" t="str">
        <f>IFERROR(INDEX('Controles de Corrupción'!$C$10:$AY$249,MATCH(A43,'Controles de Corrupción'!$B$10:$B$249,0),4),"")</f>
        <v/>
      </c>
      <c r="N43" s="70" t="str">
        <f>IFERROR(INDEX('Controles de Corrupción'!$C$10:$AY$249,MATCH(A43,'Controles de Corrupción'!$B$10:$B$249,0),40),"")</f>
        <v/>
      </c>
      <c r="O43" s="70" t="str">
        <f>IFERROR(INDEX('Controles de Corrupción'!$C$10:$AY$251,MATCH(A43,'Controles de Corrupción'!$B$10:$B$251,0),41),"")</f>
        <v/>
      </c>
      <c r="P43" s="70" t="str">
        <f>IFERROR(INDEX('Controles de Corrupción'!$C$10:$AY$251,MATCH(A43,'Controles de Corrupción'!$B$10:$B$251,0),42),"")</f>
        <v/>
      </c>
      <c r="Q43" s="186" t="str">
        <f>IFERROR(INDEX('Controles de Corrupción'!$C$10:$AY$251,MATCH(A43,'Controles de Corrupción'!$B$10:$B$251,0),47),"")</f>
        <v/>
      </c>
    </row>
    <row r="44" spans="1:17" x14ac:dyDescent="0.25">
      <c r="A44" s="115" t="s">
        <v>276</v>
      </c>
      <c r="B44" s="940"/>
      <c r="C44" s="1022"/>
      <c r="D44" s="861"/>
      <c r="E44" s="863"/>
      <c r="F44" s="865"/>
      <c r="G44" s="865"/>
      <c r="H44" s="867"/>
      <c r="I44" s="865"/>
      <c r="J44" s="865"/>
      <c r="K44" s="865"/>
      <c r="L44" s="865"/>
      <c r="M44" s="185" t="str">
        <f>IFERROR(INDEX('Controles de Corrupción'!$C$10:$AY$249,MATCH(A44,'Controles de Corrupción'!$B$10:$B$249,0),4),"")</f>
        <v/>
      </c>
      <c r="N44" s="70" t="str">
        <f>IFERROR(INDEX('Controles de Corrupción'!$C$10:$AY$249,MATCH(A44,'Controles de Corrupción'!$B$10:$B$249,0),40),"")</f>
        <v/>
      </c>
      <c r="O44" s="70" t="str">
        <f>IFERROR(INDEX('Controles de Corrupción'!$C$10:$AY$251,MATCH(A44,'Controles de Corrupción'!$B$10:$B$251,0),41),"")</f>
        <v/>
      </c>
      <c r="P44" s="70" t="str">
        <f>IFERROR(INDEX('Controles de Corrupción'!$C$10:$AY$251,MATCH(A44,'Controles de Corrupción'!$B$10:$B$251,0),42),"")</f>
        <v/>
      </c>
      <c r="Q44" s="186" t="str">
        <f>IFERROR(INDEX('Controles de Corrupción'!$C$10:$AY$251,MATCH(A44,'Controles de Corrupción'!$B$10:$B$251,0),47),"")</f>
        <v/>
      </c>
    </row>
    <row r="45" spans="1:17" x14ac:dyDescent="0.25">
      <c r="A45" s="115" t="s">
        <v>277</v>
      </c>
      <c r="B45" s="940"/>
      <c r="C45" s="1022"/>
      <c r="D45" s="861"/>
      <c r="E45" s="863"/>
      <c r="F45" s="865"/>
      <c r="G45" s="865"/>
      <c r="H45" s="867"/>
      <c r="I45" s="865"/>
      <c r="J45" s="865"/>
      <c r="K45" s="865"/>
      <c r="L45" s="865"/>
      <c r="M45" s="185" t="str">
        <f>IFERROR(INDEX('Controles de Corrupción'!$C$10:$AY$249,MATCH(A45,'Controles de Corrupción'!$B$10:$B$249,0),4),"")</f>
        <v/>
      </c>
      <c r="N45" s="70" t="str">
        <f>IFERROR(INDEX('Controles de Corrupción'!$C$10:$AY$249,MATCH(A45,'Controles de Corrupción'!$B$10:$B$249,0),40),"")</f>
        <v/>
      </c>
      <c r="O45" s="70" t="str">
        <f>IFERROR(INDEX('Controles de Corrupción'!$C$10:$AY$251,MATCH(A45,'Controles de Corrupción'!$B$10:$B$251,0),41),"")</f>
        <v/>
      </c>
      <c r="P45" s="70" t="str">
        <f>IFERROR(INDEX('Controles de Corrupción'!$C$10:$AY$251,MATCH(A45,'Controles de Corrupción'!$B$10:$B$251,0),42),"")</f>
        <v/>
      </c>
      <c r="Q45" s="186" t="str">
        <f>IFERROR(INDEX('Controles de Corrupción'!$C$10:$AY$251,MATCH(A45,'Controles de Corrupción'!$B$10:$B$251,0),47),"")</f>
        <v/>
      </c>
    </row>
    <row r="46" spans="1:17" x14ac:dyDescent="0.25">
      <c r="A46" s="115" t="s">
        <v>278</v>
      </c>
      <c r="B46" s="940"/>
      <c r="C46" s="1022"/>
      <c r="D46" s="861"/>
      <c r="E46" s="863"/>
      <c r="F46" s="865"/>
      <c r="G46" s="865"/>
      <c r="H46" s="867"/>
      <c r="I46" s="865"/>
      <c r="J46" s="865"/>
      <c r="K46" s="865"/>
      <c r="L46" s="865"/>
      <c r="M46" s="185" t="str">
        <f>IFERROR(INDEX('Controles de Corrupción'!$C$10:$AY$249,MATCH(A46,'Controles de Corrupción'!$B$10:$B$249,0),4),"")</f>
        <v/>
      </c>
      <c r="N46" s="70" t="str">
        <f>IFERROR(INDEX('Controles de Corrupción'!$C$10:$AY$249,MATCH(A46,'Controles de Corrupción'!$B$10:$B$249,0),40),"")</f>
        <v/>
      </c>
      <c r="O46" s="70" t="str">
        <f>IFERROR(INDEX('Controles de Corrupción'!$C$10:$AY$251,MATCH(A46,'Controles de Corrupción'!$B$10:$B$251,0),41),"")</f>
        <v/>
      </c>
      <c r="P46" s="70" t="str">
        <f>IFERROR(INDEX('Controles de Corrupción'!$C$10:$AY$251,MATCH(A46,'Controles de Corrupción'!$B$10:$B$251,0),42),"")</f>
        <v/>
      </c>
      <c r="Q46" s="186" t="str">
        <f>IFERROR(INDEX('Controles de Corrupción'!$C$10:$AY$251,MATCH(A46,'Controles de Corrupción'!$B$10:$B$251,0),47),"")</f>
        <v/>
      </c>
    </row>
    <row r="47" spans="1:17" x14ac:dyDescent="0.25">
      <c r="A47" s="115" t="s">
        <v>279</v>
      </c>
      <c r="B47" s="940"/>
      <c r="C47" s="1022"/>
      <c r="D47" s="861"/>
      <c r="E47" s="863"/>
      <c r="F47" s="865"/>
      <c r="G47" s="865"/>
      <c r="H47" s="867"/>
      <c r="I47" s="865"/>
      <c r="J47" s="865"/>
      <c r="K47" s="865"/>
      <c r="L47" s="865"/>
      <c r="M47" s="185" t="str">
        <f>IFERROR(INDEX('Controles de Corrupción'!$C$10:$AY$249,MATCH(A47,'Controles de Corrupción'!$B$10:$B$249,0),4),"")</f>
        <v/>
      </c>
      <c r="N47" s="70" t="str">
        <f>IFERROR(INDEX('Controles de Corrupción'!$C$10:$AY$249,MATCH(A47,'Controles de Corrupción'!$B$10:$B$249,0),40),"")</f>
        <v/>
      </c>
      <c r="O47" s="70" t="str">
        <f>IFERROR(INDEX('Controles de Corrupción'!$C$10:$AY$251,MATCH(A47,'Controles de Corrupción'!$B$10:$B$251,0),41),"")</f>
        <v/>
      </c>
      <c r="P47" s="70" t="str">
        <f>IFERROR(INDEX('Controles de Corrupción'!$C$10:$AY$251,MATCH(A47,'Controles de Corrupción'!$B$10:$B$251,0),42),"")</f>
        <v/>
      </c>
      <c r="Q47" s="186" t="str">
        <f>IFERROR(INDEX('Controles de Corrupción'!$C$10:$AY$251,MATCH(A47,'Controles de Corrupción'!$B$10:$B$251,0),47),"")</f>
        <v/>
      </c>
    </row>
    <row r="48" spans="1:17" x14ac:dyDescent="0.25">
      <c r="A48" s="115" t="s">
        <v>280</v>
      </c>
      <c r="B48" s="856"/>
      <c r="C48" s="1022"/>
      <c r="D48" s="861"/>
      <c r="E48" s="863"/>
      <c r="F48" s="865"/>
      <c r="G48" s="865"/>
      <c r="H48" s="867"/>
      <c r="I48" s="865"/>
      <c r="J48" s="865"/>
      <c r="K48" s="865"/>
      <c r="L48" s="865"/>
      <c r="M48" s="185" t="str">
        <f>IFERROR(INDEX('Controles de Corrupción'!$C$10:$AY$249,MATCH(A48,'Controles de Corrupción'!$B$10:$B$249,0),4),"")</f>
        <v/>
      </c>
      <c r="N48" s="70" t="str">
        <f>IFERROR(INDEX('Controles de Corrupción'!$C$10:$AY$249,MATCH(A48,'Controles de Corrupción'!$B$10:$B$249,0),40),"")</f>
        <v/>
      </c>
      <c r="O48" s="70" t="str">
        <f>IFERROR(INDEX('Controles de Corrupción'!$C$10:$AY$251,MATCH(A48,'Controles de Corrupción'!$B$10:$B$251,0),41),"")</f>
        <v/>
      </c>
      <c r="P48" s="70" t="str">
        <f>IFERROR(INDEX('Controles de Corrupción'!$C$10:$AY$251,MATCH(A48,'Controles de Corrupción'!$B$10:$B$251,0),42),"")</f>
        <v/>
      </c>
      <c r="Q48" s="186" t="str">
        <f>IFERROR(INDEX('Controles de Corrupción'!$C$10:$AY$251,MATCH(A48,'Controles de Corrupción'!$B$10:$B$251,0),47),"")</f>
        <v/>
      </c>
    </row>
    <row r="49" spans="1:17" x14ac:dyDescent="0.25">
      <c r="A49" s="115" t="s">
        <v>281</v>
      </c>
      <c r="B49" s="936"/>
      <c r="C49" s="1022" t="str">
        <f>IFERROR(INDEX('Riesgos de Corrupción'!$B$11:$BN$100,MATCH('Mapa Riesgo Corrupción'!B49,'Riesgos de Corrupción'!$B$11:$B$100,0),2),"")</f>
        <v/>
      </c>
      <c r="D49" s="861" t="str">
        <f>IFERROR(INDEX('Riesgos de Corrupción'!$B$11:$BN$100,MATCH('Mapa Riesgo Corrupción'!B49,'Riesgos de Corrupción'!$B$11:$B$100,0),4),"")</f>
        <v/>
      </c>
      <c r="E49" s="863" t="str">
        <f>IFERROR(INDEX('Riesgos de Corrupción'!$B$11:$BN$100,MATCH('Mapa Riesgo Corrupción'!B49,'Riesgos de Corrupción'!$B$11:$B$100,0),5),"")</f>
        <v/>
      </c>
      <c r="F49" s="865" t="str">
        <f>IFERROR(INDEX('Riesgos de Corrupción'!$B$11:$BN$100,MATCH('Mapa Riesgo Corrupción'!B49,'Riesgos de Corrupción'!$B$11:$B$100,0),18),"")</f>
        <v/>
      </c>
      <c r="G49" s="865" t="str">
        <f>IFERROR(INDEX('Riesgos de Corrupción'!$B$11:$BN$100,MATCH('Mapa Riesgo Corrupción'!B49,'Riesgos de Corrupción'!$B$11:$B$100,0),63),"")</f>
        <v/>
      </c>
      <c r="H49" s="867" t="str">
        <f>IFERROR(INDEX('Riesgos de Corrupción'!$B$11:$BN$100,MATCH('Mapa Riesgo Corrupción'!B49,'Riesgos de Corrupción'!$B$11:$B$100,0),64),"")</f>
        <v/>
      </c>
      <c r="I49" s="865" t="str">
        <f>IFERROR(INDEX('Controles de Corrupción'!$C$10:$AY$251,MATCH('Mapa Riesgo Corrupción'!B49,'Controles de Corrupción'!#REF!,0),33),"")</f>
        <v/>
      </c>
      <c r="J49" s="865" t="str">
        <f>IFERROR(INDEX('Controles de Corrupción'!$C$10:$AY$251,MATCH('Mapa Riesgo Corrupción'!B49,'Controles de Corrupción'!#REF!,0),36),"")</f>
        <v/>
      </c>
      <c r="K49" s="865" t="str">
        <f>IFERROR(INDEX('Controles de Corrupción'!$C$10:$AY$251,MATCH('Mapa Riesgo Corrupción'!B49,'Controles de Corrupción'!#REF!,0),37),"")</f>
        <v/>
      </c>
      <c r="L49" s="865" t="str">
        <f>IFERROR(INDEX('Controles de Corrupción'!$C$10:$AY$251,MATCH('Mapa Riesgo Corrupción'!B49,'Controles de Corrupción'!#REF!,0),38),"")</f>
        <v/>
      </c>
      <c r="M49" s="185" t="str">
        <f>IFERROR(INDEX('Controles de Corrupción'!$C$10:$AY$249,MATCH(A49,'Controles de Corrupción'!$B$10:$B$249,0),4),"")</f>
        <v/>
      </c>
      <c r="N49" s="70" t="str">
        <f>IFERROR(INDEX('Controles de Corrupción'!$C$10:$AY$249,MATCH(A49,'Controles de Corrupción'!$B$10:$B$249,0),40),"")</f>
        <v/>
      </c>
      <c r="O49" s="70" t="str">
        <f>IFERROR(INDEX('Controles de Corrupción'!$C$10:$AY$251,MATCH(A49,'Controles de Corrupción'!$B$10:$B$251,0),41),"")</f>
        <v/>
      </c>
      <c r="P49" s="70" t="str">
        <f>IFERROR(INDEX('Controles de Corrupción'!$C$10:$AY$251,MATCH(A49,'Controles de Corrupción'!$B$10:$B$251,0),42),"")</f>
        <v/>
      </c>
      <c r="Q49" s="186" t="str">
        <f>IFERROR(INDEX('Controles de Corrupción'!$C$10:$AY$251,MATCH(A49,'Controles de Corrupción'!$B$10:$B$251,0),47),"")</f>
        <v/>
      </c>
    </row>
    <row r="50" spans="1:17" x14ac:dyDescent="0.25">
      <c r="A50" s="115" t="s">
        <v>282</v>
      </c>
      <c r="B50" s="940"/>
      <c r="C50" s="1022"/>
      <c r="D50" s="861"/>
      <c r="E50" s="863"/>
      <c r="F50" s="865"/>
      <c r="G50" s="865"/>
      <c r="H50" s="867"/>
      <c r="I50" s="865"/>
      <c r="J50" s="865"/>
      <c r="K50" s="865"/>
      <c r="L50" s="865"/>
      <c r="M50" s="185" t="str">
        <f>IFERROR(INDEX('Controles de Corrupción'!$C$10:$AY$249,MATCH(A50,'Controles de Corrupción'!$B$10:$B$249,0),4),"")</f>
        <v/>
      </c>
      <c r="N50" s="70" t="str">
        <f>IFERROR(INDEX('Controles de Corrupción'!$C$10:$AY$249,MATCH(A50,'Controles de Corrupción'!$B$10:$B$249,0),40),"")</f>
        <v/>
      </c>
      <c r="O50" s="70" t="str">
        <f>IFERROR(INDEX('Controles de Corrupción'!$C$10:$AY$251,MATCH(A50,'Controles de Corrupción'!$B$10:$B$251,0),41),"")</f>
        <v/>
      </c>
      <c r="P50" s="70" t="str">
        <f>IFERROR(INDEX('Controles de Corrupción'!$C$10:$AY$251,MATCH(A50,'Controles de Corrupción'!$B$10:$B$251,0),42),"")</f>
        <v/>
      </c>
      <c r="Q50" s="186" t="str">
        <f>IFERROR(INDEX('Controles de Corrupción'!$C$10:$AY$251,MATCH(A50,'Controles de Corrupción'!$B$10:$B$251,0),47),"")</f>
        <v/>
      </c>
    </row>
    <row r="51" spans="1:17" x14ac:dyDescent="0.25">
      <c r="A51" s="115" t="s">
        <v>283</v>
      </c>
      <c r="B51" s="940"/>
      <c r="C51" s="1022"/>
      <c r="D51" s="861"/>
      <c r="E51" s="863"/>
      <c r="F51" s="865"/>
      <c r="G51" s="865"/>
      <c r="H51" s="867"/>
      <c r="I51" s="865"/>
      <c r="J51" s="865"/>
      <c r="K51" s="865"/>
      <c r="L51" s="865"/>
      <c r="M51" s="185" t="str">
        <f>IFERROR(INDEX('Controles de Corrupción'!$C$10:$AY$249,MATCH(A51,'Controles de Corrupción'!$B$10:$B$249,0),4),"")</f>
        <v/>
      </c>
      <c r="N51" s="70" t="str">
        <f>IFERROR(INDEX('Controles de Corrupción'!$C$10:$AY$249,MATCH(A51,'Controles de Corrupción'!$B$10:$B$249,0),40),"")</f>
        <v/>
      </c>
      <c r="O51" s="70" t="str">
        <f>IFERROR(INDEX('Controles de Corrupción'!$C$10:$AY$251,MATCH(A51,'Controles de Corrupción'!$B$10:$B$251,0),41),"")</f>
        <v/>
      </c>
      <c r="P51" s="70" t="str">
        <f>IFERROR(INDEX('Controles de Corrupción'!$C$10:$AY$251,MATCH(A51,'Controles de Corrupción'!$B$10:$B$251,0),42),"")</f>
        <v/>
      </c>
      <c r="Q51" s="186" t="str">
        <f>IFERROR(INDEX('Controles de Corrupción'!$C$10:$AY$251,MATCH(A51,'Controles de Corrupción'!$B$10:$B$251,0),47),"")</f>
        <v/>
      </c>
    </row>
    <row r="52" spans="1:17" x14ac:dyDescent="0.25">
      <c r="A52" s="115" t="s">
        <v>284</v>
      </c>
      <c r="B52" s="940"/>
      <c r="C52" s="1022"/>
      <c r="D52" s="861"/>
      <c r="E52" s="863"/>
      <c r="F52" s="865"/>
      <c r="G52" s="865"/>
      <c r="H52" s="867"/>
      <c r="I52" s="865"/>
      <c r="J52" s="865"/>
      <c r="K52" s="865"/>
      <c r="L52" s="865"/>
      <c r="M52" s="185" t="str">
        <f>IFERROR(INDEX('Controles de Corrupción'!$C$10:$AY$249,MATCH(A52,'Controles de Corrupción'!$B$10:$B$249,0),4),"")</f>
        <v/>
      </c>
      <c r="N52" s="70" t="str">
        <f>IFERROR(INDEX('Controles de Corrupción'!$C$10:$AY$249,MATCH(A52,'Controles de Corrupción'!$B$10:$B$249,0),40),"")</f>
        <v/>
      </c>
      <c r="O52" s="70" t="str">
        <f>IFERROR(INDEX('Controles de Corrupción'!$C$10:$AY$251,MATCH(A52,'Controles de Corrupción'!$B$10:$B$251,0),41),"")</f>
        <v/>
      </c>
      <c r="P52" s="70" t="str">
        <f>IFERROR(INDEX('Controles de Corrupción'!$C$10:$AY$251,MATCH(A52,'Controles de Corrupción'!$B$10:$B$251,0),42),"")</f>
        <v/>
      </c>
      <c r="Q52" s="186" t="str">
        <f>IFERROR(INDEX('Controles de Corrupción'!$C$10:$AY$251,MATCH(A52,'Controles de Corrupción'!$B$10:$B$251,0),47),"")</f>
        <v/>
      </c>
    </row>
    <row r="53" spans="1:17" x14ac:dyDescent="0.25">
      <c r="A53" s="115" t="s">
        <v>285</v>
      </c>
      <c r="B53" s="940"/>
      <c r="C53" s="1022"/>
      <c r="D53" s="861"/>
      <c r="E53" s="863"/>
      <c r="F53" s="865"/>
      <c r="G53" s="865"/>
      <c r="H53" s="867"/>
      <c r="I53" s="865"/>
      <c r="J53" s="865"/>
      <c r="K53" s="865"/>
      <c r="L53" s="865"/>
      <c r="M53" s="185" t="str">
        <f>IFERROR(INDEX('Controles de Corrupción'!$C$10:$AY$249,MATCH(A53,'Controles de Corrupción'!$B$10:$B$249,0),4),"")</f>
        <v/>
      </c>
      <c r="N53" s="70" t="str">
        <f>IFERROR(INDEX('Controles de Corrupción'!$C$10:$AY$249,MATCH(A53,'Controles de Corrupción'!$B$10:$B$249,0),40),"")</f>
        <v/>
      </c>
      <c r="O53" s="70" t="str">
        <f>IFERROR(INDEX('Controles de Corrupción'!$C$10:$AY$251,MATCH(A53,'Controles de Corrupción'!$B$10:$B$251,0),41),"")</f>
        <v/>
      </c>
      <c r="P53" s="70" t="str">
        <f>IFERROR(INDEX('Controles de Corrupción'!$C$10:$AY$251,MATCH(A53,'Controles de Corrupción'!$B$10:$B$251,0),42),"")</f>
        <v/>
      </c>
      <c r="Q53" s="186" t="str">
        <f>IFERROR(INDEX('Controles de Corrupción'!$C$10:$AY$251,MATCH(A53,'Controles de Corrupción'!$B$10:$B$251,0),47),"")</f>
        <v/>
      </c>
    </row>
    <row r="54" spans="1:17" x14ac:dyDescent="0.25">
      <c r="A54" s="115" t="s">
        <v>286</v>
      </c>
      <c r="B54" s="856"/>
      <c r="C54" s="1022"/>
      <c r="D54" s="861"/>
      <c r="E54" s="863"/>
      <c r="F54" s="865"/>
      <c r="G54" s="865"/>
      <c r="H54" s="867"/>
      <c r="I54" s="865"/>
      <c r="J54" s="865"/>
      <c r="K54" s="865"/>
      <c r="L54" s="865"/>
      <c r="M54" s="185" t="str">
        <f>IFERROR(INDEX('Controles de Corrupción'!$C$10:$AY$249,MATCH(A54,'Controles de Corrupción'!$B$10:$B$249,0),4),"")</f>
        <v/>
      </c>
      <c r="N54" s="70" t="str">
        <f>IFERROR(INDEX('Controles de Corrupción'!$C$10:$AY$249,MATCH(A54,'Controles de Corrupción'!$B$10:$B$249,0),40),"")</f>
        <v/>
      </c>
      <c r="O54" s="70" t="str">
        <f>IFERROR(INDEX('Controles de Corrupción'!$C$10:$AY$251,MATCH(A54,'Controles de Corrupción'!$B$10:$B$251,0),41),"")</f>
        <v/>
      </c>
      <c r="P54" s="70" t="str">
        <f>IFERROR(INDEX('Controles de Corrupción'!$C$10:$AY$251,MATCH(A54,'Controles de Corrupción'!$B$10:$B$251,0),42),"")</f>
        <v/>
      </c>
      <c r="Q54" s="186" t="str">
        <f>IFERROR(INDEX('Controles de Corrupción'!$C$10:$AY$251,MATCH(A54,'Controles de Corrupción'!$B$10:$B$251,0),47),"")</f>
        <v/>
      </c>
    </row>
    <row r="55" spans="1:17" x14ac:dyDescent="0.25">
      <c r="A55" s="115" t="s">
        <v>287</v>
      </c>
      <c r="B55" s="936"/>
      <c r="C55" s="1020" t="str">
        <f>IFERROR(INDEX('Riesgos de Corrupción'!$B$11:$BN$100,MATCH('Mapa Riesgo Corrupción'!B55,'Riesgos de Corrupción'!$B$11:$B$100,0),2),"")</f>
        <v/>
      </c>
      <c r="D55" s="860" t="str">
        <f>IFERROR(INDEX('Riesgos de Corrupción'!$B$11:$BN$100,MATCH('Mapa Riesgo Corrupción'!B55,'Riesgos de Corrupción'!$B$11:$B$100,0),4),"")</f>
        <v/>
      </c>
      <c r="E55" s="862" t="str">
        <f>IFERROR(INDEX('Riesgos de Corrupción'!$B$11:$BN$100,MATCH('Mapa Riesgo Corrupción'!B55,'Riesgos de Corrupción'!$B$11:$B$100,0),5),"")</f>
        <v/>
      </c>
      <c r="F55" s="865" t="str">
        <f>IFERROR(INDEX('Riesgos de Corrupción'!$B$11:$BN$100,MATCH('Mapa Riesgo Corrupción'!B55,'Riesgos de Corrupción'!$B$11:$B$100,0),18),"")</f>
        <v/>
      </c>
      <c r="G55" s="865" t="str">
        <f>IFERROR(INDEX('Riesgos de Corrupción'!$B$11:$BN$100,MATCH('Mapa Riesgo Corrupción'!B55,'Riesgos de Corrupción'!$B$11:$B$100,0),63),"")</f>
        <v/>
      </c>
      <c r="H55" s="867" t="str">
        <f>IFERROR(INDEX('Riesgos de Corrupción'!$B$11:$BN$100,MATCH('Mapa Riesgo Corrupción'!B55,'Riesgos de Corrupción'!$B$11:$B$100,0),64),"")</f>
        <v/>
      </c>
      <c r="I55" s="865" t="str">
        <f>IFERROR(INDEX('Controles de Corrupción'!$C$10:$AY$251,MATCH('Mapa Riesgo Corrupción'!B55,'Controles de Corrupción'!#REF!,0),33),"")</f>
        <v/>
      </c>
      <c r="J55" s="865" t="str">
        <f>IFERROR(INDEX('Controles de Corrupción'!$C$10:$AY$251,MATCH('Mapa Riesgo Corrupción'!B55,'Controles de Corrupción'!#REF!,0),36),"")</f>
        <v/>
      </c>
      <c r="K55" s="865" t="str">
        <f>IFERROR(INDEX('Controles de Corrupción'!$C$10:$AY$251,MATCH('Mapa Riesgo Corrupción'!B55,'Controles de Corrupción'!#REF!,0),37),"")</f>
        <v/>
      </c>
      <c r="L55" s="865" t="str">
        <f>IFERROR(INDEX('Controles de Corrupción'!$C$10:$AY$251,MATCH('Mapa Riesgo Corrupción'!B55,'Controles de Corrupción'!#REF!,0),38),"")</f>
        <v/>
      </c>
      <c r="M55" s="185" t="str">
        <f>IFERROR(INDEX('Controles de Corrupción'!$C$10:$AY$249,MATCH(A55,'Controles de Corrupción'!$B$10:$B$249,0),4),"")</f>
        <v/>
      </c>
      <c r="N55" s="70" t="str">
        <f>IFERROR(INDEX('Controles de Corrupción'!$C$10:$AY$249,MATCH(A55,'Controles de Corrupción'!$B$10:$B$249,0),40),"")</f>
        <v/>
      </c>
      <c r="O55" s="70" t="str">
        <f>IFERROR(INDEX('Controles de Corrupción'!$C$10:$AY$251,MATCH(A55,'Controles de Corrupción'!$B$10:$B$251,0),41),"")</f>
        <v/>
      </c>
      <c r="P55" s="70" t="str">
        <f>IFERROR(INDEX('Controles de Corrupción'!$C$10:$AY$251,MATCH(A55,'Controles de Corrupción'!$B$10:$B$251,0),42),"")</f>
        <v/>
      </c>
      <c r="Q55" s="186" t="str">
        <f>IFERROR(INDEX('Controles de Corrupción'!$C$10:$AY$251,MATCH(A55,'Controles de Corrupción'!$B$10:$B$251,0),47),"")</f>
        <v/>
      </c>
    </row>
    <row r="56" spans="1:17" x14ac:dyDescent="0.25">
      <c r="A56" s="115" t="s">
        <v>288</v>
      </c>
      <c r="B56" s="940"/>
      <c r="C56" s="1021"/>
      <c r="D56" s="861"/>
      <c r="E56" s="863"/>
      <c r="F56" s="865"/>
      <c r="G56" s="865"/>
      <c r="H56" s="867"/>
      <c r="I56" s="865"/>
      <c r="J56" s="865"/>
      <c r="K56" s="865"/>
      <c r="L56" s="865"/>
      <c r="M56" s="185" t="str">
        <f>IFERROR(INDEX('Controles de Corrupción'!$C$10:$AY$249,MATCH(A56,'Controles de Corrupción'!$B$10:$B$249,0),4),"")</f>
        <v/>
      </c>
      <c r="N56" s="70" t="str">
        <f>IFERROR(INDEX('Controles de Corrupción'!$C$10:$AY$249,MATCH(A56,'Controles de Corrupción'!$B$10:$B$249,0),40),"")</f>
        <v/>
      </c>
      <c r="O56" s="70" t="str">
        <f>IFERROR(INDEX('Controles de Corrupción'!$C$10:$AY$251,MATCH(A56,'Controles de Corrupción'!$B$10:$B$251,0),41),"")</f>
        <v/>
      </c>
      <c r="P56" s="70" t="str">
        <f>IFERROR(INDEX('Controles de Corrupción'!$C$10:$AY$251,MATCH(A56,'Controles de Corrupción'!$B$10:$B$251,0),42),"")</f>
        <v/>
      </c>
      <c r="Q56" s="186" t="str">
        <f>IFERROR(INDEX('Controles de Corrupción'!$C$10:$AY$251,MATCH(A56,'Controles de Corrupción'!$B$10:$B$251,0),47),"")</f>
        <v/>
      </c>
    </row>
    <row r="57" spans="1:17" x14ac:dyDescent="0.25">
      <c r="A57" s="115" t="s">
        <v>289</v>
      </c>
      <c r="B57" s="940"/>
      <c r="C57" s="1021"/>
      <c r="D57" s="861"/>
      <c r="E57" s="863"/>
      <c r="F57" s="865"/>
      <c r="G57" s="865"/>
      <c r="H57" s="867"/>
      <c r="I57" s="865"/>
      <c r="J57" s="865"/>
      <c r="K57" s="865"/>
      <c r="L57" s="865"/>
      <c r="M57" s="185" t="str">
        <f>IFERROR(INDEX('Controles de Corrupción'!$C$10:$AY$249,MATCH(A57,'Controles de Corrupción'!$B$10:$B$249,0),4),"")</f>
        <v/>
      </c>
      <c r="N57" s="70" t="str">
        <f>IFERROR(INDEX('Controles de Corrupción'!$C$10:$AY$249,MATCH(A57,'Controles de Corrupción'!$B$10:$B$249,0),40),"")</f>
        <v/>
      </c>
      <c r="O57" s="70" t="str">
        <f>IFERROR(INDEX('Controles de Corrupción'!$C$10:$AY$251,MATCH(A57,'Controles de Corrupción'!$B$10:$B$251,0),41),"")</f>
        <v/>
      </c>
      <c r="P57" s="70" t="str">
        <f>IFERROR(INDEX('Controles de Corrupción'!$C$10:$AY$251,MATCH(A57,'Controles de Corrupción'!$B$10:$B$251,0),42),"")</f>
        <v/>
      </c>
      <c r="Q57" s="186" t="str">
        <f>IFERROR(INDEX('Controles de Corrupción'!$C$10:$AY$251,MATCH(A57,'Controles de Corrupción'!$B$10:$B$251,0),47),"")</f>
        <v/>
      </c>
    </row>
    <row r="58" spans="1:17" x14ac:dyDescent="0.25">
      <c r="A58" s="115" t="s">
        <v>290</v>
      </c>
      <c r="B58" s="940"/>
      <c r="C58" s="1021"/>
      <c r="D58" s="861"/>
      <c r="E58" s="863"/>
      <c r="F58" s="865"/>
      <c r="G58" s="865"/>
      <c r="H58" s="867"/>
      <c r="I58" s="865"/>
      <c r="J58" s="865"/>
      <c r="K58" s="865"/>
      <c r="L58" s="865"/>
      <c r="M58" s="185" t="str">
        <f>IFERROR(INDEX('Controles de Corrupción'!$C$10:$AY$249,MATCH(A58,'Controles de Corrupción'!$B$10:$B$249,0),4),"")</f>
        <v/>
      </c>
      <c r="N58" s="70" t="str">
        <f>IFERROR(INDEX('Controles de Corrupción'!$C$10:$AY$249,MATCH(A58,'Controles de Corrupción'!$B$10:$B$249,0),40),"")</f>
        <v/>
      </c>
      <c r="O58" s="70" t="str">
        <f>IFERROR(INDEX('Controles de Corrupción'!$C$10:$AY$251,MATCH(A58,'Controles de Corrupción'!$B$10:$B$251,0),41),"")</f>
        <v/>
      </c>
      <c r="P58" s="70" t="str">
        <f>IFERROR(INDEX('Controles de Corrupción'!$C$10:$AY$251,MATCH(A58,'Controles de Corrupción'!$B$10:$B$251,0),42),"")</f>
        <v/>
      </c>
      <c r="Q58" s="186" t="str">
        <f>IFERROR(INDEX('Controles de Corrupción'!$C$10:$AY$251,MATCH(A58,'Controles de Corrupción'!$B$10:$B$251,0),47),"")</f>
        <v/>
      </c>
    </row>
    <row r="59" spans="1:17" x14ac:dyDescent="0.25">
      <c r="A59" s="115" t="s">
        <v>291</v>
      </c>
      <c r="B59" s="940"/>
      <c r="C59" s="1021"/>
      <c r="D59" s="861"/>
      <c r="E59" s="863"/>
      <c r="F59" s="865"/>
      <c r="G59" s="865"/>
      <c r="H59" s="867"/>
      <c r="I59" s="865"/>
      <c r="J59" s="865"/>
      <c r="K59" s="865"/>
      <c r="L59" s="865"/>
      <c r="M59" s="185" t="str">
        <f>IFERROR(INDEX('Controles de Corrupción'!$C$10:$AY$249,MATCH(A59,'Controles de Corrupción'!$B$10:$B$249,0),4),"")</f>
        <v/>
      </c>
      <c r="N59" s="70" t="str">
        <f>IFERROR(INDEX('Controles de Corrupción'!$C$10:$AY$249,MATCH(A59,'Controles de Corrupción'!$B$10:$B$249,0),40),"")</f>
        <v/>
      </c>
      <c r="O59" s="70" t="str">
        <f>IFERROR(INDEX('Controles de Corrupción'!$C$10:$AY$251,MATCH(A59,'Controles de Corrupción'!$B$10:$B$251,0),41),"")</f>
        <v/>
      </c>
      <c r="P59" s="70" t="str">
        <f>IFERROR(INDEX('Controles de Corrupción'!$C$10:$AY$251,MATCH(A59,'Controles de Corrupción'!$B$10:$B$251,0),42),"")</f>
        <v/>
      </c>
      <c r="Q59" s="186" t="str">
        <f>IFERROR(INDEX('Controles de Corrupción'!$C$10:$AY$251,MATCH(A59,'Controles de Corrupción'!$B$10:$B$251,0),47),"")</f>
        <v/>
      </c>
    </row>
    <row r="60" spans="1:17" x14ac:dyDescent="0.25">
      <c r="A60" s="115" t="s">
        <v>292</v>
      </c>
      <c r="B60" s="856"/>
      <c r="C60" s="1021"/>
      <c r="D60" s="861"/>
      <c r="E60" s="863"/>
      <c r="F60" s="865"/>
      <c r="G60" s="865"/>
      <c r="H60" s="867"/>
      <c r="I60" s="865"/>
      <c r="J60" s="865"/>
      <c r="K60" s="865"/>
      <c r="L60" s="865"/>
      <c r="M60" s="185" t="str">
        <f>IFERROR(INDEX('Controles de Corrupción'!$C$10:$AY$249,MATCH(A60,'Controles de Corrupción'!$B$10:$B$249,0),4),"")</f>
        <v/>
      </c>
      <c r="N60" s="70" t="str">
        <f>IFERROR(INDEX('Controles de Corrupción'!$C$10:$AY$249,MATCH(A60,'Controles de Corrupción'!$B$10:$B$249,0),40),"")</f>
        <v/>
      </c>
      <c r="O60" s="70" t="str">
        <f>IFERROR(INDEX('Controles de Corrupción'!$C$10:$AY$251,MATCH(A60,'Controles de Corrupción'!$B$10:$B$251,0),41),"")</f>
        <v/>
      </c>
      <c r="P60" s="70" t="str">
        <f>IFERROR(INDEX('Controles de Corrupción'!$C$10:$AY$251,MATCH(A60,'Controles de Corrupción'!$B$10:$B$251,0),42),"")</f>
        <v/>
      </c>
      <c r="Q60" s="186" t="str">
        <f>IFERROR(INDEX('Controles de Corrupción'!$C$10:$AY$251,MATCH(A60,'Controles de Corrupción'!$B$10:$B$251,0),47),"")</f>
        <v/>
      </c>
    </row>
    <row r="61" spans="1:17" x14ac:dyDescent="0.25">
      <c r="A61" s="115" t="s">
        <v>293</v>
      </c>
      <c r="B61" s="936"/>
      <c r="C61" s="1020" t="str">
        <f>IFERROR(INDEX('Riesgos de Corrupción'!$B$11:$BN$100,MATCH('Mapa Riesgo Corrupción'!B61,'Riesgos de Corrupción'!$B$11:$B$100,0),2),"")</f>
        <v/>
      </c>
      <c r="D61" s="860" t="str">
        <f>IFERROR(INDEX('Riesgos de Corrupción'!$B$11:$BN$100,MATCH('Mapa Riesgo Corrupción'!B61,'Riesgos de Corrupción'!$B$11:$B$100,0),4),"")</f>
        <v/>
      </c>
      <c r="E61" s="862" t="str">
        <f>IFERROR(INDEX('Riesgos de Corrupción'!$B$11:$BN$100,MATCH('Mapa Riesgo Corrupción'!B61,'Riesgos de Corrupción'!$B$11:$B$100,0),5),"")</f>
        <v/>
      </c>
      <c r="F61" s="865" t="str">
        <f>IFERROR(INDEX('Riesgos de Corrupción'!$B$11:$BN$100,MATCH('Mapa Riesgo Corrupción'!B61,'Riesgos de Corrupción'!$B$11:$B$100,0),18),"")</f>
        <v/>
      </c>
      <c r="G61" s="865" t="str">
        <f>IFERROR(INDEX('Riesgos de Corrupción'!$B$11:$BN$100,MATCH('Mapa Riesgo Corrupción'!B61,'Riesgos de Corrupción'!$B$11:$B$100,0),63),"")</f>
        <v/>
      </c>
      <c r="H61" s="867" t="str">
        <f>IFERROR(INDEX('Riesgos de Corrupción'!$B$11:$BN$100,MATCH('Mapa Riesgo Corrupción'!B61,'Riesgos de Corrupción'!$B$11:$B$100,0),64),"")</f>
        <v/>
      </c>
      <c r="I61" s="865" t="str">
        <f>IFERROR(INDEX('Controles de Corrupción'!$C$10:$AY$251,MATCH('Mapa Riesgo Corrupción'!B61,'Controles de Corrupción'!#REF!,0),33),"")</f>
        <v/>
      </c>
      <c r="J61" s="865" t="str">
        <f>IFERROR(INDEX('Controles de Corrupción'!$C$10:$AY$251,MATCH('Mapa Riesgo Corrupción'!B61,'Controles de Corrupción'!#REF!,0),36),"")</f>
        <v/>
      </c>
      <c r="K61" s="865" t="str">
        <f>IFERROR(INDEX('Controles de Corrupción'!$C$10:$AY$251,MATCH('Mapa Riesgo Corrupción'!B61,'Controles de Corrupción'!#REF!,0),37),"")</f>
        <v/>
      </c>
      <c r="L61" s="865" t="str">
        <f>IFERROR(INDEX('Controles de Corrupción'!$C$10:$AY$251,MATCH('Mapa Riesgo Corrupción'!B61,'Controles de Corrupción'!#REF!,0),38),"")</f>
        <v/>
      </c>
      <c r="M61" s="185" t="str">
        <f>IFERROR(INDEX('Controles de Corrupción'!$C$10:$AY$249,MATCH(A61,'Controles de Corrupción'!$B$10:$B$249,0),4),"")</f>
        <v/>
      </c>
      <c r="N61" s="70" t="str">
        <f>IFERROR(INDEX('Controles de Corrupción'!$C$10:$AY$249,MATCH(A61,'Controles de Corrupción'!$B$10:$B$249,0),40),"")</f>
        <v/>
      </c>
      <c r="O61" s="70" t="str">
        <f>IFERROR(INDEX('Controles de Corrupción'!$C$10:$AY$251,MATCH(A61,'Controles de Corrupción'!$B$10:$B$251,0),41),"")</f>
        <v/>
      </c>
      <c r="P61" s="70" t="str">
        <f>IFERROR(INDEX('Controles de Corrupción'!$C$10:$AY$251,MATCH(A61,'Controles de Corrupción'!$B$10:$B$251,0),42),"")</f>
        <v/>
      </c>
      <c r="Q61" s="186" t="str">
        <f>IFERROR(INDEX('Controles de Corrupción'!$C$10:$AY$251,MATCH(A61,'Controles de Corrupción'!$B$10:$B$251,0),47),"")</f>
        <v/>
      </c>
    </row>
    <row r="62" spans="1:17" x14ac:dyDescent="0.25">
      <c r="A62" s="115" t="s">
        <v>294</v>
      </c>
      <c r="B62" s="940"/>
      <c r="C62" s="1021"/>
      <c r="D62" s="861"/>
      <c r="E62" s="863"/>
      <c r="F62" s="865"/>
      <c r="G62" s="865"/>
      <c r="H62" s="867"/>
      <c r="I62" s="865"/>
      <c r="J62" s="865"/>
      <c r="K62" s="865"/>
      <c r="L62" s="865"/>
      <c r="M62" s="185" t="str">
        <f>IFERROR(INDEX('Controles de Corrupción'!$C$10:$AY$249,MATCH(A62,'Controles de Corrupción'!$B$10:$B$249,0),4),"")</f>
        <v/>
      </c>
      <c r="N62" s="70" t="str">
        <f>IFERROR(INDEX('Controles de Corrupción'!$C$10:$AY$249,MATCH(A62,'Controles de Corrupción'!$B$10:$B$249,0),40),"")</f>
        <v/>
      </c>
      <c r="O62" s="70" t="str">
        <f>IFERROR(INDEX('Controles de Corrupción'!$C$10:$AY$251,MATCH(A62,'Controles de Corrupción'!$B$10:$B$251,0),41),"")</f>
        <v/>
      </c>
      <c r="P62" s="70" t="str">
        <f>IFERROR(INDEX('Controles de Corrupción'!$C$10:$AY$251,MATCH(A62,'Controles de Corrupción'!$B$10:$B$251,0),42),"")</f>
        <v/>
      </c>
      <c r="Q62" s="186" t="str">
        <f>IFERROR(INDEX('Controles de Corrupción'!$C$10:$AY$251,MATCH(A62,'Controles de Corrupción'!$B$10:$B$251,0),47),"")</f>
        <v/>
      </c>
    </row>
    <row r="63" spans="1:17" x14ac:dyDescent="0.25">
      <c r="A63" s="115" t="s">
        <v>295</v>
      </c>
      <c r="B63" s="940"/>
      <c r="C63" s="1021"/>
      <c r="D63" s="861"/>
      <c r="E63" s="863"/>
      <c r="F63" s="865"/>
      <c r="G63" s="865"/>
      <c r="H63" s="867"/>
      <c r="I63" s="865"/>
      <c r="J63" s="865"/>
      <c r="K63" s="865"/>
      <c r="L63" s="865"/>
      <c r="M63" s="185" t="str">
        <f>IFERROR(INDEX('Controles de Corrupción'!$C$10:$AY$249,MATCH(A63,'Controles de Corrupción'!$B$10:$B$249,0),4),"")</f>
        <v/>
      </c>
      <c r="N63" s="70" t="str">
        <f>IFERROR(INDEX('Controles de Corrupción'!$C$10:$AY$249,MATCH(A63,'Controles de Corrupción'!$B$10:$B$249,0),40),"")</f>
        <v/>
      </c>
      <c r="O63" s="70" t="str">
        <f>IFERROR(INDEX('Controles de Corrupción'!$C$10:$AY$251,MATCH(A63,'Controles de Corrupción'!$B$10:$B$251,0),41),"")</f>
        <v/>
      </c>
      <c r="P63" s="70" t="str">
        <f>IFERROR(INDEX('Controles de Corrupción'!$C$10:$AY$251,MATCH(A63,'Controles de Corrupción'!$B$10:$B$251,0),42),"")</f>
        <v/>
      </c>
      <c r="Q63" s="186" t="str">
        <f>IFERROR(INDEX('Controles de Corrupción'!$C$10:$AY$251,MATCH(A63,'Controles de Corrupción'!$B$10:$B$251,0),47),"")</f>
        <v/>
      </c>
    </row>
    <row r="64" spans="1:17" x14ac:dyDescent="0.25">
      <c r="A64" s="115" t="s">
        <v>296</v>
      </c>
      <c r="B64" s="940"/>
      <c r="C64" s="1021"/>
      <c r="D64" s="861"/>
      <c r="E64" s="863"/>
      <c r="F64" s="865"/>
      <c r="G64" s="865"/>
      <c r="H64" s="867"/>
      <c r="I64" s="865"/>
      <c r="J64" s="865"/>
      <c r="K64" s="865"/>
      <c r="L64" s="865"/>
      <c r="M64" s="185" t="str">
        <f>IFERROR(INDEX('Controles de Corrupción'!$C$10:$AY$249,MATCH(A64,'Controles de Corrupción'!$B$10:$B$249,0),4),"")</f>
        <v/>
      </c>
      <c r="N64" s="70" t="str">
        <f>IFERROR(INDEX('Controles de Corrupción'!$C$10:$AY$249,MATCH(A64,'Controles de Corrupción'!$B$10:$B$249,0),40),"")</f>
        <v/>
      </c>
      <c r="O64" s="70" t="str">
        <f>IFERROR(INDEX('Controles de Corrupción'!$C$10:$AY$251,MATCH(A64,'Controles de Corrupción'!$B$10:$B$251,0),41),"")</f>
        <v/>
      </c>
      <c r="P64" s="70" t="str">
        <f>IFERROR(INDEX('Controles de Corrupción'!$C$10:$AY$251,MATCH(A64,'Controles de Corrupción'!$B$10:$B$251,0),42),"")</f>
        <v/>
      </c>
      <c r="Q64" s="186" t="str">
        <f>IFERROR(INDEX('Controles de Corrupción'!$C$10:$AY$251,MATCH(A64,'Controles de Corrupción'!$B$10:$B$251,0),47),"")</f>
        <v/>
      </c>
    </row>
    <row r="65" spans="1:17" x14ac:dyDescent="0.25">
      <c r="A65" s="115" t="s">
        <v>297</v>
      </c>
      <c r="B65" s="940"/>
      <c r="C65" s="1021"/>
      <c r="D65" s="861"/>
      <c r="E65" s="863"/>
      <c r="F65" s="865"/>
      <c r="G65" s="865"/>
      <c r="H65" s="867"/>
      <c r="I65" s="865"/>
      <c r="J65" s="865"/>
      <c r="K65" s="865"/>
      <c r="L65" s="865"/>
      <c r="M65" s="185" t="str">
        <f>IFERROR(INDEX('Controles de Corrupción'!$C$10:$AY$249,MATCH(A65,'Controles de Corrupción'!$B$10:$B$249,0),4),"")</f>
        <v/>
      </c>
      <c r="N65" s="70" t="str">
        <f>IFERROR(INDEX('Controles de Corrupción'!$C$10:$AY$249,MATCH(A65,'Controles de Corrupción'!$B$10:$B$249,0),40),"")</f>
        <v/>
      </c>
      <c r="O65" s="70" t="str">
        <f>IFERROR(INDEX('Controles de Corrupción'!$C$10:$AY$251,MATCH(A65,'Controles de Corrupción'!$B$10:$B$251,0),41),"")</f>
        <v/>
      </c>
      <c r="P65" s="70" t="str">
        <f>IFERROR(INDEX('Controles de Corrupción'!$C$10:$AY$251,MATCH(A65,'Controles de Corrupción'!$B$10:$B$251,0),42),"")</f>
        <v/>
      </c>
      <c r="Q65" s="186" t="str">
        <f>IFERROR(INDEX('Controles de Corrupción'!$C$10:$AY$251,MATCH(A65,'Controles de Corrupción'!$B$10:$B$251,0),47),"")</f>
        <v/>
      </c>
    </row>
    <row r="66" spans="1:17" x14ac:dyDescent="0.25">
      <c r="A66" s="115" t="s">
        <v>298</v>
      </c>
      <c r="B66" s="856"/>
      <c r="C66" s="1021"/>
      <c r="D66" s="861"/>
      <c r="E66" s="863"/>
      <c r="F66" s="865"/>
      <c r="G66" s="865"/>
      <c r="H66" s="867"/>
      <c r="I66" s="865"/>
      <c r="J66" s="865"/>
      <c r="K66" s="865"/>
      <c r="L66" s="865"/>
      <c r="M66" s="185" t="str">
        <f>IFERROR(INDEX('Controles de Corrupción'!$C$10:$AY$249,MATCH(A66,'Controles de Corrupción'!$B$10:$B$249,0),4),"")</f>
        <v/>
      </c>
      <c r="N66" s="70" t="str">
        <f>IFERROR(INDEX('Controles de Corrupción'!$C$10:$AY$249,MATCH(A66,'Controles de Corrupción'!$B$10:$B$249,0),40),"")</f>
        <v/>
      </c>
      <c r="O66" s="70" t="str">
        <f>IFERROR(INDEX('Controles de Corrupción'!$C$10:$AY$251,MATCH(A66,'Controles de Corrupción'!$B$10:$B$251,0),41),"")</f>
        <v/>
      </c>
      <c r="P66" s="70" t="str">
        <f>IFERROR(INDEX('Controles de Corrupción'!$C$10:$AY$251,MATCH(A66,'Controles de Corrupción'!$B$10:$B$251,0),42),"")</f>
        <v/>
      </c>
      <c r="Q66" s="186" t="str">
        <f>IFERROR(INDEX('Controles de Corrupción'!$C$10:$AY$251,MATCH(A66,'Controles de Corrupción'!$B$10:$B$251,0),47),"")</f>
        <v/>
      </c>
    </row>
    <row r="67" spans="1:17" x14ac:dyDescent="0.25">
      <c r="A67" s="115" t="s">
        <v>299</v>
      </c>
      <c r="B67" s="936"/>
      <c r="C67" s="1020" t="str">
        <f>IFERROR(INDEX('Riesgos de Corrupción'!$B$11:$BN$100,MATCH('Mapa Riesgo Corrupción'!B67,'Riesgos de Corrupción'!$B$11:$B$100,0),2),"")</f>
        <v/>
      </c>
      <c r="D67" s="860" t="str">
        <f>IFERROR(INDEX('Riesgos de Corrupción'!$B$11:$BN$100,MATCH('Mapa Riesgo Corrupción'!B67,'Riesgos de Corrupción'!$B$11:$B$100,0),4),"")</f>
        <v/>
      </c>
      <c r="E67" s="862" t="str">
        <f>IFERROR(INDEX('Riesgos de Corrupción'!$B$11:$BN$100,MATCH('Mapa Riesgo Corrupción'!B67,'Riesgos de Corrupción'!$B$11:$B$100,0),5),"")</f>
        <v/>
      </c>
      <c r="F67" s="865" t="str">
        <f>IFERROR(INDEX('Riesgos de Corrupción'!$B$11:$BN$100,MATCH('Mapa Riesgo Corrupción'!B67,'Riesgos de Corrupción'!$B$11:$B$100,0),18),"")</f>
        <v/>
      </c>
      <c r="G67" s="865" t="str">
        <f>IFERROR(INDEX('Riesgos de Corrupción'!$B$11:$BN$100,MATCH('Mapa Riesgo Corrupción'!B67,'Riesgos de Corrupción'!$B$11:$B$100,0),63),"")</f>
        <v/>
      </c>
      <c r="H67" s="867" t="str">
        <f>IFERROR(INDEX('Riesgos de Corrupción'!$B$11:$BN$100,MATCH('Mapa Riesgo Corrupción'!B67,'Riesgos de Corrupción'!$B$11:$B$100,0),64),"")</f>
        <v/>
      </c>
      <c r="I67" s="865" t="str">
        <f>IFERROR(INDEX('Controles de Corrupción'!$C$10:$AY$251,MATCH('Mapa Riesgo Corrupción'!B67,'Controles de Corrupción'!#REF!,0),33),"")</f>
        <v/>
      </c>
      <c r="J67" s="865" t="str">
        <f>IFERROR(INDEX('Controles de Corrupción'!$C$10:$AY$251,MATCH('Mapa Riesgo Corrupción'!B67,'Controles de Corrupción'!#REF!,0),36),"")</f>
        <v/>
      </c>
      <c r="K67" s="865" t="str">
        <f>IFERROR(INDEX('Controles de Corrupción'!$C$10:$AY$251,MATCH('Mapa Riesgo Corrupción'!B67,'Controles de Corrupción'!#REF!,0),37),"")</f>
        <v/>
      </c>
      <c r="L67" s="865" t="str">
        <f>IFERROR(INDEX('Controles de Corrupción'!$C$10:$AY$251,MATCH('Mapa Riesgo Corrupción'!B67,'Controles de Corrupción'!#REF!,0),38),"")</f>
        <v/>
      </c>
      <c r="M67" s="185" t="str">
        <f>IFERROR(INDEX('Controles de Corrupción'!$C$10:$AY$249,MATCH(A67,'Controles de Corrupción'!$B$10:$B$249,0),4),"")</f>
        <v/>
      </c>
      <c r="N67" s="70" t="str">
        <f>IFERROR(INDEX('Controles de Corrupción'!$C$10:$AY$249,MATCH(A67,'Controles de Corrupción'!$B$10:$B$249,0),40),"")</f>
        <v/>
      </c>
      <c r="O67" s="70" t="str">
        <f>IFERROR(INDEX('Controles de Corrupción'!$C$10:$AY$251,MATCH(A67,'Controles de Corrupción'!$B$10:$B$251,0),41),"")</f>
        <v/>
      </c>
      <c r="P67" s="70" t="str">
        <f>IFERROR(INDEX('Controles de Corrupción'!$C$10:$AY$251,MATCH(A67,'Controles de Corrupción'!$B$10:$B$251,0),42),"")</f>
        <v/>
      </c>
      <c r="Q67" s="186" t="str">
        <f>IFERROR(INDEX('Controles de Corrupción'!$C$10:$AY$251,MATCH(A67,'Controles de Corrupción'!$B$10:$B$251,0),47),"")</f>
        <v/>
      </c>
    </row>
    <row r="68" spans="1:17" x14ac:dyDescent="0.25">
      <c r="A68" s="115" t="s">
        <v>300</v>
      </c>
      <c r="B68" s="940"/>
      <c r="C68" s="1021"/>
      <c r="D68" s="861"/>
      <c r="E68" s="863"/>
      <c r="F68" s="865"/>
      <c r="G68" s="865"/>
      <c r="H68" s="867"/>
      <c r="I68" s="865"/>
      <c r="J68" s="865"/>
      <c r="K68" s="865"/>
      <c r="L68" s="865"/>
      <c r="M68" s="185" t="str">
        <f>IFERROR(INDEX('Controles de Corrupción'!$C$10:$AY$249,MATCH(A68,'Controles de Corrupción'!$B$10:$B$249,0),4),"")</f>
        <v/>
      </c>
      <c r="N68" s="70" t="str">
        <f>IFERROR(INDEX('Controles de Corrupción'!$C$10:$AY$249,MATCH(A68,'Controles de Corrupción'!$B$10:$B$249,0),40),"")</f>
        <v/>
      </c>
      <c r="O68" s="70" t="str">
        <f>IFERROR(INDEX('Controles de Corrupción'!$C$10:$AY$251,MATCH(A68,'Controles de Corrupción'!$B$10:$B$251,0),41),"")</f>
        <v/>
      </c>
      <c r="P68" s="70" t="str">
        <f>IFERROR(INDEX('Controles de Corrupción'!$C$10:$AY$251,MATCH(A68,'Controles de Corrupción'!$B$10:$B$251,0),42),"")</f>
        <v/>
      </c>
      <c r="Q68" s="186" t="str">
        <f>IFERROR(INDEX('Controles de Corrupción'!$C$10:$AY$251,MATCH(A68,'Controles de Corrupción'!$B$10:$B$251,0),47),"")</f>
        <v/>
      </c>
    </row>
    <row r="69" spans="1:17" x14ac:dyDescent="0.25">
      <c r="A69" s="115" t="s">
        <v>301</v>
      </c>
      <c r="B69" s="940"/>
      <c r="C69" s="1021"/>
      <c r="D69" s="861"/>
      <c r="E69" s="863"/>
      <c r="F69" s="865"/>
      <c r="G69" s="865"/>
      <c r="H69" s="867"/>
      <c r="I69" s="865"/>
      <c r="J69" s="865"/>
      <c r="K69" s="865"/>
      <c r="L69" s="865"/>
      <c r="M69" s="185" t="str">
        <f>IFERROR(INDEX('Controles de Corrupción'!$C$10:$AY$249,MATCH(A69,'Controles de Corrupción'!$B$10:$B$249,0),4),"")</f>
        <v/>
      </c>
      <c r="N69" s="70" t="str">
        <f>IFERROR(INDEX('Controles de Corrupción'!$C$10:$AY$249,MATCH(A69,'Controles de Corrupción'!$B$10:$B$249,0),40),"")</f>
        <v/>
      </c>
      <c r="O69" s="70" t="str">
        <f>IFERROR(INDEX('Controles de Corrupción'!$C$10:$AY$251,MATCH(A69,'Controles de Corrupción'!$B$10:$B$251,0),41),"")</f>
        <v/>
      </c>
      <c r="P69" s="70" t="str">
        <f>IFERROR(INDEX('Controles de Corrupción'!$C$10:$AY$251,MATCH(A69,'Controles de Corrupción'!$B$10:$B$251,0),42),"")</f>
        <v/>
      </c>
      <c r="Q69" s="186" t="str">
        <f>IFERROR(INDEX('Controles de Corrupción'!$C$10:$AY$251,MATCH(A69,'Controles de Corrupción'!$B$10:$B$251,0),47),"")</f>
        <v/>
      </c>
    </row>
    <row r="70" spans="1:17" x14ac:dyDescent="0.25">
      <c r="A70" s="115" t="s">
        <v>302</v>
      </c>
      <c r="B70" s="940"/>
      <c r="C70" s="1021"/>
      <c r="D70" s="861"/>
      <c r="E70" s="863"/>
      <c r="F70" s="865"/>
      <c r="G70" s="865"/>
      <c r="H70" s="867"/>
      <c r="I70" s="865"/>
      <c r="J70" s="865"/>
      <c r="K70" s="865"/>
      <c r="L70" s="865"/>
      <c r="M70" s="185" t="str">
        <f>IFERROR(INDEX('Controles de Corrupción'!$C$10:$AY$249,MATCH(A70,'Controles de Corrupción'!$B$10:$B$249,0),4),"")</f>
        <v/>
      </c>
      <c r="N70" s="70" t="str">
        <f>IFERROR(INDEX('Controles de Corrupción'!$C$10:$AY$249,MATCH(A70,'Controles de Corrupción'!$B$10:$B$249,0),40),"")</f>
        <v/>
      </c>
      <c r="O70" s="70" t="str">
        <f>IFERROR(INDEX('Controles de Corrupción'!$C$10:$AY$251,MATCH(A70,'Controles de Corrupción'!$B$10:$B$251,0),41),"")</f>
        <v/>
      </c>
      <c r="P70" s="70" t="str">
        <f>IFERROR(INDEX('Controles de Corrupción'!$C$10:$AY$251,MATCH(A70,'Controles de Corrupción'!$B$10:$B$251,0),42),"")</f>
        <v/>
      </c>
      <c r="Q70" s="186" t="str">
        <f>IFERROR(INDEX('Controles de Corrupción'!$C$10:$AY$251,MATCH(A70,'Controles de Corrupción'!$B$10:$B$251,0),47),"")</f>
        <v/>
      </c>
    </row>
    <row r="71" spans="1:17" x14ac:dyDescent="0.25">
      <c r="A71" s="115" t="s">
        <v>303</v>
      </c>
      <c r="B71" s="940"/>
      <c r="C71" s="1021"/>
      <c r="D71" s="861"/>
      <c r="E71" s="863"/>
      <c r="F71" s="865"/>
      <c r="G71" s="865"/>
      <c r="H71" s="867"/>
      <c r="I71" s="865"/>
      <c r="J71" s="865"/>
      <c r="K71" s="865"/>
      <c r="L71" s="865"/>
      <c r="M71" s="185" t="str">
        <f>IFERROR(INDEX('Controles de Corrupción'!$C$10:$AY$249,MATCH(A71,'Controles de Corrupción'!$B$10:$B$249,0),4),"")</f>
        <v/>
      </c>
      <c r="N71" s="70" t="str">
        <f>IFERROR(INDEX('Controles de Corrupción'!$C$10:$AY$249,MATCH(A71,'Controles de Corrupción'!$B$10:$B$249,0),40),"")</f>
        <v/>
      </c>
      <c r="O71" s="70" t="str">
        <f>IFERROR(INDEX('Controles de Corrupción'!$C$10:$AY$251,MATCH(A71,'Controles de Corrupción'!$B$10:$B$251,0),41),"")</f>
        <v/>
      </c>
      <c r="P71" s="70" t="str">
        <f>IFERROR(INDEX('Controles de Corrupción'!$C$10:$AY$251,MATCH(A71,'Controles de Corrupción'!$B$10:$B$251,0),42),"")</f>
        <v/>
      </c>
      <c r="Q71" s="186" t="str">
        <f>IFERROR(INDEX('Controles de Corrupción'!$C$10:$AY$251,MATCH(A71,'Controles de Corrupción'!$B$10:$B$251,0),47),"")</f>
        <v/>
      </c>
    </row>
    <row r="72" spans="1:17" x14ac:dyDescent="0.25">
      <c r="A72" s="115" t="s">
        <v>304</v>
      </c>
      <c r="B72" s="856"/>
      <c r="C72" s="1021"/>
      <c r="D72" s="861"/>
      <c r="E72" s="863"/>
      <c r="F72" s="865"/>
      <c r="G72" s="865"/>
      <c r="H72" s="867"/>
      <c r="I72" s="865"/>
      <c r="J72" s="865"/>
      <c r="K72" s="865"/>
      <c r="L72" s="865"/>
      <c r="M72" s="185" t="str">
        <f>IFERROR(INDEX('Controles de Corrupción'!$C$10:$AY$249,MATCH(A72,'Controles de Corrupción'!$B$10:$B$249,0),4),"")</f>
        <v/>
      </c>
      <c r="N72" s="70" t="str">
        <f>IFERROR(INDEX('Controles de Corrupción'!$C$10:$AY$249,MATCH(A72,'Controles de Corrupción'!$B$10:$B$249,0),40),"")</f>
        <v/>
      </c>
      <c r="O72" s="70" t="str">
        <f>IFERROR(INDEX('Controles de Corrupción'!$C$10:$AY$251,MATCH(A72,'Controles de Corrupción'!$B$10:$B$251,0),41),"")</f>
        <v/>
      </c>
      <c r="P72" s="70" t="str">
        <f>IFERROR(INDEX('Controles de Corrupción'!$C$10:$AY$251,MATCH(A72,'Controles de Corrupción'!$B$10:$B$251,0),42),"")</f>
        <v/>
      </c>
      <c r="Q72" s="186" t="str">
        <f>IFERROR(INDEX('Controles de Corrupción'!$C$10:$AY$251,MATCH(A72,'Controles de Corrupción'!$B$10:$B$251,0),47),"")</f>
        <v/>
      </c>
    </row>
    <row r="73" spans="1:17" x14ac:dyDescent="0.25">
      <c r="A73" s="115" t="s">
        <v>305</v>
      </c>
      <c r="B73" s="936"/>
      <c r="C73" s="1020" t="str">
        <f>IFERROR(INDEX('Riesgos de Corrupción'!$B$11:$BN$100,MATCH('Mapa Riesgo Corrupción'!B73,'Riesgos de Corrupción'!$B$11:$B$100,0),2),"")</f>
        <v/>
      </c>
      <c r="D73" s="860" t="str">
        <f>IFERROR(INDEX('Riesgos de Corrupción'!$B$11:$BN$100,MATCH('Mapa Riesgo Corrupción'!B73,'Riesgos de Corrupción'!$B$11:$B$100,0),4),"")</f>
        <v/>
      </c>
      <c r="E73" s="862" t="str">
        <f>IFERROR(INDEX('Riesgos de Corrupción'!$B$11:$BN$100,MATCH('Mapa Riesgo Corrupción'!B73,'Riesgos de Corrupción'!$B$11:$B$100,0),5),"")</f>
        <v/>
      </c>
      <c r="F73" s="865" t="str">
        <f>IFERROR(INDEX('Riesgos de Corrupción'!$B$11:$BN$100,MATCH('Mapa Riesgo Corrupción'!B73,'Riesgos de Corrupción'!$B$11:$B$100,0),18),"")</f>
        <v/>
      </c>
      <c r="G73" s="865" t="str">
        <f>IFERROR(INDEX('Riesgos de Corrupción'!$B$11:$BN$100,MATCH('Mapa Riesgo Corrupción'!B73,'Riesgos de Corrupción'!$B$11:$B$100,0),63),"")</f>
        <v/>
      </c>
      <c r="H73" s="867" t="str">
        <f>IFERROR(INDEX('Riesgos de Corrupción'!$B$11:$BN$100,MATCH('Mapa Riesgo Corrupción'!B73,'Riesgos de Corrupción'!$B$11:$B$100,0),64),"")</f>
        <v/>
      </c>
      <c r="I73" s="865" t="str">
        <f>IFERROR(INDEX('Controles de Corrupción'!$C$10:$AY$251,MATCH('Mapa Riesgo Corrupción'!B73,'Controles de Corrupción'!#REF!,0),33),"")</f>
        <v/>
      </c>
      <c r="J73" s="865" t="str">
        <f>IFERROR(INDEX('Controles de Corrupción'!$C$10:$AY$251,MATCH('Mapa Riesgo Corrupción'!B73,'Controles de Corrupción'!#REF!,0),36),"")</f>
        <v/>
      </c>
      <c r="K73" s="865" t="str">
        <f>IFERROR(INDEX('Controles de Corrupción'!$C$10:$AY$251,MATCH('Mapa Riesgo Corrupción'!B73,'Controles de Corrupción'!#REF!,0),37),"")</f>
        <v/>
      </c>
      <c r="L73" s="865" t="str">
        <f>IFERROR(INDEX('Controles de Corrupción'!$C$10:$AY$251,MATCH('Mapa Riesgo Corrupción'!B73,'Controles de Corrupción'!#REF!,0),38),"")</f>
        <v/>
      </c>
      <c r="M73" s="185" t="str">
        <f>IFERROR(INDEX('Controles de Corrupción'!$C$10:$AY$249,MATCH(A73,'Controles de Corrupción'!$B$10:$B$249,0),4),"")</f>
        <v/>
      </c>
      <c r="N73" s="70" t="str">
        <f>IFERROR(INDEX('Controles de Corrupción'!$C$10:$AY$249,MATCH(A73,'Controles de Corrupción'!$B$10:$B$249,0),40),"")</f>
        <v/>
      </c>
      <c r="O73" s="70" t="str">
        <f>IFERROR(INDEX('Controles de Corrupción'!$C$10:$AY$251,MATCH(A73,'Controles de Corrupción'!$B$10:$B$251,0),41),"")</f>
        <v/>
      </c>
      <c r="P73" s="70" t="str">
        <f>IFERROR(INDEX('Controles de Corrupción'!$C$10:$AY$251,MATCH(A73,'Controles de Corrupción'!$B$10:$B$251,0),42),"")</f>
        <v/>
      </c>
      <c r="Q73" s="186" t="str">
        <f>IFERROR(INDEX('Controles de Corrupción'!$C$10:$AY$251,MATCH(A73,'Controles de Corrupción'!$B$10:$B$251,0),47),"")</f>
        <v/>
      </c>
    </row>
    <row r="74" spans="1:17" x14ac:dyDescent="0.25">
      <c r="A74" s="115" t="s">
        <v>306</v>
      </c>
      <c r="B74" s="940"/>
      <c r="C74" s="1021"/>
      <c r="D74" s="861"/>
      <c r="E74" s="863"/>
      <c r="F74" s="865"/>
      <c r="G74" s="865"/>
      <c r="H74" s="867"/>
      <c r="I74" s="865"/>
      <c r="J74" s="865"/>
      <c r="K74" s="865"/>
      <c r="L74" s="865"/>
      <c r="M74" s="185" t="str">
        <f>IFERROR(INDEX('Controles de Corrupción'!$C$10:$AY$249,MATCH(A74,'Controles de Corrupción'!$B$10:$B$249,0),4),"")</f>
        <v/>
      </c>
      <c r="N74" s="70" t="str">
        <f>IFERROR(INDEX('Controles de Corrupción'!$C$10:$AY$249,MATCH(A74,'Controles de Corrupción'!$B$10:$B$249,0),40),"")</f>
        <v/>
      </c>
      <c r="O74" s="70" t="str">
        <f>IFERROR(INDEX('Controles de Corrupción'!$C$10:$AY$251,MATCH(A74,'Controles de Corrupción'!$B$10:$B$251,0),41),"")</f>
        <v/>
      </c>
      <c r="P74" s="70" t="str">
        <f>IFERROR(INDEX('Controles de Corrupción'!$C$10:$AY$251,MATCH(A74,'Controles de Corrupción'!$B$10:$B$251,0),42),"")</f>
        <v/>
      </c>
      <c r="Q74" s="186" t="str">
        <f>IFERROR(INDEX('Controles de Corrupción'!$C$10:$AY$251,MATCH(A74,'Controles de Corrupción'!$B$10:$B$251,0),47),"")</f>
        <v/>
      </c>
    </row>
    <row r="75" spans="1:17" x14ac:dyDescent="0.25">
      <c r="A75" s="115" t="s">
        <v>307</v>
      </c>
      <c r="B75" s="940"/>
      <c r="C75" s="1021"/>
      <c r="D75" s="861"/>
      <c r="E75" s="863"/>
      <c r="F75" s="865"/>
      <c r="G75" s="865"/>
      <c r="H75" s="867"/>
      <c r="I75" s="865"/>
      <c r="J75" s="865"/>
      <c r="K75" s="865"/>
      <c r="L75" s="865"/>
      <c r="M75" s="185" t="str">
        <f>IFERROR(INDEX('Controles de Corrupción'!$C$10:$AY$249,MATCH(A75,'Controles de Corrupción'!$B$10:$B$249,0),4),"")</f>
        <v/>
      </c>
      <c r="N75" s="70" t="str">
        <f>IFERROR(INDEX('Controles de Corrupción'!$C$10:$AY$249,MATCH(A75,'Controles de Corrupción'!$B$10:$B$249,0),40),"")</f>
        <v/>
      </c>
      <c r="O75" s="70" t="str">
        <f>IFERROR(INDEX('Controles de Corrupción'!$C$10:$AY$251,MATCH(A75,'Controles de Corrupción'!$B$10:$B$251,0),41),"")</f>
        <v/>
      </c>
      <c r="P75" s="70" t="str">
        <f>IFERROR(INDEX('Controles de Corrupción'!$C$10:$AY$251,MATCH(A75,'Controles de Corrupción'!$B$10:$B$251,0),42),"")</f>
        <v/>
      </c>
      <c r="Q75" s="186" t="str">
        <f>IFERROR(INDEX('Controles de Corrupción'!$C$10:$AY$251,MATCH(A75,'Controles de Corrupción'!$B$10:$B$251,0),47),"")</f>
        <v/>
      </c>
    </row>
    <row r="76" spans="1:17" x14ac:dyDescent="0.25">
      <c r="A76" s="115" t="s">
        <v>308</v>
      </c>
      <c r="B76" s="940"/>
      <c r="C76" s="1021"/>
      <c r="D76" s="861"/>
      <c r="E76" s="863"/>
      <c r="F76" s="865"/>
      <c r="G76" s="865"/>
      <c r="H76" s="867"/>
      <c r="I76" s="865"/>
      <c r="J76" s="865"/>
      <c r="K76" s="865"/>
      <c r="L76" s="865"/>
      <c r="M76" s="185" t="str">
        <f>IFERROR(INDEX('Controles de Corrupción'!$C$10:$AY$249,MATCH(A76,'Controles de Corrupción'!$B$10:$B$249,0),4),"")</f>
        <v/>
      </c>
      <c r="N76" s="70" t="str">
        <f>IFERROR(INDEX('Controles de Corrupción'!$C$10:$AY$249,MATCH(A76,'Controles de Corrupción'!$B$10:$B$249,0),40),"")</f>
        <v/>
      </c>
      <c r="O76" s="70" t="str">
        <f>IFERROR(INDEX('Controles de Corrupción'!$C$10:$AY$251,MATCH(A76,'Controles de Corrupción'!$B$10:$B$251,0),41),"")</f>
        <v/>
      </c>
      <c r="P76" s="70" t="str">
        <f>IFERROR(INDEX('Controles de Corrupción'!$C$10:$AY$251,MATCH(A76,'Controles de Corrupción'!$B$10:$B$251,0),42),"")</f>
        <v/>
      </c>
      <c r="Q76" s="186" t="str">
        <f>IFERROR(INDEX('Controles de Corrupción'!$C$10:$AY$251,MATCH(A76,'Controles de Corrupción'!$B$10:$B$251,0),47),"")</f>
        <v/>
      </c>
    </row>
    <row r="77" spans="1:17" x14ac:dyDescent="0.25">
      <c r="A77" s="115" t="s">
        <v>309</v>
      </c>
      <c r="B77" s="940"/>
      <c r="C77" s="1021"/>
      <c r="D77" s="861"/>
      <c r="E77" s="863"/>
      <c r="F77" s="865"/>
      <c r="G77" s="865"/>
      <c r="H77" s="867"/>
      <c r="I77" s="865"/>
      <c r="J77" s="865"/>
      <c r="K77" s="865"/>
      <c r="L77" s="865"/>
      <c r="M77" s="185" t="str">
        <f>IFERROR(INDEX('Controles de Corrupción'!$C$10:$AY$249,MATCH(A77,'Controles de Corrupción'!$B$10:$B$249,0),4),"")</f>
        <v/>
      </c>
      <c r="N77" s="70" t="str">
        <f>IFERROR(INDEX('Controles de Corrupción'!$C$10:$AY$249,MATCH(A77,'Controles de Corrupción'!$B$10:$B$249,0),40),"")</f>
        <v/>
      </c>
      <c r="O77" s="70" t="str">
        <f>IFERROR(INDEX('Controles de Corrupción'!$C$10:$AY$251,MATCH(A77,'Controles de Corrupción'!$B$10:$B$251,0),41),"")</f>
        <v/>
      </c>
      <c r="P77" s="70" t="str">
        <f>IFERROR(INDEX('Controles de Corrupción'!$C$10:$AY$251,MATCH(A77,'Controles de Corrupción'!$B$10:$B$251,0),42),"")</f>
        <v/>
      </c>
      <c r="Q77" s="186" t="str">
        <f>IFERROR(INDEX('Controles de Corrupción'!$C$10:$AY$251,MATCH(A77,'Controles de Corrupción'!$B$10:$B$251,0),47),"")</f>
        <v/>
      </c>
    </row>
    <row r="78" spans="1:17" x14ac:dyDescent="0.25">
      <c r="A78" s="115" t="s">
        <v>310</v>
      </c>
      <c r="B78" s="856"/>
      <c r="C78" s="1021"/>
      <c r="D78" s="861"/>
      <c r="E78" s="863"/>
      <c r="F78" s="865"/>
      <c r="G78" s="865"/>
      <c r="H78" s="867"/>
      <c r="I78" s="865"/>
      <c r="J78" s="865"/>
      <c r="K78" s="865"/>
      <c r="L78" s="865"/>
      <c r="M78" s="185" t="str">
        <f>IFERROR(INDEX('Controles de Corrupción'!$C$10:$AY$249,MATCH(A78,'Controles de Corrupción'!$B$10:$B$249,0),4),"")</f>
        <v/>
      </c>
      <c r="N78" s="70" t="str">
        <f>IFERROR(INDEX('Controles de Corrupción'!$C$10:$AY$249,MATCH(A78,'Controles de Corrupción'!$B$10:$B$249,0),40),"")</f>
        <v/>
      </c>
      <c r="O78" s="70" t="str">
        <f>IFERROR(INDEX('Controles de Corrupción'!$C$10:$AY$251,MATCH(A78,'Controles de Corrupción'!$B$10:$B$251,0),41),"")</f>
        <v/>
      </c>
      <c r="P78" s="70" t="str">
        <f>IFERROR(INDEX('Controles de Corrupción'!$C$10:$AY$251,MATCH(A78,'Controles de Corrupción'!$B$10:$B$251,0),42),"")</f>
        <v/>
      </c>
      <c r="Q78" s="186" t="str">
        <f>IFERROR(INDEX('Controles de Corrupción'!$C$10:$AY$251,MATCH(A78,'Controles de Corrupción'!$B$10:$B$251,0),47),"")</f>
        <v/>
      </c>
    </row>
    <row r="79" spans="1:17" x14ac:dyDescent="0.25">
      <c r="A79" s="115" t="s">
        <v>311</v>
      </c>
      <c r="B79" s="936"/>
      <c r="C79" s="1020" t="str">
        <f>IFERROR(INDEX('Riesgos de Corrupción'!$B$11:$BN$100,MATCH('Mapa Riesgo Corrupción'!B79,'Riesgos de Corrupción'!$B$11:$B$100,0),2),"")</f>
        <v/>
      </c>
      <c r="D79" s="860" t="str">
        <f>IFERROR(INDEX('Riesgos de Corrupción'!$B$11:$BN$100,MATCH('Mapa Riesgo Corrupción'!B79,'Riesgos de Corrupción'!$B$11:$B$100,0),4),"")</f>
        <v/>
      </c>
      <c r="E79" s="862" t="str">
        <f>IFERROR(INDEX('Riesgos de Corrupción'!$B$11:$BN$100,MATCH('Mapa Riesgo Corrupción'!B79,'Riesgos de Corrupción'!$B$11:$B$100,0),5),"")</f>
        <v/>
      </c>
      <c r="F79" s="865" t="str">
        <f>IFERROR(INDEX('Riesgos de Corrupción'!$B$11:$BN$100,MATCH('Mapa Riesgo Corrupción'!B79,'Riesgos de Corrupción'!$B$11:$B$100,0),18),"")</f>
        <v/>
      </c>
      <c r="G79" s="865" t="str">
        <f>IFERROR(INDEX('Riesgos de Corrupción'!$B$11:$BN$100,MATCH('Mapa Riesgo Corrupción'!B79,'Riesgos de Corrupción'!$B$11:$B$100,0),63),"")</f>
        <v/>
      </c>
      <c r="H79" s="867" t="str">
        <f>IFERROR(INDEX('Riesgos de Corrupción'!$B$11:$BN$100,MATCH('Mapa Riesgo Corrupción'!B79,'Riesgos de Corrupción'!$B$11:$B$100,0),64),"")</f>
        <v/>
      </c>
      <c r="I79" s="865" t="str">
        <f>IFERROR(INDEX('Controles de Corrupción'!$C$10:$AY$251,MATCH('Mapa Riesgo Corrupción'!B79,'Controles de Corrupción'!#REF!,0),33),"")</f>
        <v/>
      </c>
      <c r="J79" s="865" t="str">
        <f>IFERROR(INDEX('Controles de Corrupción'!$C$10:$AY$251,MATCH('Mapa Riesgo Corrupción'!B79,'Controles de Corrupción'!#REF!,0),36),"")</f>
        <v/>
      </c>
      <c r="K79" s="865" t="str">
        <f>IFERROR(INDEX('Controles de Corrupción'!$C$10:$AY$251,MATCH('Mapa Riesgo Corrupción'!B79,'Controles de Corrupción'!#REF!,0),37),"")</f>
        <v/>
      </c>
      <c r="L79" s="865" t="str">
        <f>IFERROR(INDEX('Controles de Corrupción'!$C$10:$AY$251,MATCH('Mapa Riesgo Corrupción'!B79,'Controles de Corrupción'!#REF!,0),38),"")</f>
        <v/>
      </c>
      <c r="M79" s="185" t="str">
        <f>IFERROR(INDEX('Controles de Corrupción'!$C$10:$AY$249,MATCH(A79,'Controles de Corrupción'!$B$10:$B$249,0),4),"")</f>
        <v/>
      </c>
      <c r="N79" s="70" t="str">
        <f>IFERROR(INDEX('Controles de Corrupción'!$C$10:$AY$249,MATCH(A79,'Controles de Corrupción'!$B$10:$B$249,0),40),"")</f>
        <v/>
      </c>
      <c r="O79" s="70" t="str">
        <f>IFERROR(INDEX('Controles de Corrupción'!$C$10:$AY$251,MATCH(A79,'Controles de Corrupción'!$B$10:$B$251,0),41),"")</f>
        <v/>
      </c>
      <c r="P79" s="70" t="str">
        <f>IFERROR(INDEX('Controles de Corrupción'!$C$10:$AY$251,MATCH(A79,'Controles de Corrupción'!$B$10:$B$251,0),42),"")</f>
        <v/>
      </c>
      <c r="Q79" s="186" t="str">
        <f>IFERROR(INDEX('Controles de Corrupción'!$C$10:$AY$251,MATCH(A79,'Controles de Corrupción'!$B$10:$B$251,0),47),"")</f>
        <v/>
      </c>
    </row>
    <row r="80" spans="1:17" x14ac:dyDescent="0.25">
      <c r="A80" s="115" t="s">
        <v>312</v>
      </c>
      <c r="B80" s="940"/>
      <c r="C80" s="1021"/>
      <c r="D80" s="861"/>
      <c r="E80" s="863"/>
      <c r="F80" s="865"/>
      <c r="G80" s="865"/>
      <c r="H80" s="867"/>
      <c r="I80" s="865"/>
      <c r="J80" s="865"/>
      <c r="K80" s="865"/>
      <c r="L80" s="865"/>
      <c r="M80" s="185" t="str">
        <f>IFERROR(INDEX('Controles de Corrupción'!$C$10:$AY$249,MATCH(A80,'Controles de Corrupción'!$B$10:$B$249,0),4),"")</f>
        <v/>
      </c>
      <c r="N80" s="70" t="str">
        <f>IFERROR(INDEX('Controles de Corrupción'!$C$10:$AY$249,MATCH(A80,'Controles de Corrupción'!$B$10:$B$249,0),40),"")</f>
        <v/>
      </c>
      <c r="O80" s="70" t="str">
        <f>IFERROR(INDEX('Controles de Corrupción'!$C$10:$AY$251,MATCH(A80,'Controles de Corrupción'!$B$10:$B$251,0),41),"")</f>
        <v/>
      </c>
      <c r="P80" s="70" t="str">
        <f>IFERROR(INDEX('Controles de Corrupción'!$C$10:$AY$251,MATCH(A80,'Controles de Corrupción'!$B$10:$B$251,0),42),"")</f>
        <v/>
      </c>
      <c r="Q80" s="186" t="str">
        <f>IFERROR(INDEX('Controles de Corrupción'!$C$10:$AY$251,MATCH(A80,'Controles de Corrupción'!$B$10:$B$251,0),47),"")</f>
        <v/>
      </c>
    </row>
    <row r="81" spans="1:17" x14ac:dyDescent="0.25">
      <c r="A81" s="115" t="s">
        <v>313</v>
      </c>
      <c r="B81" s="940"/>
      <c r="C81" s="1021"/>
      <c r="D81" s="861"/>
      <c r="E81" s="863"/>
      <c r="F81" s="865"/>
      <c r="G81" s="865"/>
      <c r="H81" s="867"/>
      <c r="I81" s="865"/>
      <c r="J81" s="865"/>
      <c r="K81" s="865"/>
      <c r="L81" s="865"/>
      <c r="M81" s="185" t="str">
        <f>IFERROR(INDEX('Controles de Corrupción'!$C$10:$AY$249,MATCH(A81,'Controles de Corrupción'!$B$10:$B$249,0),4),"")</f>
        <v/>
      </c>
      <c r="N81" s="70" t="str">
        <f>IFERROR(INDEX('Controles de Corrupción'!$C$10:$AY$249,MATCH(A81,'Controles de Corrupción'!$B$10:$B$249,0),40),"")</f>
        <v/>
      </c>
      <c r="O81" s="70" t="str">
        <f>IFERROR(INDEX('Controles de Corrupción'!$C$10:$AY$251,MATCH(A81,'Controles de Corrupción'!$B$10:$B$251,0),41),"")</f>
        <v/>
      </c>
      <c r="P81" s="70" t="str">
        <f>IFERROR(INDEX('Controles de Corrupción'!$C$10:$AY$251,MATCH(A81,'Controles de Corrupción'!$B$10:$B$251,0),42),"")</f>
        <v/>
      </c>
      <c r="Q81" s="186" t="str">
        <f>IFERROR(INDEX('Controles de Corrupción'!$C$10:$AY$251,MATCH(A81,'Controles de Corrupción'!$B$10:$B$251,0),47),"")</f>
        <v/>
      </c>
    </row>
    <row r="82" spans="1:17" x14ac:dyDescent="0.25">
      <c r="A82" s="115" t="s">
        <v>314</v>
      </c>
      <c r="B82" s="940"/>
      <c r="C82" s="1021"/>
      <c r="D82" s="861"/>
      <c r="E82" s="863"/>
      <c r="F82" s="865"/>
      <c r="G82" s="865"/>
      <c r="H82" s="867"/>
      <c r="I82" s="865"/>
      <c r="J82" s="865"/>
      <c r="K82" s="865"/>
      <c r="L82" s="865"/>
      <c r="M82" s="185" t="str">
        <f>IFERROR(INDEX('Controles de Corrupción'!$C$10:$AY$249,MATCH(A82,'Controles de Corrupción'!$B$10:$B$249,0),4),"")</f>
        <v/>
      </c>
      <c r="N82" s="70" t="str">
        <f>IFERROR(INDEX('Controles de Corrupción'!$C$10:$AY$249,MATCH(A82,'Controles de Corrupción'!$B$10:$B$249,0),40),"")</f>
        <v/>
      </c>
      <c r="O82" s="70" t="str">
        <f>IFERROR(INDEX('Controles de Corrupción'!$C$10:$AY$251,MATCH(A82,'Controles de Corrupción'!$B$10:$B$251,0),41),"")</f>
        <v/>
      </c>
      <c r="P82" s="70" t="str">
        <f>IFERROR(INDEX('Controles de Corrupción'!$C$10:$AY$251,MATCH(A82,'Controles de Corrupción'!$B$10:$B$251,0),42),"")</f>
        <v/>
      </c>
      <c r="Q82" s="186" t="str">
        <f>IFERROR(INDEX('Controles de Corrupción'!$C$10:$AY$251,MATCH(A82,'Controles de Corrupción'!$B$10:$B$251,0),47),"")</f>
        <v/>
      </c>
    </row>
    <row r="83" spans="1:17" x14ac:dyDescent="0.25">
      <c r="A83" s="115" t="s">
        <v>315</v>
      </c>
      <c r="B83" s="940"/>
      <c r="C83" s="1021"/>
      <c r="D83" s="861"/>
      <c r="E83" s="863"/>
      <c r="F83" s="865"/>
      <c r="G83" s="865"/>
      <c r="H83" s="867"/>
      <c r="I83" s="865"/>
      <c r="J83" s="865"/>
      <c r="K83" s="865"/>
      <c r="L83" s="865"/>
      <c r="M83" s="185" t="str">
        <f>IFERROR(INDEX('Controles de Corrupción'!$C$10:$AY$249,MATCH(A83,'Controles de Corrupción'!$B$10:$B$249,0),4),"")</f>
        <v/>
      </c>
      <c r="N83" s="70" t="str">
        <f>IFERROR(INDEX('Controles de Corrupción'!$C$10:$AY$249,MATCH(A83,'Controles de Corrupción'!$B$10:$B$249,0),40),"")</f>
        <v/>
      </c>
      <c r="O83" s="70" t="str">
        <f>IFERROR(INDEX('Controles de Corrupción'!$C$10:$AY$251,MATCH(A83,'Controles de Corrupción'!$B$10:$B$251,0),41),"")</f>
        <v/>
      </c>
      <c r="P83" s="70" t="str">
        <f>IFERROR(INDEX('Controles de Corrupción'!$C$10:$AY$251,MATCH(A83,'Controles de Corrupción'!$B$10:$B$251,0),42),"")</f>
        <v/>
      </c>
      <c r="Q83" s="186" t="str">
        <f>IFERROR(INDEX('Controles de Corrupción'!$C$10:$AY$251,MATCH(A83,'Controles de Corrupción'!$B$10:$B$251,0),47),"")</f>
        <v/>
      </c>
    </row>
    <row r="84" spans="1:17" x14ac:dyDescent="0.25">
      <c r="A84" s="115" t="s">
        <v>316</v>
      </c>
      <c r="B84" s="856"/>
      <c r="C84" s="1021"/>
      <c r="D84" s="861"/>
      <c r="E84" s="863"/>
      <c r="F84" s="865"/>
      <c r="G84" s="865"/>
      <c r="H84" s="867"/>
      <c r="I84" s="865"/>
      <c r="J84" s="865"/>
      <c r="K84" s="865"/>
      <c r="L84" s="865"/>
      <c r="M84" s="185" t="str">
        <f>IFERROR(INDEX('Controles de Corrupción'!$C$10:$AY$249,MATCH(A84,'Controles de Corrupción'!$B$10:$B$249,0),4),"")</f>
        <v/>
      </c>
      <c r="N84" s="70" t="str">
        <f>IFERROR(INDEX('Controles de Corrupción'!$C$10:$AY$249,MATCH(A84,'Controles de Corrupción'!$B$10:$B$249,0),40),"")</f>
        <v/>
      </c>
      <c r="O84" s="70" t="str">
        <f>IFERROR(INDEX('Controles de Corrupción'!$C$10:$AY$251,MATCH(A84,'Controles de Corrupción'!$B$10:$B$251,0),41),"")</f>
        <v/>
      </c>
      <c r="P84" s="70" t="str">
        <f>IFERROR(INDEX('Controles de Corrupción'!$C$10:$AY$251,MATCH(A84,'Controles de Corrupción'!$B$10:$B$251,0),42),"")</f>
        <v/>
      </c>
      <c r="Q84" s="186" t="str">
        <f>IFERROR(INDEX('Controles de Corrupción'!$C$10:$AY$251,MATCH(A84,'Controles de Corrupción'!$B$10:$B$251,0),47),"")</f>
        <v/>
      </c>
    </row>
    <row r="85" spans="1:17" x14ac:dyDescent="0.25">
      <c r="A85" s="115" t="s">
        <v>317</v>
      </c>
      <c r="B85" s="936"/>
      <c r="C85" s="1020" t="str">
        <f>IFERROR(INDEX('Riesgos de Corrupción'!$B$11:$BN$100,MATCH('Mapa Riesgo Corrupción'!B85,'Riesgos de Corrupción'!$B$11:$B$100,0),2),"")</f>
        <v/>
      </c>
      <c r="D85" s="860" t="str">
        <f>IFERROR(INDEX('Riesgos de Corrupción'!$B$11:$BN$100,MATCH('Mapa Riesgo Corrupción'!B85,'Riesgos de Corrupción'!$B$11:$B$100,0),4),"")</f>
        <v/>
      </c>
      <c r="E85" s="862" t="str">
        <f>IFERROR(INDEX('Riesgos de Corrupción'!$B$11:$BN$100,MATCH('Mapa Riesgo Corrupción'!B85,'Riesgos de Corrupción'!$B$11:$B$100,0),5),"")</f>
        <v/>
      </c>
      <c r="F85" s="865" t="str">
        <f>IFERROR(INDEX('Riesgos de Corrupción'!$B$11:$BN$100,MATCH('Mapa Riesgo Corrupción'!B85,'Riesgos de Corrupción'!$B$11:$B$100,0),18),"")</f>
        <v/>
      </c>
      <c r="G85" s="865" t="str">
        <f>IFERROR(INDEX('Riesgos de Corrupción'!$B$11:$BN$100,MATCH('Mapa Riesgo Corrupción'!B85,'Riesgos de Corrupción'!$B$11:$B$100,0),63),"")</f>
        <v/>
      </c>
      <c r="H85" s="867" t="str">
        <f>IFERROR(INDEX('Riesgos de Corrupción'!$B$11:$BN$100,MATCH('Mapa Riesgo Corrupción'!B85,'Riesgos de Corrupción'!$B$11:$B$100,0),64),"")</f>
        <v/>
      </c>
      <c r="I85" s="865" t="str">
        <f>IFERROR(INDEX('Controles de Corrupción'!$C$10:$AY$251,MATCH('Mapa Riesgo Corrupción'!B85,'Controles de Corrupción'!#REF!,0),33),"")</f>
        <v/>
      </c>
      <c r="J85" s="865" t="str">
        <f>IFERROR(INDEX('Controles de Corrupción'!$C$10:$AY$251,MATCH('Mapa Riesgo Corrupción'!B85,'Controles de Corrupción'!#REF!,0),36),"")</f>
        <v/>
      </c>
      <c r="K85" s="865" t="str">
        <f>IFERROR(INDEX('Controles de Corrupción'!$C$10:$AY$251,MATCH('Mapa Riesgo Corrupción'!B85,'Controles de Corrupción'!#REF!,0),37),"")</f>
        <v/>
      </c>
      <c r="L85" s="865" t="str">
        <f>IFERROR(INDEX('Controles de Corrupción'!$C$10:$AY$251,MATCH('Mapa Riesgo Corrupción'!B85,'Controles de Corrupción'!#REF!,0),38),"")</f>
        <v/>
      </c>
      <c r="M85" s="185" t="str">
        <f>IFERROR(INDEX('Controles de Corrupción'!$C$10:$AY$249,MATCH(A85,'Controles de Corrupción'!$B$10:$B$249,0),4),"")</f>
        <v/>
      </c>
      <c r="N85" s="70" t="str">
        <f>IFERROR(INDEX('Controles de Corrupción'!$C$10:$AY$249,MATCH(A85,'Controles de Corrupción'!$B$10:$B$249,0),40),"")</f>
        <v/>
      </c>
      <c r="O85" s="70" t="str">
        <f>IFERROR(INDEX('Controles de Corrupción'!$C$10:$AY$251,MATCH(A85,'Controles de Corrupción'!$B$10:$B$251,0),41),"")</f>
        <v/>
      </c>
      <c r="P85" s="70" t="str">
        <f>IFERROR(INDEX('Controles de Corrupción'!$C$10:$AY$251,MATCH(A85,'Controles de Corrupción'!$B$10:$B$251,0),42),"")</f>
        <v/>
      </c>
      <c r="Q85" s="186" t="str">
        <f>IFERROR(INDEX('Controles de Corrupción'!$C$10:$AY$251,MATCH(A85,'Controles de Corrupción'!$B$10:$B$251,0),47),"")</f>
        <v/>
      </c>
    </row>
    <row r="86" spans="1:17" x14ac:dyDescent="0.25">
      <c r="A86" s="115" t="s">
        <v>318</v>
      </c>
      <c r="B86" s="940"/>
      <c r="C86" s="1021"/>
      <c r="D86" s="861"/>
      <c r="E86" s="863"/>
      <c r="F86" s="865"/>
      <c r="G86" s="865"/>
      <c r="H86" s="867"/>
      <c r="I86" s="865"/>
      <c r="J86" s="865"/>
      <c r="K86" s="865"/>
      <c r="L86" s="865"/>
      <c r="M86" s="185" t="str">
        <f>IFERROR(INDEX('Controles de Corrupción'!$C$10:$AY$249,MATCH(A86,'Controles de Corrupción'!$B$10:$B$249,0),4),"")</f>
        <v/>
      </c>
      <c r="N86" s="70" t="str">
        <f>IFERROR(INDEX('Controles de Corrupción'!$C$10:$AY$249,MATCH(A86,'Controles de Corrupción'!$B$10:$B$249,0),40),"")</f>
        <v/>
      </c>
      <c r="O86" s="70" t="str">
        <f>IFERROR(INDEX('Controles de Corrupción'!$C$10:$AY$251,MATCH(A86,'Controles de Corrupción'!$B$10:$B$251,0),41),"")</f>
        <v/>
      </c>
      <c r="P86" s="70" t="str">
        <f>IFERROR(INDEX('Controles de Corrupción'!$C$10:$AY$251,MATCH(A86,'Controles de Corrupción'!$B$10:$B$251,0),42),"")</f>
        <v/>
      </c>
      <c r="Q86" s="186" t="str">
        <f>IFERROR(INDEX('Controles de Corrupción'!$C$10:$AY$251,MATCH(A86,'Controles de Corrupción'!$B$10:$B$251,0),47),"")</f>
        <v/>
      </c>
    </row>
    <row r="87" spans="1:17" x14ac:dyDescent="0.25">
      <c r="A87" s="115" t="s">
        <v>319</v>
      </c>
      <c r="B87" s="940"/>
      <c r="C87" s="1021"/>
      <c r="D87" s="861"/>
      <c r="E87" s="863"/>
      <c r="F87" s="865"/>
      <c r="G87" s="865"/>
      <c r="H87" s="867"/>
      <c r="I87" s="865"/>
      <c r="J87" s="865"/>
      <c r="K87" s="865"/>
      <c r="L87" s="865"/>
      <c r="M87" s="185" t="str">
        <f>IFERROR(INDEX('Controles de Corrupción'!$C$10:$AY$249,MATCH(A87,'Controles de Corrupción'!$B$10:$B$249,0),4),"")</f>
        <v/>
      </c>
      <c r="N87" s="70" t="str">
        <f>IFERROR(INDEX('Controles de Corrupción'!$C$10:$AY$249,MATCH(A87,'Controles de Corrupción'!$B$10:$B$249,0),40),"")</f>
        <v/>
      </c>
      <c r="O87" s="70" t="str">
        <f>IFERROR(INDEX('Controles de Corrupción'!$C$10:$AY$251,MATCH(A87,'Controles de Corrupción'!$B$10:$B$251,0),41),"")</f>
        <v/>
      </c>
      <c r="P87" s="70" t="str">
        <f>IFERROR(INDEX('Controles de Corrupción'!$C$10:$AY$251,MATCH(A87,'Controles de Corrupción'!$B$10:$B$251,0),42),"")</f>
        <v/>
      </c>
      <c r="Q87" s="186" t="str">
        <f>IFERROR(INDEX('Controles de Corrupción'!$C$10:$AY$251,MATCH(A87,'Controles de Corrupción'!$B$10:$B$251,0),47),"")</f>
        <v/>
      </c>
    </row>
    <row r="88" spans="1:17" x14ac:dyDescent="0.25">
      <c r="A88" s="115" t="s">
        <v>320</v>
      </c>
      <c r="B88" s="940"/>
      <c r="C88" s="1021"/>
      <c r="D88" s="861"/>
      <c r="E88" s="863"/>
      <c r="F88" s="865"/>
      <c r="G88" s="865"/>
      <c r="H88" s="867"/>
      <c r="I88" s="865"/>
      <c r="J88" s="865"/>
      <c r="K88" s="865"/>
      <c r="L88" s="865"/>
      <c r="M88" s="185" t="str">
        <f>IFERROR(INDEX('Controles de Corrupción'!$C$10:$AY$249,MATCH(A88,'Controles de Corrupción'!$B$10:$B$249,0),4),"")</f>
        <v/>
      </c>
      <c r="N88" s="70" t="str">
        <f>IFERROR(INDEX('Controles de Corrupción'!$C$10:$AY$249,MATCH(A88,'Controles de Corrupción'!$B$10:$B$249,0),40),"")</f>
        <v/>
      </c>
      <c r="O88" s="70" t="str">
        <f>IFERROR(INDEX('Controles de Corrupción'!$C$10:$AY$251,MATCH(A88,'Controles de Corrupción'!$B$10:$B$251,0),41),"")</f>
        <v/>
      </c>
      <c r="P88" s="70" t="str">
        <f>IFERROR(INDEX('Controles de Corrupción'!$C$10:$AY$251,MATCH(A88,'Controles de Corrupción'!$B$10:$B$251,0),42),"")</f>
        <v/>
      </c>
      <c r="Q88" s="186" t="str">
        <f>IFERROR(INDEX('Controles de Corrupción'!$C$10:$AY$251,MATCH(A88,'Controles de Corrupción'!$B$10:$B$251,0),47),"")</f>
        <v/>
      </c>
    </row>
    <row r="89" spans="1:17" x14ac:dyDescent="0.25">
      <c r="A89" s="115" t="s">
        <v>321</v>
      </c>
      <c r="B89" s="940"/>
      <c r="C89" s="1021"/>
      <c r="D89" s="861"/>
      <c r="E89" s="863"/>
      <c r="F89" s="865"/>
      <c r="G89" s="865"/>
      <c r="H89" s="867"/>
      <c r="I89" s="865"/>
      <c r="J89" s="865"/>
      <c r="K89" s="865"/>
      <c r="L89" s="865"/>
      <c r="M89" s="185" t="str">
        <f>IFERROR(INDEX('Controles de Corrupción'!$C$10:$AY$249,MATCH(A89,'Controles de Corrupción'!$B$10:$B$249,0),4),"")</f>
        <v/>
      </c>
      <c r="N89" s="70" t="str">
        <f>IFERROR(INDEX('Controles de Corrupción'!$C$10:$AY$249,MATCH(A89,'Controles de Corrupción'!$B$10:$B$249,0),40),"")</f>
        <v/>
      </c>
      <c r="O89" s="70" t="str">
        <f>IFERROR(INDEX('Controles de Corrupción'!$C$10:$AY$251,MATCH(A89,'Controles de Corrupción'!$B$10:$B$251,0),41),"")</f>
        <v/>
      </c>
      <c r="P89" s="70" t="str">
        <f>IFERROR(INDEX('Controles de Corrupción'!$C$10:$AY$251,MATCH(A89,'Controles de Corrupción'!$B$10:$B$251,0),42),"")</f>
        <v/>
      </c>
      <c r="Q89" s="186" t="str">
        <f>IFERROR(INDEX('Controles de Corrupción'!$C$10:$AY$251,MATCH(A89,'Controles de Corrupción'!$B$10:$B$251,0),47),"")</f>
        <v/>
      </c>
    </row>
    <row r="90" spans="1:17" x14ac:dyDescent="0.25">
      <c r="A90" s="115" t="s">
        <v>322</v>
      </c>
      <c r="B90" s="856"/>
      <c r="C90" s="1021"/>
      <c r="D90" s="861"/>
      <c r="E90" s="863"/>
      <c r="F90" s="865"/>
      <c r="G90" s="865"/>
      <c r="H90" s="867"/>
      <c r="I90" s="865"/>
      <c r="J90" s="865"/>
      <c r="K90" s="865"/>
      <c r="L90" s="865"/>
      <c r="M90" s="185" t="str">
        <f>IFERROR(INDEX('Controles de Corrupción'!$C$10:$AY$249,MATCH(A90,'Controles de Corrupción'!$B$10:$B$249,0),4),"")</f>
        <v/>
      </c>
      <c r="N90" s="70" t="str">
        <f>IFERROR(INDEX('Controles de Corrupción'!$C$10:$AY$249,MATCH(A90,'Controles de Corrupción'!$B$10:$B$249,0),40),"")</f>
        <v/>
      </c>
      <c r="O90" s="70" t="str">
        <f>IFERROR(INDEX('Controles de Corrupción'!$C$10:$AY$251,MATCH(A90,'Controles de Corrupción'!$B$10:$B$251,0),41),"")</f>
        <v/>
      </c>
      <c r="P90" s="70" t="str">
        <f>IFERROR(INDEX('Controles de Corrupción'!$C$10:$AY$251,MATCH(A90,'Controles de Corrupción'!$B$10:$B$251,0),42),"")</f>
        <v/>
      </c>
      <c r="Q90" s="186" t="str">
        <f>IFERROR(INDEX('Controles de Corrupción'!$C$10:$AY$251,MATCH(A90,'Controles de Corrupción'!$B$10:$B$251,0),47),"")</f>
        <v/>
      </c>
    </row>
    <row r="91" spans="1:17" x14ac:dyDescent="0.25">
      <c r="A91" s="115" t="s">
        <v>323</v>
      </c>
      <c r="B91" s="936"/>
      <c r="C91" s="1020" t="str">
        <f>IFERROR(INDEX('Riesgos de Corrupción'!$B$11:$BN$100,MATCH('Mapa Riesgo Corrupción'!B91,'Riesgos de Corrupción'!$B$11:$B$100,0),2),"")</f>
        <v/>
      </c>
      <c r="D91" s="860" t="str">
        <f>IFERROR(INDEX('Riesgos de Corrupción'!$B$11:$BN$100,MATCH('Mapa Riesgo Corrupción'!B91,'Riesgos de Corrupción'!$B$11:$B$100,0),4),"")</f>
        <v/>
      </c>
      <c r="E91" s="1018" t="str">
        <f>IFERROR(INDEX('Riesgos de Corrupción'!$B$11:$BN$100,MATCH('Mapa Riesgo Corrupción'!B91,'Riesgos de Corrupción'!$B$11:$B$100,0),5),"")</f>
        <v/>
      </c>
      <c r="F91" s="865" t="str">
        <f>IFERROR(INDEX('Riesgos de Corrupción'!$B$11:$BN$100,MATCH('Mapa Riesgo Corrupción'!B91,'Riesgos de Corrupción'!$B$11:$B$100,0),18),"")</f>
        <v/>
      </c>
      <c r="G91" s="865" t="str">
        <f>IFERROR(INDEX('Riesgos de Corrupción'!$B$11:$BN$100,MATCH('Mapa Riesgo Corrupción'!B91,'Riesgos de Corrupción'!$B$11:$B$100,0),63),"")</f>
        <v/>
      </c>
      <c r="H91" s="867" t="str">
        <f>IFERROR(INDEX('Riesgos de Corrupción'!$B$11:$BN$100,MATCH('Mapa Riesgo Corrupción'!B91,'Riesgos de Corrupción'!$B$11:$B$100,0),64),"")</f>
        <v/>
      </c>
      <c r="I91" s="865" t="str">
        <f>IFERROR(INDEX('Controles de Corrupción'!$C$10:$AY$251,MATCH('Mapa Riesgo Corrupción'!B91,'Controles de Corrupción'!#REF!,0),33),"")</f>
        <v/>
      </c>
      <c r="J91" s="865" t="str">
        <f>IFERROR(INDEX('Controles de Corrupción'!$C$10:$AY$251,MATCH('Mapa Riesgo Corrupción'!B91,'Controles de Corrupción'!#REF!,0),36),"")</f>
        <v/>
      </c>
      <c r="K91" s="865" t="str">
        <f>IFERROR(INDEX('Controles de Corrupción'!$C$10:$AY$251,MATCH('Mapa Riesgo Corrupción'!B91,'Controles de Corrupción'!#REF!,0),37),"")</f>
        <v/>
      </c>
      <c r="L91" s="865" t="str">
        <f>IFERROR(INDEX('Controles de Corrupción'!$C$10:$AY$251,MATCH('Mapa Riesgo Corrupción'!B91,'Controles de Corrupción'!#REF!,0),38),"")</f>
        <v/>
      </c>
      <c r="M91" s="185" t="str">
        <f>IFERROR(INDEX('Controles de Corrupción'!$C$10:$AY$249,MATCH(A91,'Controles de Corrupción'!$B$10:$B$249,0),4),"")</f>
        <v/>
      </c>
      <c r="N91" s="70" t="str">
        <f>IFERROR(INDEX('Controles de Corrupción'!$C$10:$AY$249,MATCH(A91,'Controles de Corrupción'!$B$10:$B$249,0),40),"")</f>
        <v/>
      </c>
      <c r="O91" s="70" t="str">
        <f>IFERROR(INDEX('Controles de Corrupción'!$C$10:$AY$251,MATCH(A91,'Controles de Corrupción'!$B$10:$B$251,0),41),"")</f>
        <v/>
      </c>
      <c r="P91" s="70" t="str">
        <f>IFERROR(INDEX('Controles de Corrupción'!$C$10:$AY$251,MATCH(A91,'Controles de Corrupción'!$B$10:$B$251,0),42),"")</f>
        <v/>
      </c>
      <c r="Q91" s="186" t="str">
        <f>IFERROR(INDEX('Controles de Corrupción'!$C$10:$AY$251,MATCH(A91,'Controles de Corrupción'!$B$10:$B$251,0),47),"")</f>
        <v/>
      </c>
    </row>
    <row r="92" spans="1:17" x14ac:dyDescent="0.25">
      <c r="A92" s="115" t="s">
        <v>324</v>
      </c>
      <c r="B92" s="940"/>
      <c r="C92" s="1021"/>
      <c r="D92" s="861"/>
      <c r="E92" s="1019"/>
      <c r="F92" s="865"/>
      <c r="G92" s="865"/>
      <c r="H92" s="867"/>
      <c r="I92" s="865"/>
      <c r="J92" s="865"/>
      <c r="K92" s="865"/>
      <c r="L92" s="865"/>
      <c r="M92" s="185" t="str">
        <f>IFERROR(INDEX('Controles de Corrupción'!$C$10:$AY$249,MATCH(A92,'Controles de Corrupción'!$B$10:$B$249,0),4),"")</f>
        <v/>
      </c>
      <c r="N92" s="70" t="str">
        <f>IFERROR(INDEX('Controles de Corrupción'!$C$10:$AY$249,MATCH(A92,'Controles de Corrupción'!$B$10:$B$249,0),40),"")</f>
        <v/>
      </c>
      <c r="O92" s="70" t="str">
        <f>IFERROR(INDEX('Controles de Corrupción'!$C$10:$AY$251,MATCH(A92,'Controles de Corrupción'!$B$10:$B$251,0),41),"")</f>
        <v/>
      </c>
      <c r="P92" s="70" t="str">
        <f>IFERROR(INDEX('Controles de Corrupción'!$C$10:$AY$251,MATCH(A92,'Controles de Corrupción'!$B$10:$B$251,0),42),"")</f>
        <v/>
      </c>
      <c r="Q92" s="186" t="str">
        <f>IFERROR(INDEX('Controles de Corrupción'!$C$10:$AY$251,MATCH(A92,'Controles de Corrupción'!$B$10:$B$251,0),47),"")</f>
        <v/>
      </c>
    </row>
    <row r="93" spans="1:17" x14ac:dyDescent="0.25">
      <c r="A93" s="115" t="s">
        <v>325</v>
      </c>
      <c r="B93" s="940"/>
      <c r="C93" s="1021"/>
      <c r="D93" s="861"/>
      <c r="E93" s="1019"/>
      <c r="F93" s="865"/>
      <c r="G93" s="865"/>
      <c r="H93" s="867"/>
      <c r="I93" s="865"/>
      <c r="J93" s="865"/>
      <c r="K93" s="865"/>
      <c r="L93" s="865"/>
      <c r="M93" s="185" t="str">
        <f>IFERROR(INDEX('Controles de Corrupción'!$C$10:$AY$249,MATCH(A93,'Controles de Corrupción'!$B$10:$B$249,0),4),"")</f>
        <v/>
      </c>
      <c r="N93" s="70" t="str">
        <f>IFERROR(INDEX('Controles de Corrupción'!$C$10:$AY$249,MATCH(A93,'Controles de Corrupción'!$B$10:$B$249,0),40),"")</f>
        <v/>
      </c>
      <c r="O93" s="70" t="str">
        <f>IFERROR(INDEX('Controles de Corrupción'!$C$10:$AY$251,MATCH(A93,'Controles de Corrupción'!$B$10:$B$251,0),41),"")</f>
        <v/>
      </c>
      <c r="P93" s="70" t="str">
        <f>IFERROR(INDEX('Controles de Corrupción'!$C$10:$AY$251,MATCH(A93,'Controles de Corrupción'!$B$10:$B$251,0),42),"")</f>
        <v/>
      </c>
      <c r="Q93" s="186" t="str">
        <f>IFERROR(INDEX('Controles de Corrupción'!$C$10:$AY$251,MATCH(A93,'Controles de Corrupción'!$B$10:$B$251,0),47),"")</f>
        <v/>
      </c>
    </row>
    <row r="94" spans="1:17" x14ac:dyDescent="0.25">
      <c r="A94" s="115" t="s">
        <v>326</v>
      </c>
      <c r="B94" s="940"/>
      <c r="C94" s="1021"/>
      <c r="D94" s="861"/>
      <c r="E94" s="1019"/>
      <c r="F94" s="865"/>
      <c r="G94" s="865"/>
      <c r="H94" s="867"/>
      <c r="I94" s="865"/>
      <c r="J94" s="865"/>
      <c r="K94" s="865"/>
      <c r="L94" s="865"/>
      <c r="M94" s="185" t="str">
        <f>IFERROR(INDEX('Controles de Corrupción'!$C$10:$AY$249,MATCH(A94,'Controles de Corrupción'!$B$10:$B$249,0),4),"")</f>
        <v/>
      </c>
      <c r="N94" s="70" t="str">
        <f>IFERROR(INDEX('Controles de Corrupción'!$C$10:$AY$249,MATCH(A94,'Controles de Corrupción'!$B$10:$B$249,0),40),"")</f>
        <v/>
      </c>
      <c r="O94" s="70" t="str">
        <f>IFERROR(INDEX('Controles de Corrupción'!$C$10:$AY$251,MATCH(A94,'Controles de Corrupción'!$B$10:$B$251,0),41),"")</f>
        <v/>
      </c>
      <c r="P94" s="70" t="str">
        <f>IFERROR(INDEX('Controles de Corrupción'!$C$10:$AY$251,MATCH(A94,'Controles de Corrupción'!$B$10:$B$251,0),42),"")</f>
        <v/>
      </c>
      <c r="Q94" s="186" t="str">
        <f>IFERROR(INDEX('Controles de Corrupción'!$C$10:$AY$251,MATCH(A94,'Controles de Corrupción'!$B$10:$B$251,0),47),"")</f>
        <v/>
      </c>
    </row>
    <row r="95" spans="1:17" x14ac:dyDescent="0.25">
      <c r="A95" s="115" t="s">
        <v>327</v>
      </c>
      <c r="B95" s="940"/>
      <c r="C95" s="1021"/>
      <c r="D95" s="861"/>
      <c r="E95" s="1019"/>
      <c r="F95" s="865"/>
      <c r="G95" s="865"/>
      <c r="H95" s="867"/>
      <c r="I95" s="865"/>
      <c r="J95" s="865"/>
      <c r="K95" s="865"/>
      <c r="L95" s="865"/>
      <c r="M95" s="185" t="str">
        <f>IFERROR(INDEX('Controles de Corrupción'!$C$10:$AY$249,MATCH(A95,'Controles de Corrupción'!$B$10:$B$249,0),4),"")</f>
        <v/>
      </c>
      <c r="N95" s="70" t="str">
        <f>IFERROR(INDEX('Controles de Corrupción'!$C$10:$AY$249,MATCH(A95,'Controles de Corrupción'!$B$10:$B$249,0),40),"")</f>
        <v/>
      </c>
      <c r="O95" s="70" t="str">
        <f>IFERROR(INDEX('Controles de Corrupción'!$C$10:$AY$251,MATCH(A95,'Controles de Corrupción'!$B$10:$B$251,0),41),"")</f>
        <v/>
      </c>
      <c r="P95" s="70" t="str">
        <f>IFERROR(INDEX('Controles de Corrupción'!$C$10:$AY$251,MATCH(A95,'Controles de Corrupción'!$B$10:$B$251,0),42),"")</f>
        <v/>
      </c>
      <c r="Q95" s="186" t="str">
        <f>IFERROR(INDEX('Controles de Corrupción'!$C$10:$AY$251,MATCH(A95,'Controles de Corrupción'!$B$10:$B$251,0),47),"")</f>
        <v/>
      </c>
    </row>
    <row r="96" spans="1:17" x14ac:dyDescent="0.25">
      <c r="A96" s="115" t="s">
        <v>328</v>
      </c>
      <c r="B96" s="856"/>
      <c r="C96" s="1021"/>
      <c r="D96" s="861"/>
      <c r="E96" s="1019"/>
      <c r="F96" s="865"/>
      <c r="G96" s="865"/>
      <c r="H96" s="867"/>
      <c r="I96" s="865"/>
      <c r="J96" s="865"/>
      <c r="K96" s="865"/>
      <c r="L96" s="865"/>
      <c r="M96" s="185" t="str">
        <f>IFERROR(INDEX('Controles de Corrupción'!$C$10:$AY$249,MATCH(A96,'Controles de Corrupción'!$B$10:$B$249,0),4),"")</f>
        <v/>
      </c>
      <c r="N96" s="70" t="str">
        <f>IFERROR(INDEX('Controles de Corrupción'!$C$10:$AY$249,MATCH(A96,'Controles de Corrupción'!$B$10:$B$249,0),40),"")</f>
        <v/>
      </c>
      <c r="O96" s="70" t="str">
        <f>IFERROR(INDEX('Controles de Corrupción'!$C$10:$AY$251,MATCH(A96,'Controles de Corrupción'!$B$10:$B$251,0),41),"")</f>
        <v/>
      </c>
      <c r="P96" s="70" t="str">
        <f>IFERROR(INDEX('Controles de Corrupción'!$C$10:$AY$251,MATCH(A96,'Controles de Corrupción'!$B$10:$B$251,0),42),"")</f>
        <v/>
      </c>
      <c r="Q96" s="186" t="str">
        <f>IFERROR(INDEX('Controles de Corrupción'!$C$10:$AY$251,MATCH(A96,'Controles de Corrupción'!$B$10:$B$251,0),47),"")</f>
        <v/>
      </c>
    </row>
    <row r="97" spans="1:17" x14ac:dyDescent="0.25">
      <c r="A97" s="115" t="s">
        <v>329</v>
      </c>
      <c r="B97" s="1013"/>
      <c r="C97" s="1016" t="str">
        <f>IFERROR(INDEX('Riesgos de Corrupción'!$B$11:$BN$100,MATCH('Mapa Riesgo Corrupción'!B97,'Riesgos de Corrupción'!$B$11:$B$100,0),2),"")</f>
        <v/>
      </c>
      <c r="D97" s="860" t="str">
        <f>IFERROR(INDEX('Riesgos de Corrupción'!$B$11:$BN$100,MATCH('Mapa Riesgo Corrupción'!B97,'Riesgos de Corrupción'!$B$11:$B$100,0),4),"")</f>
        <v/>
      </c>
      <c r="E97" s="1018" t="str">
        <f>IFERROR(INDEX('Riesgos de Corrupción'!$B$11:$BN$100,MATCH('Mapa Riesgo Corrupción'!B97,'Riesgos de Corrupción'!$B$11:$B$100,0),5),"")</f>
        <v/>
      </c>
      <c r="F97" s="865" t="str">
        <f>IFERROR(INDEX('Riesgos de Corrupción'!$B$11:$BN$100,MATCH('Mapa Riesgo Corrupción'!B97,'Riesgos de Corrupción'!$B$11:$B$100,0),18),"")</f>
        <v/>
      </c>
      <c r="G97" s="865" t="str">
        <f>IFERROR(INDEX('Riesgos de Corrupción'!$B$11:$BN$100,MATCH('Mapa Riesgo Corrupción'!B97,'Riesgos de Corrupción'!$B$11:$B$100,0),63),"")</f>
        <v/>
      </c>
      <c r="H97" s="867" t="str">
        <f>IFERROR(INDEX('Riesgos de Corrupción'!$B$11:$BN$100,MATCH('Mapa Riesgo Corrupción'!B97,'Riesgos de Corrupción'!$B$11:$B$100,0),64),"")</f>
        <v/>
      </c>
      <c r="I97" s="865" t="str">
        <f>IFERROR(INDEX('Controles de Corrupción'!$C$10:$AY$251,MATCH('Mapa Riesgo Corrupción'!B97,'Controles de Corrupción'!#REF!,0),33),"")</f>
        <v/>
      </c>
      <c r="J97" s="865" t="str">
        <f>IFERROR(INDEX('Controles de Corrupción'!$C$10:$AY$251,MATCH('Mapa Riesgo Corrupción'!B97,'Controles de Corrupción'!#REF!,0),36),"")</f>
        <v/>
      </c>
      <c r="K97" s="865" t="str">
        <f>IFERROR(INDEX('Controles de Corrupción'!$C$10:$AY$251,MATCH('Mapa Riesgo Corrupción'!B97,'Controles de Corrupción'!#REF!,0),37),"")</f>
        <v/>
      </c>
      <c r="L97" s="865" t="str">
        <f>IFERROR(INDEX('Controles de Corrupción'!$C$10:$AY$251,MATCH('Mapa Riesgo Corrupción'!B97,'Controles de Corrupción'!#REF!,0),38),"")</f>
        <v/>
      </c>
      <c r="M97" s="185" t="str">
        <f>IFERROR(INDEX('Controles de Corrupción'!$C$10:$AY$249,MATCH(A97,'Controles de Corrupción'!$B$10:$B$249,0),4),"")</f>
        <v/>
      </c>
      <c r="N97" s="70" t="str">
        <f>IFERROR(INDEX('Controles de Corrupción'!$C$10:$AY$249,MATCH(A97,'Controles de Corrupción'!$B$10:$B$249,0),40),"")</f>
        <v/>
      </c>
      <c r="O97" s="70" t="str">
        <f>IFERROR(INDEX('Controles de Corrupción'!$C$10:$AY$251,MATCH(A97,'Controles de Corrupción'!$B$10:$B$251,0),41),"")</f>
        <v/>
      </c>
      <c r="P97" s="70" t="str">
        <f>IFERROR(INDEX('Controles de Corrupción'!$C$10:$AY$251,MATCH(A97,'Controles de Corrupción'!$B$10:$B$251,0),42),"")</f>
        <v/>
      </c>
      <c r="Q97" s="186" t="str">
        <f>IFERROR(INDEX('Controles de Corrupción'!$C$10:$AY$251,MATCH(A97,'Controles de Corrupción'!$B$10:$B$251,0),47),"")</f>
        <v/>
      </c>
    </row>
    <row r="98" spans="1:17" x14ac:dyDescent="0.25">
      <c r="A98" s="115" t="s">
        <v>330</v>
      </c>
      <c r="B98" s="1014"/>
      <c r="C98" s="1017"/>
      <c r="D98" s="861"/>
      <c r="E98" s="1019"/>
      <c r="F98" s="865"/>
      <c r="G98" s="865"/>
      <c r="H98" s="867"/>
      <c r="I98" s="865"/>
      <c r="J98" s="865"/>
      <c r="K98" s="865"/>
      <c r="L98" s="865"/>
      <c r="M98" s="185" t="str">
        <f>IFERROR(INDEX('Controles de Corrupción'!$C$10:$AY$249,MATCH(A98,'Controles de Corrupción'!$B$10:$B$249,0),4),"")</f>
        <v/>
      </c>
      <c r="N98" s="70" t="str">
        <f>IFERROR(INDEX('Controles de Corrupción'!$C$10:$AY$249,MATCH(A98,'Controles de Corrupción'!$B$10:$B$249,0),40),"")</f>
        <v/>
      </c>
      <c r="O98" s="70" t="str">
        <f>IFERROR(INDEX('Controles de Corrupción'!$C$10:$AY$251,MATCH(A98,'Controles de Corrupción'!$B$10:$B$251,0),41),"")</f>
        <v/>
      </c>
      <c r="P98" s="70" t="str">
        <f>IFERROR(INDEX('Controles de Corrupción'!$C$10:$AY$251,MATCH(A98,'Controles de Corrupción'!$B$10:$B$251,0),42),"")</f>
        <v/>
      </c>
      <c r="Q98" s="186" t="str">
        <f>IFERROR(INDEX('Controles de Corrupción'!$C$10:$AY$251,MATCH(A98,'Controles de Corrupción'!$B$10:$B$251,0),47),"")</f>
        <v/>
      </c>
    </row>
    <row r="99" spans="1:17" x14ac:dyDescent="0.25">
      <c r="A99" s="115" t="s">
        <v>331</v>
      </c>
      <c r="B99" s="1014"/>
      <c r="C99" s="1017"/>
      <c r="D99" s="861"/>
      <c r="E99" s="1019"/>
      <c r="F99" s="865"/>
      <c r="G99" s="865"/>
      <c r="H99" s="867"/>
      <c r="I99" s="865"/>
      <c r="J99" s="865"/>
      <c r="K99" s="865"/>
      <c r="L99" s="865"/>
      <c r="M99" s="185" t="str">
        <f>IFERROR(INDEX('Controles de Corrupción'!$C$10:$AY$249,MATCH(A99,'Controles de Corrupción'!$B$10:$B$249,0),4),"")</f>
        <v/>
      </c>
      <c r="N99" s="70" t="str">
        <f>IFERROR(INDEX('Controles de Corrupción'!$C$10:$AY$249,MATCH(A99,'Controles de Corrupción'!$B$10:$B$249,0),40),"")</f>
        <v/>
      </c>
      <c r="O99" s="70" t="str">
        <f>IFERROR(INDEX('Controles de Corrupción'!$C$10:$AY$251,MATCH(A99,'Controles de Corrupción'!$B$10:$B$251,0),41),"")</f>
        <v/>
      </c>
      <c r="P99" s="70" t="str">
        <f>IFERROR(INDEX('Controles de Corrupción'!$C$10:$AY$251,MATCH(A99,'Controles de Corrupción'!$B$10:$B$251,0),42),"")</f>
        <v/>
      </c>
      <c r="Q99" s="186" t="str">
        <f>IFERROR(INDEX('Controles de Corrupción'!$C$10:$AY$251,MATCH(A99,'Controles de Corrupción'!$B$10:$B$251,0),47),"")</f>
        <v/>
      </c>
    </row>
    <row r="100" spans="1:17" x14ac:dyDescent="0.25">
      <c r="A100" s="115" t="s">
        <v>332</v>
      </c>
      <c r="B100" s="1014"/>
      <c r="C100" s="1017"/>
      <c r="D100" s="861"/>
      <c r="E100" s="1019"/>
      <c r="F100" s="865"/>
      <c r="G100" s="865"/>
      <c r="H100" s="867"/>
      <c r="I100" s="865"/>
      <c r="J100" s="865"/>
      <c r="K100" s="865"/>
      <c r="L100" s="865"/>
      <c r="M100" s="185" t="str">
        <f>IFERROR(INDEX('Controles de Corrupción'!$C$10:$AY$249,MATCH(A100,'Controles de Corrupción'!$B$10:$B$249,0),4),"")</f>
        <v/>
      </c>
      <c r="N100" s="70" t="str">
        <f>IFERROR(INDEX('Controles de Corrupción'!$C$10:$AY$249,MATCH(A100,'Controles de Corrupción'!$B$10:$B$249,0),40),"")</f>
        <v/>
      </c>
      <c r="O100" s="70" t="str">
        <f>IFERROR(INDEX('Controles de Corrupción'!$C$10:$AY$251,MATCH(A100,'Controles de Corrupción'!$B$10:$B$251,0),41),"")</f>
        <v/>
      </c>
      <c r="P100" s="70" t="str">
        <f>IFERROR(INDEX('Controles de Corrupción'!$C$10:$AY$251,MATCH(A100,'Controles de Corrupción'!$B$10:$B$251,0),42),"")</f>
        <v/>
      </c>
      <c r="Q100" s="186" t="str">
        <f>IFERROR(INDEX('Controles de Corrupción'!$C$10:$AY$251,MATCH(A100,'Controles de Corrupción'!$B$10:$B$251,0),47),"")</f>
        <v/>
      </c>
    </row>
    <row r="101" spans="1:17" x14ac:dyDescent="0.25">
      <c r="A101" s="115" t="s">
        <v>333</v>
      </c>
      <c r="B101" s="1014"/>
      <c r="C101" s="1017"/>
      <c r="D101" s="861"/>
      <c r="E101" s="1019"/>
      <c r="F101" s="865"/>
      <c r="G101" s="865"/>
      <c r="H101" s="867"/>
      <c r="I101" s="865"/>
      <c r="J101" s="865"/>
      <c r="K101" s="865"/>
      <c r="L101" s="865"/>
      <c r="M101" s="185" t="str">
        <f>IFERROR(INDEX('Controles de Corrupción'!$C$10:$AY$249,MATCH(A101,'Controles de Corrupción'!$B$10:$B$249,0),4),"")</f>
        <v/>
      </c>
      <c r="N101" s="70" t="str">
        <f>IFERROR(INDEX('Controles de Corrupción'!$C$10:$AY$249,MATCH(A101,'Controles de Corrupción'!$B$10:$B$249,0),40),"")</f>
        <v/>
      </c>
      <c r="O101" s="70" t="str">
        <f>IFERROR(INDEX('Controles de Corrupción'!$C$10:$AY$251,MATCH(A101,'Controles de Corrupción'!$B$10:$B$251,0),41),"")</f>
        <v/>
      </c>
      <c r="P101" s="70" t="str">
        <f>IFERROR(INDEX('Controles de Corrupción'!$C$10:$AY$251,MATCH(A101,'Controles de Corrupción'!$B$10:$B$251,0),42),"")</f>
        <v/>
      </c>
      <c r="Q101" s="186" t="str">
        <f>IFERROR(INDEX('Controles de Corrupción'!$C$10:$AY$251,MATCH(A101,'Controles de Corrupción'!$B$10:$B$251,0),47),"")</f>
        <v/>
      </c>
    </row>
    <row r="102" spans="1:17" x14ac:dyDescent="0.25">
      <c r="A102" s="115" t="s">
        <v>334</v>
      </c>
      <c r="B102" s="1015"/>
      <c r="C102" s="1017"/>
      <c r="D102" s="861"/>
      <c r="E102" s="1019"/>
      <c r="F102" s="865"/>
      <c r="G102" s="865"/>
      <c r="H102" s="867"/>
      <c r="I102" s="865"/>
      <c r="J102" s="865"/>
      <c r="K102" s="865"/>
      <c r="L102" s="865"/>
      <c r="M102" s="185" t="str">
        <f>IFERROR(INDEX('Controles de Corrupción'!$C$10:$AY$249,MATCH(A102,'Controles de Corrupción'!$B$10:$B$249,0),4),"")</f>
        <v/>
      </c>
      <c r="N102" s="70" t="str">
        <f>IFERROR(INDEX('Controles de Corrupción'!$C$10:$AY$249,MATCH(A102,'Controles de Corrupción'!$B$10:$B$249,0),40),"")</f>
        <v/>
      </c>
      <c r="O102" s="70" t="str">
        <f>IFERROR(INDEX('Controles de Corrupción'!$C$10:$AY$251,MATCH(A102,'Controles de Corrupción'!$B$10:$B$251,0),41),"")</f>
        <v/>
      </c>
      <c r="P102" s="70" t="str">
        <f>IFERROR(INDEX('Controles de Corrupción'!$C$10:$AY$251,MATCH(A102,'Controles de Corrupción'!$B$10:$B$251,0),42),"")</f>
        <v/>
      </c>
      <c r="Q102" s="186" t="str">
        <f>IFERROR(INDEX('Controles de Corrupción'!$C$10:$AY$251,MATCH(A102,'Controles de Corrupción'!$B$10:$B$251,0),47),"")</f>
        <v/>
      </c>
    </row>
    <row r="103" spans="1:17" x14ac:dyDescent="0.25">
      <c r="A103" s="115" t="s">
        <v>335</v>
      </c>
      <c r="B103" s="1013"/>
      <c r="C103" s="1016" t="str">
        <f>IFERROR(INDEX('Riesgos de Corrupción'!$B$11:$BN$100,MATCH('Mapa Riesgo Corrupción'!B103,'Riesgos de Corrupción'!$B$11:$B$100,0),2),"")</f>
        <v/>
      </c>
      <c r="D103" s="860" t="str">
        <f>IFERROR(INDEX('Riesgos de Corrupción'!$B$11:$BN$100,MATCH('Mapa Riesgo Corrupción'!B103,'Riesgos de Corrupción'!$B$11:$B$100,0),4),"")</f>
        <v/>
      </c>
      <c r="E103" s="1018" t="str">
        <f>IFERROR(INDEX('Riesgos de Corrupción'!$B$11:$BN$100,MATCH('Mapa Riesgo Corrupción'!B103,'Riesgos de Corrupción'!$B$11:$B$100,0),5),"")</f>
        <v/>
      </c>
      <c r="F103" s="865" t="str">
        <f>IFERROR(INDEX('Riesgos de Corrupción'!$B$11:$BN$100,MATCH('Mapa Riesgo Corrupción'!B103,'Riesgos de Corrupción'!$B$11:$B$100,0),18),"")</f>
        <v/>
      </c>
      <c r="G103" s="865" t="str">
        <f>IFERROR(INDEX('Riesgos de Corrupción'!$B$11:$BN$100,MATCH('Mapa Riesgo Corrupción'!B103,'Riesgos de Corrupción'!$B$11:$B$100,0),63),"")</f>
        <v/>
      </c>
      <c r="H103" s="867" t="str">
        <f>IFERROR(INDEX('Riesgos de Corrupción'!$B$11:$BN$100,MATCH('Mapa Riesgo Corrupción'!B103,'Riesgos de Corrupción'!$B$11:$B$100,0),64),"")</f>
        <v/>
      </c>
      <c r="I103" s="865" t="str">
        <f>IFERROR(INDEX('Controles de Corrupción'!$C$10:$AY$251,MATCH('Mapa Riesgo Corrupción'!B103,'Controles de Corrupción'!#REF!,0),33),"")</f>
        <v/>
      </c>
      <c r="J103" s="865" t="str">
        <f>IFERROR(INDEX('Controles de Corrupción'!$C$10:$AY$251,MATCH('Mapa Riesgo Corrupción'!B103,'Controles de Corrupción'!#REF!,0),36),"")</f>
        <v/>
      </c>
      <c r="K103" s="865" t="str">
        <f>IFERROR(INDEX('Controles de Corrupción'!$C$10:$AY$251,MATCH('Mapa Riesgo Corrupción'!B103,'Controles de Corrupción'!#REF!,0),37),"")</f>
        <v/>
      </c>
      <c r="L103" s="865" t="str">
        <f>IFERROR(INDEX('Controles de Corrupción'!$C$10:$AY$251,MATCH('Mapa Riesgo Corrupción'!B103,'Controles de Corrupción'!#REF!,0),38),"")</f>
        <v/>
      </c>
      <c r="M103" s="185" t="str">
        <f>IFERROR(INDEX('Controles de Corrupción'!$C$10:$AY$249,MATCH(A103,'Controles de Corrupción'!$B$10:$B$249,0),4),"")</f>
        <v/>
      </c>
      <c r="N103" s="70" t="str">
        <f>IFERROR(INDEX('Controles de Corrupción'!$C$10:$AY$249,MATCH(A103,'Controles de Corrupción'!$B$10:$B$249,0),40),"")</f>
        <v/>
      </c>
      <c r="O103" s="70" t="str">
        <f>IFERROR(INDEX('Controles de Corrupción'!$C$10:$AY$251,MATCH(A103,'Controles de Corrupción'!$B$10:$B$251,0),41),"")</f>
        <v/>
      </c>
      <c r="P103" s="70" t="str">
        <f>IFERROR(INDEX('Controles de Corrupción'!$C$10:$AY$251,MATCH(A103,'Controles de Corrupción'!$B$10:$B$251,0),42),"")</f>
        <v/>
      </c>
      <c r="Q103" s="186" t="str">
        <f>IFERROR(INDEX('Controles de Corrupción'!$C$10:$AY$251,MATCH(A103,'Controles de Corrupción'!$B$10:$B$251,0),47),"")</f>
        <v/>
      </c>
    </row>
    <row r="104" spans="1:17" x14ac:dyDescent="0.25">
      <c r="A104" s="115" t="s">
        <v>336</v>
      </c>
      <c r="B104" s="1014"/>
      <c r="C104" s="1017"/>
      <c r="D104" s="861"/>
      <c r="E104" s="1019"/>
      <c r="F104" s="865"/>
      <c r="G104" s="865"/>
      <c r="H104" s="867"/>
      <c r="I104" s="865"/>
      <c r="J104" s="865"/>
      <c r="K104" s="865"/>
      <c r="L104" s="865"/>
      <c r="M104" s="185" t="str">
        <f>IFERROR(INDEX('Controles de Corrupción'!$C$10:$AY$249,MATCH(A104,'Controles de Corrupción'!$B$10:$B$249,0),4),"")</f>
        <v/>
      </c>
      <c r="N104" s="70" t="str">
        <f>IFERROR(INDEX('Controles de Corrupción'!$C$10:$AY$249,MATCH(A104,'Controles de Corrupción'!$B$10:$B$249,0),40),"")</f>
        <v/>
      </c>
      <c r="O104" s="70" t="str">
        <f>IFERROR(INDEX('Controles de Corrupción'!$C$10:$AY$251,MATCH(A104,'Controles de Corrupción'!$B$10:$B$251,0),41),"")</f>
        <v/>
      </c>
      <c r="P104" s="70" t="str">
        <f>IFERROR(INDEX('Controles de Corrupción'!$C$10:$AY$251,MATCH(A104,'Controles de Corrupción'!$B$10:$B$251,0),42),"")</f>
        <v/>
      </c>
      <c r="Q104" s="186" t="str">
        <f>IFERROR(INDEX('Controles de Corrupción'!$C$10:$AY$251,MATCH(A104,'Controles de Corrupción'!$B$10:$B$251,0),47),"")</f>
        <v/>
      </c>
    </row>
    <row r="105" spans="1:17" x14ac:dyDescent="0.25">
      <c r="A105" s="115" t="s">
        <v>337</v>
      </c>
      <c r="B105" s="1014"/>
      <c r="C105" s="1017"/>
      <c r="D105" s="861"/>
      <c r="E105" s="1019"/>
      <c r="F105" s="865"/>
      <c r="G105" s="865"/>
      <c r="H105" s="867"/>
      <c r="I105" s="865"/>
      <c r="J105" s="865"/>
      <c r="K105" s="865"/>
      <c r="L105" s="865"/>
      <c r="M105" s="185" t="str">
        <f>IFERROR(INDEX('Controles de Corrupción'!$C$10:$AY$249,MATCH(A105,'Controles de Corrupción'!$B$10:$B$249,0),4),"")</f>
        <v/>
      </c>
      <c r="N105" s="70" t="str">
        <f>IFERROR(INDEX('Controles de Corrupción'!$C$10:$AY$249,MATCH(A105,'Controles de Corrupción'!$B$10:$B$249,0),40),"")</f>
        <v/>
      </c>
      <c r="O105" s="70" t="str">
        <f>IFERROR(INDEX('Controles de Corrupción'!$C$10:$AY$251,MATCH(A105,'Controles de Corrupción'!$B$10:$B$251,0),41),"")</f>
        <v/>
      </c>
      <c r="P105" s="70" t="str">
        <f>IFERROR(INDEX('Controles de Corrupción'!$C$10:$AY$251,MATCH(A105,'Controles de Corrupción'!$B$10:$B$251,0),42),"")</f>
        <v/>
      </c>
      <c r="Q105" s="186" t="str">
        <f>IFERROR(INDEX('Controles de Corrupción'!$C$10:$AY$251,MATCH(A105,'Controles de Corrupción'!$B$10:$B$251,0),47),"")</f>
        <v/>
      </c>
    </row>
    <row r="106" spans="1:17" x14ac:dyDescent="0.25">
      <c r="A106" s="115" t="s">
        <v>338</v>
      </c>
      <c r="B106" s="1014"/>
      <c r="C106" s="1017"/>
      <c r="D106" s="861"/>
      <c r="E106" s="1019"/>
      <c r="F106" s="865"/>
      <c r="G106" s="865"/>
      <c r="H106" s="867"/>
      <c r="I106" s="865"/>
      <c r="J106" s="865"/>
      <c r="K106" s="865"/>
      <c r="L106" s="865"/>
      <c r="M106" s="185" t="str">
        <f>IFERROR(INDEX('Controles de Corrupción'!$C$10:$AY$249,MATCH(A106,'Controles de Corrupción'!$B$10:$B$249,0),4),"")</f>
        <v/>
      </c>
      <c r="N106" s="70" t="str">
        <f>IFERROR(INDEX('Controles de Corrupción'!$C$10:$AY$249,MATCH(A106,'Controles de Corrupción'!$B$10:$B$249,0),40),"")</f>
        <v/>
      </c>
      <c r="O106" s="70" t="str">
        <f>IFERROR(INDEX('Controles de Corrupción'!$C$10:$AY$251,MATCH(A106,'Controles de Corrupción'!$B$10:$B$251,0),41),"")</f>
        <v/>
      </c>
      <c r="P106" s="70" t="str">
        <f>IFERROR(INDEX('Controles de Corrupción'!$C$10:$AY$251,MATCH(A106,'Controles de Corrupción'!$B$10:$B$251,0),42),"")</f>
        <v/>
      </c>
      <c r="Q106" s="186" t="str">
        <f>IFERROR(INDEX('Controles de Corrupción'!$C$10:$AY$251,MATCH(A106,'Controles de Corrupción'!$B$10:$B$251,0),47),"")</f>
        <v/>
      </c>
    </row>
    <row r="107" spans="1:17" x14ac:dyDescent="0.25">
      <c r="A107" s="115" t="s">
        <v>339</v>
      </c>
      <c r="B107" s="1014"/>
      <c r="C107" s="1017"/>
      <c r="D107" s="861"/>
      <c r="E107" s="1019"/>
      <c r="F107" s="865"/>
      <c r="G107" s="865"/>
      <c r="H107" s="867"/>
      <c r="I107" s="865"/>
      <c r="J107" s="865"/>
      <c r="K107" s="865"/>
      <c r="L107" s="865"/>
      <c r="M107" s="185" t="str">
        <f>IFERROR(INDEX('Controles de Corrupción'!$C$10:$AY$249,MATCH(A107,'Controles de Corrupción'!$B$10:$B$249,0),4),"")</f>
        <v/>
      </c>
      <c r="N107" s="70" t="str">
        <f>IFERROR(INDEX('Controles de Corrupción'!$C$10:$AY$249,MATCH(A107,'Controles de Corrupción'!$B$10:$B$249,0),40),"")</f>
        <v/>
      </c>
      <c r="O107" s="70" t="str">
        <f>IFERROR(INDEX('Controles de Corrupción'!$C$10:$AY$251,MATCH(A107,'Controles de Corrupción'!$B$10:$B$251,0),41),"")</f>
        <v/>
      </c>
      <c r="P107" s="70" t="str">
        <f>IFERROR(INDEX('Controles de Corrupción'!$C$10:$AY$251,MATCH(A107,'Controles de Corrupción'!$B$10:$B$251,0),42),"")</f>
        <v/>
      </c>
      <c r="Q107" s="186" t="str">
        <f>IFERROR(INDEX('Controles de Corrupción'!$C$10:$AY$251,MATCH(A107,'Controles de Corrupción'!$B$10:$B$251,0),47),"")</f>
        <v/>
      </c>
    </row>
    <row r="108" spans="1:17" x14ac:dyDescent="0.25">
      <c r="A108" s="115" t="s">
        <v>340</v>
      </c>
      <c r="B108" s="1015"/>
      <c r="C108" s="1017"/>
      <c r="D108" s="861"/>
      <c r="E108" s="1019"/>
      <c r="F108" s="865"/>
      <c r="G108" s="865"/>
      <c r="H108" s="867"/>
      <c r="I108" s="865"/>
      <c r="J108" s="865"/>
      <c r="K108" s="865"/>
      <c r="L108" s="865"/>
      <c r="M108" s="185" t="str">
        <f>IFERROR(INDEX('Controles de Corrupción'!$C$10:$AY$249,MATCH(A108,'Controles de Corrupción'!$B$10:$B$249,0),4),"")</f>
        <v/>
      </c>
      <c r="N108" s="70" t="str">
        <f>IFERROR(INDEX('Controles de Corrupción'!$C$10:$AY$249,MATCH(A108,'Controles de Corrupción'!$B$10:$B$249,0),40),"")</f>
        <v/>
      </c>
      <c r="O108" s="70" t="str">
        <f>IFERROR(INDEX('Controles de Corrupción'!$C$10:$AY$251,MATCH(A108,'Controles de Corrupción'!$B$10:$B$251,0),41),"")</f>
        <v/>
      </c>
      <c r="P108" s="70" t="str">
        <f>IFERROR(INDEX('Controles de Corrupción'!$C$10:$AY$251,MATCH(A108,'Controles de Corrupción'!$B$10:$B$251,0),42),"")</f>
        <v/>
      </c>
      <c r="Q108" s="186" t="str">
        <f>IFERROR(INDEX('Controles de Corrupción'!$C$10:$AY$251,MATCH(A108,'Controles de Corrupción'!$B$10:$B$251,0),47),"")</f>
        <v/>
      </c>
    </row>
    <row r="109" spans="1:17" x14ac:dyDescent="0.25">
      <c r="A109" s="115" t="s">
        <v>341</v>
      </c>
      <c r="B109" s="1013"/>
      <c r="C109" s="1016" t="str">
        <f>IFERROR(INDEX('Riesgos de Corrupción'!$B$11:$BN$100,MATCH('Mapa Riesgo Corrupción'!B109,'Riesgos de Corrupción'!$B$11:$B$100,0),2),"")</f>
        <v/>
      </c>
      <c r="D109" s="860" t="str">
        <f>IFERROR(INDEX('Riesgos de Corrupción'!$B$11:$BN$100,MATCH('Mapa Riesgo Corrupción'!B109,'Riesgos de Corrupción'!$B$11:$B$100,0),4),"")</f>
        <v/>
      </c>
      <c r="E109" s="1018" t="str">
        <f>IFERROR(INDEX('Riesgos de Corrupción'!$B$11:$BN$100,MATCH('Mapa Riesgo Corrupción'!B109,'Riesgos de Corrupción'!$B$11:$B$100,0),5),"")</f>
        <v/>
      </c>
      <c r="F109" s="865" t="str">
        <f>IFERROR(INDEX('Riesgos de Corrupción'!$B$11:$BN$100,MATCH('Mapa Riesgo Corrupción'!B109,'Riesgos de Corrupción'!$B$11:$B$100,0),18),"")</f>
        <v/>
      </c>
      <c r="G109" s="865" t="str">
        <f>IFERROR(INDEX('Riesgos de Corrupción'!$B$11:$BN$100,MATCH('Mapa Riesgo Corrupción'!B109,'Riesgos de Corrupción'!$B$11:$B$100,0),63),"")</f>
        <v/>
      </c>
      <c r="H109" s="867" t="str">
        <f>IFERROR(INDEX('Riesgos de Corrupción'!$B$11:$BN$100,MATCH('Mapa Riesgo Corrupción'!B109,'Riesgos de Corrupción'!$B$11:$B$100,0),64),"")</f>
        <v/>
      </c>
      <c r="I109" s="865" t="str">
        <f>IFERROR(INDEX('Controles de Corrupción'!$C$10:$AY$251,MATCH('Mapa Riesgo Corrupción'!B109,'Controles de Corrupción'!#REF!,0),33),"")</f>
        <v/>
      </c>
      <c r="J109" s="865" t="str">
        <f>IFERROR(INDEX('Controles de Corrupción'!$C$10:$AY$251,MATCH('Mapa Riesgo Corrupción'!B109,'Controles de Corrupción'!#REF!,0),36),"")</f>
        <v/>
      </c>
      <c r="K109" s="865" t="str">
        <f>IFERROR(INDEX('Controles de Corrupción'!$C$10:$AY$251,MATCH('Mapa Riesgo Corrupción'!B109,'Controles de Corrupción'!#REF!,0),37),"")</f>
        <v/>
      </c>
      <c r="L109" s="865" t="str">
        <f>IFERROR(INDEX('Controles de Corrupción'!$C$10:$AY$251,MATCH('Mapa Riesgo Corrupción'!B109,'Controles de Corrupción'!#REF!,0),38),"")</f>
        <v/>
      </c>
      <c r="M109" s="185" t="str">
        <f>IFERROR(INDEX('Controles de Corrupción'!$C$10:$AY$249,MATCH(A109,'Controles de Corrupción'!$B$10:$B$249,0),4),"")</f>
        <v/>
      </c>
      <c r="N109" s="70" t="str">
        <f>IFERROR(INDEX('Controles de Corrupción'!$C$10:$AY$249,MATCH(A109,'Controles de Corrupción'!$B$10:$B$249,0),40),"")</f>
        <v/>
      </c>
      <c r="O109" s="70" t="str">
        <f>IFERROR(INDEX('Controles de Corrupción'!$C$10:$AY$251,MATCH(A109,'Controles de Corrupción'!$B$10:$B$251,0),41),"")</f>
        <v/>
      </c>
      <c r="P109" s="70" t="str">
        <f>IFERROR(INDEX('Controles de Corrupción'!$C$10:$AY$251,MATCH(A109,'Controles de Corrupción'!$B$10:$B$251,0),42),"")</f>
        <v/>
      </c>
      <c r="Q109" s="186" t="str">
        <f>IFERROR(INDEX('Controles de Corrupción'!$C$10:$AY$251,MATCH(A109,'Controles de Corrupción'!$B$10:$B$251,0),47),"")</f>
        <v/>
      </c>
    </row>
    <row r="110" spans="1:17" x14ac:dyDescent="0.25">
      <c r="A110" s="115" t="s">
        <v>342</v>
      </c>
      <c r="B110" s="1014"/>
      <c r="C110" s="1017"/>
      <c r="D110" s="861"/>
      <c r="E110" s="1019"/>
      <c r="F110" s="865"/>
      <c r="G110" s="865"/>
      <c r="H110" s="867"/>
      <c r="I110" s="865"/>
      <c r="J110" s="865"/>
      <c r="K110" s="865"/>
      <c r="L110" s="865"/>
      <c r="M110" s="185" t="str">
        <f>IFERROR(INDEX('Controles de Corrupción'!$C$10:$AY$249,MATCH(A110,'Controles de Corrupción'!$B$10:$B$249,0),4),"")</f>
        <v/>
      </c>
      <c r="N110" s="70" t="str">
        <f>IFERROR(INDEX('Controles de Corrupción'!$C$10:$AY$249,MATCH(A110,'Controles de Corrupción'!$B$10:$B$249,0),40),"")</f>
        <v/>
      </c>
      <c r="O110" s="70" t="str">
        <f>IFERROR(INDEX('Controles de Corrupción'!$C$10:$AY$251,MATCH(A110,'Controles de Corrupción'!$B$10:$B$251,0),41),"")</f>
        <v/>
      </c>
      <c r="P110" s="70" t="str">
        <f>IFERROR(INDEX('Controles de Corrupción'!$C$10:$AY$251,MATCH(A110,'Controles de Corrupción'!$B$10:$B$251,0),42),"")</f>
        <v/>
      </c>
      <c r="Q110" s="186" t="str">
        <f>IFERROR(INDEX('Controles de Corrupción'!$C$10:$AY$251,MATCH(A110,'Controles de Corrupción'!$B$10:$B$251,0),47),"")</f>
        <v/>
      </c>
    </row>
    <row r="111" spans="1:17" x14ac:dyDescent="0.25">
      <c r="A111" s="115" t="s">
        <v>343</v>
      </c>
      <c r="B111" s="1014"/>
      <c r="C111" s="1017"/>
      <c r="D111" s="861"/>
      <c r="E111" s="1019"/>
      <c r="F111" s="865"/>
      <c r="G111" s="865"/>
      <c r="H111" s="867"/>
      <c r="I111" s="865"/>
      <c r="J111" s="865"/>
      <c r="K111" s="865"/>
      <c r="L111" s="865"/>
      <c r="M111" s="185" t="str">
        <f>IFERROR(INDEX('Controles de Corrupción'!$C$10:$AY$249,MATCH(A111,'Controles de Corrupción'!$B$10:$B$249,0),4),"")</f>
        <v/>
      </c>
      <c r="N111" s="70" t="str">
        <f>IFERROR(INDEX('Controles de Corrupción'!$C$10:$AY$249,MATCH(A111,'Controles de Corrupción'!$B$10:$B$249,0),40),"")</f>
        <v/>
      </c>
      <c r="O111" s="70" t="str">
        <f>IFERROR(INDEX('Controles de Corrupción'!$C$10:$AY$251,MATCH(A111,'Controles de Corrupción'!$B$10:$B$251,0),41),"")</f>
        <v/>
      </c>
      <c r="P111" s="70" t="str">
        <f>IFERROR(INDEX('Controles de Corrupción'!$C$10:$AY$251,MATCH(A111,'Controles de Corrupción'!$B$10:$B$251,0),42),"")</f>
        <v/>
      </c>
      <c r="Q111" s="186" t="str">
        <f>IFERROR(INDEX('Controles de Corrupción'!$C$10:$AY$251,MATCH(A111,'Controles de Corrupción'!$B$10:$B$251,0),47),"")</f>
        <v/>
      </c>
    </row>
    <row r="112" spans="1:17" x14ac:dyDescent="0.25">
      <c r="A112" s="115" t="s">
        <v>344</v>
      </c>
      <c r="B112" s="1014"/>
      <c r="C112" s="1017"/>
      <c r="D112" s="861"/>
      <c r="E112" s="1019"/>
      <c r="F112" s="865"/>
      <c r="G112" s="865"/>
      <c r="H112" s="867"/>
      <c r="I112" s="865"/>
      <c r="J112" s="865"/>
      <c r="K112" s="865"/>
      <c r="L112" s="865"/>
      <c r="M112" s="185" t="str">
        <f>IFERROR(INDEX('Controles de Corrupción'!$C$10:$AY$249,MATCH(A112,'Controles de Corrupción'!$B$10:$B$249,0),4),"")</f>
        <v/>
      </c>
      <c r="N112" s="70" t="str">
        <f>IFERROR(INDEX('Controles de Corrupción'!$C$10:$AY$249,MATCH(A112,'Controles de Corrupción'!$B$10:$B$249,0),40),"")</f>
        <v/>
      </c>
      <c r="O112" s="70" t="str">
        <f>IFERROR(INDEX('Controles de Corrupción'!$C$10:$AY$251,MATCH(A112,'Controles de Corrupción'!$B$10:$B$251,0),41),"")</f>
        <v/>
      </c>
      <c r="P112" s="70" t="str">
        <f>IFERROR(INDEX('Controles de Corrupción'!$C$10:$AY$251,MATCH(A112,'Controles de Corrupción'!$B$10:$B$251,0),42),"")</f>
        <v/>
      </c>
      <c r="Q112" s="186" t="str">
        <f>IFERROR(INDEX('Controles de Corrupción'!$C$10:$AY$251,MATCH(A112,'Controles de Corrupción'!$B$10:$B$251,0),47),"")</f>
        <v/>
      </c>
    </row>
    <row r="113" spans="1:17" x14ac:dyDescent="0.25">
      <c r="A113" s="115" t="s">
        <v>345</v>
      </c>
      <c r="B113" s="1014"/>
      <c r="C113" s="1017"/>
      <c r="D113" s="861"/>
      <c r="E113" s="1019"/>
      <c r="F113" s="865"/>
      <c r="G113" s="865"/>
      <c r="H113" s="867"/>
      <c r="I113" s="865"/>
      <c r="J113" s="865"/>
      <c r="K113" s="865"/>
      <c r="L113" s="865"/>
      <c r="M113" s="185" t="str">
        <f>IFERROR(INDEX('Controles de Corrupción'!$C$10:$AY$249,MATCH(A113,'Controles de Corrupción'!$B$10:$B$249,0),4),"")</f>
        <v/>
      </c>
      <c r="N113" s="70" t="str">
        <f>IFERROR(INDEX('Controles de Corrupción'!$C$10:$AY$249,MATCH(A113,'Controles de Corrupción'!$B$10:$B$249,0),40),"")</f>
        <v/>
      </c>
      <c r="O113" s="70" t="str">
        <f>IFERROR(INDEX('Controles de Corrupción'!$C$10:$AY$251,MATCH(A113,'Controles de Corrupción'!$B$10:$B$251,0),41),"")</f>
        <v/>
      </c>
      <c r="P113" s="70" t="str">
        <f>IFERROR(INDEX('Controles de Corrupción'!$C$10:$AY$251,MATCH(A113,'Controles de Corrupción'!$B$10:$B$251,0),42),"")</f>
        <v/>
      </c>
      <c r="Q113" s="186" t="str">
        <f>IFERROR(INDEX('Controles de Corrupción'!$C$10:$AY$251,MATCH(A113,'Controles de Corrupción'!$B$10:$B$251,0),47),"")</f>
        <v/>
      </c>
    </row>
    <row r="114" spans="1:17" x14ac:dyDescent="0.25">
      <c r="A114" s="115" t="s">
        <v>346</v>
      </c>
      <c r="B114" s="1015"/>
      <c r="C114" s="1017"/>
      <c r="D114" s="861"/>
      <c r="E114" s="1019"/>
      <c r="F114" s="865"/>
      <c r="G114" s="865"/>
      <c r="H114" s="867"/>
      <c r="I114" s="865"/>
      <c r="J114" s="865"/>
      <c r="K114" s="865"/>
      <c r="L114" s="865"/>
      <c r="M114" s="185" t="str">
        <f>IFERROR(INDEX('Controles de Corrupción'!$C$10:$AY$249,MATCH(A114,'Controles de Corrupción'!$B$10:$B$249,0),4),"")</f>
        <v/>
      </c>
      <c r="N114" s="70" t="str">
        <f>IFERROR(INDEX('Controles de Corrupción'!$C$10:$AY$249,MATCH(A114,'Controles de Corrupción'!$B$10:$B$249,0),40),"")</f>
        <v/>
      </c>
      <c r="O114" s="70" t="str">
        <f>IFERROR(INDEX('Controles de Corrupción'!$C$10:$AY$251,MATCH(A114,'Controles de Corrupción'!$B$10:$B$251,0),41),"")</f>
        <v/>
      </c>
      <c r="P114" s="70" t="str">
        <f>IFERROR(INDEX('Controles de Corrupción'!$C$10:$AY$251,MATCH(A114,'Controles de Corrupción'!$B$10:$B$251,0),42),"")</f>
        <v/>
      </c>
      <c r="Q114" s="186" t="str">
        <f>IFERROR(INDEX('Controles de Corrupción'!$C$10:$AY$251,MATCH(A114,'Controles de Corrupción'!$B$10:$B$251,0),47),"")</f>
        <v/>
      </c>
    </row>
    <row r="115" spans="1:17" x14ac:dyDescent="0.25">
      <c r="A115" s="115" t="s">
        <v>347</v>
      </c>
      <c r="B115" s="1013"/>
      <c r="C115" s="1016" t="str">
        <f>IFERROR(INDEX('Riesgos de Corrupción'!$B$11:$BN$100,MATCH('Mapa Riesgo Corrupción'!B115,'Riesgos de Corrupción'!$B$11:$B$100,0),2),"")</f>
        <v/>
      </c>
      <c r="D115" s="860" t="str">
        <f>IFERROR(INDEX('Riesgos de Corrupción'!$B$11:$BN$100,MATCH('Mapa Riesgo Corrupción'!B115,'Riesgos de Corrupción'!$B$11:$B$100,0),4),"")</f>
        <v/>
      </c>
      <c r="E115" s="1018" t="str">
        <f>IFERROR(INDEX('Riesgos de Corrupción'!$B$11:$BN$100,MATCH('Mapa Riesgo Corrupción'!B115,'Riesgos de Corrupción'!$B$11:$B$100,0),5),"")</f>
        <v/>
      </c>
      <c r="F115" s="865" t="str">
        <f>IFERROR(INDEX('Riesgos de Corrupción'!$B$11:$BN$100,MATCH('Mapa Riesgo Corrupción'!B115,'Riesgos de Corrupción'!$B$11:$B$100,0),18),"")</f>
        <v/>
      </c>
      <c r="G115" s="865" t="str">
        <f>IFERROR(INDEX('Riesgos de Corrupción'!$B$11:$BN$100,MATCH('Mapa Riesgo Corrupción'!B115,'Riesgos de Corrupción'!$B$11:$B$100,0),63),"")</f>
        <v/>
      </c>
      <c r="H115" s="867" t="str">
        <f>IFERROR(INDEX('Riesgos de Corrupción'!$B$11:$BN$100,MATCH('Mapa Riesgo Corrupción'!B115,'Riesgos de Corrupción'!$B$11:$B$100,0),64),"")</f>
        <v/>
      </c>
      <c r="I115" s="865" t="str">
        <f>IFERROR(INDEX('Controles de Corrupción'!$C$10:$AY$251,MATCH('Mapa Riesgo Corrupción'!B115,'Controles de Corrupción'!#REF!,0),33),"")</f>
        <v/>
      </c>
      <c r="J115" s="865" t="str">
        <f>IFERROR(INDEX('Controles de Corrupción'!$C$10:$AY$251,MATCH('Mapa Riesgo Corrupción'!B115,'Controles de Corrupción'!#REF!,0),36),"")</f>
        <v/>
      </c>
      <c r="K115" s="865" t="str">
        <f>IFERROR(INDEX('Controles de Corrupción'!$C$10:$AY$251,MATCH('Mapa Riesgo Corrupción'!B115,'Controles de Corrupción'!#REF!,0),37),"")</f>
        <v/>
      </c>
      <c r="L115" s="865" t="str">
        <f>IFERROR(INDEX('Controles de Corrupción'!$C$10:$AY$251,MATCH('Mapa Riesgo Corrupción'!B115,'Controles de Corrupción'!#REF!,0),38),"")</f>
        <v/>
      </c>
      <c r="M115" s="185" t="str">
        <f>IFERROR(INDEX('Controles de Corrupción'!$C$10:$AY$249,MATCH(A115,'Controles de Corrupción'!$B$10:$B$249,0),4),"")</f>
        <v/>
      </c>
      <c r="N115" s="70" t="str">
        <f>IFERROR(INDEX('Controles de Corrupción'!$C$10:$AY$249,MATCH(A115,'Controles de Corrupción'!$B$10:$B$249,0),40),"")</f>
        <v/>
      </c>
      <c r="O115" s="70" t="str">
        <f>IFERROR(INDEX('Controles de Corrupción'!$C$10:$AY$251,MATCH(A115,'Controles de Corrupción'!$B$10:$B$251,0),41),"")</f>
        <v/>
      </c>
      <c r="P115" s="70" t="str">
        <f>IFERROR(INDEX('Controles de Corrupción'!$C$10:$AY$251,MATCH(A115,'Controles de Corrupción'!$B$10:$B$251,0),42),"")</f>
        <v/>
      </c>
      <c r="Q115" s="186" t="str">
        <f>IFERROR(INDEX('Controles de Corrupción'!$C$10:$AY$251,MATCH(A115,'Controles de Corrupción'!$B$10:$B$251,0),47),"")</f>
        <v/>
      </c>
    </row>
    <row r="116" spans="1:17" x14ac:dyDescent="0.25">
      <c r="A116" s="115" t="s">
        <v>348</v>
      </c>
      <c r="B116" s="1014"/>
      <c r="C116" s="1017"/>
      <c r="D116" s="861"/>
      <c r="E116" s="1019"/>
      <c r="F116" s="865"/>
      <c r="G116" s="865"/>
      <c r="H116" s="867"/>
      <c r="I116" s="865"/>
      <c r="J116" s="865"/>
      <c r="K116" s="865"/>
      <c r="L116" s="865"/>
      <c r="M116" s="185" t="str">
        <f>IFERROR(INDEX('Controles de Corrupción'!$C$10:$AY$249,MATCH(A116,'Controles de Corrupción'!$B$10:$B$249,0),4),"")</f>
        <v/>
      </c>
      <c r="N116" s="70" t="str">
        <f>IFERROR(INDEX('Controles de Corrupción'!$C$10:$AY$249,MATCH(A116,'Controles de Corrupción'!$B$10:$B$249,0),40),"")</f>
        <v/>
      </c>
      <c r="O116" s="70" t="str">
        <f>IFERROR(INDEX('Controles de Corrupción'!$C$10:$AY$251,MATCH(A116,'Controles de Corrupción'!$B$10:$B$251,0),41),"")</f>
        <v/>
      </c>
      <c r="P116" s="70" t="str">
        <f>IFERROR(INDEX('Controles de Corrupción'!$C$10:$AY$251,MATCH(A116,'Controles de Corrupción'!$B$10:$B$251,0),42),"")</f>
        <v/>
      </c>
      <c r="Q116" s="186" t="str">
        <f>IFERROR(INDEX('Controles de Corrupción'!$C$10:$AY$251,MATCH(A116,'Controles de Corrupción'!$B$10:$B$251,0),47),"")</f>
        <v/>
      </c>
    </row>
    <row r="117" spans="1:17" x14ac:dyDescent="0.25">
      <c r="A117" s="115" t="s">
        <v>349</v>
      </c>
      <c r="B117" s="1014"/>
      <c r="C117" s="1017"/>
      <c r="D117" s="861"/>
      <c r="E117" s="1019"/>
      <c r="F117" s="865"/>
      <c r="G117" s="865"/>
      <c r="H117" s="867"/>
      <c r="I117" s="865"/>
      <c r="J117" s="865"/>
      <c r="K117" s="865"/>
      <c r="L117" s="865"/>
      <c r="M117" s="185" t="str">
        <f>IFERROR(INDEX('Controles de Corrupción'!$C$10:$AY$249,MATCH(A117,'Controles de Corrupción'!$B$10:$B$249,0),4),"")</f>
        <v/>
      </c>
      <c r="N117" s="70" t="str">
        <f>IFERROR(INDEX('Controles de Corrupción'!$C$10:$AY$249,MATCH(A117,'Controles de Corrupción'!$B$10:$B$249,0),40),"")</f>
        <v/>
      </c>
      <c r="O117" s="70" t="str">
        <f>IFERROR(INDEX('Controles de Corrupción'!$C$10:$AY$251,MATCH(A117,'Controles de Corrupción'!$B$10:$B$251,0),41),"")</f>
        <v/>
      </c>
      <c r="P117" s="70" t="str">
        <f>IFERROR(INDEX('Controles de Corrupción'!$C$10:$AY$251,MATCH(A117,'Controles de Corrupción'!$B$10:$B$251,0),42),"")</f>
        <v/>
      </c>
      <c r="Q117" s="186" t="str">
        <f>IFERROR(INDEX('Controles de Corrupción'!$C$10:$AY$251,MATCH(A117,'Controles de Corrupción'!$B$10:$B$251,0),47),"")</f>
        <v/>
      </c>
    </row>
    <row r="118" spans="1:17" x14ac:dyDescent="0.25">
      <c r="A118" s="115" t="s">
        <v>350</v>
      </c>
      <c r="B118" s="1014"/>
      <c r="C118" s="1017"/>
      <c r="D118" s="861"/>
      <c r="E118" s="1019"/>
      <c r="F118" s="865"/>
      <c r="G118" s="865"/>
      <c r="H118" s="867"/>
      <c r="I118" s="865"/>
      <c r="J118" s="865"/>
      <c r="K118" s="865"/>
      <c r="L118" s="865"/>
      <c r="M118" s="185" t="str">
        <f>IFERROR(INDEX('Controles de Corrupción'!$C$10:$AY$249,MATCH(A118,'Controles de Corrupción'!$B$10:$B$249,0),4),"")</f>
        <v/>
      </c>
      <c r="N118" s="70" t="str">
        <f>IFERROR(INDEX('Controles de Corrupción'!$C$10:$AY$249,MATCH(A118,'Controles de Corrupción'!$B$10:$B$249,0),40),"")</f>
        <v/>
      </c>
      <c r="O118" s="70" t="str">
        <f>IFERROR(INDEX('Controles de Corrupción'!$C$10:$AY$251,MATCH(A118,'Controles de Corrupción'!$B$10:$B$251,0),41),"")</f>
        <v/>
      </c>
      <c r="P118" s="70" t="str">
        <f>IFERROR(INDEX('Controles de Corrupción'!$C$10:$AY$251,MATCH(A118,'Controles de Corrupción'!$B$10:$B$251,0),42),"")</f>
        <v/>
      </c>
      <c r="Q118" s="186" t="str">
        <f>IFERROR(INDEX('Controles de Corrupción'!$C$10:$AY$251,MATCH(A118,'Controles de Corrupción'!$B$10:$B$251,0),47),"")</f>
        <v/>
      </c>
    </row>
    <row r="119" spans="1:17" x14ac:dyDescent="0.25">
      <c r="A119" s="115" t="s">
        <v>351</v>
      </c>
      <c r="B119" s="1014"/>
      <c r="C119" s="1017"/>
      <c r="D119" s="861"/>
      <c r="E119" s="1019"/>
      <c r="F119" s="865"/>
      <c r="G119" s="865"/>
      <c r="H119" s="867"/>
      <c r="I119" s="865"/>
      <c r="J119" s="865"/>
      <c r="K119" s="865"/>
      <c r="L119" s="865"/>
      <c r="M119" s="185" t="str">
        <f>IFERROR(INDEX('Controles de Corrupción'!$C$10:$AY$249,MATCH(A119,'Controles de Corrupción'!$B$10:$B$249,0),4),"")</f>
        <v/>
      </c>
      <c r="N119" s="70" t="str">
        <f>IFERROR(INDEX('Controles de Corrupción'!$C$10:$AY$249,MATCH(A119,'Controles de Corrupción'!$B$10:$B$249,0),40),"")</f>
        <v/>
      </c>
      <c r="O119" s="70" t="str">
        <f>IFERROR(INDEX('Controles de Corrupción'!$C$10:$AY$251,MATCH(A119,'Controles de Corrupción'!$B$10:$B$251,0),41),"")</f>
        <v/>
      </c>
      <c r="P119" s="70" t="str">
        <f>IFERROR(INDEX('Controles de Corrupción'!$C$10:$AY$251,MATCH(A119,'Controles de Corrupción'!$B$10:$B$251,0),42),"")</f>
        <v/>
      </c>
      <c r="Q119" s="186" t="str">
        <f>IFERROR(INDEX('Controles de Corrupción'!$C$10:$AY$251,MATCH(A119,'Controles de Corrupción'!$B$10:$B$251,0),47),"")</f>
        <v/>
      </c>
    </row>
    <row r="120" spans="1:17" x14ac:dyDescent="0.25">
      <c r="A120" s="115" t="s">
        <v>352</v>
      </c>
      <c r="B120" s="1015"/>
      <c r="C120" s="1017"/>
      <c r="D120" s="861"/>
      <c r="E120" s="1019"/>
      <c r="F120" s="865"/>
      <c r="G120" s="865"/>
      <c r="H120" s="867"/>
      <c r="I120" s="865"/>
      <c r="J120" s="865"/>
      <c r="K120" s="865"/>
      <c r="L120" s="865"/>
      <c r="M120" s="185" t="str">
        <f>IFERROR(INDEX('Controles de Corrupción'!$C$10:$AY$249,MATCH(A120,'Controles de Corrupción'!$B$10:$B$249,0),4),"")</f>
        <v/>
      </c>
      <c r="N120" s="70" t="str">
        <f>IFERROR(INDEX('Controles de Corrupción'!$C$10:$AY$249,MATCH(A120,'Controles de Corrupción'!$B$10:$B$249,0),40),"")</f>
        <v/>
      </c>
      <c r="O120" s="70" t="str">
        <f>IFERROR(INDEX('Controles de Corrupción'!$C$10:$AY$251,MATCH(A120,'Controles de Corrupción'!$B$10:$B$251,0),41),"")</f>
        <v/>
      </c>
      <c r="P120" s="70" t="str">
        <f>IFERROR(INDEX('Controles de Corrupción'!$C$10:$AY$251,MATCH(A120,'Controles de Corrupción'!$B$10:$B$251,0),42),"")</f>
        <v/>
      </c>
      <c r="Q120" s="186" t="str">
        <f>IFERROR(INDEX('Controles de Corrupción'!$C$10:$AY$251,MATCH(A120,'Controles de Corrupción'!$B$10:$B$251,0),47),"")</f>
        <v/>
      </c>
    </row>
    <row r="121" spans="1:17" x14ac:dyDescent="0.25">
      <c r="A121" s="115" t="s">
        <v>353</v>
      </c>
      <c r="B121" s="1013"/>
      <c r="C121" s="1016" t="str">
        <f>IFERROR(INDEX('Riesgos de Corrupción'!$B$11:$BN$100,MATCH('Mapa Riesgo Corrupción'!B121,'Riesgos de Corrupción'!$B$11:$B$100,0),2),"")</f>
        <v/>
      </c>
      <c r="D121" s="860" t="str">
        <f>IFERROR(INDEX('Riesgos de Corrupción'!$B$11:$BN$100,MATCH('Mapa Riesgo Corrupción'!B121,'Riesgos de Corrupción'!$B$11:$B$100,0),4),"")</f>
        <v/>
      </c>
      <c r="E121" s="1018" t="str">
        <f>IFERROR(INDEX('Riesgos de Corrupción'!$B$11:$BN$100,MATCH('Mapa Riesgo Corrupción'!B121,'Riesgos de Corrupción'!$B$11:$B$100,0),5),"")</f>
        <v/>
      </c>
      <c r="F121" s="865" t="str">
        <f>IFERROR(INDEX('Riesgos de Corrupción'!$B$11:$BN$100,MATCH('Mapa Riesgo Corrupción'!B121,'Riesgos de Corrupción'!$B$11:$B$100,0),18),"")</f>
        <v/>
      </c>
      <c r="G121" s="865" t="str">
        <f>IFERROR(INDEX('Riesgos de Corrupción'!$B$11:$BN$100,MATCH('Mapa Riesgo Corrupción'!B121,'Riesgos de Corrupción'!$B$11:$B$100,0),63),"")</f>
        <v/>
      </c>
      <c r="H121" s="867" t="str">
        <f>IFERROR(INDEX('Riesgos de Corrupción'!$B$11:$BN$100,MATCH('Mapa Riesgo Corrupción'!B121,'Riesgos de Corrupción'!$B$11:$B$100,0),64),"")</f>
        <v/>
      </c>
      <c r="I121" s="865" t="str">
        <f>IFERROR(INDEX('Controles de Corrupción'!$C$10:$AY$251,MATCH('Mapa Riesgo Corrupción'!B121,'Controles de Corrupción'!#REF!,0),33),"")</f>
        <v/>
      </c>
      <c r="J121" s="865" t="str">
        <f>IFERROR(INDEX('Controles de Corrupción'!$C$10:$AY$251,MATCH('Mapa Riesgo Corrupción'!B121,'Controles de Corrupción'!#REF!,0),36),"")</f>
        <v/>
      </c>
      <c r="K121" s="865" t="str">
        <f>IFERROR(INDEX('Controles de Corrupción'!$C$10:$AY$251,MATCH('Mapa Riesgo Corrupción'!B121,'Controles de Corrupción'!#REF!,0),37),"")</f>
        <v/>
      </c>
      <c r="L121" s="865" t="str">
        <f>IFERROR(INDEX('Controles de Corrupción'!$C$10:$AY$251,MATCH('Mapa Riesgo Corrupción'!B121,'Controles de Corrupción'!#REF!,0),38),"")</f>
        <v/>
      </c>
      <c r="M121" s="185" t="str">
        <f>IFERROR(INDEX('Controles de Corrupción'!$C$10:$AY$249,MATCH(A121,'Controles de Corrupción'!$B$10:$B$249,0),4),"")</f>
        <v/>
      </c>
      <c r="N121" s="70" t="str">
        <f>IFERROR(INDEX('Controles de Corrupción'!$C$10:$AY$249,MATCH(A121,'Controles de Corrupción'!$B$10:$B$249,0),40),"")</f>
        <v/>
      </c>
      <c r="O121" s="70" t="str">
        <f>IFERROR(INDEX('Controles de Corrupción'!$C$10:$AY$251,MATCH(A121,'Controles de Corrupción'!$B$10:$B$251,0),41),"")</f>
        <v/>
      </c>
      <c r="P121" s="70" t="str">
        <f>IFERROR(INDEX('Controles de Corrupción'!$C$10:$AY$251,MATCH(A121,'Controles de Corrupción'!$B$10:$B$251,0),42),"")</f>
        <v/>
      </c>
      <c r="Q121" s="186" t="str">
        <f>IFERROR(INDEX('Controles de Corrupción'!$C$10:$AY$251,MATCH(A121,'Controles de Corrupción'!$B$10:$B$251,0),47),"")</f>
        <v/>
      </c>
    </row>
    <row r="122" spans="1:17" x14ac:dyDescent="0.25">
      <c r="A122" s="115" t="s">
        <v>354</v>
      </c>
      <c r="B122" s="1014"/>
      <c r="C122" s="1017"/>
      <c r="D122" s="861"/>
      <c r="E122" s="1019"/>
      <c r="F122" s="865"/>
      <c r="G122" s="865"/>
      <c r="H122" s="867"/>
      <c r="I122" s="865"/>
      <c r="J122" s="865"/>
      <c r="K122" s="865"/>
      <c r="L122" s="865"/>
      <c r="M122" s="185" t="str">
        <f>IFERROR(INDEX('Controles de Corrupción'!$C$10:$AY$249,MATCH(A122,'Controles de Corrupción'!$B$10:$B$249,0),4),"")</f>
        <v/>
      </c>
      <c r="N122" s="70" t="str">
        <f>IFERROR(INDEX('Controles de Corrupción'!$C$10:$AY$249,MATCH(A122,'Controles de Corrupción'!$B$10:$B$249,0),40),"")</f>
        <v/>
      </c>
      <c r="O122" s="70" t="str">
        <f>IFERROR(INDEX('Controles de Corrupción'!$C$10:$AY$251,MATCH(A122,'Controles de Corrupción'!$B$10:$B$251,0),41),"")</f>
        <v/>
      </c>
      <c r="P122" s="70" t="str">
        <f>IFERROR(INDEX('Controles de Corrupción'!$C$10:$AY$251,MATCH(A122,'Controles de Corrupción'!$B$10:$B$251,0),42),"")</f>
        <v/>
      </c>
      <c r="Q122" s="186" t="str">
        <f>IFERROR(INDEX('Controles de Corrupción'!$C$10:$AY$251,MATCH(A122,'Controles de Corrupción'!$B$10:$B$251,0),47),"")</f>
        <v/>
      </c>
    </row>
    <row r="123" spans="1:17" x14ac:dyDescent="0.25">
      <c r="A123" s="115" t="s">
        <v>355</v>
      </c>
      <c r="B123" s="1014"/>
      <c r="C123" s="1017"/>
      <c r="D123" s="861"/>
      <c r="E123" s="1019"/>
      <c r="F123" s="865"/>
      <c r="G123" s="865"/>
      <c r="H123" s="867"/>
      <c r="I123" s="865"/>
      <c r="J123" s="865"/>
      <c r="K123" s="865"/>
      <c r="L123" s="865"/>
      <c r="M123" s="185" t="str">
        <f>IFERROR(INDEX('Controles de Corrupción'!$C$10:$AY$249,MATCH(A123,'Controles de Corrupción'!$B$10:$B$249,0),4),"")</f>
        <v/>
      </c>
      <c r="N123" s="70" t="str">
        <f>IFERROR(INDEX('Controles de Corrupción'!$C$10:$AY$249,MATCH(A123,'Controles de Corrupción'!$B$10:$B$249,0),40),"")</f>
        <v/>
      </c>
      <c r="O123" s="70" t="str">
        <f>IFERROR(INDEX('Controles de Corrupción'!$C$10:$AY$251,MATCH(A123,'Controles de Corrupción'!$B$10:$B$251,0),41),"")</f>
        <v/>
      </c>
      <c r="P123" s="70" t="str">
        <f>IFERROR(INDEX('Controles de Corrupción'!$C$10:$AY$251,MATCH(A123,'Controles de Corrupción'!$B$10:$B$251,0),42),"")</f>
        <v/>
      </c>
      <c r="Q123" s="186" t="str">
        <f>IFERROR(INDEX('Controles de Corrupción'!$C$10:$AY$251,MATCH(A123,'Controles de Corrupción'!$B$10:$B$251,0),47),"")</f>
        <v/>
      </c>
    </row>
    <row r="124" spans="1:17" x14ac:dyDescent="0.25">
      <c r="A124" s="115" t="s">
        <v>356</v>
      </c>
      <c r="B124" s="1014"/>
      <c r="C124" s="1017"/>
      <c r="D124" s="861"/>
      <c r="E124" s="1019"/>
      <c r="F124" s="865"/>
      <c r="G124" s="865"/>
      <c r="H124" s="867"/>
      <c r="I124" s="865"/>
      <c r="J124" s="865"/>
      <c r="K124" s="865"/>
      <c r="L124" s="865"/>
      <c r="M124" s="185" t="str">
        <f>IFERROR(INDEX('Controles de Corrupción'!$C$10:$AY$249,MATCH(A124,'Controles de Corrupción'!$B$10:$B$249,0),4),"")</f>
        <v/>
      </c>
      <c r="N124" s="70" t="str">
        <f>IFERROR(INDEX('Controles de Corrupción'!$C$10:$AY$249,MATCH(A124,'Controles de Corrupción'!$B$10:$B$249,0),40),"")</f>
        <v/>
      </c>
      <c r="O124" s="70" t="str">
        <f>IFERROR(INDEX('Controles de Corrupción'!$C$10:$AY$251,MATCH(A124,'Controles de Corrupción'!$B$10:$B$251,0),41),"")</f>
        <v/>
      </c>
      <c r="P124" s="70" t="str">
        <f>IFERROR(INDEX('Controles de Corrupción'!$C$10:$AY$251,MATCH(A124,'Controles de Corrupción'!$B$10:$B$251,0),42),"")</f>
        <v/>
      </c>
      <c r="Q124" s="186" t="str">
        <f>IFERROR(INDEX('Controles de Corrupción'!$C$10:$AY$251,MATCH(A124,'Controles de Corrupción'!$B$10:$B$251,0),47),"")</f>
        <v/>
      </c>
    </row>
    <row r="125" spans="1:17" x14ac:dyDescent="0.25">
      <c r="A125" s="115" t="s">
        <v>357</v>
      </c>
      <c r="B125" s="1014"/>
      <c r="C125" s="1017"/>
      <c r="D125" s="861"/>
      <c r="E125" s="1019"/>
      <c r="F125" s="865"/>
      <c r="G125" s="865"/>
      <c r="H125" s="867"/>
      <c r="I125" s="865"/>
      <c r="J125" s="865"/>
      <c r="K125" s="865"/>
      <c r="L125" s="865"/>
      <c r="M125" s="185" t="str">
        <f>IFERROR(INDEX('Controles de Corrupción'!$C$10:$AY$249,MATCH(A125,'Controles de Corrupción'!$B$10:$B$249,0),4),"")</f>
        <v/>
      </c>
      <c r="N125" s="70" t="str">
        <f>IFERROR(INDEX('Controles de Corrupción'!$C$10:$AY$249,MATCH(A125,'Controles de Corrupción'!$B$10:$B$249,0),40),"")</f>
        <v/>
      </c>
      <c r="O125" s="70" t="str">
        <f>IFERROR(INDEX('Controles de Corrupción'!$C$10:$AY$251,MATCH(A125,'Controles de Corrupción'!$B$10:$B$251,0),41),"")</f>
        <v/>
      </c>
      <c r="P125" s="70" t="str">
        <f>IFERROR(INDEX('Controles de Corrupción'!$C$10:$AY$251,MATCH(A125,'Controles de Corrupción'!$B$10:$B$251,0),42),"")</f>
        <v/>
      </c>
      <c r="Q125" s="186" t="str">
        <f>IFERROR(INDEX('Controles de Corrupción'!$C$10:$AY$251,MATCH(A125,'Controles de Corrupción'!$B$10:$B$251,0),47),"")</f>
        <v/>
      </c>
    </row>
    <row r="126" spans="1:17" x14ac:dyDescent="0.25">
      <c r="A126" s="115" t="s">
        <v>358</v>
      </c>
      <c r="B126" s="1015"/>
      <c r="C126" s="1017"/>
      <c r="D126" s="861"/>
      <c r="E126" s="1019"/>
      <c r="F126" s="865"/>
      <c r="G126" s="865"/>
      <c r="H126" s="867"/>
      <c r="I126" s="865"/>
      <c r="J126" s="865"/>
      <c r="K126" s="865"/>
      <c r="L126" s="865"/>
      <c r="M126" s="185" t="str">
        <f>IFERROR(INDEX('Controles de Corrupción'!$C$10:$AY$249,MATCH(A126,'Controles de Corrupción'!$B$10:$B$249,0),4),"")</f>
        <v/>
      </c>
      <c r="N126" s="70" t="str">
        <f>IFERROR(INDEX('Controles de Corrupción'!$C$10:$AY$249,MATCH(A126,'Controles de Corrupción'!$B$10:$B$249,0),40),"")</f>
        <v/>
      </c>
      <c r="O126" s="70" t="str">
        <f>IFERROR(INDEX('Controles de Corrupción'!$C$10:$AY$251,MATCH(A126,'Controles de Corrupción'!$B$10:$B$251,0),41),"")</f>
        <v/>
      </c>
      <c r="P126" s="70" t="str">
        <f>IFERROR(INDEX('Controles de Corrupción'!$C$10:$AY$251,MATCH(A126,'Controles de Corrupción'!$B$10:$B$251,0),42),"")</f>
        <v/>
      </c>
      <c r="Q126" s="186" t="str">
        <f>IFERROR(INDEX('Controles de Corrupción'!$C$10:$AY$251,MATCH(A126,'Controles de Corrupción'!$B$10:$B$251,0),47),"")</f>
        <v/>
      </c>
    </row>
    <row r="127" spans="1:17" x14ac:dyDescent="0.25">
      <c r="A127" s="115" t="s">
        <v>359</v>
      </c>
      <c r="B127" s="1013"/>
      <c r="C127" s="1016" t="str">
        <f>IFERROR(INDEX('Riesgos de Corrupción'!$B$11:$BN$100,MATCH('Mapa Riesgo Corrupción'!B127,'Riesgos de Corrupción'!$B$11:$B$100,0),2),"")</f>
        <v/>
      </c>
      <c r="D127" s="860" t="str">
        <f>IFERROR(INDEX('Riesgos de Corrupción'!$B$11:$BN$100,MATCH('Mapa Riesgo Corrupción'!B127,'Riesgos de Corrupción'!$B$11:$B$100,0),4),"")</f>
        <v/>
      </c>
      <c r="E127" s="1018" t="str">
        <f>IFERROR(INDEX('Riesgos de Corrupción'!$B$11:$BN$100,MATCH('Mapa Riesgo Corrupción'!B127,'Riesgos de Corrupción'!$B$11:$B$100,0),5),"")</f>
        <v/>
      </c>
      <c r="F127" s="865" t="str">
        <f>IFERROR(INDEX('Riesgos de Corrupción'!$B$11:$BN$100,MATCH('Mapa Riesgo Corrupción'!B127,'Riesgos de Corrupción'!$B$11:$B$100,0),18),"")</f>
        <v/>
      </c>
      <c r="G127" s="865" t="str">
        <f>IFERROR(INDEX('Riesgos de Corrupción'!$B$11:$BN$100,MATCH('Mapa Riesgo Corrupción'!B127,'Riesgos de Corrupción'!$B$11:$B$100,0),63),"")</f>
        <v/>
      </c>
      <c r="H127" s="867" t="str">
        <f>IFERROR(INDEX('Riesgos de Corrupción'!$B$11:$BN$100,MATCH('Mapa Riesgo Corrupción'!B127,'Riesgos de Corrupción'!$B$11:$B$100,0),64),"")</f>
        <v/>
      </c>
      <c r="I127" s="865" t="str">
        <f>IFERROR(INDEX('Controles de Corrupción'!$C$10:$AY$251,MATCH('Mapa Riesgo Corrupción'!B127,'Controles de Corrupción'!#REF!,0),33),"")</f>
        <v/>
      </c>
      <c r="J127" s="865" t="str">
        <f>IFERROR(INDEX('Controles de Corrupción'!$C$10:$AY$251,MATCH('Mapa Riesgo Corrupción'!B127,'Controles de Corrupción'!#REF!,0),36),"")</f>
        <v/>
      </c>
      <c r="K127" s="865" t="str">
        <f>IFERROR(INDEX('Controles de Corrupción'!$C$10:$AY$251,MATCH('Mapa Riesgo Corrupción'!B127,'Controles de Corrupción'!#REF!,0),37),"")</f>
        <v/>
      </c>
      <c r="L127" s="865" t="str">
        <f>IFERROR(INDEX('Controles de Corrupción'!$C$10:$AY$251,MATCH('Mapa Riesgo Corrupción'!B127,'Controles de Corrupción'!#REF!,0),38),"")</f>
        <v/>
      </c>
      <c r="M127" s="185" t="str">
        <f>IFERROR(INDEX('Controles de Corrupción'!$C$10:$AY$249,MATCH(A127,'Controles de Corrupción'!$B$10:$B$249,0),4),"")</f>
        <v/>
      </c>
      <c r="N127" s="70" t="str">
        <f>IFERROR(INDEX('Controles de Corrupción'!$C$10:$AY$249,MATCH(A127,'Controles de Corrupción'!$B$10:$B$249,0),40),"")</f>
        <v/>
      </c>
      <c r="O127" s="70" t="str">
        <f>IFERROR(INDEX('Controles de Corrupción'!$C$10:$AY$251,MATCH(A127,'Controles de Corrupción'!$B$10:$B$251,0),41),"")</f>
        <v/>
      </c>
      <c r="P127" s="70" t="str">
        <f>IFERROR(INDEX('Controles de Corrupción'!$C$10:$AY$251,MATCH(A127,'Controles de Corrupción'!$B$10:$B$251,0),42),"")</f>
        <v/>
      </c>
      <c r="Q127" s="186" t="str">
        <f>IFERROR(INDEX('Controles de Corrupción'!$C$10:$AY$251,MATCH(A127,'Controles de Corrupción'!$B$10:$B$251,0),47),"")</f>
        <v/>
      </c>
    </row>
    <row r="128" spans="1:17" x14ac:dyDescent="0.25">
      <c r="A128" s="115" t="s">
        <v>360</v>
      </c>
      <c r="B128" s="1014"/>
      <c r="C128" s="1017"/>
      <c r="D128" s="861"/>
      <c r="E128" s="1019"/>
      <c r="F128" s="865"/>
      <c r="G128" s="865"/>
      <c r="H128" s="867"/>
      <c r="I128" s="865"/>
      <c r="J128" s="865"/>
      <c r="K128" s="865"/>
      <c r="L128" s="865"/>
      <c r="M128" s="185" t="str">
        <f>IFERROR(INDEX('Controles de Corrupción'!$C$10:$AY$249,MATCH(A128,'Controles de Corrupción'!$B$10:$B$249,0),4),"")</f>
        <v/>
      </c>
      <c r="N128" s="70" t="str">
        <f>IFERROR(INDEX('Controles de Corrupción'!$C$10:$AY$249,MATCH(A128,'Controles de Corrupción'!$B$10:$B$249,0),40),"")</f>
        <v/>
      </c>
      <c r="O128" s="70" t="str">
        <f>IFERROR(INDEX('Controles de Corrupción'!$C$10:$AY$251,MATCH(A128,'Controles de Corrupción'!$B$10:$B$251,0),41),"")</f>
        <v/>
      </c>
      <c r="P128" s="70" t="str">
        <f>IFERROR(INDEX('Controles de Corrupción'!$C$10:$AY$251,MATCH(A128,'Controles de Corrupción'!$B$10:$B$251,0),42),"")</f>
        <v/>
      </c>
      <c r="Q128" s="186" t="str">
        <f>IFERROR(INDEX('Controles de Corrupción'!$C$10:$AY$251,MATCH(A128,'Controles de Corrupción'!$B$10:$B$251,0),47),"")</f>
        <v/>
      </c>
    </row>
    <row r="129" spans="1:17" x14ac:dyDescent="0.25">
      <c r="A129" s="115" t="s">
        <v>361</v>
      </c>
      <c r="B129" s="1014"/>
      <c r="C129" s="1017"/>
      <c r="D129" s="861"/>
      <c r="E129" s="1019"/>
      <c r="F129" s="865"/>
      <c r="G129" s="865"/>
      <c r="H129" s="867"/>
      <c r="I129" s="865"/>
      <c r="J129" s="865"/>
      <c r="K129" s="865"/>
      <c r="L129" s="865"/>
      <c r="M129" s="185" t="str">
        <f>IFERROR(INDEX('Controles de Corrupción'!$C$10:$AY$249,MATCH(A129,'Controles de Corrupción'!$B$10:$B$249,0),4),"")</f>
        <v/>
      </c>
      <c r="N129" s="70" t="str">
        <f>IFERROR(INDEX('Controles de Corrupción'!$C$10:$AY$249,MATCH(A129,'Controles de Corrupción'!$B$10:$B$249,0),40),"")</f>
        <v/>
      </c>
      <c r="O129" s="70" t="str">
        <f>IFERROR(INDEX('Controles de Corrupción'!$C$10:$AY$251,MATCH(A129,'Controles de Corrupción'!$B$10:$B$251,0),41),"")</f>
        <v/>
      </c>
      <c r="P129" s="70" t="str">
        <f>IFERROR(INDEX('Controles de Corrupción'!$C$10:$AY$251,MATCH(A129,'Controles de Corrupción'!$B$10:$B$251,0),42),"")</f>
        <v/>
      </c>
      <c r="Q129" s="186" t="str">
        <f>IFERROR(INDEX('Controles de Corrupción'!$C$10:$AY$251,MATCH(A129,'Controles de Corrupción'!$B$10:$B$251,0),47),"")</f>
        <v/>
      </c>
    </row>
    <row r="130" spans="1:17" x14ac:dyDescent="0.25">
      <c r="A130" s="115" t="s">
        <v>362</v>
      </c>
      <c r="B130" s="1014"/>
      <c r="C130" s="1017"/>
      <c r="D130" s="861"/>
      <c r="E130" s="1019"/>
      <c r="F130" s="865"/>
      <c r="G130" s="865"/>
      <c r="H130" s="867"/>
      <c r="I130" s="865"/>
      <c r="J130" s="865"/>
      <c r="K130" s="865"/>
      <c r="L130" s="865"/>
      <c r="M130" s="185" t="str">
        <f>IFERROR(INDEX('Controles de Corrupción'!$C$10:$AY$249,MATCH(A130,'Controles de Corrupción'!$B$10:$B$249,0),4),"")</f>
        <v/>
      </c>
      <c r="N130" s="70" t="str">
        <f>IFERROR(INDEX('Controles de Corrupción'!$C$10:$AY$249,MATCH(A130,'Controles de Corrupción'!$B$10:$B$249,0),40),"")</f>
        <v/>
      </c>
      <c r="O130" s="70" t="str">
        <f>IFERROR(INDEX('Controles de Corrupción'!$C$10:$AY$251,MATCH(A130,'Controles de Corrupción'!$B$10:$B$251,0),41),"")</f>
        <v/>
      </c>
      <c r="P130" s="70" t="str">
        <f>IFERROR(INDEX('Controles de Corrupción'!$C$10:$AY$251,MATCH(A130,'Controles de Corrupción'!$B$10:$B$251,0),42),"")</f>
        <v/>
      </c>
      <c r="Q130" s="186" t="str">
        <f>IFERROR(INDEX('Controles de Corrupción'!$C$10:$AY$251,MATCH(A130,'Controles de Corrupción'!$B$10:$B$251,0),47),"")</f>
        <v/>
      </c>
    </row>
    <row r="131" spans="1:17" x14ac:dyDescent="0.25">
      <c r="A131" s="115" t="s">
        <v>363</v>
      </c>
      <c r="B131" s="1014"/>
      <c r="C131" s="1017"/>
      <c r="D131" s="861"/>
      <c r="E131" s="1019"/>
      <c r="F131" s="865"/>
      <c r="G131" s="865"/>
      <c r="H131" s="867"/>
      <c r="I131" s="865"/>
      <c r="J131" s="865"/>
      <c r="K131" s="865"/>
      <c r="L131" s="865"/>
      <c r="M131" s="185" t="str">
        <f>IFERROR(INDEX('Controles de Corrupción'!$C$10:$AY$249,MATCH(A131,'Controles de Corrupción'!$B$10:$B$249,0),4),"")</f>
        <v/>
      </c>
      <c r="N131" s="70" t="str">
        <f>IFERROR(INDEX('Controles de Corrupción'!$C$10:$AY$249,MATCH(A131,'Controles de Corrupción'!$B$10:$B$249,0),40),"")</f>
        <v/>
      </c>
      <c r="O131" s="70" t="str">
        <f>IFERROR(INDEX('Controles de Corrupción'!$C$10:$AY$251,MATCH(A131,'Controles de Corrupción'!$B$10:$B$251,0),41),"")</f>
        <v/>
      </c>
      <c r="P131" s="70" t="str">
        <f>IFERROR(INDEX('Controles de Corrupción'!$C$10:$AY$251,MATCH(A131,'Controles de Corrupción'!$B$10:$B$251,0),42),"")</f>
        <v/>
      </c>
      <c r="Q131" s="186" t="str">
        <f>IFERROR(INDEX('Controles de Corrupción'!$C$10:$AY$251,MATCH(A131,'Controles de Corrupción'!$B$10:$B$251,0),47),"")</f>
        <v/>
      </c>
    </row>
    <row r="132" spans="1:17" x14ac:dyDescent="0.25">
      <c r="A132" s="115" t="s">
        <v>364</v>
      </c>
      <c r="B132" s="1015"/>
      <c r="C132" s="1017"/>
      <c r="D132" s="861"/>
      <c r="E132" s="1019"/>
      <c r="F132" s="865"/>
      <c r="G132" s="865"/>
      <c r="H132" s="867"/>
      <c r="I132" s="865"/>
      <c r="J132" s="865"/>
      <c r="K132" s="865"/>
      <c r="L132" s="865"/>
      <c r="M132" s="185" t="str">
        <f>IFERROR(INDEX('Controles de Corrupción'!$C$10:$AY$249,MATCH(A132,'Controles de Corrupción'!$B$10:$B$249,0),4),"")</f>
        <v/>
      </c>
      <c r="N132" s="70" t="str">
        <f>IFERROR(INDEX('Controles de Corrupción'!$C$10:$AY$249,MATCH(A132,'Controles de Corrupción'!$B$10:$B$249,0),40),"")</f>
        <v/>
      </c>
      <c r="O132" s="70" t="str">
        <f>IFERROR(INDEX('Controles de Corrupción'!$C$10:$AY$251,MATCH(A132,'Controles de Corrupción'!$B$10:$B$251,0),41),"")</f>
        <v/>
      </c>
      <c r="P132" s="70" t="str">
        <f>IFERROR(INDEX('Controles de Corrupción'!$C$10:$AY$251,MATCH(A132,'Controles de Corrupción'!$B$10:$B$251,0),42),"")</f>
        <v/>
      </c>
      <c r="Q132" s="186" t="str">
        <f>IFERROR(INDEX('Controles de Corrupción'!$C$10:$AY$251,MATCH(A132,'Controles de Corrupción'!$B$10:$B$251,0),47),"")</f>
        <v/>
      </c>
    </row>
    <row r="133" spans="1:17" x14ac:dyDescent="0.25">
      <c r="A133" s="115" t="s">
        <v>365</v>
      </c>
      <c r="B133" s="1013"/>
      <c r="C133" s="1016" t="str">
        <f>IFERROR(INDEX('Riesgos de Corrupción'!$B$11:$BN$100,MATCH('Mapa Riesgo Corrupción'!B133,'Riesgos de Corrupción'!$B$11:$B$100,0),2),"")</f>
        <v/>
      </c>
      <c r="D133" s="860" t="str">
        <f>IFERROR(INDEX('Riesgos de Corrupción'!$B$11:$BN$100,MATCH('Mapa Riesgo Corrupción'!B133,'Riesgos de Corrupción'!$B$11:$B$100,0),4),"")</f>
        <v/>
      </c>
      <c r="E133" s="1018" t="str">
        <f>IFERROR(INDEX('Riesgos de Corrupción'!$B$11:$BN$100,MATCH('Mapa Riesgo Corrupción'!B133,'Riesgos de Corrupción'!$B$11:$B$100,0),5),"")</f>
        <v/>
      </c>
      <c r="F133" s="865" t="str">
        <f>IFERROR(INDEX('Riesgos de Corrupción'!$B$11:$BN$100,MATCH('Mapa Riesgo Corrupción'!B133,'Riesgos de Corrupción'!$B$11:$B$100,0),18),"")</f>
        <v/>
      </c>
      <c r="G133" s="865" t="str">
        <f>IFERROR(INDEX('Riesgos de Corrupción'!$B$11:$BN$100,MATCH('Mapa Riesgo Corrupción'!B133,'Riesgos de Corrupción'!$B$11:$B$100,0),63),"")</f>
        <v/>
      </c>
      <c r="H133" s="867" t="str">
        <f>IFERROR(INDEX('Riesgos de Corrupción'!$B$11:$BN$100,MATCH('Mapa Riesgo Corrupción'!B133,'Riesgos de Corrupción'!$B$11:$B$100,0),64),"")</f>
        <v/>
      </c>
      <c r="I133" s="865" t="str">
        <f>IFERROR(INDEX('Controles de Corrupción'!$C$10:$AY$251,MATCH('Mapa Riesgo Corrupción'!B133,'Controles de Corrupción'!#REF!,0),33),"")</f>
        <v/>
      </c>
      <c r="J133" s="865" t="str">
        <f>IFERROR(INDEX('Controles de Corrupción'!$C$10:$AY$251,MATCH('Mapa Riesgo Corrupción'!B133,'Controles de Corrupción'!#REF!,0),36),"")</f>
        <v/>
      </c>
      <c r="K133" s="865" t="str">
        <f>IFERROR(INDEX('Controles de Corrupción'!$C$10:$AY$251,MATCH('Mapa Riesgo Corrupción'!B133,'Controles de Corrupción'!#REF!,0),37),"")</f>
        <v/>
      </c>
      <c r="L133" s="865" t="str">
        <f>IFERROR(INDEX('Controles de Corrupción'!$C$10:$AY$251,MATCH('Mapa Riesgo Corrupción'!B133,'Controles de Corrupción'!#REF!,0),38),"")</f>
        <v/>
      </c>
      <c r="M133" s="185" t="str">
        <f>IFERROR(INDEX('Controles de Corrupción'!$C$10:$AY$249,MATCH(A133,'Controles de Corrupción'!$B$10:$B$249,0),4),"")</f>
        <v/>
      </c>
      <c r="N133" s="70" t="str">
        <f>IFERROR(INDEX('Controles de Corrupción'!$C$10:$AY$249,MATCH(A133,'Controles de Corrupción'!$B$10:$B$249,0),40),"")</f>
        <v/>
      </c>
      <c r="O133" s="70" t="str">
        <f>IFERROR(INDEX('Controles de Corrupción'!$C$10:$AY$251,MATCH(A133,'Controles de Corrupción'!$B$10:$B$251,0),41),"")</f>
        <v/>
      </c>
      <c r="P133" s="70" t="str">
        <f>IFERROR(INDEX('Controles de Corrupción'!$C$10:$AY$251,MATCH(A133,'Controles de Corrupción'!$B$10:$B$251,0),42),"")</f>
        <v/>
      </c>
      <c r="Q133" s="186" t="str">
        <f>IFERROR(INDEX('Controles de Corrupción'!$C$10:$AY$251,MATCH(A133,'Controles de Corrupción'!$B$10:$B$251,0),47),"")</f>
        <v/>
      </c>
    </row>
    <row r="134" spans="1:17" x14ac:dyDescent="0.25">
      <c r="A134" s="115" t="s">
        <v>366</v>
      </c>
      <c r="B134" s="1014"/>
      <c r="C134" s="1017"/>
      <c r="D134" s="861"/>
      <c r="E134" s="1019"/>
      <c r="F134" s="865"/>
      <c r="G134" s="865"/>
      <c r="H134" s="867"/>
      <c r="I134" s="865"/>
      <c r="J134" s="865"/>
      <c r="K134" s="865"/>
      <c r="L134" s="865"/>
      <c r="M134" s="185" t="str">
        <f>IFERROR(INDEX('Controles de Corrupción'!$C$10:$AY$249,MATCH(A134,'Controles de Corrupción'!$B$10:$B$249,0),4),"")</f>
        <v/>
      </c>
      <c r="N134" s="70" t="str">
        <f>IFERROR(INDEX('Controles de Corrupción'!$C$10:$AY$249,MATCH(A134,'Controles de Corrupción'!$B$10:$B$249,0),40),"")</f>
        <v/>
      </c>
      <c r="O134" s="70" t="str">
        <f>IFERROR(INDEX('Controles de Corrupción'!$C$10:$AY$251,MATCH(A134,'Controles de Corrupción'!$B$10:$B$251,0),41),"")</f>
        <v/>
      </c>
      <c r="P134" s="70" t="str">
        <f>IFERROR(INDEX('Controles de Corrupción'!$C$10:$AY$251,MATCH(A134,'Controles de Corrupción'!$B$10:$B$251,0),42),"")</f>
        <v/>
      </c>
      <c r="Q134" s="186" t="str">
        <f>IFERROR(INDEX('Controles de Corrupción'!$C$10:$AY$251,MATCH(A134,'Controles de Corrupción'!$B$10:$B$251,0),47),"")</f>
        <v/>
      </c>
    </row>
    <row r="135" spans="1:17" x14ac:dyDescent="0.25">
      <c r="A135" s="115" t="s">
        <v>367</v>
      </c>
      <c r="B135" s="1014"/>
      <c r="C135" s="1017"/>
      <c r="D135" s="861"/>
      <c r="E135" s="1019"/>
      <c r="F135" s="865"/>
      <c r="G135" s="865"/>
      <c r="H135" s="867"/>
      <c r="I135" s="865"/>
      <c r="J135" s="865"/>
      <c r="K135" s="865"/>
      <c r="L135" s="865"/>
      <c r="M135" s="185" t="str">
        <f>IFERROR(INDEX('Controles de Corrupción'!$C$10:$AY$249,MATCH(A135,'Controles de Corrupción'!$B$10:$B$249,0),4),"")</f>
        <v/>
      </c>
      <c r="N135" s="70" t="str">
        <f>IFERROR(INDEX('Controles de Corrupción'!$C$10:$AY$249,MATCH(A135,'Controles de Corrupción'!$B$10:$B$249,0),40),"")</f>
        <v/>
      </c>
      <c r="O135" s="70" t="str">
        <f>IFERROR(INDEX('Controles de Corrupción'!$C$10:$AY$251,MATCH(A135,'Controles de Corrupción'!$B$10:$B$251,0),41),"")</f>
        <v/>
      </c>
      <c r="P135" s="70" t="str">
        <f>IFERROR(INDEX('Controles de Corrupción'!$C$10:$AY$251,MATCH(A135,'Controles de Corrupción'!$B$10:$B$251,0),42),"")</f>
        <v/>
      </c>
      <c r="Q135" s="186" t="str">
        <f>IFERROR(INDEX('Controles de Corrupción'!$C$10:$AY$251,MATCH(A135,'Controles de Corrupción'!$B$10:$B$251,0),47),"")</f>
        <v/>
      </c>
    </row>
    <row r="136" spans="1:17" x14ac:dyDescent="0.25">
      <c r="A136" s="115" t="s">
        <v>368</v>
      </c>
      <c r="B136" s="1014"/>
      <c r="C136" s="1017"/>
      <c r="D136" s="861"/>
      <c r="E136" s="1019"/>
      <c r="F136" s="865"/>
      <c r="G136" s="865"/>
      <c r="H136" s="867"/>
      <c r="I136" s="865"/>
      <c r="J136" s="865"/>
      <c r="K136" s="865"/>
      <c r="L136" s="865"/>
      <c r="M136" s="185" t="str">
        <f>IFERROR(INDEX('Controles de Corrupción'!$C$10:$AY$249,MATCH(A136,'Controles de Corrupción'!$B$10:$B$249,0),4),"")</f>
        <v/>
      </c>
      <c r="N136" s="70" t="str">
        <f>IFERROR(INDEX('Controles de Corrupción'!$C$10:$AY$249,MATCH(A136,'Controles de Corrupción'!$B$10:$B$249,0),40),"")</f>
        <v/>
      </c>
      <c r="O136" s="70" t="str">
        <f>IFERROR(INDEX('Controles de Corrupción'!$C$10:$AY$251,MATCH(A136,'Controles de Corrupción'!$B$10:$B$251,0),41),"")</f>
        <v/>
      </c>
      <c r="P136" s="70" t="str">
        <f>IFERROR(INDEX('Controles de Corrupción'!$C$10:$AY$251,MATCH(A136,'Controles de Corrupción'!$B$10:$B$251,0),42),"")</f>
        <v/>
      </c>
      <c r="Q136" s="186" t="str">
        <f>IFERROR(INDEX('Controles de Corrupción'!$C$10:$AY$251,MATCH(A136,'Controles de Corrupción'!$B$10:$B$251,0),47),"")</f>
        <v/>
      </c>
    </row>
    <row r="137" spans="1:17" x14ac:dyDescent="0.25">
      <c r="A137" s="115" t="s">
        <v>369</v>
      </c>
      <c r="B137" s="1014"/>
      <c r="C137" s="1017"/>
      <c r="D137" s="861"/>
      <c r="E137" s="1019"/>
      <c r="F137" s="865"/>
      <c r="G137" s="865"/>
      <c r="H137" s="867"/>
      <c r="I137" s="865"/>
      <c r="J137" s="865"/>
      <c r="K137" s="865"/>
      <c r="L137" s="865"/>
      <c r="M137" s="185" t="str">
        <f>IFERROR(INDEX('Controles de Corrupción'!$C$10:$AY$249,MATCH(A137,'Controles de Corrupción'!$B$10:$B$249,0),4),"")</f>
        <v/>
      </c>
      <c r="N137" s="70" t="str">
        <f>IFERROR(INDEX('Controles de Corrupción'!$C$10:$AY$249,MATCH(A137,'Controles de Corrupción'!$B$10:$B$249,0),40),"")</f>
        <v/>
      </c>
      <c r="O137" s="70" t="str">
        <f>IFERROR(INDEX('Controles de Corrupción'!$C$10:$AY$251,MATCH(A137,'Controles de Corrupción'!$B$10:$B$251,0),41),"")</f>
        <v/>
      </c>
      <c r="P137" s="70" t="str">
        <f>IFERROR(INDEX('Controles de Corrupción'!$C$10:$AY$251,MATCH(A137,'Controles de Corrupción'!$B$10:$B$251,0),42),"")</f>
        <v/>
      </c>
      <c r="Q137" s="186" t="str">
        <f>IFERROR(INDEX('Controles de Corrupción'!$C$10:$AY$251,MATCH(A137,'Controles de Corrupción'!$B$10:$B$251,0),47),"")</f>
        <v/>
      </c>
    </row>
    <row r="138" spans="1:17" x14ac:dyDescent="0.25">
      <c r="A138" s="115" t="s">
        <v>370</v>
      </c>
      <c r="B138" s="1015"/>
      <c r="C138" s="1017"/>
      <c r="D138" s="861"/>
      <c r="E138" s="1019"/>
      <c r="F138" s="865"/>
      <c r="G138" s="865"/>
      <c r="H138" s="867"/>
      <c r="I138" s="865"/>
      <c r="J138" s="865"/>
      <c r="K138" s="865"/>
      <c r="L138" s="865"/>
      <c r="M138" s="185" t="str">
        <f>IFERROR(INDEX('Controles de Corrupción'!$C$10:$AY$249,MATCH(A138,'Controles de Corrupción'!$B$10:$B$249,0),4),"")</f>
        <v/>
      </c>
      <c r="N138" s="70" t="str">
        <f>IFERROR(INDEX('Controles de Corrupción'!$C$10:$AY$249,MATCH(A138,'Controles de Corrupción'!$B$10:$B$249,0),40),"")</f>
        <v/>
      </c>
      <c r="O138" s="70" t="str">
        <f>IFERROR(INDEX('Controles de Corrupción'!$C$10:$AY$251,MATCH(A138,'Controles de Corrupción'!$B$10:$B$251,0),41),"")</f>
        <v/>
      </c>
      <c r="P138" s="70" t="str">
        <f>IFERROR(INDEX('Controles de Corrupción'!$C$10:$AY$251,MATCH(A138,'Controles de Corrupción'!$B$10:$B$251,0),42),"")</f>
        <v/>
      </c>
      <c r="Q138" s="186" t="str">
        <f>IFERROR(INDEX('Controles de Corrupción'!$C$10:$AY$251,MATCH(A138,'Controles de Corrupción'!$B$10:$B$251,0),47),"")</f>
        <v/>
      </c>
    </row>
    <row r="139" spans="1:17" x14ac:dyDescent="0.25">
      <c r="A139" s="115" t="s">
        <v>371</v>
      </c>
      <c r="B139" s="1013"/>
      <c r="C139" s="1016" t="str">
        <f>IFERROR(INDEX('Riesgos de Corrupción'!$B$11:$BN$100,MATCH('Mapa Riesgo Corrupción'!B139,'Riesgos de Corrupción'!$B$11:$B$100,0),2),"")</f>
        <v/>
      </c>
      <c r="D139" s="860" t="str">
        <f>IFERROR(INDEX('Riesgos de Corrupción'!$B$11:$BN$100,MATCH('Mapa Riesgo Corrupción'!B139,'Riesgos de Corrupción'!$B$11:$B$100,0),4),"")</f>
        <v/>
      </c>
      <c r="E139" s="1018" t="str">
        <f>IFERROR(INDEX('Riesgos de Corrupción'!$B$11:$BN$100,MATCH('Mapa Riesgo Corrupción'!B139,'Riesgos de Corrupción'!$B$11:$B$100,0),5),"")</f>
        <v/>
      </c>
      <c r="F139" s="865" t="str">
        <f>IFERROR(INDEX('Riesgos de Corrupción'!$B$11:$BN$100,MATCH('Mapa Riesgo Corrupción'!B139,'Riesgos de Corrupción'!$B$11:$B$100,0),18),"")</f>
        <v/>
      </c>
      <c r="G139" s="865" t="str">
        <f>IFERROR(INDEX('Riesgos de Corrupción'!$B$11:$BN$100,MATCH('Mapa Riesgo Corrupción'!B139,'Riesgos de Corrupción'!$B$11:$B$100,0),63),"")</f>
        <v/>
      </c>
      <c r="H139" s="867" t="str">
        <f>IFERROR(INDEX('Riesgos de Corrupción'!$B$11:$BN$100,MATCH('Mapa Riesgo Corrupción'!B139,'Riesgos de Corrupción'!$B$11:$B$100,0),64),"")</f>
        <v/>
      </c>
      <c r="I139" s="865" t="str">
        <f>IFERROR(INDEX('Controles de Corrupción'!$C$10:$AY$251,MATCH('Mapa Riesgo Corrupción'!B139,'Controles de Corrupción'!#REF!,0),33),"")</f>
        <v/>
      </c>
      <c r="J139" s="865" t="str">
        <f>IFERROR(INDEX('Controles de Corrupción'!$C$10:$AY$251,MATCH('Mapa Riesgo Corrupción'!B139,'Controles de Corrupción'!#REF!,0),36),"")</f>
        <v/>
      </c>
      <c r="K139" s="865" t="str">
        <f>IFERROR(INDEX('Controles de Corrupción'!$C$10:$AY$251,MATCH('Mapa Riesgo Corrupción'!B139,'Controles de Corrupción'!#REF!,0),37),"")</f>
        <v/>
      </c>
      <c r="L139" s="865" t="str">
        <f>IFERROR(INDEX('Controles de Corrupción'!$C$10:$AY$251,MATCH('Mapa Riesgo Corrupción'!B139,'Controles de Corrupción'!#REF!,0),38),"")</f>
        <v/>
      </c>
      <c r="M139" s="185" t="str">
        <f>IFERROR(INDEX('Controles de Corrupción'!$C$10:$AY$249,MATCH(A139,'Controles de Corrupción'!$B$10:$B$249,0),4),"")</f>
        <v/>
      </c>
      <c r="N139" s="70" t="str">
        <f>IFERROR(INDEX('Controles de Corrupción'!$C$10:$AY$249,MATCH(A139,'Controles de Corrupción'!$B$10:$B$249,0),40),"")</f>
        <v/>
      </c>
      <c r="O139" s="70" t="str">
        <f>IFERROR(INDEX('Controles de Corrupción'!$C$10:$AY$251,MATCH(A139,'Controles de Corrupción'!$B$10:$B$251,0),41),"")</f>
        <v/>
      </c>
      <c r="P139" s="70" t="str">
        <f>IFERROR(INDEX('Controles de Corrupción'!$C$10:$AY$251,MATCH(A139,'Controles de Corrupción'!$B$10:$B$251,0),42),"")</f>
        <v/>
      </c>
      <c r="Q139" s="186" t="str">
        <f>IFERROR(INDEX('Controles de Corrupción'!$C$10:$AY$251,MATCH(A139,'Controles de Corrupción'!$B$10:$B$251,0),47),"")</f>
        <v/>
      </c>
    </row>
    <row r="140" spans="1:17" x14ac:dyDescent="0.25">
      <c r="A140" s="115" t="s">
        <v>372</v>
      </c>
      <c r="B140" s="1014"/>
      <c r="C140" s="1017"/>
      <c r="D140" s="861"/>
      <c r="E140" s="1019"/>
      <c r="F140" s="865"/>
      <c r="G140" s="865"/>
      <c r="H140" s="867"/>
      <c r="I140" s="865"/>
      <c r="J140" s="865"/>
      <c r="K140" s="865"/>
      <c r="L140" s="865"/>
      <c r="M140" s="185" t="str">
        <f>IFERROR(INDEX('Controles de Corrupción'!$C$10:$AY$249,MATCH(A140,'Controles de Corrupción'!$B$10:$B$249,0),4),"")</f>
        <v/>
      </c>
      <c r="N140" s="70" t="str">
        <f>IFERROR(INDEX('Controles de Corrupción'!$C$10:$AY$249,MATCH(A140,'Controles de Corrupción'!$B$10:$B$249,0),40),"")</f>
        <v/>
      </c>
      <c r="O140" s="70" t="str">
        <f>IFERROR(INDEX('Controles de Corrupción'!$C$10:$AY$251,MATCH(A140,'Controles de Corrupción'!$B$10:$B$251,0),41),"")</f>
        <v/>
      </c>
      <c r="P140" s="70" t="str">
        <f>IFERROR(INDEX('Controles de Corrupción'!$C$10:$AY$251,MATCH(A140,'Controles de Corrupción'!$B$10:$B$251,0),42),"")</f>
        <v/>
      </c>
      <c r="Q140" s="186" t="str">
        <f>IFERROR(INDEX('Controles de Corrupción'!$C$10:$AY$251,MATCH(A140,'Controles de Corrupción'!$B$10:$B$251,0),47),"")</f>
        <v/>
      </c>
    </row>
    <row r="141" spans="1:17" x14ac:dyDescent="0.25">
      <c r="A141" s="115" t="s">
        <v>373</v>
      </c>
      <c r="B141" s="1014"/>
      <c r="C141" s="1017"/>
      <c r="D141" s="861"/>
      <c r="E141" s="1019"/>
      <c r="F141" s="865"/>
      <c r="G141" s="865"/>
      <c r="H141" s="867"/>
      <c r="I141" s="865"/>
      <c r="J141" s="865"/>
      <c r="K141" s="865"/>
      <c r="L141" s="865"/>
      <c r="M141" s="185" t="str">
        <f>IFERROR(INDEX('Controles de Corrupción'!$C$10:$AY$249,MATCH(A141,'Controles de Corrupción'!$B$10:$B$249,0),4),"")</f>
        <v/>
      </c>
      <c r="N141" s="70" t="str">
        <f>IFERROR(INDEX('Controles de Corrupción'!$C$10:$AY$249,MATCH(A141,'Controles de Corrupción'!$B$10:$B$249,0),40),"")</f>
        <v/>
      </c>
      <c r="O141" s="70" t="str">
        <f>IFERROR(INDEX('Controles de Corrupción'!$C$10:$AY$251,MATCH(A141,'Controles de Corrupción'!$B$10:$B$251,0),41),"")</f>
        <v/>
      </c>
      <c r="P141" s="70" t="str">
        <f>IFERROR(INDEX('Controles de Corrupción'!$C$10:$AY$251,MATCH(A141,'Controles de Corrupción'!$B$10:$B$251,0),42),"")</f>
        <v/>
      </c>
      <c r="Q141" s="186" t="str">
        <f>IFERROR(INDEX('Controles de Corrupción'!$C$10:$AY$251,MATCH(A141,'Controles de Corrupción'!$B$10:$B$251,0),47),"")</f>
        <v/>
      </c>
    </row>
    <row r="142" spans="1:17" x14ac:dyDescent="0.25">
      <c r="A142" s="115" t="s">
        <v>374</v>
      </c>
      <c r="B142" s="1014"/>
      <c r="C142" s="1017"/>
      <c r="D142" s="861"/>
      <c r="E142" s="1019"/>
      <c r="F142" s="865"/>
      <c r="G142" s="865"/>
      <c r="H142" s="867"/>
      <c r="I142" s="865"/>
      <c r="J142" s="865"/>
      <c r="K142" s="865"/>
      <c r="L142" s="865"/>
      <c r="M142" s="185" t="str">
        <f>IFERROR(INDEX('Controles de Corrupción'!$C$10:$AY$249,MATCH(A142,'Controles de Corrupción'!$B$10:$B$249,0),4),"")</f>
        <v/>
      </c>
      <c r="N142" s="70" t="str">
        <f>IFERROR(INDEX('Controles de Corrupción'!$C$10:$AY$249,MATCH(A142,'Controles de Corrupción'!$B$10:$B$249,0),40),"")</f>
        <v/>
      </c>
      <c r="O142" s="70" t="str">
        <f>IFERROR(INDEX('Controles de Corrupción'!$C$10:$AY$251,MATCH(A142,'Controles de Corrupción'!$B$10:$B$251,0),41),"")</f>
        <v/>
      </c>
      <c r="P142" s="70" t="str">
        <f>IFERROR(INDEX('Controles de Corrupción'!$C$10:$AY$251,MATCH(A142,'Controles de Corrupción'!$B$10:$B$251,0),42),"")</f>
        <v/>
      </c>
      <c r="Q142" s="186" t="str">
        <f>IFERROR(INDEX('Controles de Corrupción'!$C$10:$AY$251,MATCH(A142,'Controles de Corrupción'!$B$10:$B$251,0),47),"")</f>
        <v/>
      </c>
    </row>
    <row r="143" spans="1:17" x14ac:dyDescent="0.25">
      <c r="A143" s="115" t="s">
        <v>375</v>
      </c>
      <c r="B143" s="1014"/>
      <c r="C143" s="1017"/>
      <c r="D143" s="861"/>
      <c r="E143" s="1019"/>
      <c r="F143" s="865"/>
      <c r="G143" s="865"/>
      <c r="H143" s="867"/>
      <c r="I143" s="865"/>
      <c r="J143" s="865"/>
      <c r="K143" s="865"/>
      <c r="L143" s="865"/>
      <c r="M143" s="185" t="str">
        <f>IFERROR(INDEX('Controles de Corrupción'!$C$10:$AY$249,MATCH(A143,'Controles de Corrupción'!$B$10:$B$249,0),4),"")</f>
        <v/>
      </c>
      <c r="N143" s="70" t="str">
        <f>IFERROR(INDEX('Controles de Corrupción'!$C$10:$AY$249,MATCH(A143,'Controles de Corrupción'!$B$10:$B$249,0),40),"")</f>
        <v/>
      </c>
      <c r="O143" s="70" t="str">
        <f>IFERROR(INDEX('Controles de Corrupción'!$C$10:$AY$251,MATCH(A143,'Controles de Corrupción'!$B$10:$B$251,0),41),"")</f>
        <v/>
      </c>
      <c r="P143" s="70" t="str">
        <f>IFERROR(INDEX('Controles de Corrupción'!$C$10:$AY$251,MATCH(A143,'Controles de Corrupción'!$B$10:$B$251,0),42),"")</f>
        <v/>
      </c>
      <c r="Q143" s="186" t="str">
        <f>IFERROR(INDEX('Controles de Corrupción'!$C$10:$AY$251,MATCH(A143,'Controles de Corrupción'!$B$10:$B$251,0),47),"")</f>
        <v/>
      </c>
    </row>
    <row r="144" spans="1:17" x14ac:dyDescent="0.25">
      <c r="A144" s="115" t="s">
        <v>376</v>
      </c>
      <c r="B144" s="1015"/>
      <c r="C144" s="1017"/>
      <c r="D144" s="861"/>
      <c r="E144" s="1019"/>
      <c r="F144" s="865"/>
      <c r="G144" s="865"/>
      <c r="H144" s="867"/>
      <c r="I144" s="865"/>
      <c r="J144" s="865"/>
      <c r="K144" s="865"/>
      <c r="L144" s="865"/>
      <c r="M144" s="185" t="str">
        <f>IFERROR(INDEX('Controles de Corrupción'!$C$10:$AY$249,MATCH(A144,'Controles de Corrupción'!$B$10:$B$249,0),4),"")</f>
        <v/>
      </c>
      <c r="N144" s="70" t="str">
        <f>IFERROR(INDEX('Controles de Corrupción'!$C$10:$AY$249,MATCH(A144,'Controles de Corrupción'!$B$10:$B$249,0),40),"")</f>
        <v/>
      </c>
      <c r="O144" s="70" t="str">
        <f>IFERROR(INDEX('Controles de Corrupción'!$C$10:$AY$251,MATCH(A144,'Controles de Corrupción'!$B$10:$B$251,0),41),"")</f>
        <v/>
      </c>
      <c r="P144" s="70" t="str">
        <f>IFERROR(INDEX('Controles de Corrupción'!$C$10:$AY$251,MATCH(A144,'Controles de Corrupción'!$B$10:$B$251,0),42),"")</f>
        <v/>
      </c>
      <c r="Q144" s="186" t="str">
        <f>IFERROR(INDEX('Controles de Corrupción'!$C$10:$AY$251,MATCH(A144,'Controles de Corrupción'!$B$10:$B$251,0),47),"")</f>
        <v/>
      </c>
    </row>
    <row r="145" spans="1:17" x14ac:dyDescent="0.25">
      <c r="A145" s="115" t="s">
        <v>377</v>
      </c>
      <c r="B145" s="1013"/>
      <c r="C145" s="1016" t="str">
        <f>IFERROR(INDEX('Riesgos de Corrupción'!$B$11:$BN$100,MATCH('Mapa Riesgo Corrupción'!B145,'Riesgos de Corrupción'!$B$11:$B$100,0),2),"")</f>
        <v/>
      </c>
      <c r="D145" s="860" t="str">
        <f>IFERROR(INDEX('Riesgos de Corrupción'!$B$11:$BN$100,MATCH('Mapa Riesgo Corrupción'!B145,'Riesgos de Corrupción'!$B$11:$B$100,0),4),"")</f>
        <v/>
      </c>
      <c r="E145" s="1018" t="str">
        <f>IFERROR(INDEX('Riesgos de Corrupción'!$B$11:$BN$100,MATCH('Mapa Riesgo Corrupción'!B145,'Riesgos de Corrupción'!$B$11:$B$100,0),5),"")</f>
        <v/>
      </c>
      <c r="F145" s="865" t="str">
        <f>IFERROR(INDEX('Riesgos de Corrupción'!$B$11:$BN$100,MATCH('Mapa Riesgo Corrupción'!B145,'Riesgos de Corrupción'!$B$11:$B$100,0),18),"")</f>
        <v/>
      </c>
      <c r="G145" s="865" t="str">
        <f>IFERROR(INDEX('Riesgos de Corrupción'!$B$11:$BN$100,MATCH('Mapa Riesgo Corrupción'!B145,'Riesgos de Corrupción'!$B$11:$B$100,0),63),"")</f>
        <v/>
      </c>
      <c r="H145" s="867" t="str">
        <f>IFERROR(INDEX('Riesgos de Corrupción'!$B$11:$BN$100,MATCH('Mapa Riesgo Corrupción'!B145,'Riesgos de Corrupción'!$B$11:$B$100,0),64),"")</f>
        <v/>
      </c>
      <c r="I145" s="865" t="str">
        <f>IFERROR(INDEX('Controles de Corrupción'!$C$10:$AY$251,MATCH('Mapa Riesgo Corrupción'!B145,'Controles de Corrupción'!#REF!,0),33),"")</f>
        <v/>
      </c>
      <c r="J145" s="865" t="str">
        <f>IFERROR(INDEX('Controles de Corrupción'!$C$10:$AY$251,MATCH('Mapa Riesgo Corrupción'!B145,'Controles de Corrupción'!#REF!,0),36),"")</f>
        <v/>
      </c>
      <c r="K145" s="865" t="str">
        <f>IFERROR(INDEX('Controles de Corrupción'!$C$10:$AY$251,MATCH('Mapa Riesgo Corrupción'!B145,'Controles de Corrupción'!#REF!,0),37),"")</f>
        <v/>
      </c>
      <c r="L145" s="865" t="str">
        <f>IFERROR(INDEX('Controles de Corrupción'!$C$10:$AY$251,MATCH('Mapa Riesgo Corrupción'!B145,'Controles de Corrupción'!#REF!,0),38),"")</f>
        <v/>
      </c>
      <c r="M145" s="185" t="str">
        <f>IFERROR(INDEX('Controles de Corrupción'!$C$10:$AY$249,MATCH(A145,'Controles de Corrupción'!$B$10:$B$249,0),4),"")</f>
        <v/>
      </c>
      <c r="N145" s="70" t="str">
        <f>IFERROR(INDEX('Controles de Corrupción'!$C$10:$AY$249,MATCH(A145,'Controles de Corrupción'!$B$10:$B$249,0),40),"")</f>
        <v/>
      </c>
      <c r="O145" s="70" t="str">
        <f>IFERROR(INDEX('Controles de Corrupción'!$C$10:$AY$251,MATCH(A145,'Controles de Corrupción'!$B$10:$B$251,0),41),"")</f>
        <v/>
      </c>
      <c r="P145" s="70" t="str">
        <f>IFERROR(INDEX('Controles de Corrupción'!$C$10:$AY$251,MATCH(A145,'Controles de Corrupción'!$B$10:$B$251,0),42),"")</f>
        <v/>
      </c>
      <c r="Q145" s="186" t="str">
        <f>IFERROR(INDEX('Controles de Corrupción'!$C$10:$AY$251,MATCH(A145,'Controles de Corrupción'!$B$10:$B$251,0),47),"")</f>
        <v/>
      </c>
    </row>
    <row r="146" spans="1:17" x14ac:dyDescent="0.25">
      <c r="A146" s="115" t="s">
        <v>378</v>
      </c>
      <c r="B146" s="1014"/>
      <c r="C146" s="1017"/>
      <c r="D146" s="861"/>
      <c r="E146" s="1019"/>
      <c r="F146" s="865"/>
      <c r="G146" s="865"/>
      <c r="H146" s="867"/>
      <c r="I146" s="865"/>
      <c r="J146" s="865"/>
      <c r="K146" s="865"/>
      <c r="L146" s="865"/>
      <c r="M146" s="185" t="str">
        <f>IFERROR(INDEX('Controles de Corrupción'!$C$10:$AY$249,MATCH(A146,'Controles de Corrupción'!$B$10:$B$249,0),4),"")</f>
        <v/>
      </c>
      <c r="N146" s="70" t="str">
        <f>IFERROR(INDEX('Controles de Corrupción'!$C$10:$AY$249,MATCH(A146,'Controles de Corrupción'!$B$10:$B$249,0),40),"")</f>
        <v/>
      </c>
      <c r="O146" s="70" t="str">
        <f>IFERROR(INDEX('Controles de Corrupción'!$C$10:$AY$251,MATCH(A146,'Controles de Corrupción'!$B$10:$B$251,0),41),"")</f>
        <v/>
      </c>
      <c r="P146" s="70" t="str">
        <f>IFERROR(INDEX('Controles de Corrupción'!$C$10:$AY$251,MATCH(A146,'Controles de Corrupción'!$B$10:$B$251,0),42),"")</f>
        <v/>
      </c>
      <c r="Q146" s="186" t="str">
        <f>IFERROR(INDEX('Controles de Corrupción'!$C$10:$AY$251,MATCH(A146,'Controles de Corrupción'!$B$10:$B$251,0),47),"")</f>
        <v/>
      </c>
    </row>
    <row r="147" spans="1:17" x14ac:dyDescent="0.25">
      <c r="A147" s="115" t="s">
        <v>379</v>
      </c>
      <c r="B147" s="1014"/>
      <c r="C147" s="1017"/>
      <c r="D147" s="861"/>
      <c r="E147" s="1019"/>
      <c r="F147" s="865"/>
      <c r="G147" s="865"/>
      <c r="H147" s="867"/>
      <c r="I147" s="865"/>
      <c r="J147" s="865"/>
      <c r="K147" s="865"/>
      <c r="L147" s="865"/>
      <c r="M147" s="185" t="str">
        <f>IFERROR(INDEX('Controles de Corrupción'!$C$10:$AY$249,MATCH(A147,'Controles de Corrupción'!$B$10:$B$249,0),4),"")</f>
        <v/>
      </c>
      <c r="N147" s="70" t="str">
        <f>IFERROR(INDEX('Controles de Corrupción'!$C$10:$AY$249,MATCH(A147,'Controles de Corrupción'!$B$10:$B$249,0),40),"")</f>
        <v/>
      </c>
      <c r="O147" s="70" t="str">
        <f>IFERROR(INDEX('Controles de Corrupción'!$C$10:$AY$251,MATCH(A147,'Controles de Corrupción'!$B$10:$B$251,0),41),"")</f>
        <v/>
      </c>
      <c r="P147" s="70" t="str">
        <f>IFERROR(INDEX('Controles de Corrupción'!$C$10:$AY$251,MATCH(A147,'Controles de Corrupción'!$B$10:$B$251,0),42),"")</f>
        <v/>
      </c>
      <c r="Q147" s="186" t="str">
        <f>IFERROR(INDEX('Controles de Corrupción'!$C$10:$AY$251,MATCH(A147,'Controles de Corrupción'!$B$10:$B$251,0),47),"")</f>
        <v/>
      </c>
    </row>
    <row r="148" spans="1:17" x14ac:dyDescent="0.25">
      <c r="A148" s="115" t="s">
        <v>380</v>
      </c>
      <c r="B148" s="1014"/>
      <c r="C148" s="1017"/>
      <c r="D148" s="861"/>
      <c r="E148" s="1019"/>
      <c r="F148" s="865"/>
      <c r="G148" s="865"/>
      <c r="H148" s="867"/>
      <c r="I148" s="865"/>
      <c r="J148" s="865"/>
      <c r="K148" s="865"/>
      <c r="L148" s="865"/>
      <c r="M148" s="185" t="str">
        <f>IFERROR(INDEX('Controles de Corrupción'!$C$10:$AY$249,MATCH(A148,'Controles de Corrupción'!$B$10:$B$249,0),4),"")</f>
        <v/>
      </c>
      <c r="N148" s="70" t="str">
        <f>IFERROR(INDEX('Controles de Corrupción'!$C$10:$AY$249,MATCH(A148,'Controles de Corrupción'!$B$10:$B$249,0),40),"")</f>
        <v/>
      </c>
      <c r="O148" s="70" t="str">
        <f>IFERROR(INDEX('Controles de Corrupción'!$C$10:$AY$251,MATCH(A148,'Controles de Corrupción'!$B$10:$B$251,0),41),"")</f>
        <v/>
      </c>
      <c r="P148" s="70" t="str">
        <f>IFERROR(INDEX('Controles de Corrupción'!$C$10:$AY$251,MATCH(A148,'Controles de Corrupción'!$B$10:$B$251,0),42),"")</f>
        <v/>
      </c>
      <c r="Q148" s="186" t="str">
        <f>IFERROR(INDEX('Controles de Corrupción'!$C$10:$AY$251,MATCH(A148,'Controles de Corrupción'!$B$10:$B$251,0),47),"")</f>
        <v/>
      </c>
    </row>
    <row r="149" spans="1:17" x14ac:dyDescent="0.25">
      <c r="A149" s="115" t="s">
        <v>381</v>
      </c>
      <c r="B149" s="1014"/>
      <c r="C149" s="1017"/>
      <c r="D149" s="861"/>
      <c r="E149" s="1019"/>
      <c r="F149" s="865"/>
      <c r="G149" s="865"/>
      <c r="H149" s="867"/>
      <c r="I149" s="865"/>
      <c r="J149" s="865"/>
      <c r="K149" s="865"/>
      <c r="L149" s="865"/>
      <c r="M149" s="185" t="str">
        <f>IFERROR(INDEX('Controles de Corrupción'!$C$10:$AY$249,MATCH(A149,'Controles de Corrupción'!$B$10:$B$249,0),4),"")</f>
        <v/>
      </c>
      <c r="N149" s="70" t="str">
        <f>IFERROR(INDEX('Controles de Corrupción'!$C$10:$AY$249,MATCH(A149,'Controles de Corrupción'!$B$10:$B$249,0),40),"")</f>
        <v/>
      </c>
      <c r="O149" s="70" t="str">
        <f>IFERROR(INDEX('Controles de Corrupción'!$C$10:$AY$251,MATCH(A149,'Controles de Corrupción'!$B$10:$B$251,0),41),"")</f>
        <v/>
      </c>
      <c r="P149" s="70" t="str">
        <f>IFERROR(INDEX('Controles de Corrupción'!$C$10:$AY$251,MATCH(A149,'Controles de Corrupción'!$B$10:$B$251,0),42),"")</f>
        <v/>
      </c>
      <c r="Q149" s="186" t="str">
        <f>IFERROR(INDEX('Controles de Corrupción'!$C$10:$AY$251,MATCH(A149,'Controles de Corrupción'!$B$10:$B$251,0),47),"")</f>
        <v/>
      </c>
    </row>
    <row r="150" spans="1:17" x14ac:dyDescent="0.25">
      <c r="A150" s="115" t="s">
        <v>382</v>
      </c>
      <c r="B150" s="1015"/>
      <c r="C150" s="1017"/>
      <c r="D150" s="861"/>
      <c r="E150" s="1019"/>
      <c r="F150" s="865"/>
      <c r="G150" s="865"/>
      <c r="H150" s="867"/>
      <c r="I150" s="865"/>
      <c r="J150" s="865"/>
      <c r="K150" s="865"/>
      <c r="L150" s="865"/>
      <c r="M150" s="185" t="str">
        <f>IFERROR(INDEX('Controles de Corrupción'!$C$10:$AY$249,MATCH(A150,'Controles de Corrupción'!$B$10:$B$249,0),4),"")</f>
        <v/>
      </c>
      <c r="N150" s="70" t="str">
        <f>IFERROR(INDEX('Controles de Corrupción'!$C$10:$AY$249,MATCH(A150,'Controles de Corrupción'!$B$10:$B$249,0),40),"")</f>
        <v/>
      </c>
      <c r="O150" s="70" t="str">
        <f>IFERROR(INDEX('Controles de Corrupción'!$C$10:$AY$251,MATCH(A150,'Controles de Corrupción'!$B$10:$B$251,0),41),"")</f>
        <v/>
      </c>
      <c r="P150" s="70" t="str">
        <f>IFERROR(INDEX('Controles de Corrupción'!$C$10:$AY$251,MATCH(A150,'Controles de Corrupción'!$B$10:$B$251,0),42),"")</f>
        <v/>
      </c>
      <c r="Q150" s="186" t="str">
        <f>IFERROR(INDEX('Controles de Corrupción'!$C$10:$AY$251,MATCH(A150,'Controles de Corrupción'!$B$10:$B$251,0),47),"")</f>
        <v/>
      </c>
    </row>
    <row r="151" spans="1:17" x14ac:dyDescent="0.25">
      <c r="A151" s="115" t="s">
        <v>383</v>
      </c>
      <c r="B151" s="1013"/>
      <c r="C151" s="1016" t="str">
        <f>IFERROR(INDEX('Riesgos de Corrupción'!$B$11:$BN$100,MATCH('Mapa Riesgo Corrupción'!B151,'Riesgos de Corrupción'!$B$11:$B$100,0),2),"")</f>
        <v/>
      </c>
      <c r="D151" s="860" t="str">
        <f>IFERROR(INDEX('Riesgos de Corrupción'!$B$11:$BN$100,MATCH('Mapa Riesgo Corrupción'!B151,'Riesgos de Corrupción'!$B$11:$B$100,0),4),"")</f>
        <v/>
      </c>
      <c r="E151" s="1018" t="str">
        <f>IFERROR(INDEX('Riesgos de Corrupción'!$B$11:$BN$100,MATCH('Mapa Riesgo Corrupción'!B151,'Riesgos de Corrupción'!$B$11:$B$100,0),5),"")</f>
        <v/>
      </c>
      <c r="F151" s="865" t="str">
        <f>IFERROR(INDEX('Riesgos de Corrupción'!$B$11:$BN$100,MATCH('Mapa Riesgo Corrupción'!B151,'Riesgos de Corrupción'!$B$11:$B$100,0),18),"")</f>
        <v/>
      </c>
      <c r="G151" s="865" t="str">
        <f>IFERROR(INDEX('Riesgos de Corrupción'!$B$11:$BN$100,MATCH('Mapa Riesgo Corrupción'!B151,'Riesgos de Corrupción'!$B$11:$B$100,0),63),"")</f>
        <v/>
      </c>
      <c r="H151" s="867" t="str">
        <f>IFERROR(INDEX('Riesgos de Corrupción'!$B$11:$BN$100,MATCH('Mapa Riesgo Corrupción'!B151,'Riesgos de Corrupción'!$B$11:$B$100,0),64),"")</f>
        <v/>
      </c>
      <c r="I151" s="865" t="str">
        <f>IFERROR(INDEX('Controles de Corrupción'!$C$10:$AY$251,MATCH('Mapa Riesgo Corrupción'!B151,'Controles de Corrupción'!#REF!,0),33),"")</f>
        <v/>
      </c>
      <c r="J151" s="865" t="str">
        <f>IFERROR(INDEX('Controles de Corrupción'!$C$10:$AY$251,MATCH('Mapa Riesgo Corrupción'!B151,'Controles de Corrupción'!#REF!,0),36),"")</f>
        <v/>
      </c>
      <c r="K151" s="865" t="str">
        <f>IFERROR(INDEX('Controles de Corrupción'!$C$10:$AY$251,MATCH('Mapa Riesgo Corrupción'!B151,'Controles de Corrupción'!#REF!,0),37),"")</f>
        <v/>
      </c>
      <c r="L151" s="865" t="str">
        <f>IFERROR(INDEX('Controles de Corrupción'!$C$10:$AY$251,MATCH('Mapa Riesgo Corrupción'!B151,'Controles de Corrupción'!#REF!,0),38),"")</f>
        <v/>
      </c>
      <c r="M151" s="185" t="str">
        <f>IFERROR(INDEX('Controles de Corrupción'!$C$10:$AY$249,MATCH(A151,'Controles de Corrupción'!$B$10:$B$249,0),4),"")</f>
        <v/>
      </c>
      <c r="N151" s="70" t="str">
        <f>IFERROR(INDEX('Controles de Corrupción'!$C$10:$AY$249,MATCH(A151,'Controles de Corrupción'!$B$10:$B$249,0),40),"")</f>
        <v/>
      </c>
      <c r="O151" s="70" t="str">
        <f>IFERROR(INDEX('Controles de Corrupción'!$C$10:$AY$251,MATCH(A151,'Controles de Corrupción'!$B$10:$B$251,0),41),"")</f>
        <v/>
      </c>
      <c r="P151" s="70" t="str">
        <f>IFERROR(INDEX('Controles de Corrupción'!$C$10:$AY$251,MATCH(A151,'Controles de Corrupción'!$B$10:$B$251,0),42),"")</f>
        <v/>
      </c>
      <c r="Q151" s="186" t="str">
        <f>IFERROR(INDEX('Controles de Corrupción'!$C$10:$AY$251,MATCH(A151,'Controles de Corrupción'!$B$10:$B$251,0),47),"")</f>
        <v/>
      </c>
    </row>
    <row r="152" spans="1:17" x14ac:dyDescent="0.25">
      <c r="A152" s="115" t="s">
        <v>384</v>
      </c>
      <c r="B152" s="1014"/>
      <c r="C152" s="1017"/>
      <c r="D152" s="861"/>
      <c r="E152" s="1019"/>
      <c r="F152" s="865"/>
      <c r="G152" s="865"/>
      <c r="H152" s="867"/>
      <c r="I152" s="865"/>
      <c r="J152" s="865"/>
      <c r="K152" s="865"/>
      <c r="L152" s="865"/>
      <c r="M152" s="185" t="str">
        <f>IFERROR(INDEX('Controles de Corrupción'!$C$10:$AY$249,MATCH(A152,'Controles de Corrupción'!$B$10:$B$249,0),4),"")</f>
        <v/>
      </c>
      <c r="N152" s="70" t="str">
        <f>IFERROR(INDEX('Controles de Corrupción'!$C$10:$AY$249,MATCH(A152,'Controles de Corrupción'!$B$10:$B$249,0),40),"")</f>
        <v/>
      </c>
      <c r="O152" s="70" t="str">
        <f>IFERROR(INDEX('Controles de Corrupción'!$C$10:$AY$251,MATCH(A152,'Controles de Corrupción'!$B$10:$B$251,0),41),"")</f>
        <v/>
      </c>
      <c r="P152" s="70" t="str">
        <f>IFERROR(INDEX('Controles de Corrupción'!$C$10:$AY$251,MATCH(A152,'Controles de Corrupción'!$B$10:$B$251,0),42),"")</f>
        <v/>
      </c>
      <c r="Q152" s="186" t="str">
        <f>IFERROR(INDEX('Controles de Corrupción'!$C$10:$AY$251,MATCH(A152,'Controles de Corrupción'!$B$10:$B$251,0),47),"")</f>
        <v/>
      </c>
    </row>
    <row r="153" spans="1:17" x14ac:dyDescent="0.25">
      <c r="A153" s="115" t="s">
        <v>385</v>
      </c>
      <c r="B153" s="1014"/>
      <c r="C153" s="1017"/>
      <c r="D153" s="861"/>
      <c r="E153" s="1019"/>
      <c r="F153" s="865"/>
      <c r="G153" s="865"/>
      <c r="H153" s="867"/>
      <c r="I153" s="865"/>
      <c r="J153" s="865"/>
      <c r="K153" s="865"/>
      <c r="L153" s="865"/>
      <c r="M153" s="185" t="str">
        <f>IFERROR(INDEX('Controles de Corrupción'!$C$10:$AY$249,MATCH(A153,'Controles de Corrupción'!$B$10:$B$249,0),4),"")</f>
        <v/>
      </c>
      <c r="N153" s="70" t="str">
        <f>IFERROR(INDEX('Controles de Corrupción'!$C$10:$AY$249,MATCH(A153,'Controles de Corrupción'!$B$10:$B$249,0),40),"")</f>
        <v/>
      </c>
      <c r="O153" s="70" t="str">
        <f>IFERROR(INDEX('Controles de Corrupción'!$C$10:$AY$251,MATCH(A153,'Controles de Corrupción'!$B$10:$B$251,0),41),"")</f>
        <v/>
      </c>
      <c r="P153" s="70" t="str">
        <f>IFERROR(INDEX('Controles de Corrupción'!$C$10:$AY$251,MATCH(A153,'Controles de Corrupción'!$B$10:$B$251,0),42),"")</f>
        <v/>
      </c>
      <c r="Q153" s="186" t="str">
        <f>IFERROR(INDEX('Controles de Corrupción'!$C$10:$AY$251,MATCH(A153,'Controles de Corrupción'!$B$10:$B$251,0),47),"")</f>
        <v/>
      </c>
    </row>
    <row r="154" spans="1:17" x14ac:dyDescent="0.25">
      <c r="A154" s="115" t="s">
        <v>386</v>
      </c>
      <c r="B154" s="1014"/>
      <c r="C154" s="1017"/>
      <c r="D154" s="861"/>
      <c r="E154" s="1019"/>
      <c r="F154" s="865"/>
      <c r="G154" s="865"/>
      <c r="H154" s="867"/>
      <c r="I154" s="865"/>
      <c r="J154" s="865"/>
      <c r="K154" s="865"/>
      <c r="L154" s="865"/>
      <c r="M154" s="185" t="str">
        <f>IFERROR(INDEX('Controles de Corrupción'!$C$10:$AY$249,MATCH(A154,'Controles de Corrupción'!$B$10:$B$249,0),4),"")</f>
        <v/>
      </c>
      <c r="N154" s="70" t="str">
        <f>IFERROR(INDEX('Controles de Corrupción'!$C$10:$AY$249,MATCH(A154,'Controles de Corrupción'!$B$10:$B$249,0),40),"")</f>
        <v/>
      </c>
      <c r="O154" s="70" t="str">
        <f>IFERROR(INDEX('Controles de Corrupción'!$C$10:$AY$251,MATCH(A154,'Controles de Corrupción'!$B$10:$B$251,0),41),"")</f>
        <v/>
      </c>
      <c r="P154" s="70" t="str">
        <f>IFERROR(INDEX('Controles de Corrupción'!$C$10:$AY$251,MATCH(A154,'Controles de Corrupción'!$B$10:$B$251,0),42),"")</f>
        <v/>
      </c>
      <c r="Q154" s="186" t="str">
        <f>IFERROR(INDEX('Controles de Corrupción'!$C$10:$AY$251,MATCH(A154,'Controles de Corrupción'!$B$10:$B$251,0),47),"")</f>
        <v/>
      </c>
    </row>
    <row r="155" spans="1:17" x14ac:dyDescent="0.25">
      <c r="A155" s="115" t="s">
        <v>387</v>
      </c>
      <c r="B155" s="1014"/>
      <c r="C155" s="1017"/>
      <c r="D155" s="861"/>
      <c r="E155" s="1019"/>
      <c r="F155" s="865"/>
      <c r="G155" s="865"/>
      <c r="H155" s="867"/>
      <c r="I155" s="865"/>
      <c r="J155" s="865"/>
      <c r="K155" s="865"/>
      <c r="L155" s="865"/>
      <c r="M155" s="185" t="str">
        <f>IFERROR(INDEX('Controles de Corrupción'!$C$10:$AY$249,MATCH(A155,'Controles de Corrupción'!$B$10:$B$249,0),4),"")</f>
        <v/>
      </c>
      <c r="N155" s="70" t="str">
        <f>IFERROR(INDEX('Controles de Corrupción'!$C$10:$AY$249,MATCH(A155,'Controles de Corrupción'!$B$10:$B$249,0),40),"")</f>
        <v/>
      </c>
      <c r="O155" s="70" t="str">
        <f>IFERROR(INDEX('Controles de Corrupción'!$C$10:$AY$251,MATCH(A155,'Controles de Corrupción'!$B$10:$B$251,0),41),"")</f>
        <v/>
      </c>
      <c r="P155" s="70" t="str">
        <f>IFERROR(INDEX('Controles de Corrupción'!$C$10:$AY$251,MATCH(A155,'Controles de Corrupción'!$B$10:$B$251,0),42),"")</f>
        <v/>
      </c>
      <c r="Q155" s="186" t="str">
        <f>IFERROR(INDEX('Controles de Corrupción'!$C$10:$AY$251,MATCH(A155,'Controles de Corrupción'!$B$10:$B$251,0),47),"")</f>
        <v/>
      </c>
    </row>
    <row r="156" spans="1:17" x14ac:dyDescent="0.25">
      <c r="A156" s="115" t="s">
        <v>388</v>
      </c>
      <c r="B156" s="1015"/>
      <c r="C156" s="1017"/>
      <c r="D156" s="861"/>
      <c r="E156" s="1019"/>
      <c r="F156" s="865"/>
      <c r="G156" s="865"/>
      <c r="H156" s="867"/>
      <c r="I156" s="865"/>
      <c r="J156" s="865"/>
      <c r="K156" s="865"/>
      <c r="L156" s="865"/>
      <c r="M156" s="185" t="str">
        <f>IFERROR(INDEX('Controles de Corrupción'!$C$10:$AY$249,MATCH(A156,'Controles de Corrupción'!$B$10:$B$249,0),4),"")</f>
        <v/>
      </c>
      <c r="N156" s="70" t="str">
        <f>IFERROR(INDEX('Controles de Corrupción'!$C$10:$AY$249,MATCH(A156,'Controles de Corrupción'!$B$10:$B$249,0),40),"")</f>
        <v/>
      </c>
      <c r="O156" s="70" t="str">
        <f>IFERROR(INDEX('Controles de Corrupción'!$C$10:$AY$251,MATCH(A156,'Controles de Corrupción'!$B$10:$B$251,0),41),"")</f>
        <v/>
      </c>
      <c r="P156" s="70" t="str">
        <f>IFERROR(INDEX('Controles de Corrupción'!$C$10:$AY$251,MATCH(A156,'Controles de Corrupción'!$B$10:$B$251,0),42),"")</f>
        <v/>
      </c>
      <c r="Q156" s="186" t="str">
        <f>IFERROR(INDEX('Controles de Corrupción'!$C$10:$AY$251,MATCH(A156,'Controles de Corrupción'!$B$10:$B$251,0),47),"")</f>
        <v/>
      </c>
    </row>
    <row r="157" spans="1:17" x14ac:dyDescent="0.25">
      <c r="A157" s="115" t="s">
        <v>389</v>
      </c>
      <c r="B157" s="1013"/>
      <c r="C157" s="1016" t="str">
        <f>IFERROR(INDEX('Riesgos de Corrupción'!$B$11:$BN$100,MATCH('Mapa Riesgo Corrupción'!B157,'Riesgos de Corrupción'!$B$11:$B$100,0),2),"")</f>
        <v/>
      </c>
      <c r="D157" s="860" t="str">
        <f>IFERROR(INDEX('Riesgos de Corrupción'!$B$11:$BN$100,MATCH('Mapa Riesgo Corrupción'!B157,'Riesgos de Corrupción'!$B$11:$B$100,0),4),"")</f>
        <v/>
      </c>
      <c r="E157" s="1018" t="str">
        <f>IFERROR(INDEX('Riesgos de Corrupción'!$B$11:$BN$100,MATCH('Mapa Riesgo Corrupción'!B157,'Riesgos de Corrupción'!$B$11:$B$100,0),5),"")</f>
        <v/>
      </c>
      <c r="F157" s="865" t="str">
        <f>IFERROR(INDEX('Riesgos de Corrupción'!$B$11:$BN$100,MATCH('Mapa Riesgo Corrupción'!B157,'Riesgos de Corrupción'!$B$11:$B$100,0),18),"")</f>
        <v/>
      </c>
      <c r="G157" s="865" t="str">
        <f>IFERROR(INDEX('Riesgos de Corrupción'!$B$11:$BN$100,MATCH('Mapa Riesgo Corrupción'!B157,'Riesgos de Corrupción'!$B$11:$B$100,0),63),"")</f>
        <v/>
      </c>
      <c r="H157" s="867" t="str">
        <f>IFERROR(INDEX('Riesgos de Corrupción'!$B$11:$BN$100,MATCH('Mapa Riesgo Corrupción'!B157,'Riesgos de Corrupción'!$B$11:$B$100,0),64),"")</f>
        <v/>
      </c>
      <c r="I157" s="865" t="str">
        <f>IFERROR(INDEX('Controles de Corrupción'!$C$10:$AY$251,MATCH('Mapa Riesgo Corrupción'!B157,'Controles de Corrupción'!#REF!,0),33),"")</f>
        <v/>
      </c>
      <c r="J157" s="865" t="str">
        <f>IFERROR(INDEX('Controles de Corrupción'!$C$10:$AY$251,MATCH('Mapa Riesgo Corrupción'!B157,'Controles de Corrupción'!#REF!,0),36),"")</f>
        <v/>
      </c>
      <c r="K157" s="865" t="str">
        <f>IFERROR(INDEX('Controles de Corrupción'!$C$10:$AY$251,MATCH('Mapa Riesgo Corrupción'!B157,'Controles de Corrupción'!#REF!,0),37),"")</f>
        <v/>
      </c>
      <c r="L157" s="865" t="str">
        <f>IFERROR(INDEX('Controles de Corrupción'!$C$10:$AY$251,MATCH('Mapa Riesgo Corrupción'!B157,'Controles de Corrupción'!#REF!,0),38),"")</f>
        <v/>
      </c>
      <c r="M157" s="185" t="str">
        <f>IFERROR(INDEX('Controles de Corrupción'!$C$10:$AY$249,MATCH(A157,'Controles de Corrupción'!$B$10:$B$249,0),4),"")</f>
        <v/>
      </c>
      <c r="N157" s="70" t="str">
        <f>IFERROR(INDEX('Controles de Corrupción'!$C$10:$AY$249,MATCH(A157,'Controles de Corrupción'!$B$10:$B$249,0),40),"")</f>
        <v/>
      </c>
      <c r="O157" s="70" t="str">
        <f>IFERROR(INDEX('Controles de Corrupción'!$C$10:$AY$251,MATCH(A157,'Controles de Corrupción'!$B$10:$B$251,0),41),"")</f>
        <v/>
      </c>
      <c r="P157" s="70" t="str">
        <f>IFERROR(INDEX('Controles de Corrupción'!$C$10:$AY$251,MATCH(A157,'Controles de Corrupción'!$B$10:$B$251,0),42),"")</f>
        <v/>
      </c>
      <c r="Q157" s="186" t="str">
        <f>IFERROR(INDEX('Controles de Corrupción'!$C$10:$AY$251,MATCH(A157,'Controles de Corrupción'!$B$10:$B$251,0),47),"")</f>
        <v/>
      </c>
    </row>
    <row r="158" spans="1:17" x14ac:dyDescent="0.25">
      <c r="A158" s="115" t="s">
        <v>390</v>
      </c>
      <c r="B158" s="1014"/>
      <c r="C158" s="1017"/>
      <c r="D158" s="861"/>
      <c r="E158" s="1019"/>
      <c r="F158" s="865"/>
      <c r="G158" s="865"/>
      <c r="H158" s="867"/>
      <c r="I158" s="865"/>
      <c r="J158" s="865"/>
      <c r="K158" s="865"/>
      <c r="L158" s="865"/>
      <c r="M158" s="185" t="str">
        <f>IFERROR(INDEX('Controles de Corrupción'!$C$10:$AY$249,MATCH(A158,'Controles de Corrupción'!$B$10:$B$249,0),4),"")</f>
        <v/>
      </c>
      <c r="N158" s="70" t="str">
        <f>IFERROR(INDEX('Controles de Corrupción'!$C$10:$AY$249,MATCH(A158,'Controles de Corrupción'!$B$10:$B$249,0),40),"")</f>
        <v/>
      </c>
      <c r="O158" s="70" t="str">
        <f>IFERROR(INDEX('Controles de Corrupción'!$C$10:$AY$251,MATCH(A158,'Controles de Corrupción'!$B$10:$B$251,0),41),"")</f>
        <v/>
      </c>
      <c r="P158" s="70" t="str">
        <f>IFERROR(INDEX('Controles de Corrupción'!$C$10:$AY$251,MATCH(A158,'Controles de Corrupción'!$B$10:$B$251,0),42),"")</f>
        <v/>
      </c>
      <c r="Q158" s="186" t="str">
        <f>IFERROR(INDEX('Controles de Corrupción'!$C$10:$AY$251,MATCH(A158,'Controles de Corrupción'!$B$10:$B$251,0),47),"")</f>
        <v/>
      </c>
    </row>
    <row r="159" spans="1:17" x14ac:dyDescent="0.25">
      <c r="A159" s="115" t="s">
        <v>391</v>
      </c>
      <c r="B159" s="1014"/>
      <c r="C159" s="1017"/>
      <c r="D159" s="861"/>
      <c r="E159" s="1019"/>
      <c r="F159" s="865"/>
      <c r="G159" s="865"/>
      <c r="H159" s="867"/>
      <c r="I159" s="865"/>
      <c r="J159" s="865"/>
      <c r="K159" s="865"/>
      <c r="L159" s="865"/>
      <c r="M159" s="185" t="str">
        <f>IFERROR(INDEX('Controles de Corrupción'!$C$10:$AY$249,MATCH(A159,'Controles de Corrupción'!$B$10:$B$249,0),4),"")</f>
        <v/>
      </c>
      <c r="N159" s="70" t="str">
        <f>IFERROR(INDEX('Controles de Corrupción'!$C$10:$AY$249,MATCH(A159,'Controles de Corrupción'!$B$10:$B$249,0),40),"")</f>
        <v/>
      </c>
      <c r="O159" s="70" t="str">
        <f>IFERROR(INDEX('Controles de Corrupción'!$C$10:$AY$251,MATCH(A159,'Controles de Corrupción'!$B$10:$B$251,0),41),"")</f>
        <v/>
      </c>
      <c r="P159" s="70" t="str">
        <f>IFERROR(INDEX('Controles de Corrupción'!$C$10:$AY$251,MATCH(A159,'Controles de Corrupción'!$B$10:$B$251,0),42),"")</f>
        <v/>
      </c>
      <c r="Q159" s="186" t="str">
        <f>IFERROR(INDEX('Controles de Corrupción'!$C$10:$AY$251,MATCH(A159,'Controles de Corrupción'!$B$10:$B$251,0),47),"")</f>
        <v/>
      </c>
    </row>
    <row r="160" spans="1:17" x14ac:dyDescent="0.25">
      <c r="A160" s="115" t="s">
        <v>392</v>
      </c>
      <c r="B160" s="1014"/>
      <c r="C160" s="1017"/>
      <c r="D160" s="861"/>
      <c r="E160" s="1019"/>
      <c r="F160" s="865"/>
      <c r="G160" s="865"/>
      <c r="H160" s="867"/>
      <c r="I160" s="865"/>
      <c r="J160" s="865"/>
      <c r="K160" s="865"/>
      <c r="L160" s="865"/>
      <c r="M160" s="185" t="str">
        <f>IFERROR(INDEX('Controles de Corrupción'!$C$10:$AY$249,MATCH(A160,'Controles de Corrupción'!$B$10:$B$249,0),4),"")</f>
        <v/>
      </c>
      <c r="N160" s="70" t="str">
        <f>IFERROR(INDEX('Controles de Corrupción'!$C$10:$AY$249,MATCH(A160,'Controles de Corrupción'!$B$10:$B$249,0),40),"")</f>
        <v/>
      </c>
      <c r="O160" s="70" t="str">
        <f>IFERROR(INDEX('Controles de Corrupción'!$C$10:$AY$251,MATCH(A160,'Controles de Corrupción'!$B$10:$B$251,0),41),"")</f>
        <v/>
      </c>
      <c r="P160" s="70" t="str">
        <f>IFERROR(INDEX('Controles de Corrupción'!$C$10:$AY$251,MATCH(A160,'Controles de Corrupción'!$B$10:$B$251,0),42),"")</f>
        <v/>
      </c>
      <c r="Q160" s="186" t="str">
        <f>IFERROR(INDEX('Controles de Corrupción'!$C$10:$AY$251,MATCH(A160,'Controles de Corrupción'!$B$10:$B$251,0),47),"")</f>
        <v/>
      </c>
    </row>
    <row r="161" spans="1:17" x14ac:dyDescent="0.25">
      <c r="A161" s="115" t="s">
        <v>393</v>
      </c>
      <c r="B161" s="1014"/>
      <c r="C161" s="1017"/>
      <c r="D161" s="861"/>
      <c r="E161" s="1019"/>
      <c r="F161" s="865"/>
      <c r="G161" s="865"/>
      <c r="H161" s="867"/>
      <c r="I161" s="865"/>
      <c r="J161" s="865"/>
      <c r="K161" s="865"/>
      <c r="L161" s="865"/>
      <c r="M161" s="185" t="str">
        <f>IFERROR(INDEX('Controles de Corrupción'!$C$10:$AY$249,MATCH(A161,'Controles de Corrupción'!$B$10:$B$249,0),4),"")</f>
        <v/>
      </c>
      <c r="N161" s="70" t="str">
        <f>IFERROR(INDEX('Controles de Corrupción'!$C$10:$AY$249,MATCH(A161,'Controles de Corrupción'!$B$10:$B$249,0),40),"")</f>
        <v/>
      </c>
      <c r="O161" s="70" t="str">
        <f>IFERROR(INDEX('Controles de Corrupción'!$C$10:$AY$251,MATCH(A161,'Controles de Corrupción'!$B$10:$B$251,0),41),"")</f>
        <v/>
      </c>
      <c r="P161" s="70" t="str">
        <f>IFERROR(INDEX('Controles de Corrupción'!$C$10:$AY$251,MATCH(A161,'Controles de Corrupción'!$B$10:$B$251,0),42),"")</f>
        <v/>
      </c>
      <c r="Q161" s="186" t="str">
        <f>IFERROR(INDEX('Controles de Corrupción'!$C$10:$AY$251,MATCH(A161,'Controles de Corrupción'!$B$10:$B$251,0),47),"")</f>
        <v/>
      </c>
    </row>
    <row r="162" spans="1:17" x14ac:dyDescent="0.25">
      <c r="A162" s="115" t="s">
        <v>394</v>
      </c>
      <c r="B162" s="1015"/>
      <c r="C162" s="1017"/>
      <c r="D162" s="861"/>
      <c r="E162" s="1019"/>
      <c r="F162" s="865"/>
      <c r="G162" s="865"/>
      <c r="H162" s="867"/>
      <c r="I162" s="865"/>
      <c r="J162" s="865"/>
      <c r="K162" s="865"/>
      <c r="L162" s="865"/>
      <c r="M162" s="185" t="str">
        <f>IFERROR(INDEX('Controles de Corrupción'!$C$10:$AY$249,MATCH(A162,'Controles de Corrupción'!$B$10:$B$249,0),4),"")</f>
        <v/>
      </c>
      <c r="N162" s="70" t="str">
        <f>IFERROR(INDEX('Controles de Corrupción'!$C$10:$AY$249,MATCH(A162,'Controles de Corrupción'!$B$10:$B$249,0),40),"")</f>
        <v/>
      </c>
      <c r="O162" s="70" t="str">
        <f>IFERROR(INDEX('Controles de Corrupción'!$C$10:$AY$251,MATCH(A162,'Controles de Corrupción'!$B$10:$B$251,0),41),"")</f>
        <v/>
      </c>
      <c r="P162" s="70" t="str">
        <f>IFERROR(INDEX('Controles de Corrupción'!$C$10:$AY$251,MATCH(A162,'Controles de Corrupción'!$B$10:$B$251,0),42),"")</f>
        <v/>
      </c>
      <c r="Q162" s="186" t="str">
        <f>IFERROR(INDEX('Controles de Corrupción'!$C$10:$AY$251,MATCH(A162,'Controles de Corrupción'!$B$10:$B$251,0),47),"")</f>
        <v/>
      </c>
    </row>
    <row r="163" spans="1:17" x14ac:dyDescent="0.25">
      <c r="A163" s="115" t="s">
        <v>395</v>
      </c>
      <c r="B163" s="1013"/>
      <c r="C163" s="1016" t="str">
        <f>IFERROR(INDEX('Riesgos de Corrupción'!$B$11:$BN$100,MATCH('Mapa Riesgo Corrupción'!B163,'Riesgos de Corrupción'!$B$11:$B$100,0),2),"")</f>
        <v/>
      </c>
      <c r="D163" s="860" t="str">
        <f>IFERROR(INDEX('Riesgos de Corrupción'!$B$11:$BN$100,MATCH('Mapa Riesgo Corrupción'!B163,'Riesgos de Corrupción'!$B$11:$B$100,0),4),"")</f>
        <v/>
      </c>
      <c r="E163" s="1018" t="str">
        <f>IFERROR(INDEX('Riesgos de Corrupción'!$B$11:$BN$100,MATCH('Mapa Riesgo Corrupción'!B163,'Riesgos de Corrupción'!$B$11:$B$100,0),5),"")</f>
        <v/>
      </c>
      <c r="F163" s="865" t="str">
        <f>IFERROR(INDEX('Riesgos de Corrupción'!$B$11:$BN$100,MATCH('Mapa Riesgo Corrupción'!B163,'Riesgos de Corrupción'!$B$11:$B$100,0),18),"")</f>
        <v/>
      </c>
      <c r="G163" s="865" t="str">
        <f>IFERROR(INDEX('Riesgos de Corrupción'!$B$11:$BN$100,MATCH('Mapa Riesgo Corrupción'!B163,'Riesgos de Corrupción'!$B$11:$B$100,0),63),"")</f>
        <v/>
      </c>
      <c r="H163" s="867" t="str">
        <f>IFERROR(INDEX('Riesgos de Corrupción'!$B$11:$BN$100,MATCH('Mapa Riesgo Corrupción'!B163,'Riesgos de Corrupción'!$B$11:$B$100,0),64),"")</f>
        <v/>
      </c>
      <c r="I163" s="865" t="str">
        <f>IFERROR(INDEX('Controles de Corrupción'!$C$10:$AY$251,MATCH('Mapa Riesgo Corrupción'!B163,'Controles de Corrupción'!#REF!,0),33),"")</f>
        <v/>
      </c>
      <c r="J163" s="865" t="str">
        <f>IFERROR(INDEX('Controles de Corrupción'!$C$10:$AY$251,MATCH('Mapa Riesgo Corrupción'!B163,'Controles de Corrupción'!#REF!,0),36),"")</f>
        <v/>
      </c>
      <c r="K163" s="865" t="str">
        <f>IFERROR(INDEX('Controles de Corrupción'!$C$10:$AY$251,MATCH('Mapa Riesgo Corrupción'!B163,'Controles de Corrupción'!#REF!,0),37),"")</f>
        <v/>
      </c>
      <c r="L163" s="865" t="str">
        <f>IFERROR(INDEX('Controles de Corrupción'!$C$10:$AY$251,MATCH('Mapa Riesgo Corrupción'!B163,'Controles de Corrupción'!#REF!,0),38),"")</f>
        <v/>
      </c>
      <c r="M163" s="185" t="str">
        <f>IFERROR(INDEX('Controles de Corrupción'!$C$10:$AY$249,MATCH(A163,'Controles de Corrupción'!$B$10:$B$249,0),4),"")</f>
        <v/>
      </c>
      <c r="N163" s="70" t="str">
        <f>IFERROR(INDEX('Controles de Corrupción'!$C$10:$AY$249,MATCH(A163,'Controles de Corrupción'!$B$10:$B$249,0),40),"")</f>
        <v/>
      </c>
      <c r="O163" s="70" t="str">
        <f>IFERROR(INDEX('Controles de Corrupción'!$C$10:$AY$251,MATCH(A163,'Controles de Corrupción'!$B$10:$B$251,0),41),"")</f>
        <v/>
      </c>
      <c r="P163" s="70" t="str">
        <f>IFERROR(INDEX('Controles de Corrupción'!$C$10:$AY$251,MATCH(A163,'Controles de Corrupción'!$B$10:$B$251,0),42),"")</f>
        <v/>
      </c>
      <c r="Q163" s="186" t="str">
        <f>IFERROR(INDEX('Controles de Corrupción'!$C$10:$AY$251,MATCH(A163,'Controles de Corrupción'!$B$10:$B$251,0),47),"")</f>
        <v/>
      </c>
    </row>
    <row r="164" spans="1:17" x14ac:dyDescent="0.25">
      <c r="A164" s="115" t="s">
        <v>396</v>
      </c>
      <c r="B164" s="1014"/>
      <c r="C164" s="1017"/>
      <c r="D164" s="861"/>
      <c r="E164" s="1019"/>
      <c r="F164" s="865"/>
      <c r="G164" s="865"/>
      <c r="H164" s="867"/>
      <c r="I164" s="865"/>
      <c r="J164" s="865"/>
      <c r="K164" s="865"/>
      <c r="L164" s="865"/>
      <c r="M164" s="185" t="str">
        <f>IFERROR(INDEX('Controles de Corrupción'!$C$10:$AY$249,MATCH(A164,'Controles de Corrupción'!$B$10:$B$249,0),4),"")</f>
        <v/>
      </c>
      <c r="N164" s="70" t="str">
        <f>IFERROR(INDEX('Controles de Corrupción'!$C$10:$AY$249,MATCH(A164,'Controles de Corrupción'!$B$10:$B$249,0),40),"")</f>
        <v/>
      </c>
      <c r="O164" s="70" t="str">
        <f>IFERROR(INDEX('Controles de Corrupción'!$C$10:$AY$251,MATCH(A164,'Controles de Corrupción'!$B$10:$B$251,0),41),"")</f>
        <v/>
      </c>
      <c r="P164" s="70" t="str">
        <f>IFERROR(INDEX('Controles de Corrupción'!$C$10:$AY$251,MATCH(A164,'Controles de Corrupción'!$B$10:$B$251,0),42),"")</f>
        <v/>
      </c>
      <c r="Q164" s="186" t="str">
        <f>IFERROR(INDEX('Controles de Corrupción'!$C$10:$AY$251,MATCH(A164,'Controles de Corrupción'!$B$10:$B$251,0),47),"")</f>
        <v/>
      </c>
    </row>
    <row r="165" spans="1:17" x14ac:dyDescent="0.25">
      <c r="A165" s="115" t="s">
        <v>397</v>
      </c>
      <c r="B165" s="1014"/>
      <c r="C165" s="1017"/>
      <c r="D165" s="861"/>
      <c r="E165" s="1019"/>
      <c r="F165" s="865"/>
      <c r="G165" s="865"/>
      <c r="H165" s="867"/>
      <c r="I165" s="865"/>
      <c r="J165" s="865"/>
      <c r="K165" s="865"/>
      <c r="L165" s="865"/>
      <c r="M165" s="185" t="str">
        <f>IFERROR(INDEX('Controles de Corrupción'!$C$10:$AY$249,MATCH(A165,'Controles de Corrupción'!$B$10:$B$249,0),4),"")</f>
        <v/>
      </c>
      <c r="N165" s="70" t="str">
        <f>IFERROR(INDEX('Controles de Corrupción'!$C$10:$AY$249,MATCH(A165,'Controles de Corrupción'!$B$10:$B$249,0),40),"")</f>
        <v/>
      </c>
      <c r="O165" s="70" t="str">
        <f>IFERROR(INDEX('Controles de Corrupción'!$C$10:$AY$251,MATCH(A165,'Controles de Corrupción'!$B$10:$B$251,0),41),"")</f>
        <v/>
      </c>
      <c r="P165" s="70" t="str">
        <f>IFERROR(INDEX('Controles de Corrupción'!$C$10:$AY$251,MATCH(A165,'Controles de Corrupción'!$B$10:$B$251,0),42),"")</f>
        <v/>
      </c>
      <c r="Q165" s="186" t="str">
        <f>IFERROR(INDEX('Controles de Corrupción'!$C$10:$AY$251,MATCH(A165,'Controles de Corrupción'!$B$10:$B$251,0),47),"")</f>
        <v/>
      </c>
    </row>
    <row r="166" spans="1:17" x14ac:dyDescent="0.25">
      <c r="A166" s="115" t="s">
        <v>398</v>
      </c>
      <c r="B166" s="1014"/>
      <c r="C166" s="1017"/>
      <c r="D166" s="861"/>
      <c r="E166" s="1019"/>
      <c r="F166" s="865"/>
      <c r="G166" s="865"/>
      <c r="H166" s="867"/>
      <c r="I166" s="865"/>
      <c r="J166" s="865"/>
      <c r="K166" s="865"/>
      <c r="L166" s="865"/>
      <c r="M166" s="185" t="str">
        <f>IFERROR(INDEX('Controles de Corrupción'!$C$10:$AY$249,MATCH(A166,'Controles de Corrupción'!$B$10:$B$249,0),4),"")</f>
        <v/>
      </c>
      <c r="N166" s="70" t="str">
        <f>IFERROR(INDEX('Controles de Corrupción'!$C$10:$AY$249,MATCH(A166,'Controles de Corrupción'!$B$10:$B$249,0),40),"")</f>
        <v/>
      </c>
      <c r="O166" s="70" t="str">
        <f>IFERROR(INDEX('Controles de Corrupción'!$C$10:$AY$251,MATCH(A166,'Controles de Corrupción'!$B$10:$B$251,0),41),"")</f>
        <v/>
      </c>
      <c r="P166" s="70" t="str">
        <f>IFERROR(INDEX('Controles de Corrupción'!$C$10:$AY$251,MATCH(A166,'Controles de Corrupción'!$B$10:$B$251,0),42),"")</f>
        <v/>
      </c>
      <c r="Q166" s="186" t="str">
        <f>IFERROR(INDEX('Controles de Corrupción'!$C$10:$AY$251,MATCH(A166,'Controles de Corrupción'!$B$10:$B$251,0),47),"")</f>
        <v/>
      </c>
    </row>
    <row r="167" spans="1:17" x14ac:dyDescent="0.25">
      <c r="A167" s="115" t="s">
        <v>399</v>
      </c>
      <c r="B167" s="1014"/>
      <c r="C167" s="1017"/>
      <c r="D167" s="861"/>
      <c r="E167" s="1019"/>
      <c r="F167" s="865"/>
      <c r="G167" s="865"/>
      <c r="H167" s="867"/>
      <c r="I167" s="865"/>
      <c r="J167" s="865"/>
      <c r="K167" s="865"/>
      <c r="L167" s="865"/>
      <c r="M167" s="185" t="str">
        <f>IFERROR(INDEX('Controles de Corrupción'!$C$10:$AY$249,MATCH(A167,'Controles de Corrupción'!$B$10:$B$249,0),4),"")</f>
        <v/>
      </c>
      <c r="N167" s="70" t="str">
        <f>IFERROR(INDEX('Controles de Corrupción'!$C$10:$AY$249,MATCH(A167,'Controles de Corrupción'!$B$10:$B$249,0),40),"")</f>
        <v/>
      </c>
      <c r="O167" s="70" t="str">
        <f>IFERROR(INDEX('Controles de Corrupción'!$C$10:$AY$251,MATCH(A167,'Controles de Corrupción'!$B$10:$B$251,0),41),"")</f>
        <v/>
      </c>
      <c r="P167" s="70" t="str">
        <f>IFERROR(INDEX('Controles de Corrupción'!$C$10:$AY$251,MATCH(A167,'Controles de Corrupción'!$B$10:$B$251,0),42),"")</f>
        <v/>
      </c>
      <c r="Q167" s="186" t="str">
        <f>IFERROR(INDEX('Controles de Corrupción'!$C$10:$AY$251,MATCH(A167,'Controles de Corrupción'!$B$10:$B$251,0),47),"")</f>
        <v/>
      </c>
    </row>
    <row r="168" spans="1:17" x14ac:dyDescent="0.25">
      <c r="A168" s="115" t="s">
        <v>400</v>
      </c>
      <c r="B168" s="1015"/>
      <c r="C168" s="1017"/>
      <c r="D168" s="861"/>
      <c r="E168" s="1019"/>
      <c r="F168" s="865"/>
      <c r="G168" s="865"/>
      <c r="H168" s="867"/>
      <c r="I168" s="865"/>
      <c r="J168" s="865"/>
      <c r="K168" s="865"/>
      <c r="L168" s="865"/>
      <c r="M168" s="185" t="str">
        <f>IFERROR(INDEX('Controles de Corrupción'!$C$10:$AY$249,MATCH(A168,'Controles de Corrupción'!$B$10:$B$249,0),4),"")</f>
        <v/>
      </c>
      <c r="N168" s="70" t="str">
        <f>IFERROR(INDEX('Controles de Corrupción'!$C$10:$AY$249,MATCH(A168,'Controles de Corrupción'!$B$10:$B$249,0),40),"")</f>
        <v/>
      </c>
      <c r="O168" s="70" t="str">
        <f>IFERROR(INDEX('Controles de Corrupción'!$C$10:$AY$251,MATCH(A168,'Controles de Corrupción'!$B$10:$B$251,0),41),"")</f>
        <v/>
      </c>
      <c r="P168" s="70" t="str">
        <f>IFERROR(INDEX('Controles de Corrupción'!$C$10:$AY$251,MATCH(A168,'Controles de Corrupción'!$B$10:$B$251,0),42),"")</f>
        <v/>
      </c>
      <c r="Q168" s="186" t="str">
        <f>IFERROR(INDEX('Controles de Corrupción'!$C$10:$AY$251,MATCH(A168,'Controles de Corrupción'!$B$10:$B$251,0),47),"")</f>
        <v/>
      </c>
    </row>
    <row r="169" spans="1:17" x14ac:dyDescent="0.25">
      <c r="A169" s="115" t="s">
        <v>401</v>
      </c>
      <c r="B169" s="1013"/>
      <c r="C169" s="1016" t="str">
        <f>IFERROR(INDEX('Riesgos de Corrupción'!$B$11:$BN$100,MATCH('Mapa Riesgo Corrupción'!B169,'Riesgos de Corrupción'!$B$11:$B$100,0),2),"")</f>
        <v/>
      </c>
      <c r="D169" s="860" t="str">
        <f>IFERROR(INDEX('Riesgos de Corrupción'!$B$11:$BN$100,MATCH('Mapa Riesgo Corrupción'!B169,'Riesgos de Corrupción'!$B$11:$B$100,0),4),"")</f>
        <v/>
      </c>
      <c r="E169" s="1018" t="str">
        <f>IFERROR(INDEX('Riesgos de Corrupción'!$B$11:$BN$100,MATCH('Mapa Riesgo Corrupción'!B169,'Riesgos de Corrupción'!$B$11:$B$100,0),5),"")</f>
        <v/>
      </c>
      <c r="F169" s="865" t="str">
        <f>IFERROR(INDEX('Riesgos de Corrupción'!$B$11:$BN$100,MATCH('Mapa Riesgo Corrupción'!B169,'Riesgos de Corrupción'!$B$11:$B$100,0),18),"")</f>
        <v/>
      </c>
      <c r="G169" s="865" t="str">
        <f>IFERROR(INDEX('Riesgos de Corrupción'!$B$11:$BN$100,MATCH('Mapa Riesgo Corrupción'!B169,'Riesgos de Corrupción'!$B$11:$B$100,0),63),"")</f>
        <v/>
      </c>
      <c r="H169" s="867" t="str">
        <f>IFERROR(INDEX('Riesgos de Corrupción'!$B$11:$BN$100,MATCH('Mapa Riesgo Corrupción'!B169,'Riesgos de Corrupción'!$B$11:$B$100,0),64),"")</f>
        <v/>
      </c>
      <c r="I169" s="865" t="str">
        <f>IFERROR(INDEX('Controles de Corrupción'!$C$10:$AY$251,MATCH('Mapa Riesgo Corrupción'!B169,'Controles de Corrupción'!#REF!,0),33),"")</f>
        <v/>
      </c>
      <c r="J169" s="865" t="str">
        <f>IFERROR(INDEX('Controles de Corrupción'!$C$10:$AY$251,MATCH('Mapa Riesgo Corrupción'!B169,'Controles de Corrupción'!#REF!,0),36),"")</f>
        <v/>
      </c>
      <c r="K169" s="865" t="str">
        <f>IFERROR(INDEX('Controles de Corrupción'!$C$10:$AY$251,MATCH('Mapa Riesgo Corrupción'!B169,'Controles de Corrupción'!#REF!,0),37),"")</f>
        <v/>
      </c>
      <c r="L169" s="865" t="str">
        <f>IFERROR(INDEX('Controles de Corrupción'!$C$10:$AY$251,MATCH('Mapa Riesgo Corrupción'!B169,'Controles de Corrupción'!#REF!,0),38),"")</f>
        <v/>
      </c>
      <c r="M169" s="185" t="str">
        <f>IFERROR(INDEX('Controles de Corrupción'!$C$10:$AY$249,MATCH(A169,'Controles de Corrupción'!$B$10:$B$249,0),4),"")</f>
        <v/>
      </c>
      <c r="N169" s="70" t="str">
        <f>IFERROR(INDEX('Controles de Corrupción'!$C$10:$AY$249,MATCH(A169,'Controles de Corrupción'!$B$10:$B$249,0),40),"")</f>
        <v/>
      </c>
      <c r="O169" s="70" t="str">
        <f>IFERROR(INDEX('Controles de Corrupción'!$C$10:$AY$251,MATCH(A169,'Controles de Corrupción'!$B$10:$B$251,0),41),"")</f>
        <v/>
      </c>
      <c r="P169" s="70" t="str">
        <f>IFERROR(INDEX('Controles de Corrupción'!$C$10:$AY$251,MATCH(A169,'Controles de Corrupción'!$B$10:$B$251,0),42),"")</f>
        <v/>
      </c>
      <c r="Q169" s="186" t="str">
        <f>IFERROR(INDEX('Controles de Corrupción'!$C$10:$AY$251,MATCH(A169,'Controles de Corrupción'!$B$10:$B$251,0),47),"")</f>
        <v/>
      </c>
    </row>
    <row r="170" spans="1:17" x14ac:dyDescent="0.25">
      <c r="A170" s="115" t="s">
        <v>402</v>
      </c>
      <c r="B170" s="1014"/>
      <c r="C170" s="1017"/>
      <c r="D170" s="861"/>
      <c r="E170" s="1019"/>
      <c r="F170" s="865"/>
      <c r="G170" s="865"/>
      <c r="H170" s="867"/>
      <c r="I170" s="865"/>
      <c r="J170" s="865"/>
      <c r="K170" s="865"/>
      <c r="L170" s="865"/>
      <c r="M170" s="185" t="str">
        <f>IFERROR(INDEX('Controles de Corrupción'!$C$10:$AY$249,MATCH(A170,'Controles de Corrupción'!$B$10:$B$249,0),4),"")</f>
        <v/>
      </c>
      <c r="N170" s="70" t="str">
        <f>IFERROR(INDEX('Controles de Corrupción'!$C$10:$AY$249,MATCH(A170,'Controles de Corrupción'!$B$10:$B$249,0),40),"")</f>
        <v/>
      </c>
      <c r="O170" s="70" t="str">
        <f>IFERROR(INDEX('Controles de Corrupción'!$C$10:$AY$251,MATCH(A170,'Controles de Corrupción'!$B$10:$B$251,0),41),"")</f>
        <v/>
      </c>
      <c r="P170" s="70" t="str">
        <f>IFERROR(INDEX('Controles de Corrupción'!$C$10:$AY$251,MATCH(A170,'Controles de Corrupción'!$B$10:$B$251,0),42),"")</f>
        <v/>
      </c>
      <c r="Q170" s="186" t="str">
        <f>IFERROR(INDEX('Controles de Corrupción'!$C$10:$AY$251,MATCH(A170,'Controles de Corrupción'!$B$10:$B$251,0),47),"")</f>
        <v/>
      </c>
    </row>
    <row r="171" spans="1:17" x14ac:dyDescent="0.25">
      <c r="A171" s="115" t="s">
        <v>403</v>
      </c>
      <c r="B171" s="1014"/>
      <c r="C171" s="1017"/>
      <c r="D171" s="861"/>
      <c r="E171" s="1019"/>
      <c r="F171" s="865"/>
      <c r="G171" s="865"/>
      <c r="H171" s="867"/>
      <c r="I171" s="865"/>
      <c r="J171" s="865"/>
      <c r="K171" s="865"/>
      <c r="L171" s="865"/>
      <c r="M171" s="185" t="str">
        <f>IFERROR(INDEX('Controles de Corrupción'!$C$10:$AY$249,MATCH(A171,'Controles de Corrupción'!$B$10:$B$249,0),4),"")</f>
        <v/>
      </c>
      <c r="N171" s="70" t="str">
        <f>IFERROR(INDEX('Controles de Corrupción'!$C$10:$AY$249,MATCH(A171,'Controles de Corrupción'!$B$10:$B$249,0),40),"")</f>
        <v/>
      </c>
      <c r="O171" s="70" t="str">
        <f>IFERROR(INDEX('Controles de Corrupción'!$C$10:$AY$251,MATCH(A171,'Controles de Corrupción'!$B$10:$B$251,0),41),"")</f>
        <v/>
      </c>
      <c r="P171" s="70" t="str">
        <f>IFERROR(INDEX('Controles de Corrupción'!$C$10:$AY$251,MATCH(A171,'Controles de Corrupción'!$B$10:$B$251,0),42),"")</f>
        <v/>
      </c>
      <c r="Q171" s="186" t="str">
        <f>IFERROR(INDEX('Controles de Corrupción'!$C$10:$AY$251,MATCH(A171,'Controles de Corrupción'!$B$10:$B$251,0),47),"")</f>
        <v/>
      </c>
    </row>
    <row r="172" spans="1:17" x14ac:dyDescent="0.25">
      <c r="A172" s="115" t="s">
        <v>404</v>
      </c>
      <c r="B172" s="1014"/>
      <c r="C172" s="1017"/>
      <c r="D172" s="861"/>
      <c r="E172" s="1019"/>
      <c r="F172" s="865"/>
      <c r="G172" s="865"/>
      <c r="H172" s="867"/>
      <c r="I172" s="865"/>
      <c r="J172" s="865"/>
      <c r="K172" s="865"/>
      <c r="L172" s="865"/>
      <c r="M172" s="185" t="str">
        <f>IFERROR(INDEX('Controles de Corrupción'!$C$10:$AY$249,MATCH(A172,'Controles de Corrupción'!$B$10:$B$249,0),4),"")</f>
        <v/>
      </c>
      <c r="N172" s="70" t="str">
        <f>IFERROR(INDEX('Controles de Corrupción'!$C$10:$AY$249,MATCH(A172,'Controles de Corrupción'!$B$10:$B$249,0),40),"")</f>
        <v/>
      </c>
      <c r="O172" s="70" t="str">
        <f>IFERROR(INDEX('Controles de Corrupción'!$C$10:$AY$251,MATCH(A172,'Controles de Corrupción'!$B$10:$B$251,0),41),"")</f>
        <v/>
      </c>
      <c r="P172" s="70" t="str">
        <f>IFERROR(INDEX('Controles de Corrupción'!$C$10:$AY$251,MATCH(A172,'Controles de Corrupción'!$B$10:$B$251,0),42),"")</f>
        <v/>
      </c>
      <c r="Q172" s="186" t="str">
        <f>IFERROR(INDEX('Controles de Corrupción'!$C$10:$AY$251,MATCH(A172,'Controles de Corrupción'!$B$10:$B$251,0),47),"")</f>
        <v/>
      </c>
    </row>
    <row r="173" spans="1:17" x14ac:dyDescent="0.25">
      <c r="A173" s="115" t="s">
        <v>405</v>
      </c>
      <c r="B173" s="1014"/>
      <c r="C173" s="1017"/>
      <c r="D173" s="861"/>
      <c r="E173" s="1019"/>
      <c r="F173" s="865"/>
      <c r="G173" s="865"/>
      <c r="H173" s="867"/>
      <c r="I173" s="865"/>
      <c r="J173" s="865"/>
      <c r="K173" s="865"/>
      <c r="L173" s="865"/>
      <c r="M173" s="185" t="str">
        <f>IFERROR(INDEX('Controles de Corrupción'!$C$10:$AY$249,MATCH(A173,'Controles de Corrupción'!$B$10:$B$249,0),4),"")</f>
        <v/>
      </c>
      <c r="N173" s="70" t="str">
        <f>IFERROR(INDEX('Controles de Corrupción'!$C$10:$AY$249,MATCH(A173,'Controles de Corrupción'!$B$10:$B$249,0),40),"")</f>
        <v/>
      </c>
      <c r="O173" s="70" t="str">
        <f>IFERROR(INDEX('Controles de Corrupción'!$C$10:$AY$251,MATCH(A173,'Controles de Corrupción'!$B$10:$B$251,0),41),"")</f>
        <v/>
      </c>
      <c r="P173" s="70" t="str">
        <f>IFERROR(INDEX('Controles de Corrupción'!$C$10:$AY$251,MATCH(A173,'Controles de Corrupción'!$B$10:$B$251,0),42),"")</f>
        <v/>
      </c>
      <c r="Q173" s="186" t="str">
        <f>IFERROR(INDEX('Controles de Corrupción'!$C$10:$AY$251,MATCH(A173,'Controles de Corrupción'!$B$10:$B$251,0),47),"")</f>
        <v/>
      </c>
    </row>
    <row r="174" spans="1:17" x14ac:dyDescent="0.25">
      <c r="A174" s="115" t="s">
        <v>406</v>
      </c>
      <c r="B174" s="1015"/>
      <c r="C174" s="1017"/>
      <c r="D174" s="861"/>
      <c r="E174" s="1019"/>
      <c r="F174" s="865"/>
      <c r="G174" s="865"/>
      <c r="H174" s="867"/>
      <c r="I174" s="865"/>
      <c r="J174" s="865"/>
      <c r="K174" s="865"/>
      <c r="L174" s="865"/>
      <c r="M174" s="185" t="str">
        <f>IFERROR(INDEX('Controles de Corrupción'!$C$10:$AY$249,MATCH(A174,'Controles de Corrupción'!$B$10:$B$249,0),4),"")</f>
        <v/>
      </c>
      <c r="N174" s="70" t="str">
        <f>IFERROR(INDEX('Controles de Corrupción'!$C$10:$AY$249,MATCH(A174,'Controles de Corrupción'!$B$10:$B$249,0),40),"")</f>
        <v/>
      </c>
      <c r="O174" s="70" t="str">
        <f>IFERROR(INDEX('Controles de Corrupción'!$C$10:$AY$251,MATCH(A174,'Controles de Corrupción'!$B$10:$B$251,0),41),"")</f>
        <v/>
      </c>
      <c r="P174" s="70" t="str">
        <f>IFERROR(INDEX('Controles de Corrupción'!$C$10:$AY$251,MATCH(A174,'Controles de Corrupción'!$B$10:$B$251,0),42),"")</f>
        <v/>
      </c>
      <c r="Q174" s="186" t="str">
        <f>IFERROR(INDEX('Controles de Corrupción'!$C$10:$AY$251,MATCH(A174,'Controles de Corrupción'!$B$10:$B$251,0),47),"")</f>
        <v/>
      </c>
    </row>
    <row r="175" spans="1:17" x14ac:dyDescent="0.25">
      <c r="A175" s="115" t="s">
        <v>407</v>
      </c>
      <c r="B175" s="1013"/>
      <c r="C175" s="1016" t="str">
        <f>IFERROR(INDEX('Riesgos de Corrupción'!$B$11:$BN$100,MATCH('Mapa Riesgo Corrupción'!B175,'Riesgos de Corrupción'!$B$11:$B$100,0),2),"")</f>
        <v/>
      </c>
      <c r="D175" s="860" t="str">
        <f>IFERROR(INDEX('Riesgos de Corrupción'!$B$11:$BN$100,MATCH('Mapa Riesgo Corrupción'!B175,'Riesgos de Corrupción'!$B$11:$B$100,0),4),"")</f>
        <v/>
      </c>
      <c r="E175" s="1018" t="str">
        <f>IFERROR(INDEX('Riesgos de Corrupción'!$B$11:$BN$100,MATCH('Mapa Riesgo Corrupción'!B175,'Riesgos de Corrupción'!$B$11:$B$100,0),5),"")</f>
        <v/>
      </c>
      <c r="F175" s="865" t="str">
        <f>IFERROR(INDEX('Riesgos de Corrupción'!$B$11:$BN$100,MATCH('Mapa Riesgo Corrupción'!B175,'Riesgos de Corrupción'!$B$11:$B$100,0),18),"")</f>
        <v/>
      </c>
      <c r="G175" s="865" t="str">
        <f>IFERROR(INDEX('Riesgos de Corrupción'!$B$11:$BN$100,MATCH('Mapa Riesgo Corrupción'!B175,'Riesgos de Corrupción'!$B$11:$B$100,0),63),"")</f>
        <v/>
      </c>
      <c r="H175" s="867" t="str">
        <f>IFERROR(INDEX('Riesgos de Corrupción'!$B$11:$BN$100,MATCH('Mapa Riesgo Corrupción'!B175,'Riesgos de Corrupción'!$B$11:$B$100,0),64),"")</f>
        <v/>
      </c>
      <c r="I175" s="865" t="str">
        <f>IFERROR(INDEX('Controles de Corrupción'!$C$10:$AY$251,MATCH('Mapa Riesgo Corrupción'!B175,'Controles de Corrupción'!#REF!,0),33),"")</f>
        <v/>
      </c>
      <c r="J175" s="865" t="str">
        <f>IFERROR(INDEX('Controles de Corrupción'!$C$10:$AY$251,MATCH('Mapa Riesgo Corrupción'!B175,'Controles de Corrupción'!#REF!,0),36),"")</f>
        <v/>
      </c>
      <c r="K175" s="865" t="str">
        <f>IFERROR(INDEX('Controles de Corrupción'!$C$10:$AY$251,MATCH('Mapa Riesgo Corrupción'!B175,'Controles de Corrupción'!#REF!,0),37),"")</f>
        <v/>
      </c>
      <c r="L175" s="865" t="str">
        <f>IFERROR(INDEX('Controles de Corrupción'!$C$10:$AY$251,MATCH('Mapa Riesgo Corrupción'!B175,'Controles de Corrupción'!#REF!,0),38),"")</f>
        <v/>
      </c>
      <c r="M175" s="185" t="str">
        <f>IFERROR(INDEX('Controles de Corrupción'!$C$10:$AY$249,MATCH(A175,'Controles de Corrupción'!$B$10:$B$249,0),4),"")</f>
        <v/>
      </c>
      <c r="N175" s="70" t="str">
        <f>IFERROR(INDEX('Controles de Corrupción'!$C$10:$AY$249,MATCH(A175,'Controles de Corrupción'!$B$10:$B$249,0),40),"")</f>
        <v/>
      </c>
      <c r="O175" s="70" t="str">
        <f>IFERROR(INDEX('Controles de Corrupción'!$C$10:$AY$251,MATCH(A175,'Controles de Corrupción'!$B$10:$B$251,0),41),"")</f>
        <v/>
      </c>
      <c r="P175" s="70" t="str">
        <f>IFERROR(INDEX('Controles de Corrupción'!$C$10:$AY$251,MATCH(A175,'Controles de Corrupción'!$B$10:$B$251,0),42),"")</f>
        <v/>
      </c>
      <c r="Q175" s="186" t="str">
        <f>IFERROR(INDEX('Controles de Corrupción'!$C$10:$AY$251,MATCH(A175,'Controles de Corrupción'!$B$10:$B$251,0),47),"")</f>
        <v/>
      </c>
    </row>
    <row r="176" spans="1:17" x14ac:dyDescent="0.25">
      <c r="A176" s="115" t="s">
        <v>408</v>
      </c>
      <c r="B176" s="1014"/>
      <c r="C176" s="1017"/>
      <c r="D176" s="861"/>
      <c r="E176" s="1019"/>
      <c r="F176" s="865"/>
      <c r="G176" s="865"/>
      <c r="H176" s="867"/>
      <c r="I176" s="865"/>
      <c r="J176" s="865"/>
      <c r="K176" s="865"/>
      <c r="L176" s="865"/>
      <c r="M176" s="185" t="str">
        <f>IFERROR(INDEX('Controles de Corrupción'!$C$10:$AY$249,MATCH(A176,'Controles de Corrupción'!$B$10:$B$249,0),4),"")</f>
        <v/>
      </c>
      <c r="N176" s="70" t="str">
        <f>IFERROR(INDEX('Controles de Corrupción'!$C$10:$AY$249,MATCH(A176,'Controles de Corrupción'!$B$10:$B$249,0),40),"")</f>
        <v/>
      </c>
      <c r="O176" s="70" t="str">
        <f>IFERROR(INDEX('Controles de Corrupción'!$C$10:$AY$251,MATCH(A176,'Controles de Corrupción'!$B$10:$B$251,0),41),"")</f>
        <v/>
      </c>
      <c r="P176" s="70" t="str">
        <f>IFERROR(INDEX('Controles de Corrupción'!$C$10:$AY$251,MATCH(A176,'Controles de Corrupción'!$B$10:$B$251,0),42),"")</f>
        <v/>
      </c>
      <c r="Q176" s="186" t="str">
        <f>IFERROR(INDEX('Controles de Corrupción'!$C$10:$AY$251,MATCH(A176,'Controles de Corrupción'!$B$10:$B$251,0),47),"")</f>
        <v/>
      </c>
    </row>
    <row r="177" spans="1:17" x14ac:dyDescent="0.25">
      <c r="A177" s="115" t="s">
        <v>409</v>
      </c>
      <c r="B177" s="1014"/>
      <c r="C177" s="1017"/>
      <c r="D177" s="861"/>
      <c r="E177" s="1019"/>
      <c r="F177" s="865"/>
      <c r="G177" s="865"/>
      <c r="H177" s="867"/>
      <c r="I177" s="865"/>
      <c r="J177" s="865"/>
      <c r="K177" s="865"/>
      <c r="L177" s="865"/>
      <c r="M177" s="185" t="str">
        <f>IFERROR(INDEX('Controles de Corrupción'!$C$10:$AY$249,MATCH(A177,'Controles de Corrupción'!$B$10:$B$249,0),4),"")</f>
        <v/>
      </c>
      <c r="N177" s="70" t="str">
        <f>IFERROR(INDEX('Controles de Corrupción'!$C$10:$AY$249,MATCH(A177,'Controles de Corrupción'!$B$10:$B$249,0),40),"")</f>
        <v/>
      </c>
      <c r="O177" s="70" t="str">
        <f>IFERROR(INDEX('Controles de Corrupción'!$C$10:$AY$251,MATCH(A177,'Controles de Corrupción'!$B$10:$B$251,0),41),"")</f>
        <v/>
      </c>
      <c r="P177" s="70" t="str">
        <f>IFERROR(INDEX('Controles de Corrupción'!$C$10:$AY$251,MATCH(A177,'Controles de Corrupción'!$B$10:$B$251,0),42),"")</f>
        <v/>
      </c>
      <c r="Q177" s="186" t="str">
        <f>IFERROR(INDEX('Controles de Corrupción'!$C$10:$AY$251,MATCH(A177,'Controles de Corrupción'!$B$10:$B$251,0),47),"")</f>
        <v/>
      </c>
    </row>
    <row r="178" spans="1:17" x14ac:dyDescent="0.25">
      <c r="A178" s="115" t="s">
        <v>410</v>
      </c>
      <c r="B178" s="1014"/>
      <c r="C178" s="1017"/>
      <c r="D178" s="861"/>
      <c r="E178" s="1019"/>
      <c r="F178" s="865"/>
      <c r="G178" s="865"/>
      <c r="H178" s="867"/>
      <c r="I178" s="865"/>
      <c r="J178" s="865"/>
      <c r="K178" s="865"/>
      <c r="L178" s="865"/>
      <c r="M178" s="185" t="str">
        <f>IFERROR(INDEX('Controles de Corrupción'!$C$10:$AY$249,MATCH(A178,'Controles de Corrupción'!$B$10:$B$249,0),4),"")</f>
        <v/>
      </c>
      <c r="N178" s="70" t="str">
        <f>IFERROR(INDEX('Controles de Corrupción'!$C$10:$AY$249,MATCH(A178,'Controles de Corrupción'!$B$10:$B$249,0),40),"")</f>
        <v/>
      </c>
      <c r="O178" s="70" t="str">
        <f>IFERROR(INDEX('Controles de Corrupción'!$C$10:$AY$251,MATCH(A178,'Controles de Corrupción'!$B$10:$B$251,0),41),"")</f>
        <v/>
      </c>
      <c r="P178" s="70" t="str">
        <f>IFERROR(INDEX('Controles de Corrupción'!$C$10:$AY$251,MATCH(A178,'Controles de Corrupción'!$B$10:$B$251,0),42),"")</f>
        <v/>
      </c>
      <c r="Q178" s="186" t="str">
        <f>IFERROR(INDEX('Controles de Corrupción'!$C$10:$AY$251,MATCH(A178,'Controles de Corrupción'!$B$10:$B$251,0),47),"")</f>
        <v/>
      </c>
    </row>
    <row r="179" spans="1:17" x14ac:dyDescent="0.25">
      <c r="A179" s="115" t="s">
        <v>411</v>
      </c>
      <c r="B179" s="1014"/>
      <c r="C179" s="1017"/>
      <c r="D179" s="861"/>
      <c r="E179" s="1019"/>
      <c r="F179" s="865"/>
      <c r="G179" s="865"/>
      <c r="H179" s="867"/>
      <c r="I179" s="865"/>
      <c r="J179" s="865"/>
      <c r="K179" s="865"/>
      <c r="L179" s="865"/>
      <c r="M179" s="185" t="str">
        <f>IFERROR(INDEX('Controles de Corrupción'!$C$10:$AY$249,MATCH(A179,'Controles de Corrupción'!$B$10:$B$249,0),4),"")</f>
        <v/>
      </c>
      <c r="N179" s="70" t="str">
        <f>IFERROR(INDEX('Controles de Corrupción'!$C$10:$AY$249,MATCH(A179,'Controles de Corrupción'!$B$10:$B$249,0),40),"")</f>
        <v/>
      </c>
      <c r="O179" s="70" t="str">
        <f>IFERROR(INDEX('Controles de Corrupción'!$C$10:$AY$251,MATCH(A179,'Controles de Corrupción'!$B$10:$B$251,0),41),"")</f>
        <v/>
      </c>
      <c r="P179" s="70" t="str">
        <f>IFERROR(INDEX('Controles de Corrupción'!$C$10:$AY$251,MATCH(A179,'Controles de Corrupción'!$B$10:$B$251,0),42),"")</f>
        <v/>
      </c>
      <c r="Q179" s="186" t="str">
        <f>IFERROR(INDEX('Controles de Corrupción'!$C$10:$AY$251,MATCH(A179,'Controles de Corrupción'!$B$10:$B$251,0),47),"")</f>
        <v/>
      </c>
    </row>
    <row r="180" spans="1:17" x14ac:dyDescent="0.25">
      <c r="A180" s="115" t="s">
        <v>412</v>
      </c>
      <c r="B180" s="1015"/>
      <c r="C180" s="1017"/>
      <c r="D180" s="861"/>
      <c r="E180" s="1019"/>
      <c r="F180" s="865"/>
      <c r="G180" s="865"/>
      <c r="H180" s="867"/>
      <c r="I180" s="865"/>
      <c r="J180" s="865"/>
      <c r="K180" s="865"/>
      <c r="L180" s="865"/>
      <c r="M180" s="185" t="str">
        <f>IFERROR(INDEX('Controles de Corrupción'!$C$10:$AY$249,MATCH(A180,'Controles de Corrupción'!$B$10:$B$249,0),4),"")</f>
        <v/>
      </c>
      <c r="N180" s="70" t="str">
        <f>IFERROR(INDEX('Controles de Corrupción'!$C$10:$AY$249,MATCH(A180,'Controles de Corrupción'!$B$10:$B$249,0),40),"")</f>
        <v/>
      </c>
      <c r="O180" s="70" t="str">
        <f>IFERROR(INDEX('Controles de Corrupción'!$C$10:$AY$251,MATCH(A180,'Controles de Corrupción'!$B$10:$B$251,0),41),"")</f>
        <v/>
      </c>
      <c r="P180" s="70" t="str">
        <f>IFERROR(INDEX('Controles de Corrupción'!$C$10:$AY$251,MATCH(A180,'Controles de Corrupción'!$B$10:$B$251,0),42),"")</f>
        <v/>
      </c>
      <c r="Q180" s="186" t="str">
        <f>IFERROR(INDEX('Controles de Corrupción'!$C$10:$AY$251,MATCH(A180,'Controles de Corrupción'!$B$10:$B$251,0),47),"")</f>
        <v/>
      </c>
    </row>
    <row r="181" spans="1:17" x14ac:dyDescent="0.25">
      <c r="A181" s="115" t="s">
        <v>413</v>
      </c>
      <c r="B181" s="1013"/>
      <c r="C181" s="1016" t="str">
        <f>IFERROR(INDEX('Riesgos de Corrupción'!$B$11:$BN$100,MATCH('Mapa Riesgo Corrupción'!B181,'Riesgos de Corrupción'!$B$11:$B$100,0),2),"")</f>
        <v/>
      </c>
      <c r="D181" s="860" t="str">
        <f>IFERROR(INDEX('Riesgos de Corrupción'!$B$11:$BN$100,MATCH('Mapa Riesgo Corrupción'!B181,'Riesgos de Corrupción'!$B$11:$B$100,0),4),"")</f>
        <v/>
      </c>
      <c r="E181" s="1018" t="str">
        <f>IFERROR(INDEX('Riesgos de Corrupción'!$B$11:$BN$100,MATCH('Mapa Riesgo Corrupción'!B181,'Riesgos de Corrupción'!$B$11:$B$100,0),5),"")</f>
        <v/>
      </c>
      <c r="F181" s="865" t="str">
        <f>IFERROR(INDEX('Riesgos de Corrupción'!$B$11:$BN$100,MATCH('Mapa Riesgo Corrupción'!B181,'Riesgos de Corrupción'!$B$11:$B$100,0),18),"")</f>
        <v/>
      </c>
      <c r="G181" s="865" t="str">
        <f>IFERROR(INDEX('Riesgos de Corrupción'!$B$11:$BN$100,MATCH('Mapa Riesgo Corrupción'!B181,'Riesgos de Corrupción'!$B$11:$B$100,0),63),"")</f>
        <v/>
      </c>
      <c r="H181" s="867" t="str">
        <f>IFERROR(INDEX('Riesgos de Corrupción'!$B$11:$BN$100,MATCH('Mapa Riesgo Corrupción'!B181,'Riesgos de Corrupción'!$B$11:$B$100,0),64),"")</f>
        <v/>
      </c>
      <c r="I181" s="865" t="str">
        <f>IFERROR(INDEX('Controles de Corrupción'!$C$10:$AY$251,MATCH('Mapa Riesgo Corrupción'!B181,'Controles de Corrupción'!#REF!,0),33),"")</f>
        <v/>
      </c>
      <c r="J181" s="865" t="str">
        <f>IFERROR(INDEX('Controles de Corrupción'!$C$10:$AY$251,MATCH('Mapa Riesgo Corrupción'!B181,'Controles de Corrupción'!#REF!,0),36),"")</f>
        <v/>
      </c>
      <c r="K181" s="865" t="str">
        <f>IFERROR(INDEX('Controles de Corrupción'!$C$10:$AY$251,MATCH('Mapa Riesgo Corrupción'!B181,'Controles de Corrupción'!#REF!,0),37),"")</f>
        <v/>
      </c>
      <c r="L181" s="865" t="str">
        <f>IFERROR(INDEX('Controles de Corrupción'!$C$10:$AY$251,MATCH('Mapa Riesgo Corrupción'!B181,'Controles de Corrupción'!#REF!,0),38),"")</f>
        <v/>
      </c>
      <c r="M181" s="185" t="str">
        <f>IFERROR(INDEX('Controles de Corrupción'!$C$10:$AY$249,MATCH(A181,'Controles de Corrupción'!$B$10:$B$249,0),4),"")</f>
        <v/>
      </c>
      <c r="N181" s="70" t="str">
        <f>IFERROR(INDEX('Controles de Corrupción'!$C$10:$AY$249,MATCH(A181,'Controles de Corrupción'!$B$10:$B$249,0),40),"")</f>
        <v/>
      </c>
      <c r="O181" s="70" t="str">
        <f>IFERROR(INDEX('Controles de Corrupción'!$C$10:$AY$251,MATCH(A181,'Controles de Corrupción'!$B$10:$B$251,0),41),"")</f>
        <v/>
      </c>
      <c r="P181" s="70" t="str">
        <f>IFERROR(INDEX('Controles de Corrupción'!$C$10:$AY$251,MATCH(A181,'Controles de Corrupción'!$B$10:$B$251,0),42),"")</f>
        <v/>
      </c>
      <c r="Q181" s="186" t="str">
        <f>IFERROR(INDEX('Controles de Corrupción'!$C$10:$AY$251,MATCH(A181,'Controles de Corrupción'!$B$10:$B$251,0),47),"")</f>
        <v/>
      </c>
    </row>
    <row r="182" spans="1:17" x14ac:dyDescent="0.25">
      <c r="A182" s="115" t="s">
        <v>414</v>
      </c>
      <c r="B182" s="1014"/>
      <c r="C182" s="1017"/>
      <c r="D182" s="861"/>
      <c r="E182" s="1019"/>
      <c r="F182" s="865"/>
      <c r="G182" s="865"/>
      <c r="H182" s="867"/>
      <c r="I182" s="865"/>
      <c r="J182" s="865"/>
      <c r="K182" s="865"/>
      <c r="L182" s="865"/>
      <c r="M182" s="185" t="str">
        <f>IFERROR(INDEX('Controles de Corrupción'!$C$10:$AY$249,MATCH(A182,'Controles de Corrupción'!$B$10:$B$249,0),4),"")</f>
        <v/>
      </c>
      <c r="N182" s="70" t="str">
        <f>IFERROR(INDEX('Controles de Corrupción'!$C$10:$AY$249,MATCH(A182,'Controles de Corrupción'!$B$10:$B$249,0),40),"")</f>
        <v/>
      </c>
      <c r="O182" s="70" t="str">
        <f>IFERROR(INDEX('Controles de Corrupción'!$C$10:$AY$251,MATCH(A182,'Controles de Corrupción'!$B$10:$B$251,0),41),"")</f>
        <v/>
      </c>
      <c r="P182" s="70" t="str">
        <f>IFERROR(INDEX('Controles de Corrupción'!$C$10:$AY$251,MATCH(A182,'Controles de Corrupción'!$B$10:$B$251,0),42),"")</f>
        <v/>
      </c>
      <c r="Q182" s="186" t="str">
        <f>IFERROR(INDEX('Controles de Corrupción'!$C$10:$AY$251,MATCH(A182,'Controles de Corrupción'!$B$10:$B$251,0),47),"")</f>
        <v/>
      </c>
    </row>
    <row r="183" spans="1:17" x14ac:dyDescent="0.25">
      <c r="A183" s="115" t="s">
        <v>415</v>
      </c>
      <c r="B183" s="1014"/>
      <c r="C183" s="1017"/>
      <c r="D183" s="861"/>
      <c r="E183" s="1019"/>
      <c r="F183" s="865"/>
      <c r="G183" s="865"/>
      <c r="H183" s="867"/>
      <c r="I183" s="865"/>
      <c r="J183" s="865"/>
      <c r="K183" s="865"/>
      <c r="L183" s="865"/>
      <c r="M183" s="185" t="str">
        <f>IFERROR(INDEX('Controles de Corrupción'!$C$10:$AY$249,MATCH(A183,'Controles de Corrupción'!$B$10:$B$249,0),4),"")</f>
        <v/>
      </c>
      <c r="N183" s="70" t="str">
        <f>IFERROR(INDEX('Controles de Corrupción'!$C$10:$AY$249,MATCH(A183,'Controles de Corrupción'!$B$10:$B$249,0),40),"")</f>
        <v/>
      </c>
      <c r="O183" s="70" t="str">
        <f>IFERROR(INDEX('Controles de Corrupción'!$C$10:$AY$251,MATCH(A183,'Controles de Corrupción'!$B$10:$B$251,0),41),"")</f>
        <v/>
      </c>
      <c r="P183" s="70" t="str">
        <f>IFERROR(INDEX('Controles de Corrupción'!$C$10:$AY$251,MATCH(A183,'Controles de Corrupción'!$B$10:$B$251,0),42),"")</f>
        <v/>
      </c>
      <c r="Q183" s="186" t="str">
        <f>IFERROR(INDEX('Controles de Corrupción'!$C$10:$AY$251,MATCH(A183,'Controles de Corrupción'!$B$10:$B$251,0),47),"")</f>
        <v/>
      </c>
    </row>
    <row r="184" spans="1:17" x14ac:dyDescent="0.25">
      <c r="A184" s="115" t="s">
        <v>416</v>
      </c>
      <c r="B184" s="1014"/>
      <c r="C184" s="1017"/>
      <c r="D184" s="861"/>
      <c r="E184" s="1019"/>
      <c r="F184" s="865"/>
      <c r="G184" s="865"/>
      <c r="H184" s="867"/>
      <c r="I184" s="865"/>
      <c r="J184" s="865"/>
      <c r="K184" s="865"/>
      <c r="L184" s="865"/>
      <c r="M184" s="185" t="str">
        <f>IFERROR(INDEX('Controles de Corrupción'!$C$10:$AY$249,MATCH(A184,'Controles de Corrupción'!$B$10:$B$249,0),4),"")</f>
        <v/>
      </c>
      <c r="N184" s="70" t="str">
        <f>IFERROR(INDEX('Controles de Corrupción'!$C$10:$AY$249,MATCH(A184,'Controles de Corrupción'!$B$10:$B$249,0),40),"")</f>
        <v/>
      </c>
      <c r="O184" s="70" t="str">
        <f>IFERROR(INDEX('Controles de Corrupción'!$C$10:$AY$251,MATCH(A184,'Controles de Corrupción'!$B$10:$B$251,0),41),"")</f>
        <v/>
      </c>
      <c r="P184" s="70" t="str">
        <f>IFERROR(INDEX('Controles de Corrupción'!$C$10:$AY$251,MATCH(A184,'Controles de Corrupción'!$B$10:$B$251,0),42),"")</f>
        <v/>
      </c>
      <c r="Q184" s="186" t="str">
        <f>IFERROR(INDEX('Controles de Corrupción'!$C$10:$AY$251,MATCH(A184,'Controles de Corrupción'!$B$10:$B$251,0),47),"")</f>
        <v/>
      </c>
    </row>
    <row r="185" spans="1:17" x14ac:dyDescent="0.25">
      <c r="A185" s="115" t="s">
        <v>417</v>
      </c>
      <c r="B185" s="1014"/>
      <c r="C185" s="1017"/>
      <c r="D185" s="861"/>
      <c r="E185" s="1019"/>
      <c r="F185" s="865"/>
      <c r="G185" s="865"/>
      <c r="H185" s="867"/>
      <c r="I185" s="865"/>
      <c r="J185" s="865"/>
      <c r="K185" s="865"/>
      <c r="L185" s="865"/>
      <c r="M185" s="185" t="str">
        <f>IFERROR(INDEX('Controles de Corrupción'!$C$10:$AY$249,MATCH(A185,'Controles de Corrupción'!$B$10:$B$249,0),4),"")</f>
        <v/>
      </c>
      <c r="N185" s="70" t="str">
        <f>IFERROR(INDEX('Controles de Corrupción'!$C$10:$AY$249,MATCH(A185,'Controles de Corrupción'!$B$10:$B$249,0),40),"")</f>
        <v/>
      </c>
      <c r="O185" s="70" t="str">
        <f>IFERROR(INDEX('Controles de Corrupción'!$C$10:$AY$251,MATCH(A185,'Controles de Corrupción'!$B$10:$B$251,0),41),"")</f>
        <v/>
      </c>
      <c r="P185" s="70" t="str">
        <f>IFERROR(INDEX('Controles de Corrupción'!$C$10:$AY$251,MATCH(A185,'Controles de Corrupción'!$B$10:$B$251,0),42),"")</f>
        <v/>
      </c>
      <c r="Q185" s="186" t="str">
        <f>IFERROR(INDEX('Controles de Corrupción'!$C$10:$AY$251,MATCH(A185,'Controles de Corrupción'!$B$10:$B$251,0),47),"")</f>
        <v/>
      </c>
    </row>
    <row r="186" spans="1:17" x14ac:dyDescent="0.25">
      <c r="A186" s="115" t="s">
        <v>418</v>
      </c>
      <c r="B186" s="1015"/>
      <c r="C186" s="1017"/>
      <c r="D186" s="861"/>
      <c r="E186" s="1019"/>
      <c r="F186" s="865"/>
      <c r="G186" s="865"/>
      <c r="H186" s="867"/>
      <c r="I186" s="865"/>
      <c r="J186" s="865"/>
      <c r="K186" s="865"/>
      <c r="L186" s="865"/>
      <c r="M186" s="185" t="str">
        <f>IFERROR(INDEX('Controles de Corrupción'!$C$10:$AY$249,MATCH(A186,'Controles de Corrupción'!$B$10:$B$249,0),4),"")</f>
        <v/>
      </c>
      <c r="N186" s="70" t="str">
        <f>IFERROR(INDEX('Controles de Corrupción'!$C$10:$AY$249,MATCH(A186,'Controles de Corrupción'!$B$10:$B$249,0),40),"")</f>
        <v/>
      </c>
      <c r="O186" s="70" t="str">
        <f>IFERROR(INDEX('Controles de Corrupción'!$C$10:$AY$251,MATCH(A186,'Controles de Corrupción'!$B$10:$B$251,0),41),"")</f>
        <v/>
      </c>
      <c r="P186" s="70" t="str">
        <f>IFERROR(INDEX('Controles de Corrupción'!$C$10:$AY$251,MATCH(A186,'Controles de Corrupción'!$B$10:$B$251,0),42),"")</f>
        <v/>
      </c>
      <c r="Q186" s="186" t="str">
        <f>IFERROR(INDEX('Controles de Corrupción'!$C$10:$AY$251,MATCH(A186,'Controles de Corrupción'!$B$10:$B$251,0),47),"")</f>
        <v/>
      </c>
    </row>
    <row r="187" spans="1:17" x14ac:dyDescent="0.25">
      <c r="A187" s="115" t="s">
        <v>419</v>
      </c>
      <c r="B187" s="1013"/>
      <c r="C187" s="1016" t="str">
        <f>IFERROR(INDEX('Riesgos de Corrupción'!$B$11:$BN$100,MATCH('Mapa Riesgo Corrupción'!B187,'Riesgos de Corrupción'!$B$11:$B$100,0),2),"")</f>
        <v/>
      </c>
      <c r="D187" s="860" t="str">
        <f>IFERROR(INDEX('Riesgos de Corrupción'!$B$11:$BN$100,MATCH('Mapa Riesgo Corrupción'!B187,'Riesgos de Corrupción'!$B$11:$B$100,0),4),"")</f>
        <v/>
      </c>
      <c r="E187" s="1018" t="str">
        <f>IFERROR(INDEX('Riesgos de Corrupción'!$B$11:$BN$100,MATCH('Mapa Riesgo Corrupción'!B187,'Riesgos de Corrupción'!$B$11:$B$100,0),5),"")</f>
        <v/>
      </c>
      <c r="F187" s="865" t="str">
        <f>IFERROR(INDEX('Riesgos de Corrupción'!$B$11:$BN$100,MATCH('Mapa Riesgo Corrupción'!B187,'Riesgos de Corrupción'!$B$11:$B$100,0),18),"")</f>
        <v/>
      </c>
      <c r="G187" s="865" t="str">
        <f>IFERROR(INDEX('Riesgos de Corrupción'!$B$11:$BN$100,MATCH('Mapa Riesgo Corrupción'!B187,'Riesgos de Corrupción'!$B$11:$B$100,0),63),"")</f>
        <v/>
      </c>
      <c r="H187" s="867" t="str">
        <f>IFERROR(INDEX('Riesgos de Corrupción'!$B$11:$BN$100,MATCH('Mapa Riesgo Corrupción'!B187,'Riesgos de Corrupción'!$B$11:$B$100,0),64),"")</f>
        <v/>
      </c>
      <c r="I187" s="865" t="str">
        <f>IFERROR(INDEX('Controles de Corrupción'!$C$10:$AY$251,MATCH('Mapa Riesgo Corrupción'!B187,'Controles de Corrupción'!#REF!,0),33),"")</f>
        <v/>
      </c>
      <c r="J187" s="865" t="str">
        <f>IFERROR(INDEX('Controles de Corrupción'!$C$10:$AY$251,MATCH('Mapa Riesgo Corrupción'!B187,'Controles de Corrupción'!#REF!,0),36),"")</f>
        <v/>
      </c>
      <c r="K187" s="865" t="str">
        <f>IFERROR(INDEX('Controles de Corrupción'!$C$10:$AY$251,MATCH('Mapa Riesgo Corrupción'!B187,'Controles de Corrupción'!#REF!,0),37),"")</f>
        <v/>
      </c>
      <c r="L187" s="865" t="str">
        <f>IFERROR(INDEX('Controles de Corrupción'!$C$10:$AY$251,MATCH('Mapa Riesgo Corrupción'!B187,'Controles de Corrupción'!#REF!,0),38),"")</f>
        <v/>
      </c>
      <c r="M187" s="185" t="str">
        <f>IFERROR(INDEX('Controles de Corrupción'!$C$10:$AY$249,MATCH(A187,'Controles de Corrupción'!$B$10:$B$249,0),4),"")</f>
        <v/>
      </c>
      <c r="N187" s="70" t="str">
        <f>IFERROR(INDEX('Controles de Corrupción'!$C$10:$AY$249,MATCH(A187,'Controles de Corrupción'!$B$10:$B$249,0),40),"")</f>
        <v/>
      </c>
      <c r="O187" s="70" t="str">
        <f>IFERROR(INDEX('Controles de Corrupción'!$C$10:$AY$251,MATCH(A187,'Controles de Corrupción'!$B$10:$B$251,0),41),"")</f>
        <v/>
      </c>
      <c r="P187" s="70" t="str">
        <f>IFERROR(INDEX('Controles de Corrupción'!$C$10:$AY$251,MATCH(A187,'Controles de Corrupción'!$B$10:$B$251,0),42),"")</f>
        <v/>
      </c>
      <c r="Q187" s="186" t="str">
        <f>IFERROR(INDEX('Controles de Corrupción'!$C$10:$AY$251,MATCH(A187,'Controles de Corrupción'!$B$10:$B$251,0),47),"")</f>
        <v/>
      </c>
    </row>
    <row r="188" spans="1:17" x14ac:dyDescent="0.25">
      <c r="A188" s="115" t="s">
        <v>420</v>
      </c>
      <c r="B188" s="1014"/>
      <c r="C188" s="1017"/>
      <c r="D188" s="861"/>
      <c r="E188" s="1019"/>
      <c r="F188" s="865"/>
      <c r="G188" s="865"/>
      <c r="H188" s="867"/>
      <c r="I188" s="865"/>
      <c r="J188" s="865"/>
      <c r="K188" s="865"/>
      <c r="L188" s="865"/>
      <c r="M188" s="185" t="str">
        <f>IFERROR(INDEX('Controles de Corrupción'!$C$10:$AY$249,MATCH(A188,'Controles de Corrupción'!$B$10:$B$249,0),4),"")</f>
        <v/>
      </c>
      <c r="N188" s="70" t="str">
        <f>IFERROR(INDEX('Controles de Corrupción'!$C$10:$AY$249,MATCH(A188,'Controles de Corrupción'!$B$10:$B$249,0),40),"")</f>
        <v/>
      </c>
      <c r="O188" s="70" t="str">
        <f>IFERROR(INDEX('Controles de Corrupción'!$C$10:$AY$251,MATCH(A188,'Controles de Corrupción'!$B$10:$B$251,0),41),"")</f>
        <v/>
      </c>
      <c r="P188" s="70" t="str">
        <f>IFERROR(INDEX('Controles de Corrupción'!$C$10:$AY$251,MATCH(A188,'Controles de Corrupción'!$B$10:$B$251,0),42),"")</f>
        <v/>
      </c>
      <c r="Q188" s="186" t="str">
        <f>IFERROR(INDEX('Controles de Corrupción'!$C$10:$AY$251,MATCH(A188,'Controles de Corrupción'!$B$10:$B$251,0),47),"")</f>
        <v/>
      </c>
    </row>
    <row r="189" spans="1:17" x14ac:dyDescent="0.25">
      <c r="A189" s="115" t="s">
        <v>421</v>
      </c>
      <c r="B189" s="1014"/>
      <c r="C189" s="1017"/>
      <c r="D189" s="861"/>
      <c r="E189" s="1019"/>
      <c r="F189" s="865"/>
      <c r="G189" s="865"/>
      <c r="H189" s="867"/>
      <c r="I189" s="865"/>
      <c r="J189" s="865"/>
      <c r="K189" s="865"/>
      <c r="L189" s="865"/>
      <c r="M189" s="185" t="str">
        <f>IFERROR(INDEX('Controles de Corrupción'!$C$10:$AY$249,MATCH(A189,'Controles de Corrupción'!$B$10:$B$249,0),4),"")</f>
        <v/>
      </c>
      <c r="N189" s="70" t="str">
        <f>IFERROR(INDEX('Controles de Corrupción'!$C$10:$AY$249,MATCH(A189,'Controles de Corrupción'!$B$10:$B$249,0),40),"")</f>
        <v/>
      </c>
      <c r="O189" s="70" t="str">
        <f>IFERROR(INDEX('Controles de Corrupción'!$C$10:$AY$251,MATCH(A189,'Controles de Corrupción'!$B$10:$B$251,0),41),"")</f>
        <v/>
      </c>
      <c r="P189" s="70" t="str">
        <f>IFERROR(INDEX('Controles de Corrupción'!$C$10:$AY$251,MATCH(A189,'Controles de Corrupción'!$B$10:$B$251,0),42),"")</f>
        <v/>
      </c>
      <c r="Q189" s="186" t="str">
        <f>IFERROR(INDEX('Controles de Corrupción'!$C$10:$AY$251,MATCH(A189,'Controles de Corrupción'!$B$10:$B$251,0),47),"")</f>
        <v/>
      </c>
    </row>
    <row r="190" spans="1:17" x14ac:dyDescent="0.25">
      <c r="A190" s="115" t="s">
        <v>422</v>
      </c>
      <c r="B190" s="1014"/>
      <c r="C190" s="1017"/>
      <c r="D190" s="861"/>
      <c r="E190" s="1019"/>
      <c r="F190" s="865"/>
      <c r="G190" s="865"/>
      <c r="H190" s="867"/>
      <c r="I190" s="865"/>
      <c r="J190" s="865"/>
      <c r="K190" s="865"/>
      <c r="L190" s="865"/>
      <c r="M190" s="185" t="str">
        <f>IFERROR(INDEX('Controles de Corrupción'!$C$10:$AY$249,MATCH(A190,'Controles de Corrupción'!$B$10:$B$249,0),4),"")</f>
        <v/>
      </c>
      <c r="N190" s="70" t="str">
        <f>IFERROR(INDEX('Controles de Corrupción'!$C$10:$AY$249,MATCH(A190,'Controles de Corrupción'!$B$10:$B$249,0),40),"")</f>
        <v/>
      </c>
      <c r="O190" s="70" t="str">
        <f>IFERROR(INDEX('Controles de Corrupción'!$C$10:$AY$251,MATCH(A190,'Controles de Corrupción'!$B$10:$B$251,0),41),"")</f>
        <v/>
      </c>
      <c r="P190" s="70" t="str">
        <f>IFERROR(INDEX('Controles de Corrupción'!$C$10:$AY$251,MATCH(A190,'Controles de Corrupción'!$B$10:$B$251,0),42),"")</f>
        <v/>
      </c>
      <c r="Q190" s="186" t="str">
        <f>IFERROR(INDEX('Controles de Corrupción'!$C$10:$AY$251,MATCH(A190,'Controles de Corrupción'!$B$10:$B$251,0),47),"")</f>
        <v/>
      </c>
    </row>
    <row r="191" spans="1:17" x14ac:dyDescent="0.25">
      <c r="A191" s="115" t="s">
        <v>423</v>
      </c>
      <c r="B191" s="1014"/>
      <c r="C191" s="1017"/>
      <c r="D191" s="861"/>
      <c r="E191" s="1019"/>
      <c r="F191" s="865"/>
      <c r="G191" s="865"/>
      <c r="H191" s="867"/>
      <c r="I191" s="865"/>
      <c r="J191" s="865"/>
      <c r="K191" s="865"/>
      <c r="L191" s="865"/>
      <c r="M191" s="185" t="str">
        <f>IFERROR(INDEX('Controles de Corrupción'!$C$10:$AY$249,MATCH(A191,'Controles de Corrupción'!$B$10:$B$249,0),4),"")</f>
        <v/>
      </c>
      <c r="N191" s="70" t="str">
        <f>IFERROR(INDEX('Controles de Corrupción'!$C$10:$AY$249,MATCH(A191,'Controles de Corrupción'!$B$10:$B$249,0),40),"")</f>
        <v/>
      </c>
      <c r="O191" s="70" t="str">
        <f>IFERROR(INDEX('Controles de Corrupción'!$C$10:$AY$251,MATCH(A191,'Controles de Corrupción'!$B$10:$B$251,0),41),"")</f>
        <v/>
      </c>
      <c r="P191" s="70" t="str">
        <f>IFERROR(INDEX('Controles de Corrupción'!$C$10:$AY$251,MATCH(A191,'Controles de Corrupción'!$B$10:$B$251,0),42),"")</f>
        <v/>
      </c>
      <c r="Q191" s="186" t="str">
        <f>IFERROR(INDEX('Controles de Corrupción'!$C$10:$AY$251,MATCH(A191,'Controles de Corrupción'!$B$10:$B$251,0),47),"")</f>
        <v/>
      </c>
    </row>
    <row r="192" spans="1:17" x14ac:dyDescent="0.25">
      <c r="A192" s="115" t="s">
        <v>424</v>
      </c>
      <c r="B192" s="1015"/>
      <c r="C192" s="1017"/>
      <c r="D192" s="861"/>
      <c r="E192" s="1019"/>
      <c r="F192" s="865"/>
      <c r="G192" s="865"/>
      <c r="H192" s="867"/>
      <c r="I192" s="865"/>
      <c r="J192" s="865"/>
      <c r="K192" s="865"/>
      <c r="L192" s="865"/>
      <c r="M192" s="185" t="str">
        <f>IFERROR(INDEX('Controles de Corrupción'!$C$10:$AY$249,MATCH(A192,'Controles de Corrupción'!$B$10:$B$249,0),4),"")</f>
        <v/>
      </c>
      <c r="N192" s="70" t="str">
        <f>IFERROR(INDEX('Controles de Corrupción'!$C$10:$AY$249,MATCH(A192,'Controles de Corrupción'!$B$10:$B$249,0),40),"")</f>
        <v/>
      </c>
      <c r="O192" s="70" t="str">
        <f>IFERROR(INDEX('Controles de Corrupción'!$C$10:$AY$251,MATCH(A192,'Controles de Corrupción'!$B$10:$B$251,0),41),"")</f>
        <v/>
      </c>
      <c r="P192" s="70" t="str">
        <f>IFERROR(INDEX('Controles de Corrupción'!$C$10:$AY$251,MATCH(A192,'Controles de Corrupción'!$B$10:$B$251,0),42),"")</f>
        <v/>
      </c>
      <c r="Q192" s="186" t="str">
        <f>IFERROR(INDEX('Controles de Corrupción'!$C$10:$AY$251,MATCH(A192,'Controles de Corrupción'!$B$10:$B$251,0),47),"")</f>
        <v/>
      </c>
    </row>
    <row r="193" spans="1:17" x14ac:dyDescent="0.25">
      <c r="A193" s="115" t="s">
        <v>425</v>
      </c>
      <c r="B193" s="1013"/>
      <c r="C193" s="1016" t="str">
        <f>IFERROR(INDEX('Riesgos de Corrupción'!$B$11:$BN$100,MATCH('Mapa Riesgo Corrupción'!B193,'Riesgos de Corrupción'!$B$11:$B$100,0),2),"")</f>
        <v/>
      </c>
      <c r="D193" s="860" t="str">
        <f>IFERROR(INDEX('Riesgos de Corrupción'!$B$11:$BN$100,MATCH('Mapa Riesgo Corrupción'!B193,'Riesgos de Corrupción'!$B$11:$B$100,0),4),"")</f>
        <v/>
      </c>
      <c r="E193" s="1018" t="str">
        <f>IFERROR(INDEX('Riesgos de Corrupción'!$B$11:$BN$100,MATCH('Mapa Riesgo Corrupción'!B193,'Riesgos de Corrupción'!$B$11:$B$100,0),5),"")</f>
        <v/>
      </c>
      <c r="F193" s="865" t="str">
        <f>IFERROR(INDEX('Riesgos de Corrupción'!$B$11:$BN$100,MATCH('Mapa Riesgo Corrupción'!B193,'Riesgos de Corrupción'!$B$11:$B$100,0),18),"")</f>
        <v/>
      </c>
      <c r="G193" s="865" t="str">
        <f>IFERROR(INDEX('Riesgos de Corrupción'!$B$11:$BN$100,MATCH('Mapa Riesgo Corrupción'!B193,'Riesgos de Corrupción'!$B$11:$B$100,0),63),"")</f>
        <v/>
      </c>
      <c r="H193" s="867" t="str">
        <f>IFERROR(INDEX('Riesgos de Corrupción'!$B$11:$BN$100,MATCH('Mapa Riesgo Corrupción'!B193,'Riesgos de Corrupción'!$B$11:$B$100,0),64),"")</f>
        <v/>
      </c>
      <c r="I193" s="865" t="str">
        <f>IFERROR(INDEX('Controles de Corrupción'!$C$10:$AY$251,MATCH('Mapa Riesgo Corrupción'!B193,'Controles de Corrupción'!#REF!,0),33),"")</f>
        <v/>
      </c>
      <c r="J193" s="865" t="str">
        <f>IFERROR(INDEX('Controles de Corrupción'!$C$10:$AY$251,MATCH('Mapa Riesgo Corrupción'!B193,'Controles de Corrupción'!#REF!,0),36),"")</f>
        <v/>
      </c>
      <c r="K193" s="865" t="str">
        <f>IFERROR(INDEX('Controles de Corrupción'!$C$10:$AY$251,MATCH('Mapa Riesgo Corrupción'!B193,'Controles de Corrupción'!#REF!,0),37),"")</f>
        <v/>
      </c>
      <c r="L193" s="865" t="str">
        <f>IFERROR(INDEX('Controles de Corrupción'!$C$10:$AY$251,MATCH('Mapa Riesgo Corrupción'!B193,'Controles de Corrupción'!#REF!,0),38),"")</f>
        <v/>
      </c>
      <c r="M193" s="185" t="str">
        <f>IFERROR(INDEX('Controles de Corrupción'!$C$10:$AY$249,MATCH(A193,'Controles de Corrupción'!$B$10:$B$249,0),4),"")</f>
        <v/>
      </c>
      <c r="N193" s="70" t="str">
        <f>IFERROR(INDEX('Controles de Corrupción'!$C$10:$AY$249,MATCH(A193,'Controles de Corrupción'!$B$10:$B$249,0),40),"")</f>
        <v/>
      </c>
      <c r="O193" s="70" t="str">
        <f>IFERROR(INDEX('Controles de Corrupción'!$C$10:$AY$251,MATCH(A193,'Controles de Corrupción'!$B$10:$B$251,0),41),"")</f>
        <v/>
      </c>
      <c r="P193" s="70" t="str">
        <f>IFERROR(INDEX('Controles de Corrupción'!$C$10:$AY$251,MATCH(A193,'Controles de Corrupción'!$B$10:$B$251,0),42),"")</f>
        <v/>
      </c>
      <c r="Q193" s="186" t="str">
        <f>IFERROR(INDEX('Controles de Corrupción'!$C$10:$AY$251,MATCH(A193,'Controles de Corrupción'!$B$10:$B$251,0),47),"")</f>
        <v/>
      </c>
    </row>
    <row r="194" spans="1:17" x14ac:dyDescent="0.25">
      <c r="A194" s="115" t="s">
        <v>426</v>
      </c>
      <c r="B194" s="1014"/>
      <c r="C194" s="1017"/>
      <c r="D194" s="861"/>
      <c r="E194" s="1019"/>
      <c r="F194" s="865"/>
      <c r="G194" s="865"/>
      <c r="H194" s="867"/>
      <c r="I194" s="865"/>
      <c r="J194" s="865"/>
      <c r="K194" s="865"/>
      <c r="L194" s="865"/>
      <c r="M194" s="185" t="str">
        <f>IFERROR(INDEX('Controles de Corrupción'!$C$10:$AY$249,MATCH(A194,'Controles de Corrupción'!$B$10:$B$249,0),4),"")</f>
        <v/>
      </c>
      <c r="N194" s="70" t="str">
        <f>IFERROR(INDEX('Controles de Corrupción'!$C$10:$AY$249,MATCH(A194,'Controles de Corrupción'!$B$10:$B$249,0),40),"")</f>
        <v/>
      </c>
      <c r="O194" s="70" t="str">
        <f>IFERROR(INDEX('Controles de Corrupción'!$C$10:$AY$251,MATCH(A194,'Controles de Corrupción'!$B$10:$B$251,0),41),"")</f>
        <v/>
      </c>
      <c r="P194" s="70" t="str">
        <f>IFERROR(INDEX('Controles de Corrupción'!$C$10:$AY$251,MATCH(A194,'Controles de Corrupción'!$B$10:$B$251,0),42),"")</f>
        <v/>
      </c>
      <c r="Q194" s="186" t="str">
        <f>IFERROR(INDEX('Controles de Corrupción'!$C$10:$AY$251,MATCH(A194,'Controles de Corrupción'!$B$10:$B$251,0),47),"")</f>
        <v/>
      </c>
    </row>
    <row r="195" spans="1:17" x14ac:dyDescent="0.25">
      <c r="A195" s="115" t="s">
        <v>427</v>
      </c>
      <c r="B195" s="1014"/>
      <c r="C195" s="1017"/>
      <c r="D195" s="861"/>
      <c r="E195" s="1019"/>
      <c r="F195" s="865"/>
      <c r="G195" s="865"/>
      <c r="H195" s="867"/>
      <c r="I195" s="865"/>
      <c r="J195" s="865"/>
      <c r="K195" s="865"/>
      <c r="L195" s="865"/>
      <c r="M195" s="185" t="str">
        <f>IFERROR(INDEX('Controles de Corrupción'!$C$10:$AY$249,MATCH(A195,'Controles de Corrupción'!$B$10:$B$249,0),4),"")</f>
        <v/>
      </c>
      <c r="N195" s="70" t="str">
        <f>IFERROR(INDEX('Controles de Corrupción'!$C$10:$AY$249,MATCH(A195,'Controles de Corrupción'!$B$10:$B$249,0),40),"")</f>
        <v/>
      </c>
      <c r="O195" s="70" t="str">
        <f>IFERROR(INDEX('Controles de Corrupción'!$C$10:$AY$251,MATCH(A195,'Controles de Corrupción'!$B$10:$B$251,0),41),"")</f>
        <v/>
      </c>
      <c r="P195" s="70" t="str">
        <f>IFERROR(INDEX('Controles de Corrupción'!$C$10:$AY$251,MATCH(A195,'Controles de Corrupción'!$B$10:$B$251,0),42),"")</f>
        <v/>
      </c>
      <c r="Q195" s="186" t="str">
        <f>IFERROR(INDEX('Controles de Corrupción'!$C$10:$AY$251,MATCH(A195,'Controles de Corrupción'!$B$10:$B$251,0),47),"")</f>
        <v/>
      </c>
    </row>
    <row r="196" spans="1:17" x14ac:dyDescent="0.25">
      <c r="A196" s="115" t="s">
        <v>428</v>
      </c>
      <c r="B196" s="1014"/>
      <c r="C196" s="1017"/>
      <c r="D196" s="861"/>
      <c r="E196" s="1019"/>
      <c r="F196" s="865"/>
      <c r="G196" s="865"/>
      <c r="H196" s="867"/>
      <c r="I196" s="865"/>
      <c r="J196" s="865"/>
      <c r="K196" s="865"/>
      <c r="L196" s="865"/>
      <c r="M196" s="185" t="str">
        <f>IFERROR(INDEX('Controles de Corrupción'!$C$10:$AY$249,MATCH(A196,'Controles de Corrupción'!$B$10:$B$249,0),4),"")</f>
        <v/>
      </c>
      <c r="N196" s="70" t="str">
        <f>IFERROR(INDEX('Controles de Corrupción'!$C$10:$AY$249,MATCH(A196,'Controles de Corrupción'!$B$10:$B$249,0),40),"")</f>
        <v/>
      </c>
      <c r="O196" s="70" t="str">
        <f>IFERROR(INDEX('Controles de Corrupción'!$C$10:$AY$251,MATCH(A196,'Controles de Corrupción'!$B$10:$B$251,0),41),"")</f>
        <v/>
      </c>
      <c r="P196" s="70" t="str">
        <f>IFERROR(INDEX('Controles de Corrupción'!$C$10:$AY$251,MATCH(A196,'Controles de Corrupción'!$B$10:$B$251,0),42),"")</f>
        <v/>
      </c>
      <c r="Q196" s="186" t="str">
        <f>IFERROR(INDEX('Controles de Corrupción'!$C$10:$AY$251,MATCH(A196,'Controles de Corrupción'!$B$10:$B$251,0),47),"")</f>
        <v/>
      </c>
    </row>
    <row r="197" spans="1:17" x14ac:dyDescent="0.25">
      <c r="A197" s="115" t="s">
        <v>429</v>
      </c>
      <c r="B197" s="1014"/>
      <c r="C197" s="1017"/>
      <c r="D197" s="861"/>
      <c r="E197" s="1019"/>
      <c r="F197" s="865"/>
      <c r="G197" s="865"/>
      <c r="H197" s="867"/>
      <c r="I197" s="865"/>
      <c r="J197" s="865"/>
      <c r="K197" s="865"/>
      <c r="L197" s="865"/>
      <c r="M197" s="185" t="str">
        <f>IFERROR(INDEX('Controles de Corrupción'!$C$10:$AY$249,MATCH(A197,'Controles de Corrupción'!$B$10:$B$249,0),4),"")</f>
        <v/>
      </c>
      <c r="N197" s="70" t="str">
        <f>IFERROR(INDEX('Controles de Corrupción'!$C$10:$AY$249,MATCH(A197,'Controles de Corrupción'!$B$10:$B$249,0),40),"")</f>
        <v/>
      </c>
      <c r="O197" s="70" t="str">
        <f>IFERROR(INDEX('Controles de Corrupción'!$C$10:$AY$251,MATCH(A197,'Controles de Corrupción'!$B$10:$B$251,0),41),"")</f>
        <v/>
      </c>
      <c r="P197" s="70" t="str">
        <f>IFERROR(INDEX('Controles de Corrupción'!$C$10:$AY$251,MATCH(A197,'Controles de Corrupción'!$B$10:$B$251,0),42),"")</f>
        <v/>
      </c>
      <c r="Q197" s="186" t="str">
        <f>IFERROR(INDEX('Controles de Corrupción'!$C$10:$AY$251,MATCH(A197,'Controles de Corrupción'!$B$10:$B$251,0),47),"")</f>
        <v/>
      </c>
    </row>
    <row r="198" spans="1:17" x14ac:dyDescent="0.25">
      <c r="A198" s="115" t="s">
        <v>430</v>
      </c>
      <c r="B198" s="1015"/>
      <c r="C198" s="1017"/>
      <c r="D198" s="861"/>
      <c r="E198" s="1019"/>
      <c r="F198" s="865"/>
      <c r="G198" s="865"/>
      <c r="H198" s="867"/>
      <c r="I198" s="865"/>
      <c r="J198" s="865"/>
      <c r="K198" s="865"/>
      <c r="L198" s="865"/>
      <c r="M198" s="185" t="str">
        <f>IFERROR(INDEX('Controles de Corrupción'!$C$10:$AY$249,MATCH(A198,'Controles de Corrupción'!$B$10:$B$249,0),4),"")</f>
        <v/>
      </c>
      <c r="N198" s="70" t="str">
        <f>IFERROR(INDEX('Controles de Corrupción'!$C$10:$AY$249,MATCH(A198,'Controles de Corrupción'!$B$10:$B$249,0),40),"")</f>
        <v/>
      </c>
      <c r="O198" s="70" t="str">
        <f>IFERROR(INDEX('Controles de Corrupción'!$C$10:$AY$251,MATCH(A198,'Controles de Corrupción'!$B$10:$B$251,0),41),"")</f>
        <v/>
      </c>
      <c r="P198" s="70" t="str">
        <f>IFERROR(INDEX('Controles de Corrupción'!$C$10:$AY$251,MATCH(A198,'Controles de Corrupción'!$B$10:$B$251,0),42),"")</f>
        <v/>
      </c>
      <c r="Q198" s="186" t="str">
        <f>IFERROR(INDEX('Controles de Corrupción'!$C$10:$AY$251,MATCH(A198,'Controles de Corrupción'!$B$10:$B$251,0),47),"")</f>
        <v/>
      </c>
    </row>
    <row r="199" spans="1:17" x14ac:dyDescent="0.25">
      <c r="A199" s="115" t="s">
        <v>431</v>
      </c>
      <c r="B199" s="1013"/>
      <c r="C199" s="1016" t="str">
        <f>IFERROR(INDEX('Riesgos de Corrupción'!$B$11:$BN$100,MATCH('Mapa Riesgo Corrupción'!B199,'Riesgos de Corrupción'!$B$11:$B$100,0),2),"")</f>
        <v/>
      </c>
      <c r="D199" s="860" t="str">
        <f>IFERROR(INDEX('Riesgos de Corrupción'!$B$11:$BN$100,MATCH('Mapa Riesgo Corrupción'!B199,'Riesgos de Corrupción'!$B$11:$B$100,0),4),"")</f>
        <v/>
      </c>
      <c r="E199" s="1018" t="str">
        <f>IFERROR(INDEX('Riesgos de Corrupción'!$B$11:$BN$100,MATCH('Mapa Riesgo Corrupción'!B199,'Riesgos de Corrupción'!$B$11:$B$100,0),5),"")</f>
        <v/>
      </c>
      <c r="F199" s="865" t="str">
        <f>IFERROR(INDEX('Riesgos de Corrupción'!$B$11:$BN$100,MATCH('Mapa Riesgo Corrupción'!B199,'Riesgos de Corrupción'!$B$11:$B$100,0),18),"")</f>
        <v/>
      </c>
      <c r="G199" s="865" t="str">
        <f>IFERROR(INDEX('Riesgos de Corrupción'!$B$11:$BN$100,MATCH('Mapa Riesgo Corrupción'!B199,'Riesgos de Corrupción'!$B$11:$B$100,0),63),"")</f>
        <v/>
      </c>
      <c r="H199" s="867" t="str">
        <f>IFERROR(INDEX('Riesgos de Corrupción'!$B$11:$BN$100,MATCH('Mapa Riesgo Corrupción'!B199,'Riesgos de Corrupción'!$B$11:$B$100,0),64),"")</f>
        <v/>
      </c>
      <c r="I199" s="865" t="str">
        <f>IFERROR(INDEX('Controles de Corrupción'!$C$10:$AY$251,MATCH('Mapa Riesgo Corrupción'!B199,'Controles de Corrupción'!#REF!,0),33),"")</f>
        <v/>
      </c>
      <c r="J199" s="865" t="str">
        <f>IFERROR(INDEX('Controles de Corrupción'!$C$10:$AY$251,MATCH('Mapa Riesgo Corrupción'!B199,'Controles de Corrupción'!#REF!,0),36),"")</f>
        <v/>
      </c>
      <c r="K199" s="865" t="str">
        <f>IFERROR(INDEX('Controles de Corrupción'!$C$10:$AY$251,MATCH('Mapa Riesgo Corrupción'!B199,'Controles de Corrupción'!#REF!,0),37),"")</f>
        <v/>
      </c>
      <c r="L199" s="865" t="str">
        <f>IFERROR(INDEX('Controles de Corrupción'!$C$10:$AY$251,MATCH('Mapa Riesgo Corrupción'!B199,'Controles de Corrupción'!#REF!,0),38),"")</f>
        <v/>
      </c>
      <c r="M199" s="185" t="str">
        <f>IFERROR(INDEX('Controles de Corrupción'!$C$10:$AY$249,MATCH(A199,'Controles de Corrupción'!$B$10:$B$249,0),4),"")</f>
        <v/>
      </c>
      <c r="N199" s="70" t="str">
        <f>IFERROR(INDEX('Controles de Corrupción'!$C$10:$AY$249,MATCH(A199,'Controles de Corrupción'!$B$10:$B$249,0),40),"")</f>
        <v/>
      </c>
      <c r="O199" s="70" t="str">
        <f>IFERROR(INDEX('Controles de Corrupción'!$C$10:$AY$251,MATCH(A199,'Controles de Corrupción'!$B$10:$B$251,0),41),"")</f>
        <v/>
      </c>
      <c r="P199" s="70" t="str">
        <f>IFERROR(INDEX('Controles de Corrupción'!$C$10:$AY$251,MATCH(A199,'Controles de Corrupción'!$B$10:$B$251,0),42),"")</f>
        <v/>
      </c>
      <c r="Q199" s="186" t="str">
        <f>IFERROR(INDEX('Controles de Corrupción'!$C$10:$AY$251,MATCH(A199,'Controles de Corrupción'!$B$10:$B$251,0),47),"")</f>
        <v/>
      </c>
    </row>
    <row r="200" spans="1:17" x14ac:dyDescent="0.25">
      <c r="A200" s="115" t="s">
        <v>432</v>
      </c>
      <c r="B200" s="1014"/>
      <c r="C200" s="1017"/>
      <c r="D200" s="861"/>
      <c r="E200" s="1019"/>
      <c r="F200" s="865"/>
      <c r="G200" s="865"/>
      <c r="H200" s="867"/>
      <c r="I200" s="865"/>
      <c r="J200" s="865"/>
      <c r="K200" s="865"/>
      <c r="L200" s="865"/>
      <c r="M200" s="185" t="str">
        <f>IFERROR(INDEX('Controles de Corrupción'!$C$10:$AY$249,MATCH(A200,'Controles de Corrupción'!$B$10:$B$249,0),4),"")</f>
        <v/>
      </c>
      <c r="N200" s="70" t="str">
        <f>IFERROR(INDEX('Controles de Corrupción'!$C$10:$AY$249,MATCH(A200,'Controles de Corrupción'!$B$10:$B$249,0),40),"")</f>
        <v/>
      </c>
      <c r="O200" s="70" t="str">
        <f>IFERROR(INDEX('Controles de Corrupción'!$C$10:$AY$251,MATCH(A200,'Controles de Corrupción'!$B$10:$B$251,0),41),"")</f>
        <v/>
      </c>
      <c r="P200" s="70" t="str">
        <f>IFERROR(INDEX('Controles de Corrupción'!$C$10:$AY$251,MATCH(A200,'Controles de Corrupción'!$B$10:$B$251,0),42),"")</f>
        <v/>
      </c>
      <c r="Q200" s="186" t="str">
        <f>IFERROR(INDEX('Controles de Corrupción'!$C$10:$AY$251,MATCH(A200,'Controles de Corrupción'!$B$10:$B$251,0),47),"")</f>
        <v/>
      </c>
    </row>
    <row r="201" spans="1:17" x14ac:dyDescent="0.25">
      <c r="A201" s="115" t="s">
        <v>433</v>
      </c>
      <c r="B201" s="1014"/>
      <c r="C201" s="1017"/>
      <c r="D201" s="861"/>
      <c r="E201" s="1019"/>
      <c r="F201" s="865"/>
      <c r="G201" s="865"/>
      <c r="H201" s="867"/>
      <c r="I201" s="865"/>
      <c r="J201" s="865"/>
      <c r="K201" s="865"/>
      <c r="L201" s="865"/>
      <c r="M201" s="185" t="str">
        <f>IFERROR(INDEX('Controles de Corrupción'!$C$10:$AY$249,MATCH(A201,'Controles de Corrupción'!$B$10:$B$249,0),4),"")</f>
        <v/>
      </c>
      <c r="N201" s="70" t="str">
        <f>IFERROR(INDEX('Controles de Corrupción'!$C$10:$AY$249,MATCH(A201,'Controles de Corrupción'!$B$10:$B$249,0),40),"")</f>
        <v/>
      </c>
      <c r="O201" s="70" t="str">
        <f>IFERROR(INDEX('Controles de Corrupción'!$C$10:$AY$251,MATCH(A201,'Controles de Corrupción'!$B$10:$B$251,0),41),"")</f>
        <v/>
      </c>
      <c r="P201" s="70" t="str">
        <f>IFERROR(INDEX('Controles de Corrupción'!$C$10:$AY$251,MATCH(A201,'Controles de Corrupción'!$B$10:$B$251,0),42),"")</f>
        <v/>
      </c>
      <c r="Q201" s="186" t="str">
        <f>IFERROR(INDEX('Controles de Corrupción'!$C$10:$AY$251,MATCH(A201,'Controles de Corrupción'!$B$10:$B$251,0),47),"")</f>
        <v/>
      </c>
    </row>
    <row r="202" spans="1:17" x14ac:dyDescent="0.25">
      <c r="A202" s="115" t="s">
        <v>434</v>
      </c>
      <c r="B202" s="1014"/>
      <c r="C202" s="1017"/>
      <c r="D202" s="861"/>
      <c r="E202" s="1019"/>
      <c r="F202" s="865"/>
      <c r="G202" s="865"/>
      <c r="H202" s="867"/>
      <c r="I202" s="865"/>
      <c r="J202" s="865"/>
      <c r="K202" s="865"/>
      <c r="L202" s="865"/>
      <c r="M202" s="185" t="str">
        <f>IFERROR(INDEX('Controles de Corrupción'!$C$10:$AY$249,MATCH(A202,'Controles de Corrupción'!$B$10:$B$249,0),4),"")</f>
        <v/>
      </c>
      <c r="N202" s="70" t="str">
        <f>IFERROR(INDEX('Controles de Corrupción'!$C$10:$AY$249,MATCH(A202,'Controles de Corrupción'!$B$10:$B$249,0),40),"")</f>
        <v/>
      </c>
      <c r="O202" s="70" t="str">
        <f>IFERROR(INDEX('Controles de Corrupción'!$C$10:$AY$251,MATCH(A202,'Controles de Corrupción'!$B$10:$B$251,0),41),"")</f>
        <v/>
      </c>
      <c r="P202" s="70" t="str">
        <f>IFERROR(INDEX('Controles de Corrupción'!$C$10:$AY$251,MATCH(A202,'Controles de Corrupción'!$B$10:$B$251,0),42),"")</f>
        <v/>
      </c>
      <c r="Q202" s="186" t="str">
        <f>IFERROR(INDEX('Controles de Corrupción'!$C$10:$AY$251,MATCH(A202,'Controles de Corrupción'!$B$10:$B$251,0),47),"")</f>
        <v/>
      </c>
    </row>
    <row r="203" spans="1:17" x14ac:dyDescent="0.25">
      <c r="A203" s="115" t="s">
        <v>435</v>
      </c>
      <c r="B203" s="1014"/>
      <c r="C203" s="1017"/>
      <c r="D203" s="861"/>
      <c r="E203" s="1019"/>
      <c r="F203" s="865"/>
      <c r="G203" s="865"/>
      <c r="H203" s="867"/>
      <c r="I203" s="865"/>
      <c r="J203" s="865"/>
      <c r="K203" s="865"/>
      <c r="L203" s="865"/>
      <c r="M203" s="185" t="str">
        <f>IFERROR(INDEX('Controles de Corrupción'!$C$10:$AY$249,MATCH(A203,'Controles de Corrupción'!$B$10:$B$249,0),4),"")</f>
        <v/>
      </c>
      <c r="N203" s="70" t="str">
        <f>IFERROR(INDEX('Controles de Corrupción'!$C$10:$AY$249,MATCH(A203,'Controles de Corrupción'!$B$10:$B$249,0),40),"")</f>
        <v/>
      </c>
      <c r="O203" s="70" t="str">
        <f>IFERROR(INDEX('Controles de Corrupción'!$C$10:$AY$251,MATCH(A203,'Controles de Corrupción'!$B$10:$B$251,0),41),"")</f>
        <v/>
      </c>
      <c r="P203" s="70" t="str">
        <f>IFERROR(INDEX('Controles de Corrupción'!$C$10:$AY$251,MATCH(A203,'Controles de Corrupción'!$B$10:$B$251,0),42),"")</f>
        <v/>
      </c>
      <c r="Q203" s="186" t="str">
        <f>IFERROR(INDEX('Controles de Corrupción'!$C$10:$AY$251,MATCH(A203,'Controles de Corrupción'!$B$10:$B$251,0),47),"")</f>
        <v/>
      </c>
    </row>
    <row r="204" spans="1:17" x14ac:dyDescent="0.25">
      <c r="A204" s="115" t="s">
        <v>436</v>
      </c>
      <c r="B204" s="1015"/>
      <c r="C204" s="1017"/>
      <c r="D204" s="861"/>
      <c r="E204" s="1019"/>
      <c r="F204" s="865"/>
      <c r="G204" s="865"/>
      <c r="H204" s="867"/>
      <c r="I204" s="865"/>
      <c r="J204" s="865"/>
      <c r="K204" s="865"/>
      <c r="L204" s="865"/>
      <c r="M204" s="185" t="str">
        <f>IFERROR(INDEX('Controles de Corrupción'!$C$10:$AY$249,MATCH(A204,'Controles de Corrupción'!$B$10:$B$249,0),4),"")</f>
        <v/>
      </c>
      <c r="N204" s="70" t="str">
        <f>IFERROR(INDEX('Controles de Corrupción'!$C$10:$AY$249,MATCH(A204,'Controles de Corrupción'!$B$10:$B$249,0),40),"")</f>
        <v/>
      </c>
      <c r="O204" s="70" t="str">
        <f>IFERROR(INDEX('Controles de Corrupción'!$C$10:$AY$251,MATCH(A204,'Controles de Corrupción'!$B$10:$B$251,0),41),"")</f>
        <v/>
      </c>
      <c r="P204" s="70" t="str">
        <f>IFERROR(INDEX('Controles de Corrupción'!$C$10:$AY$251,MATCH(A204,'Controles de Corrupción'!$B$10:$B$251,0),42),"")</f>
        <v/>
      </c>
      <c r="Q204" s="186" t="str">
        <f>IFERROR(INDEX('Controles de Corrupción'!$C$10:$AY$251,MATCH(A204,'Controles de Corrupción'!$B$10:$B$251,0),47),"")</f>
        <v/>
      </c>
    </row>
    <row r="205" spans="1:17" x14ac:dyDescent="0.25">
      <c r="A205" s="115" t="s">
        <v>437</v>
      </c>
      <c r="B205" s="1013"/>
      <c r="C205" s="1016" t="str">
        <f>IFERROR(INDEX('Riesgos de Corrupción'!$B$11:$BN$100,MATCH('Mapa Riesgo Corrupción'!B205,'Riesgos de Corrupción'!$B$11:$B$100,0),2),"")</f>
        <v/>
      </c>
      <c r="D205" s="860" t="str">
        <f>IFERROR(INDEX('Riesgos de Corrupción'!$B$11:$BN$100,MATCH('Mapa Riesgo Corrupción'!B205,'Riesgos de Corrupción'!$B$11:$B$100,0),4),"")</f>
        <v/>
      </c>
      <c r="E205" s="1018" t="str">
        <f>IFERROR(INDEX('Riesgos de Corrupción'!$B$11:$BN$100,MATCH('Mapa Riesgo Corrupción'!B205,'Riesgos de Corrupción'!$B$11:$B$100,0),5),"")</f>
        <v/>
      </c>
      <c r="F205" s="865" t="str">
        <f>IFERROR(INDEX('Riesgos de Corrupción'!$B$11:$BN$100,MATCH('Mapa Riesgo Corrupción'!B205,'Riesgos de Corrupción'!$B$11:$B$100,0),18),"")</f>
        <v/>
      </c>
      <c r="G205" s="865" t="str">
        <f>IFERROR(INDEX('Riesgos de Corrupción'!$B$11:$BN$100,MATCH('Mapa Riesgo Corrupción'!B205,'Riesgos de Corrupción'!$B$11:$B$100,0),63),"")</f>
        <v/>
      </c>
      <c r="H205" s="867" t="str">
        <f>IFERROR(INDEX('Riesgos de Corrupción'!$B$11:$BN$100,MATCH('Mapa Riesgo Corrupción'!B205,'Riesgos de Corrupción'!$B$11:$B$100,0),64),"")</f>
        <v/>
      </c>
      <c r="I205" s="865" t="str">
        <f>IFERROR(INDEX('Controles de Corrupción'!$C$10:$AY$251,MATCH('Mapa Riesgo Corrupción'!B205,'Controles de Corrupción'!#REF!,0),33),"")</f>
        <v/>
      </c>
      <c r="J205" s="865" t="str">
        <f>IFERROR(INDEX('Controles de Corrupción'!$C$10:$AY$251,MATCH('Mapa Riesgo Corrupción'!B205,'Controles de Corrupción'!#REF!,0),36),"")</f>
        <v/>
      </c>
      <c r="K205" s="865" t="str">
        <f>IFERROR(INDEX('Controles de Corrupción'!$C$10:$AY$251,MATCH('Mapa Riesgo Corrupción'!B205,'Controles de Corrupción'!#REF!,0),37),"")</f>
        <v/>
      </c>
      <c r="L205" s="865" t="str">
        <f>IFERROR(INDEX('Controles de Corrupción'!$C$10:$AY$251,MATCH('Mapa Riesgo Corrupción'!B205,'Controles de Corrupción'!#REF!,0),38),"")</f>
        <v/>
      </c>
      <c r="M205" s="185" t="str">
        <f>IFERROR(INDEX('Controles de Corrupción'!$C$10:$AY$249,MATCH(A205,'Controles de Corrupción'!$B$10:$B$249,0),4),"")</f>
        <v/>
      </c>
      <c r="N205" s="70" t="str">
        <f>IFERROR(INDEX('Controles de Corrupción'!$C$10:$AY$249,MATCH(A205,'Controles de Corrupción'!$B$10:$B$249,0),40),"")</f>
        <v/>
      </c>
      <c r="O205" s="70" t="str">
        <f>IFERROR(INDEX('Controles de Corrupción'!$C$10:$AY$251,MATCH(A205,'Controles de Corrupción'!$B$10:$B$251,0),41),"")</f>
        <v/>
      </c>
      <c r="P205" s="70" t="str">
        <f>IFERROR(INDEX('Controles de Corrupción'!$C$10:$AY$251,MATCH(A205,'Controles de Corrupción'!$B$10:$B$251,0),42),"")</f>
        <v/>
      </c>
      <c r="Q205" s="186" t="str">
        <f>IFERROR(INDEX('Controles de Corrupción'!$C$10:$AY$251,MATCH(A205,'Controles de Corrupción'!$B$10:$B$251,0),47),"")</f>
        <v/>
      </c>
    </row>
    <row r="206" spans="1:17" x14ac:dyDescent="0.25">
      <c r="A206" s="115" t="s">
        <v>438</v>
      </c>
      <c r="B206" s="1014"/>
      <c r="C206" s="1017"/>
      <c r="D206" s="861"/>
      <c r="E206" s="1019"/>
      <c r="F206" s="865"/>
      <c r="G206" s="865"/>
      <c r="H206" s="867"/>
      <c r="I206" s="865"/>
      <c r="J206" s="865"/>
      <c r="K206" s="865"/>
      <c r="L206" s="865"/>
      <c r="M206" s="185" t="str">
        <f>IFERROR(INDEX('Controles de Corrupción'!$C$10:$AY$249,MATCH(A206,'Controles de Corrupción'!$B$10:$B$249,0),4),"")</f>
        <v/>
      </c>
      <c r="N206" s="70" t="str">
        <f>IFERROR(INDEX('Controles de Corrupción'!$C$10:$AY$249,MATCH(A206,'Controles de Corrupción'!$B$10:$B$249,0),40),"")</f>
        <v/>
      </c>
      <c r="O206" s="70" t="str">
        <f>IFERROR(INDEX('Controles de Corrupción'!$C$10:$AY$251,MATCH(A206,'Controles de Corrupción'!$B$10:$B$251,0),41),"")</f>
        <v/>
      </c>
      <c r="P206" s="70" t="str">
        <f>IFERROR(INDEX('Controles de Corrupción'!$C$10:$AY$251,MATCH(A206,'Controles de Corrupción'!$B$10:$B$251,0),42),"")</f>
        <v/>
      </c>
      <c r="Q206" s="186" t="str">
        <f>IFERROR(INDEX('Controles de Corrupción'!$C$10:$AY$251,MATCH(A206,'Controles de Corrupción'!$B$10:$B$251,0),47),"")</f>
        <v/>
      </c>
    </row>
    <row r="207" spans="1:17" x14ac:dyDescent="0.25">
      <c r="A207" s="115" t="s">
        <v>439</v>
      </c>
      <c r="B207" s="1014"/>
      <c r="C207" s="1017"/>
      <c r="D207" s="861"/>
      <c r="E207" s="1019"/>
      <c r="F207" s="865"/>
      <c r="G207" s="865"/>
      <c r="H207" s="867"/>
      <c r="I207" s="865"/>
      <c r="J207" s="865"/>
      <c r="K207" s="865"/>
      <c r="L207" s="865"/>
      <c r="M207" s="185" t="str">
        <f>IFERROR(INDEX('Controles de Corrupción'!$C$10:$AY$249,MATCH(A207,'Controles de Corrupción'!$B$10:$B$249,0),4),"")</f>
        <v/>
      </c>
      <c r="N207" s="70" t="str">
        <f>IFERROR(INDEX('Controles de Corrupción'!$C$10:$AY$249,MATCH(A207,'Controles de Corrupción'!$B$10:$B$249,0),40),"")</f>
        <v/>
      </c>
      <c r="O207" s="70" t="str">
        <f>IFERROR(INDEX('Controles de Corrupción'!$C$10:$AY$251,MATCH(A207,'Controles de Corrupción'!$B$10:$B$251,0),41),"")</f>
        <v/>
      </c>
      <c r="P207" s="70" t="str">
        <f>IFERROR(INDEX('Controles de Corrupción'!$C$10:$AY$251,MATCH(A207,'Controles de Corrupción'!$B$10:$B$251,0),42),"")</f>
        <v/>
      </c>
      <c r="Q207" s="186" t="str">
        <f>IFERROR(INDEX('Controles de Corrupción'!$C$10:$AY$251,MATCH(A207,'Controles de Corrupción'!$B$10:$B$251,0),47),"")</f>
        <v/>
      </c>
    </row>
    <row r="208" spans="1:17" x14ac:dyDescent="0.25">
      <c r="A208" s="115" t="s">
        <v>440</v>
      </c>
      <c r="B208" s="1014"/>
      <c r="C208" s="1017"/>
      <c r="D208" s="861"/>
      <c r="E208" s="1019"/>
      <c r="F208" s="865"/>
      <c r="G208" s="865"/>
      <c r="H208" s="867"/>
      <c r="I208" s="865"/>
      <c r="J208" s="865"/>
      <c r="K208" s="865"/>
      <c r="L208" s="865"/>
      <c r="M208" s="185" t="str">
        <f>IFERROR(INDEX('Controles de Corrupción'!$C$10:$AY$249,MATCH(A208,'Controles de Corrupción'!$B$10:$B$249,0),4),"")</f>
        <v/>
      </c>
      <c r="N208" s="70" t="str">
        <f>IFERROR(INDEX('Controles de Corrupción'!$C$10:$AY$249,MATCH(A208,'Controles de Corrupción'!$B$10:$B$249,0),40),"")</f>
        <v/>
      </c>
      <c r="O208" s="70" t="str">
        <f>IFERROR(INDEX('Controles de Corrupción'!$C$10:$AY$251,MATCH(A208,'Controles de Corrupción'!$B$10:$B$251,0),41),"")</f>
        <v/>
      </c>
      <c r="P208" s="70" t="str">
        <f>IFERROR(INDEX('Controles de Corrupción'!$C$10:$AY$251,MATCH(A208,'Controles de Corrupción'!$B$10:$B$251,0),42),"")</f>
        <v/>
      </c>
      <c r="Q208" s="186" t="str">
        <f>IFERROR(INDEX('Controles de Corrupción'!$C$10:$AY$251,MATCH(A208,'Controles de Corrupción'!$B$10:$B$251,0),47),"")</f>
        <v/>
      </c>
    </row>
    <row r="209" spans="1:17" x14ac:dyDescent="0.25">
      <c r="A209" s="115" t="s">
        <v>441</v>
      </c>
      <c r="B209" s="1014"/>
      <c r="C209" s="1017"/>
      <c r="D209" s="861"/>
      <c r="E209" s="1019"/>
      <c r="F209" s="865"/>
      <c r="G209" s="865"/>
      <c r="H209" s="867"/>
      <c r="I209" s="865"/>
      <c r="J209" s="865"/>
      <c r="K209" s="865"/>
      <c r="L209" s="865"/>
      <c r="M209" s="185" t="str">
        <f>IFERROR(INDEX('Controles de Corrupción'!$C$10:$AY$249,MATCH(A209,'Controles de Corrupción'!$B$10:$B$249,0),4),"")</f>
        <v/>
      </c>
      <c r="N209" s="70" t="str">
        <f>IFERROR(INDEX('Controles de Corrupción'!$C$10:$AY$249,MATCH(A209,'Controles de Corrupción'!$B$10:$B$249,0),40),"")</f>
        <v/>
      </c>
      <c r="O209" s="70" t="str">
        <f>IFERROR(INDEX('Controles de Corrupción'!$C$10:$AY$251,MATCH(A209,'Controles de Corrupción'!$B$10:$B$251,0),41),"")</f>
        <v/>
      </c>
      <c r="P209" s="70" t="str">
        <f>IFERROR(INDEX('Controles de Corrupción'!$C$10:$AY$251,MATCH(A209,'Controles de Corrupción'!$B$10:$B$251,0),42),"")</f>
        <v/>
      </c>
      <c r="Q209" s="186" t="str">
        <f>IFERROR(INDEX('Controles de Corrupción'!$C$10:$AY$251,MATCH(A209,'Controles de Corrupción'!$B$10:$B$251,0),47),"")</f>
        <v/>
      </c>
    </row>
    <row r="210" spans="1:17" x14ac:dyDescent="0.25">
      <c r="A210" s="115" t="s">
        <v>442</v>
      </c>
      <c r="B210" s="1015"/>
      <c r="C210" s="1017"/>
      <c r="D210" s="861"/>
      <c r="E210" s="1019"/>
      <c r="F210" s="865"/>
      <c r="G210" s="865"/>
      <c r="H210" s="867"/>
      <c r="I210" s="865"/>
      <c r="J210" s="865"/>
      <c r="K210" s="865"/>
      <c r="L210" s="865"/>
      <c r="M210" s="185" t="str">
        <f>IFERROR(INDEX('Controles de Corrupción'!$C$10:$AY$249,MATCH(A210,'Controles de Corrupción'!$B$10:$B$249,0),4),"")</f>
        <v/>
      </c>
      <c r="N210" s="70" t="str">
        <f>IFERROR(INDEX('Controles de Corrupción'!$C$10:$AY$249,MATCH(A210,'Controles de Corrupción'!$B$10:$B$249,0),40),"")</f>
        <v/>
      </c>
      <c r="O210" s="70" t="str">
        <f>IFERROR(INDEX('Controles de Corrupción'!$C$10:$AY$251,MATCH(A210,'Controles de Corrupción'!$B$10:$B$251,0),41),"")</f>
        <v/>
      </c>
      <c r="P210" s="70" t="str">
        <f>IFERROR(INDEX('Controles de Corrupción'!$C$10:$AY$251,MATCH(A210,'Controles de Corrupción'!$B$10:$B$251,0),42),"")</f>
        <v/>
      </c>
      <c r="Q210" s="186" t="str">
        <f>IFERROR(INDEX('Controles de Corrupción'!$C$10:$AY$251,MATCH(A210,'Controles de Corrupción'!$B$10:$B$251,0),47),"")</f>
        <v/>
      </c>
    </row>
    <row r="211" spans="1:17" x14ac:dyDescent="0.25">
      <c r="A211" s="115" t="s">
        <v>443</v>
      </c>
      <c r="B211" s="1013"/>
      <c r="C211" s="1016" t="str">
        <f>IFERROR(INDEX('Riesgos de Corrupción'!$B$11:$BN$100,MATCH('Mapa Riesgo Corrupción'!B211,'Riesgos de Corrupción'!$B$11:$B$100,0),2),"")</f>
        <v/>
      </c>
      <c r="D211" s="860" t="str">
        <f>IFERROR(INDEX('Riesgos de Corrupción'!$B$11:$BN$100,MATCH('Mapa Riesgo Corrupción'!B211,'Riesgos de Corrupción'!$B$11:$B$100,0),4),"")</f>
        <v/>
      </c>
      <c r="E211" s="1018" t="str">
        <f>IFERROR(INDEX('Riesgos de Corrupción'!$B$11:$BN$100,MATCH('Mapa Riesgo Corrupción'!B211,'Riesgos de Corrupción'!$B$11:$B$100,0),5),"")</f>
        <v/>
      </c>
      <c r="F211" s="865" t="str">
        <f>IFERROR(INDEX('Riesgos de Corrupción'!$B$11:$BN$100,MATCH('Mapa Riesgo Corrupción'!B211,'Riesgos de Corrupción'!$B$11:$B$100,0),18),"")</f>
        <v/>
      </c>
      <c r="G211" s="865" t="str">
        <f>IFERROR(INDEX('Riesgos de Corrupción'!$B$11:$BN$100,MATCH('Mapa Riesgo Corrupción'!B211,'Riesgos de Corrupción'!$B$11:$B$100,0),63),"")</f>
        <v/>
      </c>
      <c r="H211" s="867" t="str">
        <f>IFERROR(INDEX('Riesgos de Corrupción'!$B$11:$BN$100,MATCH('Mapa Riesgo Corrupción'!B211,'Riesgos de Corrupción'!$B$11:$B$100,0),64),"")</f>
        <v/>
      </c>
      <c r="I211" s="865" t="str">
        <f>IFERROR(INDEX('Controles de Corrupción'!$C$10:$AY$251,MATCH('Mapa Riesgo Corrupción'!B211,'Controles de Corrupción'!#REF!,0),33),"")</f>
        <v/>
      </c>
      <c r="J211" s="865" t="str">
        <f>IFERROR(INDEX('Controles de Corrupción'!$C$10:$AY$251,MATCH('Mapa Riesgo Corrupción'!B211,'Controles de Corrupción'!#REF!,0),36),"")</f>
        <v/>
      </c>
      <c r="K211" s="865" t="str">
        <f>IFERROR(INDEX('Controles de Corrupción'!$C$10:$AY$251,MATCH('Mapa Riesgo Corrupción'!B211,'Controles de Corrupción'!#REF!,0),37),"")</f>
        <v/>
      </c>
      <c r="L211" s="865" t="str">
        <f>IFERROR(INDEX('Controles de Corrupción'!$C$10:$AY$251,MATCH('Mapa Riesgo Corrupción'!B211,'Controles de Corrupción'!#REF!,0),38),"")</f>
        <v/>
      </c>
      <c r="M211" s="185" t="str">
        <f>IFERROR(INDEX('Controles de Corrupción'!$C$10:$AY$249,MATCH(A211,'Controles de Corrupción'!$B$10:$B$249,0),4),"")</f>
        <v/>
      </c>
      <c r="N211" s="70" t="str">
        <f>IFERROR(INDEX('Controles de Corrupción'!$C$10:$AY$249,MATCH(A211,'Controles de Corrupción'!$B$10:$B$249,0),40),"")</f>
        <v/>
      </c>
      <c r="O211" s="70" t="str">
        <f>IFERROR(INDEX('Controles de Corrupción'!$C$10:$AY$251,MATCH(A211,'Controles de Corrupción'!$B$10:$B$251,0),41),"")</f>
        <v/>
      </c>
      <c r="P211" s="70" t="str">
        <f>IFERROR(INDEX('Controles de Corrupción'!$C$10:$AY$251,MATCH(A211,'Controles de Corrupción'!$B$10:$B$251,0),42),"")</f>
        <v/>
      </c>
      <c r="Q211" s="186" t="str">
        <f>IFERROR(INDEX('Controles de Corrupción'!$C$10:$AY$251,MATCH(A211,'Controles de Corrupción'!$B$10:$B$251,0),47),"")</f>
        <v/>
      </c>
    </row>
    <row r="212" spans="1:17" x14ac:dyDescent="0.25">
      <c r="A212" s="115" t="s">
        <v>444</v>
      </c>
      <c r="B212" s="1014"/>
      <c r="C212" s="1017"/>
      <c r="D212" s="861"/>
      <c r="E212" s="1019"/>
      <c r="F212" s="865"/>
      <c r="G212" s="865"/>
      <c r="H212" s="867"/>
      <c r="I212" s="865"/>
      <c r="J212" s="865"/>
      <c r="K212" s="865"/>
      <c r="L212" s="865"/>
      <c r="M212" s="185" t="str">
        <f>IFERROR(INDEX('Controles de Corrupción'!$C$10:$AY$249,MATCH(A212,'Controles de Corrupción'!$B$10:$B$249,0),4),"")</f>
        <v/>
      </c>
      <c r="N212" s="70" t="str">
        <f>IFERROR(INDEX('Controles de Corrupción'!$C$10:$AY$249,MATCH(A212,'Controles de Corrupción'!$B$10:$B$249,0),40),"")</f>
        <v/>
      </c>
      <c r="O212" s="70" t="str">
        <f>IFERROR(INDEX('Controles de Corrupción'!$C$10:$AY$251,MATCH(A212,'Controles de Corrupción'!$B$10:$B$251,0),41),"")</f>
        <v/>
      </c>
      <c r="P212" s="70" t="str">
        <f>IFERROR(INDEX('Controles de Corrupción'!$C$10:$AY$251,MATCH(A212,'Controles de Corrupción'!$B$10:$B$251,0),42),"")</f>
        <v/>
      </c>
      <c r="Q212" s="186" t="str">
        <f>IFERROR(INDEX('Controles de Corrupción'!$C$10:$AY$251,MATCH(A212,'Controles de Corrupción'!$B$10:$B$251,0),47),"")</f>
        <v/>
      </c>
    </row>
    <row r="213" spans="1:17" x14ac:dyDescent="0.25">
      <c r="A213" s="115" t="s">
        <v>445</v>
      </c>
      <c r="B213" s="1014"/>
      <c r="C213" s="1017"/>
      <c r="D213" s="861"/>
      <c r="E213" s="1019"/>
      <c r="F213" s="865"/>
      <c r="G213" s="865"/>
      <c r="H213" s="867"/>
      <c r="I213" s="865"/>
      <c r="J213" s="865"/>
      <c r="K213" s="865"/>
      <c r="L213" s="865"/>
      <c r="M213" s="185" t="str">
        <f>IFERROR(INDEX('Controles de Corrupción'!$C$10:$AY$249,MATCH(A213,'Controles de Corrupción'!$B$10:$B$249,0),4),"")</f>
        <v/>
      </c>
      <c r="N213" s="70" t="str">
        <f>IFERROR(INDEX('Controles de Corrupción'!$C$10:$AY$249,MATCH(A213,'Controles de Corrupción'!$B$10:$B$249,0),40),"")</f>
        <v/>
      </c>
      <c r="O213" s="70" t="str">
        <f>IFERROR(INDEX('Controles de Corrupción'!$C$10:$AY$251,MATCH(A213,'Controles de Corrupción'!$B$10:$B$251,0),41),"")</f>
        <v/>
      </c>
      <c r="P213" s="70" t="str">
        <f>IFERROR(INDEX('Controles de Corrupción'!$C$10:$AY$251,MATCH(A213,'Controles de Corrupción'!$B$10:$B$251,0),42),"")</f>
        <v/>
      </c>
      <c r="Q213" s="186" t="str">
        <f>IFERROR(INDEX('Controles de Corrupción'!$C$10:$AY$251,MATCH(A213,'Controles de Corrupción'!$B$10:$B$251,0),47),"")</f>
        <v/>
      </c>
    </row>
    <row r="214" spans="1:17" x14ac:dyDescent="0.25">
      <c r="A214" s="115" t="s">
        <v>446</v>
      </c>
      <c r="B214" s="1014"/>
      <c r="C214" s="1017"/>
      <c r="D214" s="861"/>
      <c r="E214" s="1019"/>
      <c r="F214" s="865"/>
      <c r="G214" s="865"/>
      <c r="H214" s="867"/>
      <c r="I214" s="865"/>
      <c r="J214" s="865"/>
      <c r="K214" s="865"/>
      <c r="L214" s="865"/>
      <c r="M214" s="185" t="str">
        <f>IFERROR(INDEX('Controles de Corrupción'!$C$10:$AY$249,MATCH(A214,'Controles de Corrupción'!$B$10:$B$249,0),4),"")</f>
        <v/>
      </c>
      <c r="N214" s="70" t="str">
        <f>IFERROR(INDEX('Controles de Corrupción'!$C$10:$AY$249,MATCH(A214,'Controles de Corrupción'!$B$10:$B$249,0),40),"")</f>
        <v/>
      </c>
      <c r="O214" s="70" t="str">
        <f>IFERROR(INDEX('Controles de Corrupción'!$C$10:$AY$251,MATCH(A214,'Controles de Corrupción'!$B$10:$B$251,0),41),"")</f>
        <v/>
      </c>
      <c r="P214" s="70" t="str">
        <f>IFERROR(INDEX('Controles de Corrupción'!$C$10:$AY$251,MATCH(A214,'Controles de Corrupción'!$B$10:$B$251,0),42),"")</f>
        <v/>
      </c>
      <c r="Q214" s="186" t="str">
        <f>IFERROR(INDEX('Controles de Corrupción'!$C$10:$AY$251,MATCH(A214,'Controles de Corrupción'!$B$10:$B$251,0),47),"")</f>
        <v/>
      </c>
    </row>
    <row r="215" spans="1:17" x14ac:dyDescent="0.25">
      <c r="A215" s="115" t="s">
        <v>447</v>
      </c>
      <c r="B215" s="1014"/>
      <c r="C215" s="1017"/>
      <c r="D215" s="861"/>
      <c r="E215" s="1019"/>
      <c r="F215" s="865"/>
      <c r="G215" s="865"/>
      <c r="H215" s="867"/>
      <c r="I215" s="865"/>
      <c r="J215" s="865"/>
      <c r="K215" s="865"/>
      <c r="L215" s="865"/>
      <c r="M215" s="185" t="str">
        <f>IFERROR(INDEX('Controles de Corrupción'!$C$10:$AY$249,MATCH(A215,'Controles de Corrupción'!$B$10:$B$249,0),4),"")</f>
        <v/>
      </c>
      <c r="N215" s="70" t="str">
        <f>IFERROR(INDEX('Controles de Corrupción'!$C$10:$AY$249,MATCH(A215,'Controles de Corrupción'!$B$10:$B$249,0),40),"")</f>
        <v/>
      </c>
      <c r="O215" s="70" t="str">
        <f>IFERROR(INDEX('Controles de Corrupción'!$C$10:$AY$251,MATCH(A215,'Controles de Corrupción'!$B$10:$B$251,0),41),"")</f>
        <v/>
      </c>
      <c r="P215" s="70" t="str">
        <f>IFERROR(INDEX('Controles de Corrupción'!$C$10:$AY$251,MATCH(A215,'Controles de Corrupción'!$B$10:$B$251,0),42),"")</f>
        <v/>
      </c>
      <c r="Q215" s="186" t="str">
        <f>IFERROR(INDEX('Controles de Corrupción'!$C$10:$AY$251,MATCH(A215,'Controles de Corrupción'!$B$10:$B$251,0),47),"")</f>
        <v/>
      </c>
    </row>
    <row r="216" spans="1:17" x14ac:dyDescent="0.25">
      <c r="A216" s="115" t="s">
        <v>448</v>
      </c>
      <c r="B216" s="1015"/>
      <c r="C216" s="1017"/>
      <c r="D216" s="861"/>
      <c r="E216" s="1019"/>
      <c r="F216" s="865"/>
      <c r="G216" s="865"/>
      <c r="H216" s="867"/>
      <c r="I216" s="865"/>
      <c r="J216" s="865"/>
      <c r="K216" s="865"/>
      <c r="L216" s="865"/>
      <c r="M216" s="185" t="str">
        <f>IFERROR(INDEX('Controles de Corrupción'!$C$10:$AY$249,MATCH(A216,'Controles de Corrupción'!$B$10:$B$249,0),4),"")</f>
        <v/>
      </c>
      <c r="N216" s="70" t="str">
        <f>IFERROR(INDEX('Controles de Corrupción'!$C$10:$AY$249,MATCH(A216,'Controles de Corrupción'!$B$10:$B$249,0),40),"")</f>
        <v/>
      </c>
      <c r="O216" s="70" t="str">
        <f>IFERROR(INDEX('Controles de Corrupción'!$C$10:$AY$251,MATCH(A216,'Controles de Corrupción'!$B$10:$B$251,0),41),"")</f>
        <v/>
      </c>
      <c r="P216" s="70" t="str">
        <f>IFERROR(INDEX('Controles de Corrupción'!$C$10:$AY$251,MATCH(A216,'Controles de Corrupción'!$B$10:$B$251,0),42),"")</f>
        <v/>
      </c>
      <c r="Q216" s="186" t="str">
        <f>IFERROR(INDEX('Controles de Corrupción'!$C$10:$AY$251,MATCH(A216,'Controles de Corrupción'!$B$10:$B$251,0),47),"")</f>
        <v/>
      </c>
    </row>
    <row r="217" spans="1:17" x14ac:dyDescent="0.25">
      <c r="A217" s="115" t="s">
        <v>449</v>
      </c>
      <c r="B217" s="1013"/>
      <c r="C217" s="1016" t="str">
        <f>IFERROR(INDEX('Riesgos de Corrupción'!$B$11:$BN$100,MATCH('Mapa Riesgo Corrupción'!B217,'Riesgos de Corrupción'!$B$11:$B$100,0),2),"")</f>
        <v/>
      </c>
      <c r="D217" s="860" t="str">
        <f>IFERROR(INDEX('Riesgos de Corrupción'!$B$11:$BN$100,MATCH('Mapa Riesgo Corrupción'!B217,'Riesgos de Corrupción'!$B$11:$B$100,0),4),"")</f>
        <v/>
      </c>
      <c r="E217" s="1018" t="str">
        <f>IFERROR(INDEX('Riesgos de Corrupción'!$B$11:$BN$100,MATCH('Mapa Riesgo Corrupción'!B217,'Riesgos de Corrupción'!$B$11:$B$100,0),5),"")</f>
        <v/>
      </c>
      <c r="F217" s="865" t="str">
        <f>IFERROR(INDEX('Riesgos de Corrupción'!$B$11:$BN$100,MATCH('Mapa Riesgo Corrupción'!B217,'Riesgos de Corrupción'!$B$11:$B$100,0),18),"")</f>
        <v/>
      </c>
      <c r="G217" s="865" t="str">
        <f>IFERROR(INDEX('Riesgos de Corrupción'!$B$11:$BN$100,MATCH('Mapa Riesgo Corrupción'!B217,'Riesgos de Corrupción'!$B$11:$B$100,0),63),"")</f>
        <v/>
      </c>
      <c r="H217" s="867" t="str">
        <f>IFERROR(INDEX('Riesgos de Corrupción'!$B$11:$BN$100,MATCH('Mapa Riesgo Corrupción'!B217,'Riesgos de Corrupción'!$B$11:$B$100,0),64),"")</f>
        <v/>
      </c>
      <c r="I217" s="865" t="str">
        <f>IFERROR(INDEX('Controles de Corrupción'!$C$10:$AY$251,MATCH('Mapa Riesgo Corrupción'!B217,'Controles de Corrupción'!#REF!,0),33),"")</f>
        <v/>
      </c>
      <c r="J217" s="865" t="str">
        <f>IFERROR(INDEX('Controles de Corrupción'!$C$10:$AY$251,MATCH('Mapa Riesgo Corrupción'!B217,'Controles de Corrupción'!#REF!,0),36),"")</f>
        <v/>
      </c>
      <c r="K217" s="865" t="str">
        <f>IFERROR(INDEX('Controles de Corrupción'!$C$10:$AY$251,MATCH('Mapa Riesgo Corrupción'!B217,'Controles de Corrupción'!#REF!,0),37),"")</f>
        <v/>
      </c>
      <c r="L217" s="865" t="str">
        <f>IFERROR(INDEX('Controles de Corrupción'!$C$10:$AY$251,MATCH('Mapa Riesgo Corrupción'!B217,'Controles de Corrupción'!#REF!,0),38),"")</f>
        <v/>
      </c>
      <c r="M217" s="185" t="str">
        <f>IFERROR(INDEX('Controles de Corrupción'!$C$10:$AY$249,MATCH(A217,'Controles de Corrupción'!$B$10:$B$249,0),4),"")</f>
        <v/>
      </c>
      <c r="N217" s="70" t="str">
        <f>IFERROR(INDEX('Controles de Corrupción'!$C$10:$AY$249,MATCH(A217,'Controles de Corrupción'!$B$10:$B$249,0),40),"")</f>
        <v/>
      </c>
      <c r="O217" s="70" t="str">
        <f>IFERROR(INDEX('Controles de Corrupción'!$C$10:$AY$251,MATCH(A217,'Controles de Corrupción'!$B$10:$B$251,0),41),"")</f>
        <v/>
      </c>
      <c r="P217" s="70" t="str">
        <f>IFERROR(INDEX('Controles de Corrupción'!$C$10:$AY$251,MATCH(A217,'Controles de Corrupción'!$B$10:$B$251,0),42),"")</f>
        <v/>
      </c>
      <c r="Q217" s="186" t="str">
        <f>IFERROR(INDEX('Controles de Corrupción'!$C$10:$AY$251,MATCH(A217,'Controles de Corrupción'!$B$10:$B$251,0),47),"")</f>
        <v/>
      </c>
    </row>
    <row r="218" spans="1:17" x14ac:dyDescent="0.25">
      <c r="A218" s="115" t="s">
        <v>450</v>
      </c>
      <c r="B218" s="1014"/>
      <c r="C218" s="1017"/>
      <c r="D218" s="861"/>
      <c r="E218" s="1019"/>
      <c r="F218" s="865"/>
      <c r="G218" s="865"/>
      <c r="H218" s="867"/>
      <c r="I218" s="865"/>
      <c r="J218" s="865"/>
      <c r="K218" s="865"/>
      <c r="L218" s="865"/>
      <c r="M218" s="185" t="str">
        <f>IFERROR(INDEX('Controles de Corrupción'!$C$10:$AY$249,MATCH(A218,'Controles de Corrupción'!$B$10:$B$249,0),4),"")</f>
        <v/>
      </c>
      <c r="N218" s="70" t="str">
        <f>IFERROR(INDEX('Controles de Corrupción'!$C$10:$AY$249,MATCH(A218,'Controles de Corrupción'!$B$10:$B$249,0),40),"")</f>
        <v/>
      </c>
      <c r="O218" s="70" t="str">
        <f>IFERROR(INDEX('Controles de Corrupción'!$C$10:$AY$251,MATCH(A218,'Controles de Corrupción'!$B$10:$B$251,0),41),"")</f>
        <v/>
      </c>
      <c r="P218" s="70" t="str">
        <f>IFERROR(INDEX('Controles de Corrupción'!$C$10:$AY$251,MATCH(A218,'Controles de Corrupción'!$B$10:$B$251,0),42),"")</f>
        <v/>
      </c>
      <c r="Q218" s="186" t="str">
        <f>IFERROR(INDEX('Controles de Corrupción'!$C$10:$AY$251,MATCH(A218,'Controles de Corrupción'!$B$10:$B$251,0),47),"")</f>
        <v/>
      </c>
    </row>
    <row r="219" spans="1:17" x14ac:dyDescent="0.25">
      <c r="A219" s="115" t="s">
        <v>451</v>
      </c>
      <c r="B219" s="1014"/>
      <c r="C219" s="1017"/>
      <c r="D219" s="861"/>
      <c r="E219" s="1019"/>
      <c r="F219" s="865"/>
      <c r="G219" s="865"/>
      <c r="H219" s="867"/>
      <c r="I219" s="865"/>
      <c r="J219" s="865"/>
      <c r="K219" s="865"/>
      <c r="L219" s="865"/>
      <c r="M219" s="185" t="str">
        <f>IFERROR(INDEX('Controles de Corrupción'!$C$10:$AY$249,MATCH(A219,'Controles de Corrupción'!$B$10:$B$249,0),4),"")</f>
        <v/>
      </c>
      <c r="N219" s="70" t="str">
        <f>IFERROR(INDEX('Controles de Corrupción'!$C$10:$AY$249,MATCH(A219,'Controles de Corrupción'!$B$10:$B$249,0),40),"")</f>
        <v/>
      </c>
      <c r="O219" s="70" t="str">
        <f>IFERROR(INDEX('Controles de Corrupción'!$C$10:$AY$251,MATCH(A219,'Controles de Corrupción'!$B$10:$B$251,0),41),"")</f>
        <v/>
      </c>
      <c r="P219" s="70" t="str">
        <f>IFERROR(INDEX('Controles de Corrupción'!$C$10:$AY$251,MATCH(A219,'Controles de Corrupción'!$B$10:$B$251,0),42),"")</f>
        <v/>
      </c>
      <c r="Q219" s="186" t="str">
        <f>IFERROR(INDEX('Controles de Corrupción'!$C$10:$AY$251,MATCH(A219,'Controles de Corrupción'!$B$10:$B$251,0),47),"")</f>
        <v/>
      </c>
    </row>
    <row r="220" spans="1:17" x14ac:dyDescent="0.25">
      <c r="A220" s="115" t="s">
        <v>452</v>
      </c>
      <c r="B220" s="1014"/>
      <c r="C220" s="1017"/>
      <c r="D220" s="861"/>
      <c r="E220" s="1019"/>
      <c r="F220" s="865"/>
      <c r="G220" s="865"/>
      <c r="H220" s="867"/>
      <c r="I220" s="865"/>
      <c r="J220" s="865"/>
      <c r="K220" s="865"/>
      <c r="L220" s="865"/>
      <c r="M220" s="185" t="str">
        <f>IFERROR(INDEX('Controles de Corrupción'!$C$10:$AY$249,MATCH(A220,'Controles de Corrupción'!$B$10:$B$249,0),4),"")</f>
        <v/>
      </c>
      <c r="N220" s="70" t="str">
        <f>IFERROR(INDEX('Controles de Corrupción'!$C$10:$AY$249,MATCH(A220,'Controles de Corrupción'!$B$10:$B$249,0),40),"")</f>
        <v/>
      </c>
      <c r="O220" s="70" t="str">
        <f>IFERROR(INDEX('Controles de Corrupción'!$C$10:$AY$251,MATCH(A220,'Controles de Corrupción'!$B$10:$B$251,0),41),"")</f>
        <v/>
      </c>
      <c r="P220" s="70" t="str">
        <f>IFERROR(INDEX('Controles de Corrupción'!$C$10:$AY$251,MATCH(A220,'Controles de Corrupción'!$B$10:$B$251,0),42),"")</f>
        <v/>
      </c>
      <c r="Q220" s="186" t="str">
        <f>IFERROR(INDEX('Controles de Corrupción'!$C$10:$AY$251,MATCH(A220,'Controles de Corrupción'!$B$10:$B$251,0),47),"")</f>
        <v/>
      </c>
    </row>
    <row r="221" spans="1:17" x14ac:dyDescent="0.25">
      <c r="A221" s="115" t="s">
        <v>453</v>
      </c>
      <c r="B221" s="1014"/>
      <c r="C221" s="1017"/>
      <c r="D221" s="861"/>
      <c r="E221" s="1019"/>
      <c r="F221" s="865"/>
      <c r="G221" s="865"/>
      <c r="H221" s="867"/>
      <c r="I221" s="865"/>
      <c r="J221" s="865"/>
      <c r="K221" s="865"/>
      <c r="L221" s="865"/>
      <c r="M221" s="185" t="str">
        <f>IFERROR(INDEX('Controles de Corrupción'!$C$10:$AY$249,MATCH(A221,'Controles de Corrupción'!$B$10:$B$249,0),4),"")</f>
        <v/>
      </c>
      <c r="N221" s="70" t="str">
        <f>IFERROR(INDEX('Controles de Corrupción'!$C$10:$AY$249,MATCH(A221,'Controles de Corrupción'!$B$10:$B$249,0),40),"")</f>
        <v/>
      </c>
      <c r="O221" s="70" t="str">
        <f>IFERROR(INDEX('Controles de Corrupción'!$C$10:$AY$251,MATCH(A221,'Controles de Corrupción'!$B$10:$B$251,0),41),"")</f>
        <v/>
      </c>
      <c r="P221" s="70" t="str">
        <f>IFERROR(INDEX('Controles de Corrupción'!$C$10:$AY$251,MATCH(A221,'Controles de Corrupción'!$B$10:$B$251,0),42),"")</f>
        <v/>
      </c>
      <c r="Q221" s="186" t="str">
        <f>IFERROR(INDEX('Controles de Corrupción'!$C$10:$AY$251,MATCH(A221,'Controles de Corrupción'!$B$10:$B$251,0),47),"")</f>
        <v/>
      </c>
    </row>
    <row r="222" spans="1:17" x14ac:dyDescent="0.25">
      <c r="A222" s="115" t="s">
        <v>454</v>
      </c>
      <c r="B222" s="1015"/>
      <c r="C222" s="1017"/>
      <c r="D222" s="861"/>
      <c r="E222" s="1019"/>
      <c r="F222" s="865"/>
      <c r="G222" s="865"/>
      <c r="H222" s="867"/>
      <c r="I222" s="865"/>
      <c r="J222" s="865"/>
      <c r="K222" s="865"/>
      <c r="L222" s="865"/>
      <c r="M222" s="185" t="str">
        <f>IFERROR(INDEX('Controles de Corrupción'!$C$10:$AY$249,MATCH(A222,'Controles de Corrupción'!$B$10:$B$249,0),4),"")</f>
        <v/>
      </c>
      <c r="N222" s="70" t="str">
        <f>IFERROR(INDEX('Controles de Corrupción'!$C$10:$AY$249,MATCH(A222,'Controles de Corrupción'!$B$10:$B$249,0),40),"")</f>
        <v/>
      </c>
      <c r="O222" s="70" t="str">
        <f>IFERROR(INDEX('Controles de Corrupción'!$C$10:$AY$251,MATCH(A222,'Controles de Corrupción'!$B$10:$B$251,0),41),"")</f>
        <v/>
      </c>
      <c r="P222" s="70" t="str">
        <f>IFERROR(INDEX('Controles de Corrupción'!$C$10:$AY$251,MATCH(A222,'Controles de Corrupción'!$B$10:$B$251,0),42),"")</f>
        <v/>
      </c>
      <c r="Q222" s="186" t="str">
        <f>IFERROR(INDEX('Controles de Corrupción'!$C$10:$AY$251,MATCH(A222,'Controles de Corrupción'!$B$10:$B$251,0),47),"")</f>
        <v/>
      </c>
    </row>
    <row r="223" spans="1:17" x14ac:dyDescent="0.25">
      <c r="A223" s="115" t="s">
        <v>455</v>
      </c>
      <c r="B223" s="1013"/>
      <c r="C223" s="1016" t="str">
        <f>IFERROR(INDEX('Riesgos de Corrupción'!$B$11:$BN$100,MATCH('Mapa Riesgo Corrupción'!B223,'Riesgos de Corrupción'!$B$11:$B$100,0),2),"")</f>
        <v/>
      </c>
      <c r="D223" s="860" t="str">
        <f>IFERROR(INDEX('Riesgos de Corrupción'!$B$11:$BN$100,MATCH('Mapa Riesgo Corrupción'!B223,'Riesgos de Corrupción'!$B$11:$B$100,0),4),"")</f>
        <v/>
      </c>
      <c r="E223" s="1018" t="str">
        <f>IFERROR(INDEX('Riesgos de Corrupción'!$B$11:$BN$100,MATCH('Mapa Riesgo Corrupción'!B223,'Riesgos de Corrupción'!$B$11:$B$100,0),5),"")</f>
        <v/>
      </c>
      <c r="F223" s="865" t="str">
        <f>IFERROR(INDEX('Riesgos de Corrupción'!$B$11:$BN$100,MATCH('Mapa Riesgo Corrupción'!B223,'Riesgos de Corrupción'!$B$11:$B$100,0),18),"")</f>
        <v/>
      </c>
      <c r="G223" s="865" t="str">
        <f>IFERROR(INDEX('Riesgos de Corrupción'!$B$11:$BN$100,MATCH('Mapa Riesgo Corrupción'!B223,'Riesgos de Corrupción'!$B$11:$B$100,0),63),"")</f>
        <v/>
      </c>
      <c r="H223" s="867" t="str">
        <f>IFERROR(INDEX('Riesgos de Corrupción'!$B$11:$BN$100,MATCH('Mapa Riesgo Corrupción'!B223,'Riesgos de Corrupción'!$B$11:$B$100,0),64),"")</f>
        <v/>
      </c>
      <c r="I223" s="865" t="str">
        <f>IFERROR(INDEX('Controles de Corrupción'!$C$10:$AY$251,MATCH('Mapa Riesgo Corrupción'!B223,'Controles de Corrupción'!#REF!,0),33),"")</f>
        <v/>
      </c>
      <c r="J223" s="865" t="str">
        <f>IFERROR(INDEX('Controles de Corrupción'!$C$10:$AY$251,MATCH('Mapa Riesgo Corrupción'!B223,'Controles de Corrupción'!#REF!,0),36),"")</f>
        <v/>
      </c>
      <c r="K223" s="865" t="str">
        <f>IFERROR(INDEX('Controles de Corrupción'!$C$10:$AY$251,MATCH('Mapa Riesgo Corrupción'!B223,'Controles de Corrupción'!#REF!,0),37),"")</f>
        <v/>
      </c>
      <c r="L223" s="865" t="str">
        <f>IFERROR(INDEX('Controles de Corrupción'!$C$10:$AY$251,MATCH('Mapa Riesgo Corrupción'!B223,'Controles de Corrupción'!#REF!,0),38),"")</f>
        <v/>
      </c>
      <c r="M223" s="185" t="str">
        <f>IFERROR(INDEX('Controles de Corrupción'!$C$10:$AY$249,MATCH(A223,'Controles de Corrupción'!$B$10:$B$249,0),4),"")</f>
        <v/>
      </c>
      <c r="N223" s="70" t="str">
        <f>IFERROR(INDEX('Controles de Corrupción'!$C$10:$AY$249,MATCH(A223,'Controles de Corrupción'!$B$10:$B$249,0),40),"")</f>
        <v/>
      </c>
      <c r="O223" s="70" t="str">
        <f>IFERROR(INDEX('Controles de Corrupción'!$C$10:$AY$251,MATCH(A223,'Controles de Corrupción'!$B$10:$B$251,0),41),"")</f>
        <v/>
      </c>
      <c r="P223" s="70" t="str">
        <f>IFERROR(INDEX('Controles de Corrupción'!$C$10:$AY$251,MATCH(A223,'Controles de Corrupción'!$B$10:$B$251,0),42),"")</f>
        <v/>
      </c>
      <c r="Q223" s="186" t="str">
        <f>IFERROR(INDEX('Controles de Corrupción'!$C$10:$AY$251,MATCH(A223,'Controles de Corrupción'!$B$10:$B$251,0),47),"")</f>
        <v/>
      </c>
    </row>
    <row r="224" spans="1:17" x14ac:dyDescent="0.25">
      <c r="A224" s="115" t="s">
        <v>456</v>
      </c>
      <c r="B224" s="1014"/>
      <c r="C224" s="1017"/>
      <c r="D224" s="861"/>
      <c r="E224" s="1019"/>
      <c r="F224" s="865"/>
      <c r="G224" s="865"/>
      <c r="H224" s="867"/>
      <c r="I224" s="865"/>
      <c r="J224" s="865"/>
      <c r="K224" s="865"/>
      <c r="L224" s="865"/>
      <c r="M224" s="185" t="str">
        <f>IFERROR(INDEX('Controles de Corrupción'!$C$10:$AY$249,MATCH(A224,'Controles de Corrupción'!$B$10:$B$249,0),4),"")</f>
        <v/>
      </c>
      <c r="N224" s="70" t="str">
        <f>IFERROR(INDEX('Controles de Corrupción'!$C$10:$AY$249,MATCH(A224,'Controles de Corrupción'!$B$10:$B$249,0),40),"")</f>
        <v/>
      </c>
      <c r="O224" s="70" t="str">
        <f>IFERROR(INDEX('Controles de Corrupción'!$C$10:$AY$251,MATCH(A224,'Controles de Corrupción'!$B$10:$B$251,0),41),"")</f>
        <v/>
      </c>
      <c r="P224" s="70" t="str">
        <f>IFERROR(INDEX('Controles de Corrupción'!$C$10:$AY$251,MATCH(A224,'Controles de Corrupción'!$B$10:$B$251,0),42),"")</f>
        <v/>
      </c>
      <c r="Q224" s="186" t="str">
        <f>IFERROR(INDEX('Controles de Corrupción'!$C$10:$AY$251,MATCH(A224,'Controles de Corrupción'!$B$10:$B$251,0),47),"")</f>
        <v/>
      </c>
    </row>
    <row r="225" spans="1:17" x14ac:dyDescent="0.25">
      <c r="A225" s="115" t="s">
        <v>457</v>
      </c>
      <c r="B225" s="1014"/>
      <c r="C225" s="1017"/>
      <c r="D225" s="861"/>
      <c r="E225" s="1019"/>
      <c r="F225" s="865"/>
      <c r="G225" s="865"/>
      <c r="H225" s="867"/>
      <c r="I225" s="865"/>
      <c r="J225" s="865"/>
      <c r="K225" s="865"/>
      <c r="L225" s="865"/>
      <c r="M225" s="185" t="str">
        <f>IFERROR(INDEX('Controles de Corrupción'!$C$10:$AY$249,MATCH(A225,'Controles de Corrupción'!$B$10:$B$249,0),4),"")</f>
        <v/>
      </c>
      <c r="N225" s="70" t="str">
        <f>IFERROR(INDEX('Controles de Corrupción'!$C$10:$AY$249,MATCH(A225,'Controles de Corrupción'!$B$10:$B$249,0),40),"")</f>
        <v/>
      </c>
      <c r="O225" s="70" t="str">
        <f>IFERROR(INDEX('Controles de Corrupción'!$C$10:$AY$251,MATCH(A225,'Controles de Corrupción'!$B$10:$B$251,0),41),"")</f>
        <v/>
      </c>
      <c r="P225" s="70" t="str">
        <f>IFERROR(INDEX('Controles de Corrupción'!$C$10:$AY$251,MATCH(A225,'Controles de Corrupción'!$B$10:$B$251,0),42),"")</f>
        <v/>
      </c>
      <c r="Q225" s="186" t="str">
        <f>IFERROR(INDEX('Controles de Corrupción'!$C$10:$AY$251,MATCH(A225,'Controles de Corrupción'!$B$10:$B$251,0),47),"")</f>
        <v/>
      </c>
    </row>
    <row r="226" spans="1:17" x14ac:dyDescent="0.25">
      <c r="A226" s="115" t="s">
        <v>458</v>
      </c>
      <c r="B226" s="1014"/>
      <c r="C226" s="1017"/>
      <c r="D226" s="861"/>
      <c r="E226" s="1019"/>
      <c r="F226" s="865"/>
      <c r="G226" s="865"/>
      <c r="H226" s="867"/>
      <c r="I226" s="865"/>
      <c r="J226" s="865"/>
      <c r="K226" s="865"/>
      <c r="L226" s="865"/>
      <c r="M226" s="185" t="str">
        <f>IFERROR(INDEX('Controles de Corrupción'!$C$10:$AY$249,MATCH(A226,'Controles de Corrupción'!$B$10:$B$249,0),4),"")</f>
        <v/>
      </c>
      <c r="N226" s="70" t="str">
        <f>IFERROR(INDEX('Controles de Corrupción'!$C$10:$AY$249,MATCH(A226,'Controles de Corrupción'!$B$10:$B$249,0),40),"")</f>
        <v/>
      </c>
      <c r="O226" s="70" t="str">
        <f>IFERROR(INDEX('Controles de Corrupción'!$C$10:$AY$251,MATCH(A226,'Controles de Corrupción'!$B$10:$B$251,0),41),"")</f>
        <v/>
      </c>
      <c r="P226" s="70" t="str">
        <f>IFERROR(INDEX('Controles de Corrupción'!$C$10:$AY$251,MATCH(A226,'Controles de Corrupción'!$B$10:$B$251,0),42),"")</f>
        <v/>
      </c>
      <c r="Q226" s="186" t="str">
        <f>IFERROR(INDEX('Controles de Corrupción'!$C$10:$AY$251,MATCH(A226,'Controles de Corrupción'!$B$10:$B$251,0),47),"")</f>
        <v/>
      </c>
    </row>
    <row r="227" spans="1:17" x14ac:dyDescent="0.25">
      <c r="A227" s="115" t="s">
        <v>459</v>
      </c>
      <c r="B227" s="1014"/>
      <c r="C227" s="1017"/>
      <c r="D227" s="861"/>
      <c r="E227" s="1019"/>
      <c r="F227" s="865"/>
      <c r="G227" s="865"/>
      <c r="H227" s="867"/>
      <c r="I227" s="865"/>
      <c r="J227" s="865"/>
      <c r="K227" s="865"/>
      <c r="L227" s="865"/>
      <c r="M227" s="185" t="str">
        <f>IFERROR(INDEX('Controles de Corrupción'!$C$10:$AY$249,MATCH(A227,'Controles de Corrupción'!$B$10:$B$249,0),4),"")</f>
        <v/>
      </c>
      <c r="N227" s="70" t="str">
        <f>IFERROR(INDEX('Controles de Corrupción'!$C$10:$AY$249,MATCH(A227,'Controles de Corrupción'!$B$10:$B$249,0),40),"")</f>
        <v/>
      </c>
      <c r="O227" s="70" t="str">
        <f>IFERROR(INDEX('Controles de Corrupción'!$C$10:$AY$251,MATCH(A227,'Controles de Corrupción'!$B$10:$B$251,0),41),"")</f>
        <v/>
      </c>
      <c r="P227" s="70" t="str">
        <f>IFERROR(INDEX('Controles de Corrupción'!$C$10:$AY$251,MATCH(A227,'Controles de Corrupción'!$B$10:$B$251,0),42),"")</f>
        <v/>
      </c>
      <c r="Q227" s="186" t="str">
        <f>IFERROR(INDEX('Controles de Corrupción'!$C$10:$AY$251,MATCH(A227,'Controles de Corrupción'!$B$10:$B$251,0),47),"")</f>
        <v/>
      </c>
    </row>
    <row r="228" spans="1:17" x14ac:dyDescent="0.25">
      <c r="A228" s="115" t="s">
        <v>460</v>
      </c>
      <c r="B228" s="1015"/>
      <c r="C228" s="1017"/>
      <c r="D228" s="861"/>
      <c r="E228" s="1019"/>
      <c r="F228" s="865"/>
      <c r="G228" s="865"/>
      <c r="H228" s="867"/>
      <c r="I228" s="865"/>
      <c r="J228" s="865"/>
      <c r="K228" s="865"/>
      <c r="L228" s="865"/>
      <c r="M228" s="185" t="str">
        <f>IFERROR(INDEX('Controles de Corrupción'!$C$10:$AY$249,MATCH(A228,'Controles de Corrupción'!$B$10:$B$249,0),4),"")</f>
        <v/>
      </c>
      <c r="N228" s="70" t="str">
        <f>IFERROR(INDEX('Controles de Corrupción'!$C$10:$AY$249,MATCH(A228,'Controles de Corrupción'!$B$10:$B$249,0),40),"")</f>
        <v/>
      </c>
      <c r="O228" s="70" t="str">
        <f>IFERROR(INDEX('Controles de Corrupción'!$C$10:$AY$251,MATCH(A228,'Controles de Corrupción'!$B$10:$B$251,0),41),"")</f>
        <v/>
      </c>
      <c r="P228" s="70" t="str">
        <f>IFERROR(INDEX('Controles de Corrupción'!$C$10:$AY$251,MATCH(A228,'Controles de Corrupción'!$B$10:$B$251,0),42),"")</f>
        <v/>
      </c>
      <c r="Q228" s="186" t="str">
        <f>IFERROR(INDEX('Controles de Corrupción'!$C$10:$AY$251,MATCH(A228,'Controles de Corrupción'!$B$10:$B$251,0),47),"")</f>
        <v/>
      </c>
    </row>
    <row r="229" spans="1:17" x14ac:dyDescent="0.25">
      <c r="A229" s="115" t="s">
        <v>461</v>
      </c>
      <c r="B229" s="1013"/>
      <c r="C229" s="1016" t="str">
        <f>IFERROR(INDEX('Riesgos de Corrupción'!$B$11:$BN$100,MATCH('Mapa Riesgo Corrupción'!B229,'Riesgos de Corrupción'!$B$11:$B$100,0),2),"")</f>
        <v/>
      </c>
      <c r="D229" s="860" t="str">
        <f>IFERROR(INDEX('Riesgos de Corrupción'!$B$11:$BN$100,MATCH('Mapa Riesgo Corrupción'!B229,'Riesgos de Corrupción'!$B$11:$B$100,0),4),"")</f>
        <v/>
      </c>
      <c r="E229" s="1018" t="str">
        <f>IFERROR(INDEX('Riesgos de Corrupción'!$B$11:$BN$100,MATCH('Mapa Riesgo Corrupción'!B229,'Riesgos de Corrupción'!$B$11:$B$100,0),5),"")</f>
        <v/>
      </c>
      <c r="F229" s="865" t="str">
        <f>IFERROR(INDEX('Riesgos de Corrupción'!$B$11:$BN$100,MATCH('Mapa Riesgo Corrupción'!B229,'Riesgos de Corrupción'!$B$11:$B$100,0),18),"")</f>
        <v/>
      </c>
      <c r="G229" s="865" t="str">
        <f>IFERROR(INDEX('Riesgos de Corrupción'!$B$11:$BN$100,MATCH('Mapa Riesgo Corrupción'!B229,'Riesgos de Corrupción'!$B$11:$B$100,0),63),"")</f>
        <v/>
      </c>
      <c r="H229" s="867" t="str">
        <f>IFERROR(INDEX('Riesgos de Corrupción'!$B$11:$BN$100,MATCH('Mapa Riesgo Corrupción'!B229,'Riesgos de Corrupción'!$B$11:$B$100,0),64),"")</f>
        <v/>
      </c>
      <c r="I229" s="865" t="str">
        <f>IFERROR(INDEX('Controles de Corrupción'!$C$10:$AY$251,MATCH('Mapa Riesgo Corrupción'!B229,'Controles de Corrupción'!#REF!,0),33),"")</f>
        <v/>
      </c>
      <c r="J229" s="865" t="str">
        <f>IFERROR(INDEX('Controles de Corrupción'!$C$10:$AY$251,MATCH('Mapa Riesgo Corrupción'!B229,'Controles de Corrupción'!#REF!,0),36),"")</f>
        <v/>
      </c>
      <c r="K229" s="865" t="str">
        <f>IFERROR(INDEX('Controles de Corrupción'!$C$10:$AY$251,MATCH('Mapa Riesgo Corrupción'!B229,'Controles de Corrupción'!#REF!,0),37),"")</f>
        <v/>
      </c>
      <c r="L229" s="865" t="str">
        <f>IFERROR(INDEX('Controles de Corrupción'!$C$10:$AY$251,MATCH('Mapa Riesgo Corrupción'!B229,'Controles de Corrupción'!#REF!,0),38),"")</f>
        <v/>
      </c>
      <c r="M229" s="185" t="str">
        <f>IFERROR(INDEX('Controles de Corrupción'!$C$10:$AY$249,MATCH(A229,'Controles de Corrupción'!$B$10:$B$249,0),4),"")</f>
        <v/>
      </c>
      <c r="N229" s="70" t="str">
        <f>IFERROR(INDEX('Controles de Corrupción'!$C$10:$AY$249,MATCH(A229,'Controles de Corrupción'!$B$10:$B$249,0),40),"")</f>
        <v/>
      </c>
      <c r="O229" s="70" t="str">
        <f>IFERROR(INDEX('Controles de Corrupción'!$C$10:$AY$251,MATCH(A229,'Controles de Corrupción'!$B$10:$B$251,0),41),"")</f>
        <v/>
      </c>
      <c r="P229" s="70" t="str">
        <f>IFERROR(INDEX('Controles de Corrupción'!$C$10:$AY$251,MATCH(A229,'Controles de Corrupción'!$B$10:$B$251,0),42),"")</f>
        <v/>
      </c>
      <c r="Q229" s="186" t="str">
        <f>IFERROR(INDEX('Controles de Corrupción'!$C$10:$AY$251,MATCH(A229,'Controles de Corrupción'!$B$10:$B$251,0),47),"")</f>
        <v/>
      </c>
    </row>
    <row r="230" spans="1:17" x14ac:dyDescent="0.25">
      <c r="A230" s="115" t="s">
        <v>462</v>
      </c>
      <c r="B230" s="1014"/>
      <c r="C230" s="1017"/>
      <c r="D230" s="861"/>
      <c r="E230" s="1019"/>
      <c r="F230" s="865"/>
      <c r="G230" s="865"/>
      <c r="H230" s="867"/>
      <c r="I230" s="865"/>
      <c r="J230" s="865"/>
      <c r="K230" s="865"/>
      <c r="L230" s="865"/>
      <c r="M230" s="185" t="str">
        <f>IFERROR(INDEX('Controles de Corrupción'!$C$10:$AY$249,MATCH(A230,'Controles de Corrupción'!$B$10:$B$249,0),4),"")</f>
        <v/>
      </c>
      <c r="N230" s="70" t="str">
        <f>IFERROR(INDEX('Controles de Corrupción'!$C$10:$AY$249,MATCH(A230,'Controles de Corrupción'!$B$10:$B$249,0),40),"")</f>
        <v/>
      </c>
      <c r="O230" s="70" t="str">
        <f>IFERROR(INDEX('Controles de Corrupción'!$C$10:$AY$251,MATCH(A230,'Controles de Corrupción'!$B$10:$B$251,0),41),"")</f>
        <v/>
      </c>
      <c r="P230" s="70" t="str">
        <f>IFERROR(INDEX('Controles de Corrupción'!$C$10:$AY$251,MATCH(A230,'Controles de Corrupción'!$B$10:$B$251,0),42),"")</f>
        <v/>
      </c>
      <c r="Q230" s="186" t="str">
        <f>IFERROR(INDEX('Controles de Corrupción'!$C$10:$AY$251,MATCH(A230,'Controles de Corrupción'!$B$10:$B$251,0),47),"")</f>
        <v/>
      </c>
    </row>
    <row r="231" spans="1:17" x14ac:dyDescent="0.25">
      <c r="A231" s="115" t="s">
        <v>463</v>
      </c>
      <c r="B231" s="1014"/>
      <c r="C231" s="1017"/>
      <c r="D231" s="861"/>
      <c r="E231" s="1019"/>
      <c r="F231" s="865"/>
      <c r="G231" s="865"/>
      <c r="H231" s="867"/>
      <c r="I231" s="865"/>
      <c r="J231" s="865"/>
      <c r="K231" s="865"/>
      <c r="L231" s="865"/>
      <c r="M231" s="185" t="str">
        <f>IFERROR(INDEX('Controles de Corrupción'!$C$10:$AY$249,MATCH(A231,'Controles de Corrupción'!$B$10:$B$249,0),4),"")</f>
        <v/>
      </c>
      <c r="N231" s="70" t="str">
        <f>IFERROR(INDEX('Controles de Corrupción'!$C$10:$AY$249,MATCH(A231,'Controles de Corrupción'!$B$10:$B$249,0),40),"")</f>
        <v/>
      </c>
      <c r="O231" s="70" t="str">
        <f>IFERROR(INDEX('Controles de Corrupción'!$C$10:$AY$251,MATCH(A231,'Controles de Corrupción'!$B$10:$B$251,0),41),"")</f>
        <v/>
      </c>
      <c r="P231" s="70" t="str">
        <f>IFERROR(INDEX('Controles de Corrupción'!$C$10:$AY$251,MATCH(A231,'Controles de Corrupción'!$B$10:$B$251,0),42),"")</f>
        <v/>
      </c>
      <c r="Q231" s="186" t="str">
        <f>IFERROR(INDEX('Controles de Corrupción'!$C$10:$AY$251,MATCH(A231,'Controles de Corrupción'!$B$10:$B$251,0),47),"")</f>
        <v/>
      </c>
    </row>
    <row r="232" spans="1:17" x14ac:dyDescent="0.25">
      <c r="A232" s="115" t="s">
        <v>464</v>
      </c>
      <c r="B232" s="1014"/>
      <c r="C232" s="1017"/>
      <c r="D232" s="861"/>
      <c r="E232" s="1019"/>
      <c r="F232" s="865"/>
      <c r="G232" s="865"/>
      <c r="H232" s="867"/>
      <c r="I232" s="865"/>
      <c r="J232" s="865"/>
      <c r="K232" s="865"/>
      <c r="L232" s="865"/>
      <c r="M232" s="185" t="str">
        <f>IFERROR(INDEX('Controles de Corrupción'!$C$10:$AY$249,MATCH(A232,'Controles de Corrupción'!$B$10:$B$249,0),4),"")</f>
        <v/>
      </c>
      <c r="N232" s="70" t="str">
        <f>IFERROR(INDEX('Controles de Corrupción'!$C$10:$AY$249,MATCH(A232,'Controles de Corrupción'!$B$10:$B$249,0),40),"")</f>
        <v/>
      </c>
      <c r="O232" s="70" t="str">
        <f>IFERROR(INDEX('Controles de Corrupción'!$C$10:$AY$251,MATCH(A232,'Controles de Corrupción'!$B$10:$B$251,0),41),"")</f>
        <v/>
      </c>
      <c r="P232" s="70" t="str">
        <f>IFERROR(INDEX('Controles de Corrupción'!$C$10:$AY$251,MATCH(A232,'Controles de Corrupción'!$B$10:$B$251,0),42),"")</f>
        <v/>
      </c>
      <c r="Q232" s="186" t="str">
        <f>IFERROR(INDEX('Controles de Corrupción'!$C$10:$AY$251,MATCH(A232,'Controles de Corrupción'!$B$10:$B$251,0),47),"")</f>
        <v/>
      </c>
    </row>
    <row r="233" spans="1:17" x14ac:dyDescent="0.25">
      <c r="A233" s="115" t="s">
        <v>465</v>
      </c>
      <c r="B233" s="1014"/>
      <c r="C233" s="1017"/>
      <c r="D233" s="861"/>
      <c r="E233" s="1019"/>
      <c r="F233" s="865"/>
      <c r="G233" s="865"/>
      <c r="H233" s="867"/>
      <c r="I233" s="865"/>
      <c r="J233" s="865"/>
      <c r="K233" s="865"/>
      <c r="L233" s="865"/>
      <c r="M233" s="185" t="str">
        <f>IFERROR(INDEX('Controles de Corrupción'!$C$10:$AY$249,MATCH(A233,'Controles de Corrupción'!$B$10:$B$249,0),4),"")</f>
        <v/>
      </c>
      <c r="N233" s="70" t="str">
        <f>IFERROR(INDEX('Controles de Corrupción'!$C$10:$AY$249,MATCH(A233,'Controles de Corrupción'!$B$10:$B$249,0),40),"")</f>
        <v/>
      </c>
      <c r="O233" s="70" t="str">
        <f>IFERROR(INDEX('Controles de Corrupción'!$C$10:$AY$251,MATCH(A233,'Controles de Corrupción'!$B$10:$B$251,0),41),"")</f>
        <v/>
      </c>
      <c r="P233" s="70" t="str">
        <f>IFERROR(INDEX('Controles de Corrupción'!$C$10:$AY$251,MATCH(A233,'Controles de Corrupción'!$B$10:$B$251,0),42),"")</f>
        <v/>
      </c>
      <c r="Q233" s="186" t="str">
        <f>IFERROR(INDEX('Controles de Corrupción'!$C$10:$AY$251,MATCH(A233,'Controles de Corrupción'!$B$10:$B$251,0),47),"")</f>
        <v/>
      </c>
    </row>
    <row r="234" spans="1:17" x14ac:dyDescent="0.25">
      <c r="A234" s="115" t="s">
        <v>466</v>
      </c>
      <c r="B234" s="1015"/>
      <c r="C234" s="1017"/>
      <c r="D234" s="861"/>
      <c r="E234" s="1019"/>
      <c r="F234" s="865"/>
      <c r="G234" s="865"/>
      <c r="H234" s="867"/>
      <c r="I234" s="865"/>
      <c r="J234" s="865"/>
      <c r="K234" s="865"/>
      <c r="L234" s="865"/>
      <c r="M234" s="185" t="str">
        <f>IFERROR(INDEX('Controles de Corrupción'!$C$10:$AY$249,MATCH(A234,'Controles de Corrupción'!$B$10:$B$249,0),4),"")</f>
        <v/>
      </c>
      <c r="N234" s="70" t="str">
        <f>IFERROR(INDEX('Controles de Corrupción'!$C$10:$AY$249,MATCH(A234,'Controles de Corrupción'!$B$10:$B$249,0),40),"")</f>
        <v/>
      </c>
      <c r="O234" s="70" t="str">
        <f>IFERROR(INDEX('Controles de Corrupción'!$C$10:$AY$251,MATCH(A234,'Controles de Corrupción'!$B$10:$B$251,0),41),"")</f>
        <v/>
      </c>
      <c r="P234" s="70" t="str">
        <f>IFERROR(INDEX('Controles de Corrupción'!$C$10:$AY$251,MATCH(A234,'Controles de Corrupción'!$B$10:$B$251,0),42),"")</f>
        <v/>
      </c>
      <c r="Q234" s="186" t="str">
        <f>IFERROR(INDEX('Controles de Corrupción'!$C$10:$AY$251,MATCH(A234,'Controles de Corrupción'!$B$10:$B$251,0),47),"")</f>
        <v/>
      </c>
    </row>
    <row r="235" spans="1:17" x14ac:dyDescent="0.25">
      <c r="A235" s="115" t="s">
        <v>467</v>
      </c>
      <c r="B235" s="1013"/>
      <c r="C235" s="1016" t="str">
        <f>IFERROR(INDEX('Riesgos de Corrupción'!$B$11:$BN$100,MATCH('Mapa Riesgo Corrupción'!B235,'Riesgos de Corrupción'!$B$11:$B$100,0),2),"")</f>
        <v/>
      </c>
      <c r="D235" s="860" t="str">
        <f>IFERROR(INDEX('Riesgos de Corrupción'!$B$11:$BN$100,MATCH('Mapa Riesgo Corrupción'!B235,'Riesgos de Corrupción'!$B$11:$B$100,0),4),"")</f>
        <v/>
      </c>
      <c r="E235" s="1018" t="str">
        <f>IFERROR(INDEX('Riesgos de Corrupción'!$B$11:$BN$100,MATCH('Mapa Riesgo Corrupción'!B235,'Riesgos de Corrupción'!$B$11:$B$100,0),5),"")</f>
        <v/>
      </c>
      <c r="F235" s="865" t="str">
        <f>IFERROR(INDEX('Riesgos de Corrupción'!$B$11:$BN$100,MATCH('Mapa Riesgo Corrupción'!B235,'Riesgos de Corrupción'!$B$11:$B$100,0),18),"")</f>
        <v/>
      </c>
      <c r="G235" s="865" t="str">
        <f>IFERROR(INDEX('Riesgos de Corrupción'!$B$11:$BN$100,MATCH('Mapa Riesgo Corrupción'!B235,'Riesgos de Corrupción'!$B$11:$B$100,0),63),"")</f>
        <v/>
      </c>
      <c r="H235" s="867" t="str">
        <f>IFERROR(INDEX('Riesgos de Corrupción'!$B$11:$BN$100,MATCH('Mapa Riesgo Corrupción'!B235,'Riesgos de Corrupción'!$B$11:$B$100,0),64),"")</f>
        <v/>
      </c>
      <c r="I235" s="865" t="str">
        <f>IFERROR(INDEX('Controles de Corrupción'!$C$10:$AY$251,MATCH('Mapa Riesgo Corrupción'!B235,'Controles de Corrupción'!#REF!,0),33),"")</f>
        <v/>
      </c>
      <c r="J235" s="865" t="str">
        <f>IFERROR(INDEX('Controles de Corrupción'!$C$10:$AY$251,MATCH('Mapa Riesgo Corrupción'!B235,'Controles de Corrupción'!#REF!,0),36),"")</f>
        <v/>
      </c>
      <c r="K235" s="865" t="str">
        <f>IFERROR(INDEX('Controles de Corrupción'!$C$10:$AY$251,MATCH('Mapa Riesgo Corrupción'!B235,'Controles de Corrupción'!#REF!,0),37),"")</f>
        <v/>
      </c>
      <c r="L235" s="865" t="str">
        <f>IFERROR(INDEX('Controles de Corrupción'!$C$10:$AY$251,MATCH('Mapa Riesgo Corrupción'!B235,'Controles de Corrupción'!#REF!,0),38),"")</f>
        <v/>
      </c>
      <c r="M235" s="185" t="str">
        <f>IFERROR(INDEX('Controles de Corrupción'!$C$10:$AY$249,MATCH(A235,'Controles de Corrupción'!$B$10:$B$249,0),4),"")</f>
        <v/>
      </c>
      <c r="N235" s="70" t="str">
        <f>IFERROR(INDEX('Controles de Corrupción'!$C$10:$AY$249,MATCH(A235,'Controles de Corrupción'!$B$10:$B$249,0),40),"")</f>
        <v/>
      </c>
      <c r="O235" s="70" t="str">
        <f>IFERROR(INDEX('Controles de Corrupción'!$C$10:$AY$251,MATCH(A235,'Controles de Corrupción'!$B$10:$B$251,0),41),"")</f>
        <v/>
      </c>
      <c r="P235" s="70" t="str">
        <f>IFERROR(INDEX('Controles de Corrupción'!$C$10:$AY$251,MATCH(A235,'Controles de Corrupción'!$B$10:$B$251,0),42),"")</f>
        <v/>
      </c>
      <c r="Q235" s="186" t="str">
        <f>IFERROR(INDEX('Controles de Corrupción'!$C$10:$AY$251,MATCH(A235,'Controles de Corrupción'!$B$10:$B$251,0),47),"")</f>
        <v/>
      </c>
    </row>
    <row r="236" spans="1:17" x14ac:dyDescent="0.25">
      <c r="A236" s="115" t="s">
        <v>468</v>
      </c>
      <c r="B236" s="1014"/>
      <c r="C236" s="1017"/>
      <c r="D236" s="861"/>
      <c r="E236" s="1019"/>
      <c r="F236" s="865"/>
      <c r="G236" s="865"/>
      <c r="H236" s="867"/>
      <c r="I236" s="865"/>
      <c r="J236" s="865"/>
      <c r="K236" s="865"/>
      <c r="L236" s="865"/>
      <c r="M236" s="185" t="str">
        <f>IFERROR(INDEX('Controles de Corrupción'!$C$10:$AY$249,MATCH(A236,'Controles de Corrupción'!$B$10:$B$249,0),4),"")</f>
        <v/>
      </c>
      <c r="N236" s="70" t="str">
        <f>IFERROR(INDEX('Controles de Corrupción'!$C$10:$AY$249,MATCH(A236,'Controles de Corrupción'!$B$10:$B$249,0),40),"")</f>
        <v/>
      </c>
      <c r="O236" s="70" t="str">
        <f>IFERROR(INDEX('Controles de Corrupción'!$C$10:$AY$251,MATCH(A236,'Controles de Corrupción'!$B$10:$B$251,0),41),"")</f>
        <v/>
      </c>
      <c r="P236" s="70" t="str">
        <f>IFERROR(INDEX('Controles de Corrupción'!$C$10:$AY$251,MATCH(A236,'Controles de Corrupción'!$B$10:$B$251,0),42),"")</f>
        <v/>
      </c>
      <c r="Q236" s="186" t="str">
        <f>IFERROR(INDEX('Controles de Corrupción'!$C$10:$AY$251,MATCH(A236,'Controles de Corrupción'!$B$10:$B$251,0),47),"")</f>
        <v/>
      </c>
    </row>
    <row r="237" spans="1:17" x14ac:dyDescent="0.25">
      <c r="A237" s="115" t="s">
        <v>469</v>
      </c>
      <c r="B237" s="1014"/>
      <c r="C237" s="1017"/>
      <c r="D237" s="861"/>
      <c r="E237" s="1019"/>
      <c r="F237" s="865"/>
      <c r="G237" s="865"/>
      <c r="H237" s="867"/>
      <c r="I237" s="865"/>
      <c r="J237" s="865"/>
      <c r="K237" s="865"/>
      <c r="L237" s="865"/>
      <c r="M237" s="185" t="str">
        <f>IFERROR(INDEX('Controles de Corrupción'!$C$10:$AY$249,MATCH(A237,'Controles de Corrupción'!$B$10:$B$249,0),4),"")</f>
        <v/>
      </c>
      <c r="N237" s="70" t="str">
        <f>IFERROR(INDEX('Controles de Corrupción'!$C$10:$AY$249,MATCH(A237,'Controles de Corrupción'!$B$10:$B$249,0),40),"")</f>
        <v/>
      </c>
      <c r="O237" s="70" t="str">
        <f>IFERROR(INDEX('Controles de Corrupción'!$C$10:$AY$251,MATCH(A237,'Controles de Corrupción'!$B$10:$B$251,0),41),"")</f>
        <v/>
      </c>
      <c r="P237" s="70" t="str">
        <f>IFERROR(INDEX('Controles de Corrupción'!$C$10:$AY$251,MATCH(A237,'Controles de Corrupción'!$B$10:$B$251,0),42),"")</f>
        <v/>
      </c>
      <c r="Q237" s="186" t="str">
        <f>IFERROR(INDEX('Controles de Corrupción'!$C$10:$AY$251,MATCH(A237,'Controles de Corrupción'!$B$10:$B$251,0),47),"")</f>
        <v/>
      </c>
    </row>
    <row r="238" spans="1:17" x14ac:dyDescent="0.25">
      <c r="A238" s="115" t="s">
        <v>470</v>
      </c>
      <c r="B238" s="1014"/>
      <c r="C238" s="1017"/>
      <c r="D238" s="861"/>
      <c r="E238" s="1019"/>
      <c r="F238" s="865"/>
      <c r="G238" s="865"/>
      <c r="H238" s="867"/>
      <c r="I238" s="865"/>
      <c r="J238" s="865"/>
      <c r="K238" s="865"/>
      <c r="L238" s="865"/>
      <c r="M238" s="185" t="str">
        <f>IFERROR(INDEX('Controles de Corrupción'!$C$10:$AY$249,MATCH(A238,'Controles de Corrupción'!$B$10:$B$249,0),4),"")</f>
        <v/>
      </c>
      <c r="N238" s="70" t="str">
        <f>IFERROR(INDEX('Controles de Corrupción'!$C$10:$AY$249,MATCH(A238,'Controles de Corrupción'!$B$10:$B$249,0),40),"")</f>
        <v/>
      </c>
      <c r="O238" s="70" t="str">
        <f>IFERROR(INDEX('Controles de Corrupción'!$C$10:$AY$251,MATCH(A238,'Controles de Corrupción'!$B$10:$B$251,0),41),"")</f>
        <v/>
      </c>
      <c r="P238" s="70" t="str">
        <f>IFERROR(INDEX('Controles de Corrupción'!$C$10:$AY$251,MATCH(A238,'Controles de Corrupción'!$B$10:$B$251,0),42),"")</f>
        <v/>
      </c>
      <c r="Q238" s="186" t="str">
        <f>IFERROR(INDEX('Controles de Corrupción'!$C$10:$AY$251,MATCH(A238,'Controles de Corrupción'!$B$10:$B$251,0),47),"")</f>
        <v/>
      </c>
    </row>
    <row r="239" spans="1:17" x14ac:dyDescent="0.25">
      <c r="A239" s="115" t="s">
        <v>471</v>
      </c>
      <c r="B239" s="1014"/>
      <c r="C239" s="1017"/>
      <c r="D239" s="861"/>
      <c r="E239" s="1019"/>
      <c r="F239" s="865"/>
      <c r="G239" s="865"/>
      <c r="H239" s="867"/>
      <c r="I239" s="865"/>
      <c r="J239" s="865"/>
      <c r="K239" s="865"/>
      <c r="L239" s="865"/>
      <c r="M239" s="185" t="str">
        <f>IFERROR(INDEX('Controles de Corrupción'!$C$10:$AY$249,MATCH(A239,'Controles de Corrupción'!$B$10:$B$249,0),4),"")</f>
        <v/>
      </c>
      <c r="N239" s="70" t="str">
        <f>IFERROR(INDEX('Controles de Corrupción'!$C$10:$AY$249,MATCH(A239,'Controles de Corrupción'!$B$10:$B$249,0),40),"")</f>
        <v/>
      </c>
      <c r="O239" s="70" t="str">
        <f>IFERROR(INDEX('Controles de Corrupción'!$C$10:$AY$251,MATCH(A239,'Controles de Corrupción'!$B$10:$B$251,0),41),"")</f>
        <v/>
      </c>
      <c r="P239" s="70" t="str">
        <f>IFERROR(INDEX('Controles de Corrupción'!$C$10:$AY$251,MATCH(A239,'Controles de Corrupción'!$B$10:$B$251,0),42),"")</f>
        <v/>
      </c>
      <c r="Q239" s="186" t="str">
        <f>IFERROR(INDEX('Controles de Corrupción'!$C$10:$AY$251,MATCH(A239,'Controles de Corrupción'!$B$10:$B$251,0),47),"")</f>
        <v/>
      </c>
    </row>
    <row r="240" spans="1:17" x14ac:dyDescent="0.25">
      <c r="A240" s="115" t="s">
        <v>472</v>
      </c>
      <c r="B240" s="1015"/>
      <c r="C240" s="1017"/>
      <c r="D240" s="861"/>
      <c r="E240" s="1019"/>
      <c r="F240" s="865"/>
      <c r="G240" s="865"/>
      <c r="H240" s="867"/>
      <c r="I240" s="865"/>
      <c r="J240" s="865"/>
      <c r="K240" s="865"/>
      <c r="L240" s="865"/>
      <c r="M240" s="185" t="str">
        <f>IFERROR(INDEX('Controles de Corrupción'!$C$10:$AY$249,MATCH(A240,'Controles de Corrupción'!$B$10:$B$249,0),4),"")</f>
        <v/>
      </c>
      <c r="N240" s="70" t="str">
        <f>IFERROR(INDEX('Controles de Corrupción'!$C$10:$AY$249,MATCH(A240,'Controles de Corrupción'!$B$10:$B$249,0),40),"")</f>
        <v/>
      </c>
      <c r="O240" s="70" t="str">
        <f>IFERROR(INDEX('Controles de Corrupción'!$C$10:$AY$251,MATCH(A240,'Controles de Corrupción'!$B$10:$B$251,0),41),"")</f>
        <v/>
      </c>
      <c r="P240" s="70" t="str">
        <f>IFERROR(INDEX('Controles de Corrupción'!$C$10:$AY$251,MATCH(A240,'Controles de Corrupción'!$B$10:$B$251,0),42),"")</f>
        <v/>
      </c>
      <c r="Q240" s="186" t="str">
        <f>IFERROR(INDEX('Controles de Corrupción'!$C$10:$AY$251,MATCH(A240,'Controles de Corrupción'!$B$10:$B$251,0),47),"")</f>
        <v/>
      </c>
    </row>
    <row r="241" spans="1:17" x14ac:dyDescent="0.25">
      <c r="A241" s="115" t="s">
        <v>473</v>
      </c>
      <c r="B241" s="1013"/>
      <c r="C241" s="1016" t="str">
        <f>IFERROR(INDEX('Riesgos de Corrupción'!$B$11:$BN$100,MATCH('Mapa Riesgo Corrupción'!B241,'Riesgos de Corrupción'!$B$11:$B$100,0),2),"")</f>
        <v/>
      </c>
      <c r="D241" s="860" t="str">
        <f>IFERROR(INDEX('Riesgos de Corrupción'!$B$11:$BN$100,MATCH('Mapa Riesgo Corrupción'!B241,'Riesgos de Corrupción'!$B$11:$B$100,0),4),"")</f>
        <v/>
      </c>
      <c r="E241" s="1018" t="str">
        <f>IFERROR(INDEX('Riesgos de Corrupción'!$B$11:$BN$100,MATCH('Mapa Riesgo Corrupción'!B241,'Riesgos de Corrupción'!$B$11:$B$100,0),5),"")</f>
        <v/>
      </c>
      <c r="F241" s="865" t="str">
        <f>IFERROR(INDEX('Riesgos de Corrupción'!$B$11:$BN$100,MATCH('Mapa Riesgo Corrupción'!B241,'Riesgos de Corrupción'!$B$11:$B$100,0),18),"")</f>
        <v/>
      </c>
      <c r="G241" s="865" t="str">
        <f>IFERROR(INDEX('Riesgos de Corrupción'!$B$11:$BN$100,MATCH('Mapa Riesgo Corrupción'!B241,'Riesgos de Corrupción'!$B$11:$B$100,0),63),"")</f>
        <v/>
      </c>
      <c r="H241" s="867" t="str">
        <f>IFERROR(INDEX('Riesgos de Corrupción'!$B$11:$BN$100,MATCH('Mapa Riesgo Corrupción'!B241,'Riesgos de Corrupción'!$B$11:$B$100,0),64),"")</f>
        <v/>
      </c>
      <c r="I241" s="865" t="str">
        <f>IFERROR(INDEX('Controles de Corrupción'!$C$10:$AY$251,MATCH('Mapa Riesgo Corrupción'!B241,'Controles de Corrupción'!#REF!,0),33),"")</f>
        <v/>
      </c>
      <c r="J241" s="865" t="str">
        <f>IFERROR(INDEX('Controles de Corrupción'!$C$10:$AY$251,MATCH('Mapa Riesgo Corrupción'!B241,'Controles de Corrupción'!#REF!,0),36),"")</f>
        <v/>
      </c>
      <c r="K241" s="865" t="str">
        <f>IFERROR(INDEX('Controles de Corrupción'!$C$10:$AY$251,MATCH('Mapa Riesgo Corrupción'!B241,'Controles de Corrupción'!#REF!,0),37),"")</f>
        <v/>
      </c>
      <c r="L241" s="865" t="str">
        <f>IFERROR(INDEX('Controles de Corrupción'!$C$10:$AY$251,MATCH('Mapa Riesgo Corrupción'!B241,'Controles de Corrupción'!#REF!,0),38),"")</f>
        <v/>
      </c>
      <c r="M241" s="185" t="str">
        <f>IFERROR(INDEX('Controles de Corrupción'!$C$10:$AY$249,MATCH(A241,'Controles de Corrupción'!$B$10:$B$249,0),4),"")</f>
        <v/>
      </c>
      <c r="N241" s="70" t="str">
        <f>IFERROR(INDEX('Controles de Corrupción'!$C$10:$AY$249,MATCH(A241,'Controles de Corrupción'!$B$10:$B$249,0),40),"")</f>
        <v/>
      </c>
      <c r="O241" s="70" t="str">
        <f>IFERROR(INDEX('Controles de Corrupción'!$C$10:$AY$251,MATCH(A241,'Controles de Corrupción'!$B$10:$B$251,0),41),"")</f>
        <v/>
      </c>
      <c r="P241" s="70" t="str">
        <f>IFERROR(INDEX('Controles de Corrupción'!$C$10:$AY$251,MATCH(A241,'Controles de Corrupción'!$B$10:$B$251,0),42),"")</f>
        <v/>
      </c>
      <c r="Q241" s="186" t="str">
        <f>IFERROR(INDEX('Controles de Corrupción'!$C$10:$AY$251,MATCH(A241,'Controles de Corrupción'!$B$10:$B$251,0),47),"")</f>
        <v/>
      </c>
    </row>
    <row r="242" spans="1:17" x14ac:dyDescent="0.25">
      <c r="A242" s="115" t="s">
        <v>474</v>
      </c>
      <c r="B242" s="1014"/>
      <c r="C242" s="1017"/>
      <c r="D242" s="861"/>
      <c r="E242" s="1019"/>
      <c r="F242" s="865"/>
      <c r="G242" s="865"/>
      <c r="H242" s="867"/>
      <c r="I242" s="865"/>
      <c r="J242" s="865"/>
      <c r="K242" s="865"/>
      <c r="L242" s="865"/>
      <c r="M242" s="185" t="str">
        <f>IFERROR(INDEX('Controles de Corrupción'!$C$10:$AY$249,MATCH(A242,'Controles de Corrupción'!$B$10:$B$249,0),4),"")</f>
        <v/>
      </c>
      <c r="N242" s="70" t="str">
        <f>IFERROR(INDEX('Controles de Corrupción'!$C$10:$AY$249,MATCH(A242,'Controles de Corrupción'!$B$10:$B$249,0),40),"")</f>
        <v/>
      </c>
      <c r="O242" s="70" t="str">
        <f>IFERROR(INDEX('Controles de Corrupción'!$C$10:$AY$251,MATCH(A242,'Controles de Corrupción'!$B$10:$B$251,0),41),"")</f>
        <v/>
      </c>
      <c r="P242" s="70" t="str">
        <f>IFERROR(INDEX('Controles de Corrupción'!$C$10:$AY$251,MATCH(A242,'Controles de Corrupción'!$B$10:$B$251,0),42),"")</f>
        <v/>
      </c>
      <c r="Q242" s="186" t="str">
        <f>IFERROR(INDEX('Controles de Corrupción'!$C$10:$AY$251,MATCH(A242,'Controles de Corrupción'!$B$10:$B$251,0),47),"")</f>
        <v/>
      </c>
    </row>
    <row r="243" spans="1:17" x14ac:dyDescent="0.25">
      <c r="A243" s="115" t="s">
        <v>475</v>
      </c>
      <c r="B243" s="1014"/>
      <c r="C243" s="1017"/>
      <c r="D243" s="861"/>
      <c r="E243" s="1019"/>
      <c r="F243" s="865"/>
      <c r="G243" s="865"/>
      <c r="H243" s="867"/>
      <c r="I243" s="865"/>
      <c r="J243" s="865"/>
      <c r="K243" s="865"/>
      <c r="L243" s="865"/>
      <c r="M243" s="185" t="str">
        <f>IFERROR(INDEX('Controles de Corrupción'!$C$10:$AY$249,MATCH(A243,'Controles de Corrupción'!$B$10:$B$249,0),4),"")</f>
        <v/>
      </c>
      <c r="N243" s="70" t="str">
        <f>IFERROR(INDEX('Controles de Corrupción'!$C$10:$AY$249,MATCH(A243,'Controles de Corrupción'!$B$10:$B$249,0),40),"")</f>
        <v/>
      </c>
      <c r="O243" s="70" t="str">
        <f>IFERROR(INDEX('Controles de Corrupción'!$C$10:$AY$251,MATCH(A243,'Controles de Corrupción'!$B$10:$B$251,0),41),"")</f>
        <v/>
      </c>
      <c r="P243" s="70" t="str">
        <f>IFERROR(INDEX('Controles de Corrupción'!$C$10:$AY$251,MATCH(A243,'Controles de Corrupción'!$B$10:$B$251,0),42),"")</f>
        <v/>
      </c>
      <c r="Q243" s="186" t="str">
        <f>IFERROR(INDEX('Controles de Corrupción'!$C$10:$AY$251,MATCH(A243,'Controles de Corrupción'!$B$10:$B$251,0),47),"")</f>
        <v/>
      </c>
    </row>
    <row r="244" spans="1:17" x14ac:dyDescent="0.25">
      <c r="A244" s="115" t="s">
        <v>476</v>
      </c>
      <c r="B244" s="1014"/>
      <c r="C244" s="1017"/>
      <c r="D244" s="861"/>
      <c r="E244" s="1019"/>
      <c r="F244" s="865"/>
      <c r="G244" s="865"/>
      <c r="H244" s="867"/>
      <c r="I244" s="865"/>
      <c r="J244" s="865"/>
      <c r="K244" s="865"/>
      <c r="L244" s="865"/>
      <c r="M244" s="185" t="str">
        <f>IFERROR(INDEX('Controles de Corrupción'!$C$10:$AY$249,MATCH(A244,'Controles de Corrupción'!$B$10:$B$249,0),4),"")</f>
        <v/>
      </c>
      <c r="N244" s="70" t="str">
        <f>IFERROR(INDEX('Controles de Corrupción'!$C$10:$AY$249,MATCH(A244,'Controles de Corrupción'!$B$10:$B$249,0),40),"")</f>
        <v/>
      </c>
      <c r="O244" s="70" t="str">
        <f>IFERROR(INDEX('Controles de Corrupción'!$C$10:$AY$251,MATCH(A244,'Controles de Corrupción'!$B$10:$B$251,0),41),"")</f>
        <v/>
      </c>
      <c r="P244" s="70" t="str">
        <f>IFERROR(INDEX('Controles de Corrupción'!$C$10:$AY$251,MATCH(A244,'Controles de Corrupción'!$B$10:$B$251,0),42),"")</f>
        <v/>
      </c>
      <c r="Q244" s="186" t="str">
        <f>IFERROR(INDEX('Controles de Corrupción'!$C$10:$AY$251,MATCH(A244,'Controles de Corrupción'!$B$10:$B$251,0),47),"")</f>
        <v/>
      </c>
    </row>
    <row r="245" spans="1:17" x14ac:dyDescent="0.25">
      <c r="A245" s="115" t="s">
        <v>477</v>
      </c>
      <c r="B245" s="1014"/>
      <c r="C245" s="1017"/>
      <c r="D245" s="861"/>
      <c r="E245" s="1019"/>
      <c r="F245" s="865"/>
      <c r="G245" s="865"/>
      <c r="H245" s="867"/>
      <c r="I245" s="865"/>
      <c r="J245" s="865"/>
      <c r="K245" s="865"/>
      <c r="L245" s="865"/>
      <c r="M245" s="185" t="str">
        <f>IFERROR(INDEX('Controles de Corrupción'!$C$10:$AY$249,MATCH(A245,'Controles de Corrupción'!$B$10:$B$249,0),4),"")</f>
        <v/>
      </c>
      <c r="N245" s="70" t="str">
        <f>IFERROR(INDEX('Controles de Corrupción'!$C$10:$AY$249,MATCH(A245,'Controles de Corrupción'!$B$10:$B$249,0),40),"")</f>
        <v/>
      </c>
      <c r="O245" s="70" t="str">
        <f>IFERROR(INDEX('Controles de Corrupción'!$C$10:$AY$251,MATCH(A245,'Controles de Corrupción'!$B$10:$B$251,0),41),"")</f>
        <v/>
      </c>
      <c r="P245" s="70" t="str">
        <f>IFERROR(INDEX('Controles de Corrupción'!$C$10:$AY$251,MATCH(A245,'Controles de Corrupción'!$B$10:$B$251,0),42),"")</f>
        <v/>
      </c>
      <c r="Q245" s="186" t="str">
        <f>IFERROR(INDEX('Controles de Corrupción'!$C$10:$AY$251,MATCH(A245,'Controles de Corrupción'!$B$10:$B$251,0),47),"")</f>
        <v/>
      </c>
    </row>
    <row r="246" spans="1:17" x14ac:dyDescent="0.25">
      <c r="A246" s="115" t="s">
        <v>478</v>
      </c>
      <c r="B246" s="1015"/>
      <c r="C246" s="1017"/>
      <c r="D246" s="861"/>
      <c r="E246" s="1019"/>
      <c r="F246" s="865"/>
      <c r="G246" s="865"/>
      <c r="H246" s="867"/>
      <c r="I246" s="865"/>
      <c r="J246" s="865"/>
      <c r="K246" s="865"/>
      <c r="L246" s="865"/>
      <c r="M246" s="185" t="str">
        <f>IFERROR(INDEX('Controles de Corrupción'!$C$10:$AY$249,MATCH(A246,'Controles de Corrupción'!$B$10:$B$249,0),4),"")</f>
        <v/>
      </c>
      <c r="N246" s="70" t="str">
        <f>IFERROR(INDEX('Controles de Corrupción'!$C$10:$AY$249,MATCH(A246,'Controles de Corrupción'!$B$10:$B$249,0),40),"")</f>
        <v/>
      </c>
      <c r="O246" s="70" t="str">
        <f>IFERROR(INDEX('Controles de Corrupción'!$C$10:$AY$251,MATCH(A246,'Controles de Corrupción'!$B$10:$B$251,0),41),"")</f>
        <v/>
      </c>
      <c r="P246" s="70" t="str">
        <f>IFERROR(INDEX('Controles de Corrupción'!$C$10:$AY$251,MATCH(A246,'Controles de Corrupción'!$B$10:$B$251,0),42),"")</f>
        <v/>
      </c>
      <c r="Q246" s="186" t="str">
        <f>IFERROR(INDEX('Controles de Corrupción'!$C$10:$AY$251,MATCH(A246,'Controles de Corrupción'!$B$10:$B$251,0),47),"")</f>
        <v/>
      </c>
    </row>
    <row r="247" spans="1:17" x14ac:dyDescent="0.25">
      <c r="A247" s="115" t="s">
        <v>479</v>
      </c>
      <c r="B247" s="1013"/>
      <c r="C247" s="1016" t="str">
        <f>IFERROR(INDEX('Riesgos de Corrupción'!$B$11:$BN$100,MATCH('Mapa Riesgo Corrupción'!B247,'Riesgos de Corrupción'!$B$11:$B$100,0),2),"")</f>
        <v/>
      </c>
      <c r="D247" s="860" t="str">
        <f>IFERROR(INDEX('Riesgos de Corrupción'!$B$11:$BN$100,MATCH('Mapa Riesgo Corrupción'!B247,'Riesgos de Corrupción'!$B$11:$B$100,0),4),"")</f>
        <v/>
      </c>
      <c r="E247" s="1018" t="str">
        <f>IFERROR(INDEX('Riesgos de Corrupción'!$B$11:$BN$100,MATCH('Mapa Riesgo Corrupción'!B247,'Riesgos de Corrupción'!$B$11:$B$100,0),5),"")</f>
        <v/>
      </c>
      <c r="F247" s="865" t="str">
        <f>IFERROR(INDEX('Riesgos de Corrupción'!$B$11:$BN$100,MATCH('Mapa Riesgo Corrupción'!B247,'Riesgos de Corrupción'!$B$11:$B$100,0),18),"")</f>
        <v/>
      </c>
      <c r="G247" s="865" t="str">
        <f>IFERROR(INDEX('Riesgos de Corrupción'!$B$11:$BN$100,MATCH('Mapa Riesgo Corrupción'!B247,'Riesgos de Corrupción'!$B$11:$B$100,0),63),"")</f>
        <v/>
      </c>
      <c r="H247" s="867" t="str">
        <f>IFERROR(INDEX('Riesgos de Corrupción'!$B$11:$BN$100,MATCH('Mapa Riesgo Corrupción'!B247,'Riesgos de Corrupción'!$B$11:$B$100,0),64),"")</f>
        <v/>
      </c>
      <c r="I247" s="865" t="str">
        <f>IFERROR(INDEX('Controles de Corrupción'!$C$10:$AY$251,MATCH('Mapa Riesgo Corrupción'!B247,'Controles de Corrupción'!#REF!,0),33),"")</f>
        <v/>
      </c>
      <c r="J247" s="865" t="str">
        <f>IFERROR(INDEX('Controles de Corrupción'!$C$10:$AY$251,MATCH('Mapa Riesgo Corrupción'!B247,'Controles de Corrupción'!#REF!,0),36),"")</f>
        <v/>
      </c>
      <c r="K247" s="865" t="str">
        <f>IFERROR(INDEX('Controles de Corrupción'!$C$10:$AY$251,MATCH('Mapa Riesgo Corrupción'!B247,'Controles de Corrupción'!#REF!,0),37),"")</f>
        <v/>
      </c>
      <c r="L247" s="865" t="str">
        <f>IFERROR(INDEX('Controles de Corrupción'!$C$10:$AY$251,MATCH('Mapa Riesgo Corrupción'!B247,'Controles de Corrupción'!#REF!,0),38),"")</f>
        <v/>
      </c>
      <c r="M247" s="185" t="str">
        <f>IFERROR(INDEX('Controles de Corrupción'!$C$10:$AY$249,MATCH(A247,'Controles de Corrupción'!$B$10:$B$249,0),4),"")</f>
        <v/>
      </c>
      <c r="N247" s="70" t="str">
        <f>IFERROR(INDEX('Controles de Corrupción'!$C$10:$AY$249,MATCH(A247,'Controles de Corrupción'!$B$10:$B$249,0),40),"")</f>
        <v/>
      </c>
      <c r="O247" s="70" t="str">
        <f>IFERROR(INDEX('Controles de Corrupción'!$C$10:$AY$251,MATCH(A247,'Controles de Corrupción'!$B$10:$B$251,0),41),"")</f>
        <v/>
      </c>
      <c r="P247" s="70" t="str">
        <f>IFERROR(INDEX('Controles de Corrupción'!$C$10:$AY$251,MATCH(A247,'Controles de Corrupción'!$B$10:$B$251,0),42),"")</f>
        <v/>
      </c>
      <c r="Q247" s="186" t="str">
        <f>IFERROR(INDEX('Controles de Corrupción'!$C$10:$AY$251,MATCH(A247,'Controles de Corrupción'!$B$10:$B$251,0),47),"")</f>
        <v/>
      </c>
    </row>
    <row r="248" spans="1:17" x14ac:dyDescent="0.25">
      <c r="A248" s="115" t="s">
        <v>480</v>
      </c>
      <c r="B248" s="1014"/>
      <c r="C248" s="1017"/>
      <c r="D248" s="861"/>
      <c r="E248" s="1019"/>
      <c r="F248" s="865"/>
      <c r="G248" s="865"/>
      <c r="H248" s="867"/>
      <c r="I248" s="865"/>
      <c r="J248" s="865"/>
      <c r="K248" s="865"/>
      <c r="L248" s="865"/>
      <c r="M248" s="185" t="str">
        <f>IFERROR(INDEX('Controles de Corrupción'!$C$10:$AY$249,MATCH(A248,'Controles de Corrupción'!$B$10:$B$249,0),4),"")</f>
        <v/>
      </c>
      <c r="N248" s="70" t="str">
        <f>IFERROR(INDEX('Controles de Corrupción'!$C$10:$AY$249,MATCH(A248,'Controles de Corrupción'!$B$10:$B$249,0),40),"")</f>
        <v/>
      </c>
      <c r="O248" s="70" t="str">
        <f>IFERROR(INDEX('Controles de Corrupción'!$C$10:$AY$251,MATCH(A248,'Controles de Corrupción'!$B$10:$B$251,0),41),"")</f>
        <v/>
      </c>
      <c r="P248" s="70" t="str">
        <f>IFERROR(INDEX('Controles de Corrupción'!$C$10:$AY$251,MATCH(A248,'Controles de Corrupción'!$B$10:$B$251,0),42),"")</f>
        <v/>
      </c>
      <c r="Q248" s="186" t="str">
        <f>IFERROR(INDEX('Controles de Corrupción'!$C$10:$AY$251,MATCH(A248,'Controles de Corrupción'!$B$10:$B$251,0),47),"")</f>
        <v/>
      </c>
    </row>
    <row r="249" spans="1:17" x14ac:dyDescent="0.25">
      <c r="A249" s="115" t="s">
        <v>481</v>
      </c>
      <c r="B249" s="1014"/>
      <c r="C249" s="1017"/>
      <c r="D249" s="861"/>
      <c r="E249" s="1019"/>
      <c r="F249" s="865"/>
      <c r="G249" s="865"/>
      <c r="H249" s="867"/>
      <c r="I249" s="865"/>
      <c r="J249" s="865"/>
      <c r="K249" s="865"/>
      <c r="L249" s="865"/>
      <c r="M249" s="185" t="str">
        <f>IFERROR(INDEX('Controles de Corrupción'!$C$10:$AY$249,MATCH(A249,'Controles de Corrupción'!$B$10:$B$249,0),4),"")</f>
        <v/>
      </c>
      <c r="N249" s="70" t="str">
        <f>IFERROR(INDEX('Controles de Corrupción'!$C$10:$AY$249,MATCH(A249,'Controles de Corrupción'!$B$10:$B$249,0),40),"")</f>
        <v/>
      </c>
      <c r="O249" s="70" t="str">
        <f>IFERROR(INDEX('Controles de Corrupción'!$C$10:$AY$251,MATCH(A249,'Controles de Corrupción'!$B$10:$B$251,0),41),"")</f>
        <v/>
      </c>
      <c r="P249" s="70" t="str">
        <f>IFERROR(INDEX('Controles de Corrupción'!$C$10:$AY$251,MATCH(A249,'Controles de Corrupción'!$B$10:$B$251,0),42),"")</f>
        <v/>
      </c>
      <c r="Q249" s="186" t="str">
        <f>IFERROR(INDEX('Controles de Corrupción'!$C$10:$AY$251,MATCH(A249,'Controles de Corrupción'!$B$10:$B$251,0),47),"")</f>
        <v/>
      </c>
    </row>
    <row r="250" spans="1:17" x14ac:dyDescent="0.25">
      <c r="A250" s="115" t="s">
        <v>482</v>
      </c>
      <c r="B250" s="1014"/>
      <c r="C250" s="1017"/>
      <c r="D250" s="861"/>
      <c r="E250" s="1019"/>
      <c r="F250" s="865"/>
      <c r="G250" s="865"/>
      <c r="H250" s="867"/>
      <c r="I250" s="865"/>
      <c r="J250" s="865"/>
      <c r="K250" s="865"/>
      <c r="L250" s="865"/>
      <c r="M250" s="185" t="str">
        <f>IFERROR(INDEX('Controles de Corrupción'!$C$10:$AY$249,MATCH(A250,'Controles de Corrupción'!$B$10:$B$249,0),4),"")</f>
        <v/>
      </c>
      <c r="N250" s="70" t="str">
        <f>IFERROR(INDEX('Controles de Corrupción'!$C$10:$AY$249,MATCH(A250,'Controles de Corrupción'!$B$10:$B$249,0),40),"")</f>
        <v/>
      </c>
      <c r="O250" s="70" t="str">
        <f>IFERROR(INDEX('Controles de Corrupción'!$C$10:$AY$251,MATCH(A250,'Controles de Corrupción'!$B$10:$B$251,0),41),"")</f>
        <v/>
      </c>
      <c r="P250" s="70" t="str">
        <f>IFERROR(INDEX('Controles de Corrupción'!$C$10:$AY$251,MATCH(A250,'Controles de Corrupción'!$B$10:$B$251,0),42),"")</f>
        <v/>
      </c>
      <c r="Q250" s="186" t="str">
        <f>IFERROR(INDEX('Controles de Corrupción'!$C$10:$AY$251,MATCH(A250,'Controles de Corrupción'!$B$10:$B$251,0),47),"")</f>
        <v/>
      </c>
    </row>
    <row r="251" spans="1:17" x14ac:dyDescent="0.25">
      <c r="A251" s="115" t="s">
        <v>483</v>
      </c>
      <c r="B251" s="1014"/>
      <c r="C251" s="1017"/>
      <c r="D251" s="861"/>
      <c r="E251" s="1019"/>
      <c r="F251" s="865"/>
      <c r="G251" s="865"/>
      <c r="H251" s="867"/>
      <c r="I251" s="865"/>
      <c r="J251" s="865"/>
      <c r="K251" s="865"/>
      <c r="L251" s="865"/>
      <c r="M251" s="185" t="str">
        <f>IFERROR(INDEX('Controles de Corrupción'!$C$10:$AY$249,MATCH(A251,'Controles de Corrupción'!$B$10:$B$249,0),4),"")</f>
        <v/>
      </c>
      <c r="N251" s="70" t="str">
        <f>IFERROR(INDEX('Controles de Corrupción'!$C$10:$AY$249,MATCH(A251,'Controles de Corrupción'!$B$10:$B$249,0),40),"")</f>
        <v/>
      </c>
      <c r="O251" s="70" t="str">
        <f>IFERROR(INDEX('Controles de Corrupción'!$C$10:$AY$251,MATCH(A251,'Controles de Corrupción'!$B$10:$B$251,0),41),"")</f>
        <v/>
      </c>
      <c r="P251" s="70" t="str">
        <f>IFERROR(INDEX('Controles de Corrupción'!$C$10:$AY$251,MATCH(A251,'Controles de Corrupción'!$B$10:$B$251,0),42),"")</f>
        <v/>
      </c>
      <c r="Q251" s="186" t="str">
        <f>IFERROR(INDEX('Controles de Corrupción'!$C$10:$AY$251,MATCH(A251,'Controles de Corrupción'!$B$10:$B$251,0),47),"")</f>
        <v/>
      </c>
    </row>
    <row r="252" spans="1:17" x14ac:dyDescent="0.25">
      <c r="A252" s="115" t="s">
        <v>484</v>
      </c>
      <c r="B252" s="1015"/>
      <c r="C252" s="1017"/>
      <c r="D252" s="861"/>
      <c r="E252" s="1019"/>
      <c r="F252" s="865"/>
      <c r="G252" s="865"/>
      <c r="H252" s="867"/>
      <c r="I252" s="865"/>
      <c r="J252" s="865"/>
      <c r="K252" s="865"/>
      <c r="L252" s="865"/>
      <c r="M252" s="185" t="str">
        <f>IFERROR(INDEX('Controles de Corrupción'!$C$10:$AY$249,MATCH(A252,'Controles de Corrupción'!$B$10:$B$249,0),4),"")</f>
        <v/>
      </c>
      <c r="N252" s="70" t="str">
        <f>IFERROR(INDEX('Controles de Corrupción'!$C$10:$AY$249,MATCH(A252,'Controles de Corrupción'!$B$10:$B$249,0),40),"")</f>
        <v/>
      </c>
      <c r="O252" s="70" t="str">
        <f>IFERROR(INDEX('Controles de Corrupción'!$C$10:$AY$251,MATCH(A252,'Controles de Corrupción'!$B$10:$B$251,0),41),"")</f>
        <v/>
      </c>
      <c r="P252" s="70" t="str">
        <f>IFERROR(INDEX('Controles de Corrupción'!$C$10:$AY$251,MATCH(A252,'Controles de Corrupción'!$B$10:$B$251,0),42),"")</f>
        <v/>
      </c>
      <c r="Q252" s="186" t="str">
        <f>IFERROR(INDEX('Controles de Corrupción'!$C$10:$AY$251,MATCH(A252,'Controles de Corrupción'!$B$10:$B$251,0),47),"")</f>
        <v/>
      </c>
    </row>
    <row r="253" spans="1:17" x14ac:dyDescent="0.25">
      <c r="A253" s="115" t="s">
        <v>485</v>
      </c>
      <c r="B253" s="1013"/>
      <c r="C253" s="1016" t="str">
        <f>IFERROR(INDEX('Riesgos de Corrupción'!$B$11:$BN$100,MATCH('Mapa Riesgo Corrupción'!B253,'Riesgos de Corrupción'!$B$11:$B$100,0),2),"")</f>
        <v/>
      </c>
      <c r="D253" s="860" t="str">
        <f>IFERROR(INDEX('Riesgos de Corrupción'!$B$11:$BN$100,MATCH('Mapa Riesgo Corrupción'!B253,'Riesgos de Corrupción'!$B$11:$B$100,0),4),"")</f>
        <v/>
      </c>
      <c r="E253" s="1018" t="str">
        <f>IFERROR(INDEX('Riesgos de Corrupción'!$B$11:$BN$100,MATCH('Mapa Riesgo Corrupción'!B253,'Riesgos de Corrupción'!$B$11:$B$100,0),5),"")</f>
        <v/>
      </c>
      <c r="F253" s="865" t="str">
        <f>IFERROR(INDEX('Riesgos de Corrupción'!$B$11:$BN$100,MATCH('Mapa Riesgo Corrupción'!B253,'Riesgos de Corrupción'!$B$11:$B$100,0),18),"")</f>
        <v/>
      </c>
      <c r="G253" s="865" t="str">
        <f>IFERROR(INDEX('Riesgos de Corrupción'!$B$11:$BN$100,MATCH('Mapa Riesgo Corrupción'!B253,'Riesgos de Corrupción'!$B$11:$B$100,0),63),"")</f>
        <v/>
      </c>
      <c r="H253" s="867" t="str">
        <f>IFERROR(INDEX('Riesgos de Corrupción'!$B$11:$BN$100,MATCH('Mapa Riesgo Corrupción'!B253,'Riesgos de Corrupción'!$B$11:$B$100,0),64),"")</f>
        <v/>
      </c>
      <c r="I253" s="865" t="str">
        <f>IFERROR(INDEX('Controles de Corrupción'!$C$10:$AY$251,MATCH('Mapa Riesgo Corrupción'!B253,'Controles de Corrupción'!#REF!,0),33),"")</f>
        <v/>
      </c>
      <c r="J253" s="865" t="str">
        <f>IFERROR(INDEX('Controles de Corrupción'!$C$10:$AY$251,MATCH('Mapa Riesgo Corrupción'!B253,'Controles de Corrupción'!#REF!,0),36),"")</f>
        <v/>
      </c>
      <c r="K253" s="865" t="str">
        <f>IFERROR(INDEX('Controles de Corrupción'!$C$10:$AY$251,MATCH('Mapa Riesgo Corrupción'!B253,'Controles de Corrupción'!#REF!,0),37),"")</f>
        <v/>
      </c>
      <c r="L253" s="865" t="str">
        <f>IFERROR(INDEX('Controles de Corrupción'!$C$10:$AY$251,MATCH('Mapa Riesgo Corrupción'!B253,'Controles de Corrupción'!#REF!,0),38),"")</f>
        <v/>
      </c>
      <c r="M253" s="185" t="str">
        <f>IFERROR(INDEX('Controles de Corrupción'!$C$10:$AY$249,MATCH(A253,'Controles de Corrupción'!$B$10:$B$249,0),4),"")</f>
        <v/>
      </c>
      <c r="N253" s="70" t="str">
        <f>IFERROR(INDEX('Controles de Corrupción'!$C$10:$AY$249,MATCH(A253,'Controles de Corrupción'!$B$10:$B$249,0),40),"")</f>
        <v/>
      </c>
      <c r="O253" s="70" t="str">
        <f>IFERROR(INDEX('Controles de Corrupción'!$C$10:$AY$251,MATCH(A253,'Controles de Corrupción'!$B$10:$B$251,0),41),"")</f>
        <v/>
      </c>
      <c r="P253" s="70" t="str">
        <f>IFERROR(INDEX('Controles de Corrupción'!$C$10:$AY$251,MATCH(A253,'Controles de Corrupción'!$B$10:$B$251,0),42),"")</f>
        <v/>
      </c>
      <c r="Q253" s="186" t="str">
        <f>IFERROR(INDEX('Controles de Corrupción'!$C$10:$AY$251,MATCH(A253,'Controles de Corrupción'!$B$10:$B$251,0),47),"")</f>
        <v/>
      </c>
    </row>
    <row r="254" spans="1:17" x14ac:dyDescent="0.25">
      <c r="A254" s="115" t="s">
        <v>486</v>
      </c>
      <c r="B254" s="1014"/>
      <c r="C254" s="1017"/>
      <c r="D254" s="861"/>
      <c r="E254" s="1019"/>
      <c r="F254" s="865"/>
      <c r="G254" s="865"/>
      <c r="H254" s="867"/>
      <c r="I254" s="865"/>
      <c r="J254" s="865"/>
      <c r="K254" s="865"/>
      <c r="L254" s="865"/>
      <c r="M254" s="185" t="str">
        <f>IFERROR(INDEX('Controles de Corrupción'!$C$10:$AY$249,MATCH(A254,'Controles de Corrupción'!$B$10:$B$249,0),4),"")</f>
        <v/>
      </c>
      <c r="N254" s="70" t="str">
        <f>IFERROR(INDEX('Controles de Corrupción'!$C$10:$AY$249,MATCH(A254,'Controles de Corrupción'!$B$10:$B$249,0),40),"")</f>
        <v/>
      </c>
      <c r="O254" s="70" t="str">
        <f>IFERROR(INDEX('Controles de Corrupción'!$C$10:$AY$251,MATCH(A254,'Controles de Corrupción'!$B$10:$B$251,0),41),"")</f>
        <v/>
      </c>
      <c r="P254" s="70" t="str">
        <f>IFERROR(INDEX('Controles de Corrupción'!$C$10:$AY$251,MATCH(A254,'Controles de Corrupción'!$B$10:$B$251,0),42),"")</f>
        <v/>
      </c>
      <c r="Q254" s="186" t="str">
        <f>IFERROR(INDEX('Controles de Corrupción'!$C$10:$AY$251,MATCH(A254,'Controles de Corrupción'!$B$10:$B$251,0),47),"")</f>
        <v/>
      </c>
    </row>
    <row r="255" spans="1:17" x14ac:dyDescent="0.25">
      <c r="A255" s="115" t="s">
        <v>487</v>
      </c>
      <c r="B255" s="1014"/>
      <c r="C255" s="1017"/>
      <c r="D255" s="861"/>
      <c r="E255" s="1019"/>
      <c r="F255" s="865"/>
      <c r="G255" s="865"/>
      <c r="H255" s="867"/>
      <c r="I255" s="865"/>
      <c r="J255" s="865"/>
      <c r="K255" s="865"/>
      <c r="L255" s="865"/>
      <c r="M255" s="185" t="str">
        <f>IFERROR(INDEX('Controles de Corrupción'!$C$10:$AY$249,MATCH(A255,'Controles de Corrupción'!$B$10:$B$249,0),4),"")</f>
        <v/>
      </c>
      <c r="N255" s="70" t="str">
        <f>IFERROR(INDEX('Controles de Corrupción'!$C$10:$AY$249,MATCH(A255,'Controles de Corrupción'!$B$10:$B$249,0),40),"")</f>
        <v/>
      </c>
      <c r="O255" s="70" t="str">
        <f>IFERROR(INDEX('Controles de Corrupción'!$C$10:$AY$251,MATCH(A255,'Controles de Corrupción'!$B$10:$B$251,0),41),"")</f>
        <v/>
      </c>
      <c r="P255" s="70" t="str">
        <f>IFERROR(INDEX('Controles de Corrupción'!$C$10:$AY$251,MATCH(A255,'Controles de Corrupción'!$B$10:$B$251,0),42),"")</f>
        <v/>
      </c>
      <c r="Q255" s="186" t="str">
        <f>IFERROR(INDEX('Controles de Corrupción'!$C$10:$AY$251,MATCH(A255,'Controles de Corrupción'!$B$10:$B$251,0),47),"")</f>
        <v/>
      </c>
    </row>
    <row r="256" spans="1:17" x14ac:dyDescent="0.25">
      <c r="A256" s="115" t="s">
        <v>488</v>
      </c>
      <c r="B256" s="1014"/>
      <c r="C256" s="1017"/>
      <c r="D256" s="861"/>
      <c r="E256" s="1019"/>
      <c r="F256" s="865"/>
      <c r="G256" s="865"/>
      <c r="H256" s="867"/>
      <c r="I256" s="865"/>
      <c r="J256" s="865"/>
      <c r="K256" s="865"/>
      <c r="L256" s="865"/>
      <c r="M256" s="185" t="str">
        <f>IFERROR(INDEX('Controles de Corrupción'!$C$10:$AY$249,MATCH(A256,'Controles de Corrupción'!$B$10:$B$249,0),4),"")</f>
        <v/>
      </c>
      <c r="N256" s="70" t="str">
        <f>IFERROR(INDEX('Controles de Corrupción'!$C$10:$AY$249,MATCH(A256,'Controles de Corrupción'!$B$10:$B$249,0),40),"")</f>
        <v/>
      </c>
      <c r="O256" s="70" t="str">
        <f>IFERROR(INDEX('Controles de Corrupción'!$C$10:$AY$251,MATCH(A256,'Controles de Corrupción'!$B$10:$B$251,0),41),"")</f>
        <v/>
      </c>
      <c r="P256" s="70" t="str">
        <f>IFERROR(INDEX('Controles de Corrupción'!$C$10:$AY$251,MATCH(A256,'Controles de Corrupción'!$B$10:$B$251,0),42),"")</f>
        <v/>
      </c>
      <c r="Q256" s="186" t="str">
        <f>IFERROR(INDEX('Controles de Corrupción'!$C$10:$AY$251,MATCH(A256,'Controles de Corrupción'!$B$10:$B$251,0),47),"")</f>
        <v/>
      </c>
    </row>
    <row r="257" spans="1:17" x14ac:dyDescent="0.25">
      <c r="A257" s="115" t="s">
        <v>489</v>
      </c>
      <c r="B257" s="1014"/>
      <c r="C257" s="1017"/>
      <c r="D257" s="861"/>
      <c r="E257" s="1019"/>
      <c r="F257" s="865"/>
      <c r="G257" s="865"/>
      <c r="H257" s="867"/>
      <c r="I257" s="865"/>
      <c r="J257" s="865"/>
      <c r="K257" s="865"/>
      <c r="L257" s="865"/>
      <c r="M257" s="185" t="str">
        <f>IFERROR(INDEX('Controles de Corrupción'!$C$10:$AY$249,MATCH(A257,'Controles de Corrupción'!$B$10:$B$249,0),4),"")</f>
        <v/>
      </c>
      <c r="N257" s="70" t="str">
        <f>IFERROR(INDEX('Controles de Corrupción'!$C$10:$AY$249,MATCH(A257,'Controles de Corrupción'!$B$10:$B$249,0),40),"")</f>
        <v/>
      </c>
      <c r="O257" s="70" t="str">
        <f>IFERROR(INDEX('Controles de Corrupción'!$C$10:$AY$251,MATCH(A257,'Controles de Corrupción'!$B$10:$B$251,0),41),"")</f>
        <v/>
      </c>
      <c r="P257" s="70" t="str">
        <f>IFERROR(INDEX('Controles de Corrupción'!$C$10:$AY$251,MATCH(A257,'Controles de Corrupción'!$B$10:$B$251,0),42),"")</f>
        <v/>
      </c>
      <c r="Q257" s="186" t="str">
        <f>IFERROR(INDEX('Controles de Corrupción'!$C$10:$AY$251,MATCH(A257,'Controles de Corrupción'!$B$10:$B$251,0),47),"")</f>
        <v/>
      </c>
    </row>
    <row r="258" spans="1:17" x14ac:dyDescent="0.25">
      <c r="A258" s="115" t="s">
        <v>490</v>
      </c>
      <c r="B258" s="1015"/>
      <c r="C258" s="1017"/>
      <c r="D258" s="861"/>
      <c r="E258" s="1019"/>
      <c r="F258" s="865"/>
      <c r="G258" s="865"/>
      <c r="H258" s="867"/>
      <c r="I258" s="865"/>
      <c r="J258" s="865"/>
      <c r="K258" s="865"/>
      <c r="L258" s="865"/>
      <c r="M258" s="185" t="str">
        <f>IFERROR(INDEX('Controles de Corrupción'!$C$10:$AY$249,MATCH(A258,'Controles de Corrupción'!$B$10:$B$249,0),4),"")</f>
        <v/>
      </c>
      <c r="N258" s="70" t="str">
        <f>IFERROR(INDEX('Controles de Corrupción'!$C$10:$AY$249,MATCH(A258,'Controles de Corrupción'!$B$10:$B$249,0),40),"")</f>
        <v/>
      </c>
      <c r="O258" s="70" t="str">
        <f>IFERROR(INDEX('Controles de Corrupción'!$C$10:$AY$251,MATCH(A258,'Controles de Corrupción'!$B$10:$B$251,0),41),"")</f>
        <v/>
      </c>
      <c r="P258" s="70" t="str">
        <f>IFERROR(INDEX('Controles de Corrupción'!$C$10:$AY$251,MATCH(A258,'Controles de Corrupción'!$B$10:$B$251,0),42),"")</f>
        <v/>
      </c>
      <c r="Q258" s="186" t="str">
        <f>IFERROR(INDEX('Controles de Corrupción'!$C$10:$AY$251,MATCH(A258,'Controles de Corrupción'!$B$10:$B$251,0),47),"")</f>
        <v/>
      </c>
    </row>
    <row r="259" spans="1:17" x14ac:dyDescent="0.25">
      <c r="A259" s="115" t="s">
        <v>491</v>
      </c>
      <c r="B259" s="1013"/>
      <c r="C259" s="1016" t="str">
        <f>IFERROR(INDEX('Riesgos de Corrupción'!$B$11:$BN$100,MATCH('Mapa Riesgo Corrupción'!B259,'Riesgos de Corrupción'!$B$11:$B$100,0),2),"")</f>
        <v/>
      </c>
      <c r="D259" s="860" t="str">
        <f>IFERROR(INDEX('Riesgos de Corrupción'!$B$11:$BN$100,MATCH('Mapa Riesgo Corrupción'!B259,'Riesgos de Corrupción'!$B$11:$B$100,0),4),"")</f>
        <v/>
      </c>
      <c r="E259" s="1018" t="str">
        <f>IFERROR(INDEX('Riesgos de Corrupción'!$B$11:$BN$100,MATCH('Mapa Riesgo Corrupción'!B259,'Riesgos de Corrupción'!$B$11:$B$100,0),5),"")</f>
        <v/>
      </c>
      <c r="F259" s="865" t="str">
        <f>IFERROR(INDEX('Riesgos de Corrupción'!$B$11:$BN$100,MATCH('Mapa Riesgo Corrupción'!B259,'Riesgos de Corrupción'!$B$11:$B$100,0),18),"")</f>
        <v/>
      </c>
      <c r="G259" s="865" t="str">
        <f>IFERROR(INDEX('Riesgos de Corrupción'!$B$11:$BN$100,MATCH('Mapa Riesgo Corrupción'!B259,'Riesgos de Corrupción'!$B$11:$B$100,0),63),"")</f>
        <v/>
      </c>
      <c r="H259" s="867" t="str">
        <f>IFERROR(INDEX('Riesgos de Corrupción'!$B$11:$BN$100,MATCH('Mapa Riesgo Corrupción'!B259,'Riesgos de Corrupción'!$B$11:$B$100,0),64),"")</f>
        <v/>
      </c>
      <c r="I259" s="865" t="str">
        <f>IFERROR(INDEX('Controles de Corrupción'!$C$10:$AY$251,MATCH('Mapa Riesgo Corrupción'!B259,'Controles de Corrupción'!#REF!,0),33),"")</f>
        <v/>
      </c>
      <c r="J259" s="865" t="str">
        <f>IFERROR(INDEX('Controles de Corrupción'!$C$10:$AY$251,MATCH('Mapa Riesgo Corrupción'!B259,'Controles de Corrupción'!#REF!,0),36),"")</f>
        <v/>
      </c>
      <c r="K259" s="865" t="str">
        <f>IFERROR(INDEX('Controles de Corrupción'!$C$10:$AY$251,MATCH('Mapa Riesgo Corrupción'!B259,'Controles de Corrupción'!#REF!,0),37),"")</f>
        <v/>
      </c>
      <c r="L259" s="865" t="str">
        <f>IFERROR(INDEX('Controles de Corrupción'!$C$10:$AY$251,MATCH('Mapa Riesgo Corrupción'!B259,'Controles de Corrupción'!#REF!,0),38),"")</f>
        <v/>
      </c>
      <c r="M259" s="185" t="str">
        <f>IFERROR(INDEX('Controles de Corrupción'!$C$10:$AY$249,MATCH(A259,'Controles de Corrupción'!$B$10:$B$249,0),4),"")</f>
        <v/>
      </c>
      <c r="N259" s="70" t="str">
        <f>IFERROR(INDEX('Controles de Corrupción'!$C$10:$AY$249,MATCH(A259,'Controles de Corrupción'!$B$10:$B$249,0),40),"")</f>
        <v/>
      </c>
      <c r="O259" s="70" t="str">
        <f>IFERROR(INDEX('Controles de Corrupción'!$C$10:$AY$251,MATCH(A259,'Controles de Corrupción'!$B$10:$B$251,0),41),"")</f>
        <v/>
      </c>
      <c r="P259" s="70" t="str">
        <f>IFERROR(INDEX('Controles de Corrupción'!$C$10:$AY$251,MATCH(A259,'Controles de Corrupción'!$B$10:$B$251,0),42),"")</f>
        <v/>
      </c>
      <c r="Q259" s="186" t="str">
        <f>IFERROR(INDEX('Controles de Corrupción'!$C$10:$AY$251,MATCH(A259,'Controles de Corrupción'!$B$10:$B$251,0),47),"")</f>
        <v/>
      </c>
    </row>
    <row r="260" spans="1:17" x14ac:dyDescent="0.25">
      <c r="A260" s="115" t="s">
        <v>492</v>
      </c>
      <c r="B260" s="1014"/>
      <c r="C260" s="1017"/>
      <c r="D260" s="861"/>
      <c r="E260" s="1019"/>
      <c r="F260" s="865"/>
      <c r="G260" s="865"/>
      <c r="H260" s="867"/>
      <c r="I260" s="865"/>
      <c r="J260" s="865"/>
      <c r="K260" s="865"/>
      <c r="L260" s="865"/>
      <c r="M260" s="185" t="str">
        <f>IFERROR(INDEX('Controles de Corrupción'!$C$10:$AY$249,MATCH(A260,'Controles de Corrupción'!$B$10:$B$249,0),4),"")</f>
        <v/>
      </c>
      <c r="N260" s="70" t="str">
        <f>IFERROR(INDEX('Controles de Corrupción'!$C$10:$AY$249,MATCH(A260,'Controles de Corrupción'!$B$10:$B$249,0),40),"")</f>
        <v/>
      </c>
      <c r="O260" s="70" t="str">
        <f>IFERROR(INDEX('Controles de Corrupción'!$C$10:$AY$251,MATCH(A260,'Controles de Corrupción'!$B$10:$B$251,0),41),"")</f>
        <v/>
      </c>
      <c r="P260" s="70" t="str">
        <f>IFERROR(INDEX('Controles de Corrupción'!$C$10:$AY$251,MATCH(A260,'Controles de Corrupción'!$B$10:$B$251,0),42),"")</f>
        <v/>
      </c>
      <c r="Q260" s="186" t="str">
        <f>IFERROR(INDEX('Controles de Corrupción'!$C$10:$AY$251,MATCH(A260,'Controles de Corrupción'!$B$10:$B$251,0),47),"")</f>
        <v/>
      </c>
    </row>
    <row r="261" spans="1:17" x14ac:dyDescent="0.25">
      <c r="A261" s="115" t="s">
        <v>493</v>
      </c>
      <c r="B261" s="1014"/>
      <c r="C261" s="1017"/>
      <c r="D261" s="861"/>
      <c r="E261" s="1019"/>
      <c r="F261" s="865"/>
      <c r="G261" s="865"/>
      <c r="H261" s="867"/>
      <c r="I261" s="865"/>
      <c r="J261" s="865"/>
      <c r="K261" s="865"/>
      <c r="L261" s="865"/>
      <c r="M261" s="185" t="str">
        <f>IFERROR(INDEX('Controles de Corrupción'!$C$10:$AY$249,MATCH(A261,'Controles de Corrupción'!$B$10:$B$249,0),4),"")</f>
        <v/>
      </c>
      <c r="N261" s="70" t="str">
        <f>IFERROR(INDEX('Controles de Corrupción'!$C$10:$AY$249,MATCH(A261,'Controles de Corrupción'!$B$10:$B$249,0),40),"")</f>
        <v/>
      </c>
      <c r="O261" s="70" t="str">
        <f>IFERROR(INDEX('Controles de Corrupción'!$C$10:$AY$251,MATCH(A261,'Controles de Corrupción'!$B$10:$B$251,0),41),"")</f>
        <v/>
      </c>
      <c r="P261" s="70" t="str">
        <f>IFERROR(INDEX('Controles de Corrupción'!$C$10:$AY$251,MATCH(A261,'Controles de Corrupción'!$B$10:$B$251,0),42),"")</f>
        <v/>
      </c>
      <c r="Q261" s="186" t="str">
        <f>IFERROR(INDEX('Controles de Corrupción'!$C$10:$AY$251,MATCH(A261,'Controles de Corrupción'!$B$10:$B$251,0),47),"")</f>
        <v/>
      </c>
    </row>
    <row r="262" spans="1:17" x14ac:dyDescent="0.25">
      <c r="A262" s="115" t="s">
        <v>494</v>
      </c>
      <c r="B262" s="1014"/>
      <c r="C262" s="1017"/>
      <c r="D262" s="861"/>
      <c r="E262" s="1019"/>
      <c r="F262" s="865"/>
      <c r="G262" s="865"/>
      <c r="H262" s="867"/>
      <c r="I262" s="865"/>
      <c r="J262" s="865"/>
      <c r="K262" s="865"/>
      <c r="L262" s="865"/>
      <c r="M262" s="185" t="str">
        <f>IFERROR(INDEX('Controles de Corrupción'!$C$10:$AY$249,MATCH(A262,'Controles de Corrupción'!$B$10:$B$249,0),4),"")</f>
        <v/>
      </c>
      <c r="N262" s="70" t="str">
        <f>IFERROR(INDEX('Controles de Corrupción'!$C$10:$AY$249,MATCH(A262,'Controles de Corrupción'!$B$10:$B$249,0),40),"")</f>
        <v/>
      </c>
      <c r="O262" s="70" t="str">
        <f>IFERROR(INDEX('Controles de Corrupción'!$C$10:$AY$251,MATCH(A262,'Controles de Corrupción'!$B$10:$B$251,0),41),"")</f>
        <v/>
      </c>
      <c r="P262" s="70" t="str">
        <f>IFERROR(INDEX('Controles de Corrupción'!$C$10:$AY$251,MATCH(A262,'Controles de Corrupción'!$B$10:$B$251,0),42),"")</f>
        <v/>
      </c>
      <c r="Q262" s="186" t="str">
        <f>IFERROR(INDEX('Controles de Corrupción'!$C$10:$AY$251,MATCH(A262,'Controles de Corrupción'!$B$10:$B$251,0),47),"")</f>
        <v/>
      </c>
    </row>
    <row r="263" spans="1:17" x14ac:dyDescent="0.25">
      <c r="A263" s="115" t="s">
        <v>495</v>
      </c>
      <c r="B263" s="1014"/>
      <c r="C263" s="1017"/>
      <c r="D263" s="861"/>
      <c r="E263" s="1019"/>
      <c r="F263" s="865"/>
      <c r="G263" s="865"/>
      <c r="H263" s="867"/>
      <c r="I263" s="865"/>
      <c r="J263" s="865"/>
      <c r="K263" s="865"/>
      <c r="L263" s="865"/>
      <c r="M263" s="185" t="str">
        <f>IFERROR(INDEX('Controles de Corrupción'!$C$10:$AY$249,MATCH(A263,'Controles de Corrupción'!$B$10:$B$249,0),4),"")</f>
        <v/>
      </c>
      <c r="N263" s="70" t="str">
        <f>IFERROR(INDEX('Controles de Corrupción'!$C$10:$AY$249,MATCH(A263,'Controles de Corrupción'!$B$10:$B$249,0),40),"")</f>
        <v/>
      </c>
      <c r="O263" s="70" t="str">
        <f>IFERROR(INDEX('Controles de Corrupción'!$C$10:$AY$251,MATCH(A263,'Controles de Corrupción'!$B$10:$B$251,0),41),"")</f>
        <v/>
      </c>
      <c r="P263" s="70" t="str">
        <f>IFERROR(INDEX('Controles de Corrupción'!$C$10:$AY$251,MATCH(A263,'Controles de Corrupción'!$B$10:$B$251,0),42),"")</f>
        <v/>
      </c>
      <c r="Q263" s="186" t="str">
        <f>IFERROR(INDEX('Controles de Corrupción'!$C$10:$AY$251,MATCH(A263,'Controles de Corrupción'!$B$10:$B$251,0),47),"")</f>
        <v/>
      </c>
    </row>
    <row r="264" spans="1:17" x14ac:dyDescent="0.25">
      <c r="A264" s="115" t="s">
        <v>496</v>
      </c>
      <c r="B264" s="1015"/>
      <c r="C264" s="1017"/>
      <c r="D264" s="861"/>
      <c r="E264" s="1019"/>
      <c r="F264" s="865"/>
      <c r="G264" s="865"/>
      <c r="H264" s="867"/>
      <c r="I264" s="865"/>
      <c r="J264" s="865"/>
      <c r="K264" s="865"/>
      <c r="L264" s="865"/>
      <c r="M264" s="185" t="str">
        <f>IFERROR(INDEX('Controles de Corrupción'!$C$10:$AY$249,MATCH(A264,'Controles de Corrupción'!$B$10:$B$249,0),4),"")</f>
        <v/>
      </c>
      <c r="N264" s="70" t="str">
        <f>IFERROR(INDEX('Controles de Corrupción'!$C$10:$AY$249,MATCH(A264,'Controles de Corrupción'!$B$10:$B$249,0),40),"")</f>
        <v/>
      </c>
      <c r="O264" s="70" t="str">
        <f>IFERROR(INDEX('Controles de Corrupción'!$C$10:$AY$251,MATCH(A264,'Controles de Corrupción'!$B$10:$B$251,0),41),"")</f>
        <v/>
      </c>
      <c r="P264" s="70" t="str">
        <f>IFERROR(INDEX('Controles de Corrupción'!$C$10:$AY$251,MATCH(A264,'Controles de Corrupción'!$B$10:$B$251,0),42),"")</f>
        <v/>
      </c>
      <c r="Q264" s="186" t="str">
        <f>IFERROR(INDEX('Controles de Corrupción'!$C$10:$AY$251,MATCH(A264,'Controles de Corrupción'!$B$10:$B$251,0),47),"")</f>
        <v/>
      </c>
    </row>
    <row r="265" spans="1:17" x14ac:dyDescent="0.25">
      <c r="A265" s="115" t="s">
        <v>497</v>
      </c>
      <c r="B265" s="1013"/>
      <c r="C265" s="1016" t="str">
        <f>IFERROR(INDEX('Riesgos de Corrupción'!$B$11:$BN$100,MATCH('Mapa Riesgo Corrupción'!B265,'Riesgos de Corrupción'!$B$11:$B$100,0),2),"")</f>
        <v/>
      </c>
      <c r="D265" s="860" t="str">
        <f>IFERROR(INDEX('Riesgos de Corrupción'!$B$11:$BN$100,MATCH('Mapa Riesgo Corrupción'!B265,'Riesgos de Corrupción'!$B$11:$B$100,0),4),"")</f>
        <v/>
      </c>
      <c r="E265" s="1018" t="str">
        <f>IFERROR(INDEX('Riesgos de Corrupción'!$B$11:$BN$100,MATCH('Mapa Riesgo Corrupción'!B265,'Riesgos de Corrupción'!$B$11:$B$100,0),5),"")</f>
        <v/>
      </c>
      <c r="F265" s="865" t="str">
        <f>IFERROR(INDEX('Riesgos de Corrupción'!$B$11:$BN$100,MATCH('Mapa Riesgo Corrupción'!B265,'Riesgos de Corrupción'!$B$11:$B$100,0),18),"")</f>
        <v/>
      </c>
      <c r="G265" s="865" t="str">
        <f>IFERROR(INDEX('Riesgos de Corrupción'!$B$11:$BN$100,MATCH('Mapa Riesgo Corrupción'!B265,'Riesgos de Corrupción'!$B$11:$B$100,0),63),"")</f>
        <v/>
      </c>
      <c r="H265" s="867" t="str">
        <f>IFERROR(INDEX('Riesgos de Corrupción'!$B$11:$BN$100,MATCH('Mapa Riesgo Corrupción'!B265,'Riesgos de Corrupción'!$B$11:$B$100,0),64),"")</f>
        <v/>
      </c>
      <c r="I265" s="865" t="str">
        <f>IFERROR(INDEX('Controles de Corrupción'!$C$10:$AY$251,MATCH('Mapa Riesgo Corrupción'!B265,'Controles de Corrupción'!#REF!,0),33),"")</f>
        <v/>
      </c>
      <c r="J265" s="865" t="str">
        <f>IFERROR(INDEX('Controles de Corrupción'!$C$10:$AY$251,MATCH('Mapa Riesgo Corrupción'!B265,'Controles de Corrupción'!#REF!,0),36),"")</f>
        <v/>
      </c>
      <c r="K265" s="865" t="str">
        <f>IFERROR(INDEX('Controles de Corrupción'!$C$10:$AY$251,MATCH('Mapa Riesgo Corrupción'!B265,'Controles de Corrupción'!#REF!,0),37),"")</f>
        <v/>
      </c>
      <c r="L265" s="865" t="str">
        <f>IFERROR(INDEX('Controles de Corrupción'!$C$10:$AY$251,MATCH('Mapa Riesgo Corrupción'!B265,'Controles de Corrupción'!#REF!,0),38),"")</f>
        <v/>
      </c>
      <c r="M265" s="185" t="str">
        <f>IFERROR(INDEX('Controles de Corrupción'!$C$10:$AY$249,MATCH(A265,'Controles de Corrupción'!$B$10:$B$249,0),4),"")</f>
        <v/>
      </c>
      <c r="N265" s="70" t="str">
        <f>IFERROR(INDEX('Controles de Corrupción'!$C$10:$AY$249,MATCH(A265,'Controles de Corrupción'!$B$10:$B$249,0),40),"")</f>
        <v/>
      </c>
      <c r="O265" s="70" t="str">
        <f>IFERROR(INDEX('Controles de Corrupción'!$C$10:$AY$251,MATCH(A265,'Controles de Corrupción'!$B$10:$B$251,0),41),"")</f>
        <v/>
      </c>
      <c r="P265" s="70" t="str">
        <f>IFERROR(INDEX('Controles de Corrupción'!$C$10:$AY$251,MATCH(A265,'Controles de Corrupción'!$B$10:$B$251,0),42),"")</f>
        <v/>
      </c>
      <c r="Q265" s="186" t="str">
        <f>IFERROR(INDEX('Controles de Corrupción'!$C$10:$AY$251,MATCH(A265,'Controles de Corrupción'!$B$10:$B$251,0),47),"")</f>
        <v/>
      </c>
    </row>
    <row r="266" spans="1:17" x14ac:dyDescent="0.25">
      <c r="A266" s="115" t="s">
        <v>498</v>
      </c>
      <c r="B266" s="1014"/>
      <c r="C266" s="1017"/>
      <c r="D266" s="861"/>
      <c r="E266" s="1019"/>
      <c r="F266" s="865"/>
      <c r="G266" s="865"/>
      <c r="H266" s="867"/>
      <c r="I266" s="865"/>
      <c r="J266" s="865"/>
      <c r="K266" s="865"/>
      <c r="L266" s="865"/>
      <c r="M266" s="185" t="str">
        <f>IFERROR(INDEX('Controles de Corrupción'!$C$10:$AY$249,MATCH(A266,'Controles de Corrupción'!$B$10:$B$249,0),4),"")</f>
        <v/>
      </c>
      <c r="N266" s="70" t="str">
        <f>IFERROR(INDEX('Controles de Corrupción'!$C$10:$AY$249,MATCH(A266,'Controles de Corrupción'!$B$10:$B$249,0),40),"")</f>
        <v/>
      </c>
      <c r="O266" s="70" t="str">
        <f>IFERROR(INDEX('Controles de Corrupción'!$C$10:$AY$251,MATCH(A266,'Controles de Corrupción'!$B$10:$B$251,0),41),"")</f>
        <v/>
      </c>
      <c r="P266" s="70" t="str">
        <f>IFERROR(INDEX('Controles de Corrupción'!$C$10:$AY$251,MATCH(A266,'Controles de Corrupción'!$B$10:$B$251,0),42),"")</f>
        <v/>
      </c>
      <c r="Q266" s="186" t="str">
        <f>IFERROR(INDEX('Controles de Corrupción'!$C$10:$AY$251,MATCH(A266,'Controles de Corrupción'!$B$10:$B$251,0),47),"")</f>
        <v/>
      </c>
    </row>
    <row r="267" spans="1:17" x14ac:dyDescent="0.25">
      <c r="A267" s="115" t="s">
        <v>499</v>
      </c>
      <c r="B267" s="1014"/>
      <c r="C267" s="1017"/>
      <c r="D267" s="861"/>
      <c r="E267" s="1019"/>
      <c r="F267" s="865"/>
      <c r="G267" s="865"/>
      <c r="H267" s="867"/>
      <c r="I267" s="865"/>
      <c r="J267" s="865"/>
      <c r="K267" s="865"/>
      <c r="L267" s="865"/>
      <c r="M267" s="185" t="str">
        <f>IFERROR(INDEX('Controles de Corrupción'!$C$10:$AY$249,MATCH(A267,'Controles de Corrupción'!$B$10:$B$249,0),4),"")</f>
        <v/>
      </c>
      <c r="N267" s="70" t="str">
        <f>IFERROR(INDEX('Controles de Corrupción'!$C$10:$AY$249,MATCH(A267,'Controles de Corrupción'!$B$10:$B$249,0),40),"")</f>
        <v/>
      </c>
      <c r="O267" s="70" t="str">
        <f>IFERROR(INDEX('Controles de Corrupción'!$C$10:$AY$251,MATCH(A267,'Controles de Corrupción'!$B$10:$B$251,0),41),"")</f>
        <v/>
      </c>
      <c r="P267" s="70" t="str">
        <f>IFERROR(INDEX('Controles de Corrupción'!$C$10:$AY$251,MATCH(A267,'Controles de Corrupción'!$B$10:$B$251,0),42),"")</f>
        <v/>
      </c>
      <c r="Q267" s="186" t="str">
        <f>IFERROR(INDEX('Controles de Corrupción'!$C$10:$AY$251,MATCH(A267,'Controles de Corrupción'!$B$10:$B$251,0),47),"")</f>
        <v/>
      </c>
    </row>
    <row r="268" spans="1:17" x14ac:dyDescent="0.25">
      <c r="A268" s="115" t="s">
        <v>500</v>
      </c>
      <c r="B268" s="1014"/>
      <c r="C268" s="1017"/>
      <c r="D268" s="861"/>
      <c r="E268" s="1019"/>
      <c r="F268" s="865"/>
      <c r="G268" s="865"/>
      <c r="H268" s="867"/>
      <c r="I268" s="865"/>
      <c r="J268" s="865"/>
      <c r="K268" s="865"/>
      <c r="L268" s="865"/>
      <c r="M268" s="185" t="str">
        <f>IFERROR(INDEX('Controles de Corrupción'!$C$10:$AY$249,MATCH(A268,'Controles de Corrupción'!$B$10:$B$249,0),4),"")</f>
        <v/>
      </c>
      <c r="N268" s="70" t="str">
        <f>IFERROR(INDEX('Controles de Corrupción'!$C$10:$AY$249,MATCH(A268,'Controles de Corrupción'!$B$10:$B$249,0),40),"")</f>
        <v/>
      </c>
      <c r="O268" s="70" t="str">
        <f>IFERROR(INDEX('Controles de Corrupción'!$C$10:$AY$251,MATCH(A268,'Controles de Corrupción'!$B$10:$B$251,0),41),"")</f>
        <v/>
      </c>
      <c r="P268" s="70" t="str">
        <f>IFERROR(INDEX('Controles de Corrupción'!$C$10:$AY$251,MATCH(A268,'Controles de Corrupción'!$B$10:$B$251,0),42),"")</f>
        <v/>
      </c>
      <c r="Q268" s="186" t="str">
        <f>IFERROR(INDEX('Controles de Corrupción'!$C$10:$AY$251,MATCH(A268,'Controles de Corrupción'!$B$10:$B$251,0),47),"")</f>
        <v/>
      </c>
    </row>
    <row r="269" spans="1:17" x14ac:dyDescent="0.25">
      <c r="A269" s="115" t="s">
        <v>501</v>
      </c>
      <c r="B269" s="1014"/>
      <c r="C269" s="1017"/>
      <c r="D269" s="861"/>
      <c r="E269" s="1019"/>
      <c r="F269" s="865"/>
      <c r="G269" s="865"/>
      <c r="H269" s="867"/>
      <c r="I269" s="865"/>
      <c r="J269" s="865"/>
      <c r="K269" s="865"/>
      <c r="L269" s="865"/>
      <c r="M269" s="185" t="str">
        <f>IFERROR(INDEX('Controles de Corrupción'!$C$10:$AY$249,MATCH(A269,'Controles de Corrupción'!$B$10:$B$249,0),4),"")</f>
        <v/>
      </c>
      <c r="N269" s="70" t="str">
        <f>IFERROR(INDEX('Controles de Corrupción'!$C$10:$AY$249,MATCH(A269,'Controles de Corrupción'!$B$10:$B$249,0),40),"")</f>
        <v/>
      </c>
      <c r="O269" s="70" t="str">
        <f>IFERROR(INDEX('Controles de Corrupción'!$C$10:$AY$251,MATCH(A269,'Controles de Corrupción'!$B$10:$B$251,0),41),"")</f>
        <v/>
      </c>
      <c r="P269" s="70" t="str">
        <f>IFERROR(INDEX('Controles de Corrupción'!$C$10:$AY$251,MATCH(A269,'Controles de Corrupción'!$B$10:$B$251,0),42),"")</f>
        <v/>
      </c>
      <c r="Q269" s="186" t="str">
        <f>IFERROR(INDEX('Controles de Corrupción'!$C$10:$AY$251,MATCH(A269,'Controles de Corrupción'!$B$10:$B$251,0),47),"")</f>
        <v/>
      </c>
    </row>
    <row r="270" spans="1:17" x14ac:dyDescent="0.25">
      <c r="A270" s="115" t="s">
        <v>502</v>
      </c>
      <c r="B270" s="1015"/>
      <c r="C270" s="1017"/>
      <c r="D270" s="861"/>
      <c r="E270" s="1019"/>
      <c r="F270" s="865"/>
      <c r="G270" s="865"/>
      <c r="H270" s="867"/>
      <c r="I270" s="865"/>
      <c r="J270" s="865"/>
      <c r="K270" s="865"/>
      <c r="L270" s="865"/>
      <c r="M270" s="185" t="str">
        <f>IFERROR(INDEX('Controles de Corrupción'!$C$10:$AY$249,MATCH(A270,'Controles de Corrupción'!$B$10:$B$249,0),4),"")</f>
        <v/>
      </c>
      <c r="N270" s="70" t="str">
        <f>IFERROR(INDEX('Controles de Corrupción'!$C$10:$AY$249,MATCH(A270,'Controles de Corrupción'!$B$10:$B$249,0),40),"")</f>
        <v/>
      </c>
      <c r="O270" s="70" t="str">
        <f>IFERROR(INDEX('Controles de Corrupción'!$C$10:$AY$251,MATCH(A270,'Controles de Corrupción'!$B$10:$B$251,0),41),"")</f>
        <v/>
      </c>
      <c r="P270" s="70" t="str">
        <f>IFERROR(INDEX('Controles de Corrupción'!$C$10:$AY$251,MATCH(A270,'Controles de Corrupción'!$B$10:$B$251,0),42),"")</f>
        <v/>
      </c>
      <c r="Q270" s="186" t="str">
        <f>IFERROR(INDEX('Controles de Corrupción'!$C$10:$AY$251,MATCH(A270,'Controles de Corrupción'!$B$10:$B$251,0),47),"")</f>
        <v/>
      </c>
    </row>
    <row r="271" spans="1:17" x14ac:dyDescent="0.25">
      <c r="A271" s="115" t="s">
        <v>503</v>
      </c>
      <c r="B271" s="1013"/>
      <c r="C271" s="1016" t="str">
        <f>IFERROR(INDEX('Riesgos de Corrupción'!$B$11:$BN$100,MATCH('Mapa Riesgo Corrupción'!B271,'Riesgos de Corrupción'!$B$11:$B$100,0),2),"")</f>
        <v/>
      </c>
      <c r="D271" s="860" t="str">
        <f>IFERROR(INDEX('Riesgos de Corrupción'!$B$11:$BN$100,MATCH('Mapa Riesgo Corrupción'!B271,'Riesgos de Corrupción'!$B$11:$B$100,0),4),"")</f>
        <v/>
      </c>
      <c r="E271" s="1018" t="str">
        <f>IFERROR(INDEX('Riesgos de Corrupción'!$B$11:$BN$100,MATCH('Mapa Riesgo Corrupción'!B271,'Riesgos de Corrupción'!$B$11:$B$100,0),5),"")</f>
        <v/>
      </c>
      <c r="F271" s="865" t="str">
        <f>IFERROR(INDEX('Riesgos de Corrupción'!$B$11:$BN$100,MATCH('Mapa Riesgo Corrupción'!B271,'Riesgos de Corrupción'!$B$11:$B$100,0),18),"")</f>
        <v/>
      </c>
      <c r="G271" s="865" t="str">
        <f>IFERROR(INDEX('Riesgos de Corrupción'!$B$11:$BN$100,MATCH('Mapa Riesgo Corrupción'!B271,'Riesgos de Corrupción'!$B$11:$B$100,0),63),"")</f>
        <v/>
      </c>
      <c r="H271" s="867" t="str">
        <f>IFERROR(INDEX('Riesgos de Corrupción'!$B$11:$BN$100,MATCH('Mapa Riesgo Corrupción'!B271,'Riesgos de Corrupción'!$B$11:$B$100,0),64),"")</f>
        <v/>
      </c>
      <c r="I271" s="865" t="str">
        <f>IFERROR(INDEX('Controles de Corrupción'!$C$10:$AY$251,MATCH('Mapa Riesgo Corrupción'!B271,'Controles de Corrupción'!#REF!,0),33),"")</f>
        <v/>
      </c>
      <c r="J271" s="865" t="str">
        <f>IFERROR(INDEX('Controles de Corrupción'!$C$10:$AY$251,MATCH('Mapa Riesgo Corrupción'!B271,'Controles de Corrupción'!#REF!,0),36),"")</f>
        <v/>
      </c>
      <c r="K271" s="865" t="str">
        <f>IFERROR(INDEX('Controles de Corrupción'!$C$10:$AY$251,MATCH('Mapa Riesgo Corrupción'!B271,'Controles de Corrupción'!#REF!,0),37),"")</f>
        <v/>
      </c>
      <c r="L271" s="865" t="str">
        <f>IFERROR(INDEX('Controles de Corrupción'!$C$10:$AY$251,MATCH('Mapa Riesgo Corrupción'!B271,'Controles de Corrupción'!#REF!,0),38),"")</f>
        <v/>
      </c>
      <c r="M271" s="185" t="str">
        <f>IFERROR(INDEX('Controles de Corrupción'!$C$10:$AY$249,MATCH(A271,'Controles de Corrupción'!$B$10:$B$249,0),4),"")</f>
        <v/>
      </c>
      <c r="N271" s="70" t="str">
        <f>IFERROR(INDEX('Controles de Corrupción'!$C$10:$AY$249,MATCH(A271,'Controles de Corrupción'!$B$10:$B$249,0),40),"")</f>
        <v/>
      </c>
      <c r="O271" s="70" t="str">
        <f>IFERROR(INDEX('Controles de Corrupción'!$C$10:$AY$251,MATCH(A271,'Controles de Corrupción'!$B$10:$B$251,0),41),"")</f>
        <v/>
      </c>
      <c r="P271" s="70" t="str">
        <f>IFERROR(INDEX('Controles de Corrupción'!$C$10:$AY$251,MATCH(A271,'Controles de Corrupción'!$B$10:$B$251,0),42),"")</f>
        <v/>
      </c>
      <c r="Q271" s="186" t="str">
        <f>IFERROR(INDEX('Controles de Corrupción'!$C$10:$AY$251,MATCH(A271,'Controles de Corrupción'!$B$10:$B$251,0),47),"")</f>
        <v/>
      </c>
    </row>
    <row r="272" spans="1:17" x14ac:dyDescent="0.25">
      <c r="A272" s="115" t="s">
        <v>504</v>
      </c>
      <c r="B272" s="1014"/>
      <c r="C272" s="1017"/>
      <c r="D272" s="861"/>
      <c r="E272" s="1019"/>
      <c r="F272" s="865"/>
      <c r="G272" s="865"/>
      <c r="H272" s="867"/>
      <c r="I272" s="865"/>
      <c r="J272" s="865"/>
      <c r="K272" s="865"/>
      <c r="L272" s="865"/>
      <c r="M272" s="185" t="str">
        <f>IFERROR(INDEX('Controles de Corrupción'!$C$10:$AY$249,MATCH(A272,'Controles de Corrupción'!$B$10:$B$249,0),4),"")</f>
        <v/>
      </c>
      <c r="N272" s="70" t="str">
        <f>IFERROR(INDEX('Controles de Corrupción'!$C$10:$AY$249,MATCH(A272,'Controles de Corrupción'!$B$10:$B$249,0),40),"")</f>
        <v/>
      </c>
      <c r="O272" s="70" t="str">
        <f>IFERROR(INDEX('Controles de Corrupción'!$C$10:$AY$251,MATCH(A272,'Controles de Corrupción'!$B$10:$B$251,0),41),"")</f>
        <v/>
      </c>
      <c r="P272" s="70" t="str">
        <f>IFERROR(INDEX('Controles de Corrupción'!$C$10:$AY$251,MATCH(A272,'Controles de Corrupción'!$B$10:$B$251,0),42),"")</f>
        <v/>
      </c>
      <c r="Q272" s="186" t="str">
        <f>IFERROR(INDEX('Controles de Corrupción'!$C$10:$AY$251,MATCH(A272,'Controles de Corrupción'!$B$10:$B$251,0),47),"")</f>
        <v/>
      </c>
    </row>
    <row r="273" spans="1:17" x14ac:dyDescent="0.25">
      <c r="A273" s="115" t="s">
        <v>505</v>
      </c>
      <c r="B273" s="1014"/>
      <c r="C273" s="1017"/>
      <c r="D273" s="861"/>
      <c r="E273" s="1019"/>
      <c r="F273" s="865"/>
      <c r="G273" s="865"/>
      <c r="H273" s="867"/>
      <c r="I273" s="865"/>
      <c r="J273" s="865"/>
      <c r="K273" s="865"/>
      <c r="L273" s="865"/>
      <c r="M273" s="185" t="str">
        <f>IFERROR(INDEX('Controles de Corrupción'!$C$10:$AY$249,MATCH(A273,'Controles de Corrupción'!$B$10:$B$249,0),4),"")</f>
        <v/>
      </c>
      <c r="N273" s="70" t="str">
        <f>IFERROR(INDEX('Controles de Corrupción'!$C$10:$AY$249,MATCH(A273,'Controles de Corrupción'!$B$10:$B$249,0),40),"")</f>
        <v/>
      </c>
      <c r="O273" s="70" t="str">
        <f>IFERROR(INDEX('Controles de Corrupción'!$C$10:$AY$251,MATCH(A273,'Controles de Corrupción'!$B$10:$B$251,0),41),"")</f>
        <v/>
      </c>
      <c r="P273" s="70" t="str">
        <f>IFERROR(INDEX('Controles de Corrupción'!$C$10:$AY$251,MATCH(A273,'Controles de Corrupción'!$B$10:$B$251,0),42),"")</f>
        <v/>
      </c>
      <c r="Q273" s="186" t="str">
        <f>IFERROR(INDEX('Controles de Corrupción'!$C$10:$AY$251,MATCH(A273,'Controles de Corrupción'!$B$10:$B$251,0),47),"")</f>
        <v/>
      </c>
    </row>
    <row r="274" spans="1:17" x14ac:dyDescent="0.25">
      <c r="A274" s="115" t="s">
        <v>506</v>
      </c>
      <c r="B274" s="1014"/>
      <c r="C274" s="1017"/>
      <c r="D274" s="861"/>
      <c r="E274" s="1019"/>
      <c r="F274" s="865"/>
      <c r="G274" s="865"/>
      <c r="H274" s="867"/>
      <c r="I274" s="865"/>
      <c r="J274" s="865"/>
      <c r="K274" s="865"/>
      <c r="L274" s="865"/>
      <c r="M274" s="185" t="str">
        <f>IFERROR(INDEX('Controles de Corrupción'!$C$10:$AY$249,MATCH(A274,'Controles de Corrupción'!$B$10:$B$249,0),4),"")</f>
        <v/>
      </c>
      <c r="N274" s="70" t="str">
        <f>IFERROR(INDEX('Controles de Corrupción'!$C$10:$AY$249,MATCH(A274,'Controles de Corrupción'!$B$10:$B$249,0),40),"")</f>
        <v/>
      </c>
      <c r="O274" s="70" t="str">
        <f>IFERROR(INDEX('Controles de Corrupción'!$C$10:$AY$251,MATCH(A274,'Controles de Corrupción'!$B$10:$B$251,0),41),"")</f>
        <v/>
      </c>
      <c r="P274" s="70" t="str">
        <f>IFERROR(INDEX('Controles de Corrupción'!$C$10:$AY$251,MATCH(A274,'Controles de Corrupción'!$B$10:$B$251,0),42),"")</f>
        <v/>
      </c>
      <c r="Q274" s="186" t="str">
        <f>IFERROR(INDEX('Controles de Corrupción'!$C$10:$AY$251,MATCH(A274,'Controles de Corrupción'!$B$10:$B$251,0),47),"")</f>
        <v/>
      </c>
    </row>
    <row r="275" spans="1:17" x14ac:dyDescent="0.25">
      <c r="A275" s="115" t="s">
        <v>507</v>
      </c>
      <c r="B275" s="1014"/>
      <c r="C275" s="1017"/>
      <c r="D275" s="861"/>
      <c r="E275" s="1019"/>
      <c r="F275" s="865"/>
      <c r="G275" s="865"/>
      <c r="H275" s="867"/>
      <c r="I275" s="865"/>
      <c r="J275" s="865"/>
      <c r="K275" s="865"/>
      <c r="L275" s="865"/>
      <c r="M275" s="185" t="str">
        <f>IFERROR(INDEX('Controles de Corrupción'!$C$10:$AY$249,MATCH(A275,'Controles de Corrupción'!$B$10:$B$249,0),4),"")</f>
        <v/>
      </c>
      <c r="N275" s="70" t="str">
        <f>IFERROR(INDEX('Controles de Corrupción'!$C$10:$AY$249,MATCH(A275,'Controles de Corrupción'!$B$10:$B$249,0),40),"")</f>
        <v/>
      </c>
      <c r="O275" s="70" t="str">
        <f>IFERROR(INDEX('Controles de Corrupción'!$C$10:$AY$251,MATCH(A275,'Controles de Corrupción'!$B$10:$B$251,0),41),"")</f>
        <v/>
      </c>
      <c r="P275" s="70" t="str">
        <f>IFERROR(INDEX('Controles de Corrupción'!$C$10:$AY$251,MATCH(A275,'Controles de Corrupción'!$B$10:$B$251,0),42),"")</f>
        <v/>
      </c>
      <c r="Q275" s="186" t="str">
        <f>IFERROR(INDEX('Controles de Corrupción'!$C$10:$AY$251,MATCH(A275,'Controles de Corrupción'!$B$10:$B$251,0),47),"")</f>
        <v/>
      </c>
    </row>
    <row r="276" spans="1:17" x14ac:dyDescent="0.25">
      <c r="A276" s="115" t="s">
        <v>508</v>
      </c>
      <c r="B276" s="1015"/>
      <c r="C276" s="1017"/>
      <c r="D276" s="861"/>
      <c r="E276" s="1019"/>
      <c r="F276" s="865"/>
      <c r="G276" s="865"/>
      <c r="H276" s="867"/>
      <c r="I276" s="865"/>
      <c r="J276" s="865"/>
      <c r="K276" s="865"/>
      <c r="L276" s="865"/>
      <c r="M276" s="185" t="str">
        <f>IFERROR(INDEX('Controles de Corrupción'!$C$10:$AY$249,MATCH(A276,'Controles de Corrupción'!$B$10:$B$249,0),4),"")</f>
        <v/>
      </c>
      <c r="N276" s="70" t="str">
        <f>IFERROR(INDEX('Controles de Corrupción'!$C$10:$AY$249,MATCH(A276,'Controles de Corrupción'!$B$10:$B$249,0),40),"")</f>
        <v/>
      </c>
      <c r="O276" s="70" t="str">
        <f>IFERROR(INDEX('Controles de Corrupción'!$C$10:$AY$251,MATCH(A276,'Controles de Corrupción'!$B$10:$B$251,0),41),"")</f>
        <v/>
      </c>
      <c r="P276" s="70" t="str">
        <f>IFERROR(INDEX('Controles de Corrupción'!$C$10:$AY$251,MATCH(A276,'Controles de Corrupción'!$B$10:$B$251,0),42),"")</f>
        <v/>
      </c>
      <c r="Q276" s="186" t="str">
        <f>IFERROR(INDEX('Controles de Corrupción'!$C$10:$AY$251,MATCH(A276,'Controles de Corrupción'!$B$10:$B$251,0),47),"")</f>
        <v/>
      </c>
    </row>
    <row r="277" spans="1:17" x14ac:dyDescent="0.25">
      <c r="A277" s="115" t="s">
        <v>509</v>
      </c>
      <c r="B277" s="1013"/>
      <c r="C277" s="1016" t="str">
        <f>IFERROR(INDEX('Riesgos de Corrupción'!$B$11:$BN$100,MATCH('Mapa Riesgo Corrupción'!B277,'Riesgos de Corrupción'!$B$11:$B$100,0),2),"")</f>
        <v/>
      </c>
      <c r="D277" s="860" t="str">
        <f>IFERROR(INDEX('Riesgos de Corrupción'!$B$11:$BN$100,MATCH('Mapa Riesgo Corrupción'!B277,'Riesgos de Corrupción'!$B$11:$B$100,0),4),"")</f>
        <v/>
      </c>
      <c r="E277" s="1018" t="str">
        <f>IFERROR(INDEX('Riesgos de Corrupción'!$B$11:$BN$100,MATCH('Mapa Riesgo Corrupción'!B277,'Riesgos de Corrupción'!$B$11:$B$100,0),5),"")</f>
        <v/>
      </c>
      <c r="F277" s="865" t="str">
        <f>IFERROR(INDEX('Riesgos de Corrupción'!$B$11:$BN$100,MATCH('Mapa Riesgo Corrupción'!B277,'Riesgos de Corrupción'!$B$11:$B$100,0),18),"")</f>
        <v/>
      </c>
      <c r="G277" s="865" t="str">
        <f>IFERROR(INDEX('Riesgos de Corrupción'!$B$11:$BN$100,MATCH('Mapa Riesgo Corrupción'!B277,'Riesgos de Corrupción'!$B$11:$B$100,0),63),"")</f>
        <v/>
      </c>
      <c r="H277" s="867" t="str">
        <f>IFERROR(INDEX('Riesgos de Corrupción'!$B$11:$BN$100,MATCH('Mapa Riesgo Corrupción'!B277,'Riesgos de Corrupción'!$B$11:$B$100,0),64),"")</f>
        <v/>
      </c>
      <c r="I277" s="865" t="str">
        <f>IFERROR(INDEX('Controles de Corrupción'!$C$10:$AY$251,MATCH('Mapa Riesgo Corrupción'!B277,'Controles de Corrupción'!#REF!,0),33),"")</f>
        <v/>
      </c>
      <c r="J277" s="865" t="str">
        <f>IFERROR(INDEX('Controles de Corrupción'!$C$10:$AY$251,MATCH('Mapa Riesgo Corrupción'!B277,'Controles de Corrupción'!#REF!,0),36),"")</f>
        <v/>
      </c>
      <c r="K277" s="865" t="str">
        <f>IFERROR(INDEX('Controles de Corrupción'!$C$10:$AY$251,MATCH('Mapa Riesgo Corrupción'!B277,'Controles de Corrupción'!#REF!,0),37),"")</f>
        <v/>
      </c>
      <c r="L277" s="865" t="str">
        <f>IFERROR(INDEX('Controles de Corrupción'!$C$10:$AY$251,MATCH('Mapa Riesgo Corrupción'!B277,'Controles de Corrupción'!#REF!,0),38),"")</f>
        <v/>
      </c>
      <c r="M277" s="185" t="str">
        <f>IFERROR(INDEX('Controles de Corrupción'!$C$10:$AY$249,MATCH(A277,'Controles de Corrupción'!$B$10:$B$249,0),4),"")</f>
        <v/>
      </c>
      <c r="N277" s="70" t="str">
        <f>IFERROR(INDEX('Controles de Corrupción'!$C$10:$AY$249,MATCH(A277,'Controles de Corrupción'!$B$10:$B$249,0),40),"")</f>
        <v/>
      </c>
      <c r="O277" s="70" t="str">
        <f>IFERROR(INDEX('Controles de Corrupción'!$C$10:$AY$251,MATCH(A277,'Controles de Corrupción'!$B$10:$B$251,0),41),"")</f>
        <v/>
      </c>
      <c r="P277" s="70" t="str">
        <f>IFERROR(INDEX('Controles de Corrupción'!$C$10:$AY$251,MATCH(A277,'Controles de Corrupción'!$B$10:$B$251,0),42),"")</f>
        <v/>
      </c>
      <c r="Q277" s="186" t="str">
        <f>IFERROR(INDEX('Controles de Corrupción'!$C$10:$AY$251,MATCH(A277,'Controles de Corrupción'!$B$10:$B$251,0),47),"")</f>
        <v/>
      </c>
    </row>
    <row r="278" spans="1:17" x14ac:dyDescent="0.25">
      <c r="A278" s="115" t="s">
        <v>510</v>
      </c>
      <c r="B278" s="1014"/>
      <c r="C278" s="1017"/>
      <c r="D278" s="861"/>
      <c r="E278" s="1019"/>
      <c r="F278" s="865"/>
      <c r="G278" s="865"/>
      <c r="H278" s="867"/>
      <c r="I278" s="865"/>
      <c r="J278" s="865"/>
      <c r="K278" s="865"/>
      <c r="L278" s="865"/>
      <c r="M278" s="185" t="str">
        <f>IFERROR(INDEX('Controles de Corrupción'!$C$10:$AY$249,MATCH(A278,'Controles de Corrupción'!$B$10:$B$249,0),4),"")</f>
        <v/>
      </c>
      <c r="N278" s="70" t="str">
        <f>IFERROR(INDEX('Controles de Corrupción'!$C$10:$AY$249,MATCH(A278,'Controles de Corrupción'!$B$10:$B$249,0),40),"")</f>
        <v/>
      </c>
      <c r="O278" s="70" t="str">
        <f>IFERROR(INDEX('Controles de Corrupción'!$C$10:$AY$251,MATCH(A278,'Controles de Corrupción'!$B$10:$B$251,0),41),"")</f>
        <v/>
      </c>
      <c r="P278" s="70" t="str">
        <f>IFERROR(INDEX('Controles de Corrupción'!$C$10:$AY$251,MATCH(A278,'Controles de Corrupción'!$B$10:$B$251,0),42),"")</f>
        <v/>
      </c>
      <c r="Q278" s="186" t="str">
        <f>IFERROR(INDEX('Controles de Corrupción'!$C$10:$AY$251,MATCH(A278,'Controles de Corrupción'!$B$10:$B$251,0),47),"")</f>
        <v/>
      </c>
    </row>
    <row r="279" spans="1:17" x14ac:dyDescent="0.25">
      <c r="A279" s="115" t="s">
        <v>511</v>
      </c>
      <c r="B279" s="1014"/>
      <c r="C279" s="1017"/>
      <c r="D279" s="861"/>
      <c r="E279" s="1019"/>
      <c r="F279" s="865"/>
      <c r="G279" s="865"/>
      <c r="H279" s="867"/>
      <c r="I279" s="865"/>
      <c r="J279" s="865"/>
      <c r="K279" s="865"/>
      <c r="L279" s="865"/>
      <c r="M279" s="185" t="str">
        <f>IFERROR(INDEX('Controles de Corrupción'!$C$10:$AY$249,MATCH(A279,'Controles de Corrupción'!$B$10:$B$249,0),4),"")</f>
        <v/>
      </c>
      <c r="N279" s="70" t="str">
        <f>IFERROR(INDEX('Controles de Corrupción'!$C$10:$AY$249,MATCH(A279,'Controles de Corrupción'!$B$10:$B$249,0),40),"")</f>
        <v/>
      </c>
      <c r="O279" s="70" t="str">
        <f>IFERROR(INDEX('Controles de Corrupción'!$C$10:$AY$251,MATCH(A279,'Controles de Corrupción'!$B$10:$B$251,0),41),"")</f>
        <v/>
      </c>
      <c r="P279" s="70" t="str">
        <f>IFERROR(INDEX('Controles de Corrupción'!$C$10:$AY$251,MATCH(A279,'Controles de Corrupción'!$B$10:$B$251,0),42),"")</f>
        <v/>
      </c>
      <c r="Q279" s="186" t="str">
        <f>IFERROR(INDEX('Controles de Corrupción'!$C$10:$AY$251,MATCH(A279,'Controles de Corrupción'!$B$10:$B$251,0),47),"")</f>
        <v/>
      </c>
    </row>
    <row r="280" spans="1:17" x14ac:dyDescent="0.25">
      <c r="A280" s="115" t="s">
        <v>512</v>
      </c>
      <c r="B280" s="1014"/>
      <c r="C280" s="1017"/>
      <c r="D280" s="861"/>
      <c r="E280" s="1019"/>
      <c r="F280" s="865"/>
      <c r="G280" s="865"/>
      <c r="H280" s="867"/>
      <c r="I280" s="865"/>
      <c r="J280" s="865"/>
      <c r="K280" s="865"/>
      <c r="L280" s="865"/>
      <c r="M280" s="185" t="str">
        <f>IFERROR(INDEX('Controles de Corrupción'!$C$10:$AY$249,MATCH(A280,'Controles de Corrupción'!$B$10:$B$249,0),4),"")</f>
        <v/>
      </c>
      <c r="N280" s="70" t="str">
        <f>IFERROR(INDEX('Controles de Corrupción'!$C$10:$AY$249,MATCH(A280,'Controles de Corrupción'!$B$10:$B$249,0),40),"")</f>
        <v/>
      </c>
      <c r="O280" s="70" t="str">
        <f>IFERROR(INDEX('Controles de Corrupción'!$C$10:$AY$251,MATCH(A280,'Controles de Corrupción'!$B$10:$B$251,0),41),"")</f>
        <v/>
      </c>
      <c r="P280" s="70" t="str">
        <f>IFERROR(INDEX('Controles de Corrupción'!$C$10:$AY$251,MATCH(A280,'Controles de Corrupción'!$B$10:$B$251,0),42),"")</f>
        <v/>
      </c>
      <c r="Q280" s="186" t="str">
        <f>IFERROR(INDEX('Controles de Corrupción'!$C$10:$AY$251,MATCH(A280,'Controles de Corrupción'!$B$10:$B$251,0),47),"")</f>
        <v/>
      </c>
    </row>
    <row r="281" spans="1:17" x14ac:dyDescent="0.25">
      <c r="A281" s="115" t="s">
        <v>513</v>
      </c>
      <c r="B281" s="1014"/>
      <c r="C281" s="1017"/>
      <c r="D281" s="861"/>
      <c r="E281" s="1019"/>
      <c r="F281" s="865"/>
      <c r="G281" s="865"/>
      <c r="H281" s="867"/>
      <c r="I281" s="865"/>
      <c r="J281" s="865"/>
      <c r="K281" s="865"/>
      <c r="L281" s="865"/>
      <c r="M281" s="185" t="str">
        <f>IFERROR(INDEX('Controles de Corrupción'!$C$10:$AY$249,MATCH(A281,'Controles de Corrupción'!$B$10:$B$249,0),4),"")</f>
        <v/>
      </c>
      <c r="N281" s="70" t="str">
        <f>IFERROR(INDEX('Controles de Corrupción'!$C$10:$AY$249,MATCH(A281,'Controles de Corrupción'!$B$10:$B$249,0),40),"")</f>
        <v/>
      </c>
      <c r="O281" s="70" t="str">
        <f>IFERROR(INDEX('Controles de Corrupción'!$C$10:$AY$251,MATCH(A281,'Controles de Corrupción'!$B$10:$B$251,0),41),"")</f>
        <v/>
      </c>
      <c r="P281" s="70" t="str">
        <f>IFERROR(INDEX('Controles de Corrupción'!$C$10:$AY$251,MATCH(A281,'Controles de Corrupción'!$B$10:$B$251,0),42),"")</f>
        <v/>
      </c>
      <c r="Q281" s="186" t="str">
        <f>IFERROR(INDEX('Controles de Corrupción'!$C$10:$AY$251,MATCH(A281,'Controles de Corrupción'!$B$10:$B$251,0),47),"")</f>
        <v/>
      </c>
    </row>
    <row r="282" spans="1:17" x14ac:dyDescent="0.25">
      <c r="A282" s="115" t="s">
        <v>514</v>
      </c>
      <c r="B282" s="1015"/>
      <c r="C282" s="1017"/>
      <c r="D282" s="861"/>
      <c r="E282" s="1019"/>
      <c r="F282" s="865"/>
      <c r="G282" s="865"/>
      <c r="H282" s="867"/>
      <c r="I282" s="865"/>
      <c r="J282" s="865"/>
      <c r="K282" s="865"/>
      <c r="L282" s="865"/>
      <c r="M282" s="185" t="str">
        <f>IFERROR(INDEX('Controles de Corrupción'!$C$10:$AY$249,MATCH(A282,'Controles de Corrupción'!$B$10:$B$249,0),4),"")</f>
        <v/>
      </c>
      <c r="N282" s="70" t="str">
        <f>IFERROR(INDEX('Controles de Corrupción'!$C$10:$AY$249,MATCH(A282,'Controles de Corrupción'!$B$10:$B$249,0),40),"")</f>
        <v/>
      </c>
      <c r="O282" s="70" t="str">
        <f>IFERROR(INDEX('Controles de Corrupción'!$C$10:$AY$251,MATCH(A282,'Controles de Corrupción'!$B$10:$B$251,0),41),"")</f>
        <v/>
      </c>
      <c r="P282" s="70" t="str">
        <f>IFERROR(INDEX('Controles de Corrupción'!$C$10:$AY$251,MATCH(A282,'Controles de Corrupción'!$B$10:$B$251,0),42),"")</f>
        <v/>
      </c>
      <c r="Q282" s="186" t="str">
        <f>IFERROR(INDEX('Controles de Corrupción'!$C$10:$AY$251,MATCH(A282,'Controles de Corrupción'!$B$10:$B$251,0),47),"")</f>
        <v/>
      </c>
    </row>
    <row r="283" spans="1:17" x14ac:dyDescent="0.25">
      <c r="A283" s="115" t="s">
        <v>515</v>
      </c>
      <c r="B283" s="1013"/>
      <c r="C283" s="1016" t="str">
        <f>IFERROR(INDEX('Riesgos de Corrupción'!$B$11:$BN$100,MATCH('Mapa Riesgo Corrupción'!B283,'Riesgos de Corrupción'!$B$11:$B$100,0),2),"")</f>
        <v/>
      </c>
      <c r="D283" s="860" t="str">
        <f>IFERROR(INDEX('Riesgos de Corrupción'!$B$11:$BN$100,MATCH('Mapa Riesgo Corrupción'!B283,'Riesgos de Corrupción'!$B$11:$B$100,0),4),"")</f>
        <v/>
      </c>
      <c r="E283" s="1018" t="str">
        <f>IFERROR(INDEX('Riesgos de Corrupción'!$B$11:$BN$100,MATCH('Mapa Riesgo Corrupción'!B283,'Riesgos de Corrupción'!$B$11:$B$100,0),5),"")</f>
        <v/>
      </c>
      <c r="F283" s="865" t="str">
        <f>IFERROR(INDEX('Riesgos de Corrupción'!$B$11:$BN$100,MATCH('Mapa Riesgo Corrupción'!B283,'Riesgos de Corrupción'!$B$11:$B$100,0),18),"")</f>
        <v/>
      </c>
      <c r="G283" s="865" t="str">
        <f>IFERROR(INDEX('Riesgos de Corrupción'!$B$11:$BN$100,MATCH('Mapa Riesgo Corrupción'!B283,'Riesgos de Corrupción'!$B$11:$B$100,0),63),"")</f>
        <v/>
      </c>
      <c r="H283" s="867" t="str">
        <f>IFERROR(INDEX('Riesgos de Corrupción'!$B$11:$BN$100,MATCH('Mapa Riesgo Corrupción'!B283,'Riesgos de Corrupción'!$B$11:$B$100,0),64),"")</f>
        <v/>
      </c>
      <c r="I283" s="865" t="str">
        <f>IFERROR(INDEX('Controles de Corrupción'!$C$10:$AY$251,MATCH('Mapa Riesgo Corrupción'!B283,'Controles de Corrupción'!#REF!,0),33),"")</f>
        <v/>
      </c>
      <c r="J283" s="865" t="str">
        <f>IFERROR(INDEX('Controles de Corrupción'!$C$10:$AY$251,MATCH('Mapa Riesgo Corrupción'!B283,'Controles de Corrupción'!#REF!,0),36),"")</f>
        <v/>
      </c>
      <c r="K283" s="865" t="str">
        <f>IFERROR(INDEX('Controles de Corrupción'!$C$10:$AY$251,MATCH('Mapa Riesgo Corrupción'!B283,'Controles de Corrupción'!#REF!,0),37),"")</f>
        <v/>
      </c>
      <c r="L283" s="865" t="str">
        <f>IFERROR(INDEX('Controles de Corrupción'!$C$10:$AY$251,MATCH('Mapa Riesgo Corrupción'!B283,'Controles de Corrupción'!#REF!,0),38),"")</f>
        <v/>
      </c>
      <c r="M283" s="185" t="str">
        <f>IFERROR(INDEX('Controles de Corrupción'!$C$10:$AY$249,MATCH(A283,'Controles de Corrupción'!$B$10:$B$249,0),4),"")</f>
        <v/>
      </c>
      <c r="N283" s="70" t="str">
        <f>IFERROR(INDEX('Controles de Corrupción'!$C$10:$AY$249,MATCH(A283,'Controles de Corrupción'!$B$10:$B$249,0),40),"")</f>
        <v/>
      </c>
      <c r="O283" s="70" t="str">
        <f>IFERROR(INDEX('Controles de Corrupción'!$C$10:$AY$251,MATCH(A283,'Controles de Corrupción'!$B$10:$B$251,0),41),"")</f>
        <v/>
      </c>
      <c r="P283" s="70" t="str">
        <f>IFERROR(INDEX('Controles de Corrupción'!$C$10:$AY$251,MATCH(A283,'Controles de Corrupción'!$B$10:$B$251,0),42),"")</f>
        <v/>
      </c>
      <c r="Q283" s="186" t="str">
        <f>IFERROR(INDEX('Controles de Corrupción'!$C$10:$AY$251,MATCH(A283,'Controles de Corrupción'!$B$10:$B$251,0),47),"")</f>
        <v/>
      </c>
    </row>
    <row r="284" spans="1:17" x14ac:dyDescent="0.25">
      <c r="A284" s="115" t="s">
        <v>516</v>
      </c>
      <c r="B284" s="1014"/>
      <c r="C284" s="1017"/>
      <c r="D284" s="861"/>
      <c r="E284" s="1019"/>
      <c r="F284" s="865"/>
      <c r="G284" s="865"/>
      <c r="H284" s="867"/>
      <c r="I284" s="865"/>
      <c r="J284" s="865"/>
      <c r="K284" s="865"/>
      <c r="L284" s="865"/>
      <c r="M284" s="185" t="str">
        <f>IFERROR(INDEX('Controles de Corrupción'!$C$10:$AY$249,MATCH(A284,'Controles de Corrupción'!$B$10:$B$249,0),4),"")</f>
        <v/>
      </c>
      <c r="N284" s="70" t="str">
        <f>IFERROR(INDEX('Controles de Corrupción'!$C$10:$AY$249,MATCH(A284,'Controles de Corrupción'!$B$10:$B$249,0),40),"")</f>
        <v/>
      </c>
      <c r="O284" s="70" t="str">
        <f>IFERROR(INDEX('Controles de Corrupción'!$C$10:$AY$251,MATCH(A284,'Controles de Corrupción'!$B$10:$B$251,0),41),"")</f>
        <v/>
      </c>
      <c r="P284" s="70" t="str">
        <f>IFERROR(INDEX('Controles de Corrupción'!$C$10:$AY$251,MATCH(A284,'Controles de Corrupción'!$B$10:$B$251,0),42),"")</f>
        <v/>
      </c>
      <c r="Q284" s="186" t="str">
        <f>IFERROR(INDEX('Controles de Corrupción'!$C$10:$AY$251,MATCH(A284,'Controles de Corrupción'!$B$10:$B$251,0),47),"")</f>
        <v/>
      </c>
    </row>
    <row r="285" spans="1:17" x14ac:dyDescent="0.25">
      <c r="A285" s="115" t="s">
        <v>517</v>
      </c>
      <c r="B285" s="1014"/>
      <c r="C285" s="1017"/>
      <c r="D285" s="861"/>
      <c r="E285" s="1019"/>
      <c r="F285" s="865"/>
      <c r="G285" s="865"/>
      <c r="H285" s="867"/>
      <c r="I285" s="865"/>
      <c r="J285" s="865"/>
      <c r="K285" s="865"/>
      <c r="L285" s="865"/>
      <c r="M285" s="185" t="str">
        <f>IFERROR(INDEX('Controles de Corrupción'!$C$10:$AY$249,MATCH(A285,'Controles de Corrupción'!$B$10:$B$249,0),4),"")</f>
        <v/>
      </c>
      <c r="N285" s="70" t="str">
        <f>IFERROR(INDEX('Controles de Corrupción'!$C$10:$AY$249,MATCH(A285,'Controles de Corrupción'!$B$10:$B$249,0),40),"")</f>
        <v/>
      </c>
      <c r="O285" s="70" t="str">
        <f>IFERROR(INDEX('Controles de Corrupción'!$C$10:$AY$251,MATCH(A285,'Controles de Corrupción'!$B$10:$B$251,0),41),"")</f>
        <v/>
      </c>
      <c r="P285" s="70" t="str">
        <f>IFERROR(INDEX('Controles de Corrupción'!$C$10:$AY$251,MATCH(A285,'Controles de Corrupción'!$B$10:$B$251,0),42),"")</f>
        <v/>
      </c>
      <c r="Q285" s="186" t="str">
        <f>IFERROR(INDEX('Controles de Corrupción'!$C$10:$AY$251,MATCH(A285,'Controles de Corrupción'!$B$10:$B$251,0),47),"")</f>
        <v/>
      </c>
    </row>
    <row r="286" spans="1:17" x14ac:dyDescent="0.25">
      <c r="A286" s="115" t="s">
        <v>518</v>
      </c>
      <c r="B286" s="1014"/>
      <c r="C286" s="1017"/>
      <c r="D286" s="861"/>
      <c r="E286" s="1019"/>
      <c r="F286" s="865"/>
      <c r="G286" s="865"/>
      <c r="H286" s="867"/>
      <c r="I286" s="865"/>
      <c r="J286" s="865"/>
      <c r="K286" s="865"/>
      <c r="L286" s="865"/>
      <c r="M286" s="185" t="str">
        <f>IFERROR(INDEX('Controles de Corrupción'!$C$10:$AY$249,MATCH(A286,'Controles de Corrupción'!$B$10:$B$249,0),4),"")</f>
        <v/>
      </c>
      <c r="N286" s="70" t="str">
        <f>IFERROR(INDEX('Controles de Corrupción'!$C$10:$AY$249,MATCH(A286,'Controles de Corrupción'!$B$10:$B$249,0),40),"")</f>
        <v/>
      </c>
      <c r="O286" s="70" t="str">
        <f>IFERROR(INDEX('Controles de Corrupción'!$C$10:$AY$251,MATCH(A286,'Controles de Corrupción'!$B$10:$B$251,0),41),"")</f>
        <v/>
      </c>
      <c r="P286" s="70" t="str">
        <f>IFERROR(INDEX('Controles de Corrupción'!$C$10:$AY$251,MATCH(A286,'Controles de Corrupción'!$B$10:$B$251,0),42),"")</f>
        <v/>
      </c>
      <c r="Q286" s="186" t="str">
        <f>IFERROR(INDEX('Controles de Corrupción'!$C$10:$AY$251,MATCH(A286,'Controles de Corrupción'!$B$10:$B$251,0),47),"")</f>
        <v/>
      </c>
    </row>
    <row r="287" spans="1:17" x14ac:dyDescent="0.25">
      <c r="A287" s="115" t="s">
        <v>519</v>
      </c>
      <c r="B287" s="1014"/>
      <c r="C287" s="1017"/>
      <c r="D287" s="861"/>
      <c r="E287" s="1019"/>
      <c r="F287" s="865"/>
      <c r="G287" s="865"/>
      <c r="H287" s="867"/>
      <c r="I287" s="865"/>
      <c r="J287" s="865"/>
      <c r="K287" s="865"/>
      <c r="L287" s="865"/>
      <c r="M287" s="185" t="str">
        <f>IFERROR(INDEX('Controles de Corrupción'!$C$10:$AY$249,MATCH(A287,'Controles de Corrupción'!$B$10:$B$249,0),4),"")</f>
        <v/>
      </c>
      <c r="N287" s="70" t="str">
        <f>IFERROR(INDEX('Controles de Corrupción'!$C$10:$AY$249,MATCH(A287,'Controles de Corrupción'!$B$10:$B$249,0),40),"")</f>
        <v/>
      </c>
      <c r="O287" s="70" t="str">
        <f>IFERROR(INDEX('Controles de Corrupción'!$C$10:$AY$251,MATCH(A287,'Controles de Corrupción'!$B$10:$B$251,0),41),"")</f>
        <v/>
      </c>
      <c r="P287" s="70" t="str">
        <f>IFERROR(INDEX('Controles de Corrupción'!$C$10:$AY$251,MATCH(A287,'Controles de Corrupción'!$B$10:$B$251,0),42),"")</f>
        <v/>
      </c>
      <c r="Q287" s="186" t="str">
        <f>IFERROR(INDEX('Controles de Corrupción'!$C$10:$AY$251,MATCH(A287,'Controles de Corrupción'!$B$10:$B$251,0),47),"")</f>
        <v/>
      </c>
    </row>
    <row r="288" spans="1:17" x14ac:dyDescent="0.25">
      <c r="A288" s="115" t="s">
        <v>520</v>
      </c>
      <c r="B288" s="1015"/>
      <c r="C288" s="1017"/>
      <c r="D288" s="861"/>
      <c r="E288" s="1019"/>
      <c r="F288" s="865"/>
      <c r="G288" s="865"/>
      <c r="H288" s="867"/>
      <c r="I288" s="865"/>
      <c r="J288" s="865"/>
      <c r="K288" s="865"/>
      <c r="L288" s="865"/>
      <c r="M288" s="185" t="str">
        <f>IFERROR(INDEX('Controles de Corrupción'!$C$10:$AY$249,MATCH(A288,'Controles de Corrupción'!$B$10:$B$249,0),4),"")</f>
        <v/>
      </c>
      <c r="N288" s="70" t="str">
        <f>IFERROR(INDEX('Controles de Corrupción'!$C$10:$AY$249,MATCH(A288,'Controles de Corrupción'!$B$10:$B$249,0),40),"")</f>
        <v/>
      </c>
      <c r="O288" s="70" t="str">
        <f>IFERROR(INDEX('Controles de Corrupción'!$C$10:$AY$251,MATCH(A288,'Controles de Corrupción'!$B$10:$B$251,0),41),"")</f>
        <v/>
      </c>
      <c r="P288" s="70" t="str">
        <f>IFERROR(INDEX('Controles de Corrupción'!$C$10:$AY$251,MATCH(A288,'Controles de Corrupción'!$B$10:$B$251,0),42),"")</f>
        <v/>
      </c>
      <c r="Q288" s="186" t="str">
        <f>IFERROR(INDEX('Controles de Corrupción'!$C$10:$AY$251,MATCH(A288,'Controles de Corrupción'!$B$10:$B$251,0),47),"")</f>
        <v/>
      </c>
    </row>
    <row r="289" spans="1:17" x14ac:dyDescent="0.25">
      <c r="A289" s="115" t="s">
        <v>521</v>
      </c>
      <c r="B289" s="1013"/>
      <c r="C289" s="1016" t="str">
        <f>IFERROR(INDEX('Riesgos de Corrupción'!$B$11:$BN$100,MATCH('Mapa Riesgo Corrupción'!B289,'Riesgos de Corrupción'!$B$11:$B$100,0),2),"")</f>
        <v/>
      </c>
      <c r="D289" s="860" t="str">
        <f>IFERROR(INDEX('Riesgos de Corrupción'!$B$11:$BN$100,MATCH('Mapa Riesgo Corrupción'!B289,'Riesgos de Corrupción'!$B$11:$B$100,0),4),"")</f>
        <v/>
      </c>
      <c r="E289" s="1018" t="str">
        <f>IFERROR(INDEX('Riesgos de Corrupción'!$B$11:$BN$100,MATCH('Mapa Riesgo Corrupción'!B289,'Riesgos de Corrupción'!$B$11:$B$100,0),5),"")</f>
        <v/>
      </c>
      <c r="F289" s="865" t="str">
        <f>IFERROR(INDEX('Riesgos de Corrupción'!$B$11:$BN$100,MATCH('Mapa Riesgo Corrupción'!B289,'Riesgos de Corrupción'!$B$11:$B$100,0),18),"")</f>
        <v/>
      </c>
      <c r="G289" s="865" t="str">
        <f>IFERROR(INDEX('Riesgos de Corrupción'!$B$11:$BN$100,MATCH('Mapa Riesgo Corrupción'!B289,'Riesgos de Corrupción'!$B$11:$B$100,0),63),"")</f>
        <v/>
      </c>
      <c r="H289" s="867" t="str">
        <f>IFERROR(INDEX('Riesgos de Corrupción'!$B$11:$BN$100,MATCH('Mapa Riesgo Corrupción'!B289,'Riesgos de Corrupción'!$B$11:$B$100,0),64),"")</f>
        <v/>
      </c>
      <c r="I289" s="865" t="str">
        <f>IFERROR(INDEX('Controles de Corrupción'!$C$10:$AY$251,MATCH('Mapa Riesgo Corrupción'!B289,'Controles de Corrupción'!#REF!,0),33),"")</f>
        <v/>
      </c>
      <c r="J289" s="865" t="str">
        <f>IFERROR(INDEX('Controles de Corrupción'!$C$10:$AY$251,MATCH('Mapa Riesgo Corrupción'!B289,'Controles de Corrupción'!#REF!,0),36),"")</f>
        <v/>
      </c>
      <c r="K289" s="865" t="str">
        <f>IFERROR(INDEX('Controles de Corrupción'!$C$10:$AY$251,MATCH('Mapa Riesgo Corrupción'!B289,'Controles de Corrupción'!#REF!,0),37),"")</f>
        <v/>
      </c>
      <c r="L289" s="865" t="str">
        <f>IFERROR(INDEX('Controles de Corrupción'!$C$10:$AY$251,MATCH('Mapa Riesgo Corrupción'!B289,'Controles de Corrupción'!#REF!,0),38),"")</f>
        <v/>
      </c>
      <c r="M289" s="185" t="str">
        <f>IFERROR(INDEX('Controles de Corrupción'!$C$10:$AY$249,MATCH(A289,'Controles de Corrupción'!$B$10:$B$249,0),4),"")</f>
        <v/>
      </c>
      <c r="N289" s="70" t="str">
        <f>IFERROR(INDEX('Controles de Corrupción'!$C$10:$AY$249,MATCH(A289,'Controles de Corrupción'!$B$10:$B$249,0),40),"")</f>
        <v/>
      </c>
      <c r="O289" s="70" t="str">
        <f>IFERROR(INDEX('Controles de Corrupción'!$C$10:$AY$251,MATCH(A289,'Controles de Corrupción'!$B$10:$B$251,0),41),"")</f>
        <v/>
      </c>
      <c r="P289" s="70" t="str">
        <f>IFERROR(INDEX('Controles de Corrupción'!$C$10:$AY$251,MATCH(A289,'Controles de Corrupción'!$B$10:$B$251,0),42),"")</f>
        <v/>
      </c>
      <c r="Q289" s="186" t="str">
        <f>IFERROR(INDEX('Controles de Corrupción'!$C$10:$AY$251,MATCH(A289,'Controles de Corrupción'!$B$10:$B$251,0),47),"")</f>
        <v/>
      </c>
    </row>
    <row r="290" spans="1:17" x14ac:dyDescent="0.25">
      <c r="A290" s="115" t="s">
        <v>522</v>
      </c>
      <c r="B290" s="1014"/>
      <c r="C290" s="1017"/>
      <c r="D290" s="861"/>
      <c r="E290" s="1019"/>
      <c r="F290" s="865"/>
      <c r="G290" s="865"/>
      <c r="H290" s="867"/>
      <c r="I290" s="865"/>
      <c r="J290" s="865"/>
      <c r="K290" s="865"/>
      <c r="L290" s="865"/>
      <c r="M290" s="185" t="str">
        <f>IFERROR(INDEX('Controles de Corrupción'!$C$10:$AY$249,MATCH(A290,'Controles de Corrupción'!$B$10:$B$249,0),4),"")</f>
        <v/>
      </c>
      <c r="N290" s="70" t="str">
        <f>IFERROR(INDEX('Controles de Corrupción'!$C$10:$AY$249,MATCH(A290,'Controles de Corrupción'!$B$10:$B$249,0),40),"")</f>
        <v/>
      </c>
      <c r="O290" s="70" t="str">
        <f>IFERROR(INDEX('Controles de Corrupción'!$C$10:$AY$251,MATCH(A290,'Controles de Corrupción'!$B$10:$B$251,0),41),"")</f>
        <v/>
      </c>
      <c r="P290" s="70" t="str">
        <f>IFERROR(INDEX('Controles de Corrupción'!$C$10:$AY$251,MATCH(A290,'Controles de Corrupción'!$B$10:$B$251,0),42),"")</f>
        <v/>
      </c>
      <c r="Q290" s="186" t="str">
        <f>IFERROR(INDEX('Controles de Corrupción'!$C$10:$AY$251,MATCH(A290,'Controles de Corrupción'!$B$10:$B$251,0),47),"")</f>
        <v/>
      </c>
    </row>
    <row r="291" spans="1:17" x14ac:dyDescent="0.25">
      <c r="A291" s="115" t="s">
        <v>523</v>
      </c>
      <c r="B291" s="1014"/>
      <c r="C291" s="1017"/>
      <c r="D291" s="861"/>
      <c r="E291" s="1019"/>
      <c r="F291" s="865"/>
      <c r="G291" s="865"/>
      <c r="H291" s="867"/>
      <c r="I291" s="865"/>
      <c r="J291" s="865"/>
      <c r="K291" s="865"/>
      <c r="L291" s="865"/>
      <c r="M291" s="185" t="str">
        <f>IFERROR(INDEX('Controles de Corrupción'!$C$10:$AY$249,MATCH(A291,'Controles de Corrupción'!$B$10:$B$249,0),4),"")</f>
        <v/>
      </c>
      <c r="N291" s="70" t="str">
        <f>IFERROR(INDEX('Controles de Corrupción'!$C$10:$AY$249,MATCH(A291,'Controles de Corrupción'!$B$10:$B$249,0),40),"")</f>
        <v/>
      </c>
      <c r="O291" s="70" t="str">
        <f>IFERROR(INDEX('Controles de Corrupción'!$C$10:$AY$251,MATCH(A291,'Controles de Corrupción'!$B$10:$B$251,0),41),"")</f>
        <v/>
      </c>
      <c r="P291" s="70" t="str">
        <f>IFERROR(INDEX('Controles de Corrupción'!$C$10:$AY$251,MATCH(A291,'Controles de Corrupción'!$B$10:$B$251,0),42),"")</f>
        <v/>
      </c>
      <c r="Q291" s="186" t="str">
        <f>IFERROR(INDEX('Controles de Corrupción'!$C$10:$AY$251,MATCH(A291,'Controles de Corrupción'!$B$10:$B$251,0),47),"")</f>
        <v/>
      </c>
    </row>
    <row r="292" spans="1:17" x14ac:dyDescent="0.25">
      <c r="A292" s="115" t="s">
        <v>524</v>
      </c>
      <c r="B292" s="1014"/>
      <c r="C292" s="1017"/>
      <c r="D292" s="861"/>
      <c r="E292" s="1019"/>
      <c r="F292" s="865"/>
      <c r="G292" s="865"/>
      <c r="H292" s="867"/>
      <c r="I292" s="865"/>
      <c r="J292" s="865"/>
      <c r="K292" s="865"/>
      <c r="L292" s="865"/>
      <c r="M292" s="185" t="str">
        <f>IFERROR(INDEX('Controles de Corrupción'!$C$10:$AY$249,MATCH(A292,'Controles de Corrupción'!$B$10:$B$249,0),4),"")</f>
        <v/>
      </c>
      <c r="N292" s="70" t="str">
        <f>IFERROR(INDEX('Controles de Corrupción'!$C$10:$AY$249,MATCH(A292,'Controles de Corrupción'!$B$10:$B$249,0),40),"")</f>
        <v/>
      </c>
      <c r="O292" s="70" t="str">
        <f>IFERROR(INDEX('Controles de Corrupción'!$C$10:$AY$251,MATCH(A292,'Controles de Corrupción'!$B$10:$B$251,0),41),"")</f>
        <v/>
      </c>
      <c r="P292" s="70" t="str">
        <f>IFERROR(INDEX('Controles de Corrupción'!$C$10:$AY$251,MATCH(A292,'Controles de Corrupción'!$B$10:$B$251,0),42),"")</f>
        <v/>
      </c>
      <c r="Q292" s="186" t="str">
        <f>IFERROR(INDEX('Controles de Corrupción'!$C$10:$AY$251,MATCH(A292,'Controles de Corrupción'!$B$10:$B$251,0),47),"")</f>
        <v/>
      </c>
    </row>
    <row r="293" spans="1:17" x14ac:dyDescent="0.25">
      <c r="A293" s="115" t="s">
        <v>525</v>
      </c>
      <c r="B293" s="1014"/>
      <c r="C293" s="1017"/>
      <c r="D293" s="861"/>
      <c r="E293" s="1019"/>
      <c r="F293" s="865"/>
      <c r="G293" s="865"/>
      <c r="H293" s="867"/>
      <c r="I293" s="865"/>
      <c r="J293" s="865"/>
      <c r="K293" s="865"/>
      <c r="L293" s="865"/>
      <c r="M293" s="185" t="str">
        <f>IFERROR(INDEX('Controles de Corrupción'!$C$10:$AY$249,MATCH(A293,'Controles de Corrupción'!$B$10:$B$249,0),4),"")</f>
        <v/>
      </c>
      <c r="N293" s="70" t="str">
        <f>IFERROR(INDEX('Controles de Corrupción'!$C$10:$AY$249,MATCH(A293,'Controles de Corrupción'!$B$10:$B$249,0),40),"")</f>
        <v/>
      </c>
      <c r="O293" s="70" t="str">
        <f>IFERROR(INDEX('Controles de Corrupción'!$C$10:$AY$251,MATCH(A293,'Controles de Corrupción'!$B$10:$B$251,0),41),"")</f>
        <v/>
      </c>
      <c r="P293" s="70" t="str">
        <f>IFERROR(INDEX('Controles de Corrupción'!$C$10:$AY$251,MATCH(A293,'Controles de Corrupción'!$B$10:$B$251,0),42),"")</f>
        <v/>
      </c>
      <c r="Q293" s="186" t="str">
        <f>IFERROR(INDEX('Controles de Corrupción'!$C$10:$AY$251,MATCH(A293,'Controles de Corrupción'!$B$10:$B$251,0),47),"")</f>
        <v/>
      </c>
    </row>
    <row r="294" spans="1:17" x14ac:dyDescent="0.25">
      <c r="A294" s="115" t="s">
        <v>526</v>
      </c>
      <c r="B294" s="1015"/>
      <c r="C294" s="1017"/>
      <c r="D294" s="861"/>
      <c r="E294" s="1019"/>
      <c r="F294" s="865"/>
      <c r="G294" s="865"/>
      <c r="H294" s="867"/>
      <c r="I294" s="865"/>
      <c r="J294" s="865"/>
      <c r="K294" s="865"/>
      <c r="L294" s="865"/>
      <c r="M294" s="185" t="str">
        <f>IFERROR(INDEX('Controles de Corrupción'!$C$10:$AY$249,MATCH(A294,'Controles de Corrupción'!$B$10:$B$249,0),4),"")</f>
        <v/>
      </c>
      <c r="N294" s="70" t="str">
        <f>IFERROR(INDEX('Controles de Corrupción'!$C$10:$AY$249,MATCH(A294,'Controles de Corrupción'!$B$10:$B$249,0),40),"")</f>
        <v/>
      </c>
      <c r="O294" s="70" t="str">
        <f>IFERROR(INDEX('Controles de Corrupción'!$C$10:$AY$251,MATCH(A294,'Controles de Corrupción'!$B$10:$B$251,0),41),"")</f>
        <v/>
      </c>
      <c r="P294" s="70" t="str">
        <f>IFERROR(INDEX('Controles de Corrupción'!$C$10:$AY$251,MATCH(A294,'Controles de Corrupción'!$B$10:$B$251,0),42),"")</f>
        <v/>
      </c>
      <c r="Q294" s="186" t="str">
        <f>IFERROR(INDEX('Controles de Corrupción'!$C$10:$AY$251,MATCH(A294,'Controles de Corrupción'!$B$10:$B$251,0),47),"")</f>
        <v/>
      </c>
    </row>
    <row r="295" spans="1:17" x14ac:dyDescent="0.25">
      <c r="A295" s="115" t="s">
        <v>527</v>
      </c>
      <c r="B295" s="1013"/>
      <c r="C295" s="1016" t="str">
        <f>IFERROR(INDEX('Riesgos de Corrupción'!$B$11:$BN$100,MATCH('Mapa Riesgo Corrupción'!B295,'Riesgos de Corrupción'!$B$11:$B$100,0),2),"")</f>
        <v/>
      </c>
      <c r="D295" s="860" t="str">
        <f>IFERROR(INDEX('Riesgos de Corrupción'!$B$11:$BN$100,MATCH('Mapa Riesgo Corrupción'!B295,'Riesgos de Corrupción'!$B$11:$B$100,0),4),"")</f>
        <v/>
      </c>
      <c r="E295" s="1018" t="str">
        <f>IFERROR(INDEX('Riesgos de Corrupción'!$B$11:$BN$100,MATCH('Mapa Riesgo Corrupción'!B295,'Riesgos de Corrupción'!$B$11:$B$100,0),5),"")</f>
        <v/>
      </c>
      <c r="F295" s="865" t="str">
        <f>IFERROR(INDEX('Riesgos de Corrupción'!$B$11:$BN$100,MATCH('Mapa Riesgo Corrupción'!B295,'Riesgos de Corrupción'!$B$11:$B$100,0),18),"")</f>
        <v/>
      </c>
      <c r="G295" s="865" t="str">
        <f>IFERROR(INDEX('Riesgos de Corrupción'!$B$11:$BN$100,MATCH('Mapa Riesgo Corrupción'!B295,'Riesgos de Corrupción'!$B$11:$B$100,0),63),"")</f>
        <v/>
      </c>
      <c r="H295" s="867" t="str">
        <f>IFERROR(INDEX('Riesgos de Corrupción'!$B$11:$BN$100,MATCH('Mapa Riesgo Corrupción'!B295,'Riesgos de Corrupción'!$B$11:$B$100,0),64),"")</f>
        <v/>
      </c>
      <c r="I295" s="865" t="str">
        <f>IFERROR(INDEX('Controles de Corrupción'!$C$10:$AY$251,MATCH('Mapa Riesgo Corrupción'!B295,'Controles de Corrupción'!#REF!,0),33),"")</f>
        <v/>
      </c>
      <c r="J295" s="865" t="str">
        <f>IFERROR(INDEX('Controles de Corrupción'!$C$10:$AY$251,MATCH('Mapa Riesgo Corrupción'!B295,'Controles de Corrupción'!#REF!,0),36),"")</f>
        <v/>
      </c>
      <c r="K295" s="865" t="str">
        <f>IFERROR(INDEX('Controles de Corrupción'!$C$10:$AY$251,MATCH('Mapa Riesgo Corrupción'!B295,'Controles de Corrupción'!#REF!,0),37),"")</f>
        <v/>
      </c>
      <c r="L295" s="865" t="str">
        <f>IFERROR(INDEX('Controles de Corrupción'!$C$10:$AY$251,MATCH('Mapa Riesgo Corrupción'!B295,'Controles de Corrupción'!#REF!,0),38),"")</f>
        <v/>
      </c>
      <c r="M295" s="185" t="str">
        <f>IFERROR(INDEX('Controles de Corrupción'!$C$10:$AY$249,MATCH(A295,'Controles de Corrupción'!$B$10:$B$249,0),4),"")</f>
        <v/>
      </c>
      <c r="N295" s="70" t="str">
        <f>IFERROR(INDEX('Controles de Corrupción'!$C$10:$AY$249,MATCH(A295,'Controles de Corrupción'!$B$10:$B$249,0),40),"")</f>
        <v/>
      </c>
      <c r="O295" s="70" t="str">
        <f>IFERROR(INDEX('Controles de Corrupción'!$C$10:$AY$251,MATCH(A295,'Controles de Corrupción'!$B$10:$B$251,0),41),"")</f>
        <v/>
      </c>
      <c r="P295" s="70" t="str">
        <f>IFERROR(INDEX('Controles de Corrupción'!$C$10:$AY$251,MATCH(A295,'Controles de Corrupción'!$B$10:$B$251,0),42),"")</f>
        <v/>
      </c>
      <c r="Q295" s="186" t="str">
        <f>IFERROR(INDEX('Controles de Corrupción'!$C$10:$AY$251,MATCH(A295,'Controles de Corrupción'!$B$10:$B$251,0),47),"")</f>
        <v/>
      </c>
    </row>
    <row r="296" spans="1:17" x14ac:dyDescent="0.25">
      <c r="A296" s="115" t="s">
        <v>528</v>
      </c>
      <c r="B296" s="1014"/>
      <c r="C296" s="1017"/>
      <c r="D296" s="861"/>
      <c r="E296" s="1019"/>
      <c r="F296" s="865"/>
      <c r="G296" s="865"/>
      <c r="H296" s="867"/>
      <c r="I296" s="865"/>
      <c r="J296" s="865"/>
      <c r="K296" s="865"/>
      <c r="L296" s="865"/>
      <c r="M296" s="185" t="str">
        <f>IFERROR(INDEX('Controles de Corrupción'!$C$10:$AY$249,MATCH(A296,'Controles de Corrupción'!$B$10:$B$249,0),4),"")</f>
        <v/>
      </c>
      <c r="N296" s="70" t="str">
        <f>IFERROR(INDEX('Controles de Corrupción'!$C$10:$AY$249,MATCH(A296,'Controles de Corrupción'!$B$10:$B$249,0),40),"")</f>
        <v/>
      </c>
      <c r="O296" s="70" t="str">
        <f>IFERROR(INDEX('Controles de Corrupción'!$C$10:$AY$251,MATCH(A296,'Controles de Corrupción'!$B$10:$B$251,0),41),"")</f>
        <v/>
      </c>
      <c r="P296" s="70" t="str">
        <f>IFERROR(INDEX('Controles de Corrupción'!$C$10:$AY$251,MATCH(A296,'Controles de Corrupción'!$B$10:$B$251,0),42),"")</f>
        <v/>
      </c>
      <c r="Q296" s="186" t="str">
        <f>IFERROR(INDEX('Controles de Corrupción'!$C$10:$AY$251,MATCH(A296,'Controles de Corrupción'!$B$10:$B$251,0),47),"")</f>
        <v/>
      </c>
    </row>
    <row r="297" spans="1:17" x14ac:dyDescent="0.25">
      <c r="A297" s="115" t="s">
        <v>529</v>
      </c>
      <c r="B297" s="1014"/>
      <c r="C297" s="1017"/>
      <c r="D297" s="861"/>
      <c r="E297" s="1019"/>
      <c r="F297" s="865"/>
      <c r="G297" s="865"/>
      <c r="H297" s="867"/>
      <c r="I297" s="865"/>
      <c r="J297" s="865"/>
      <c r="K297" s="865"/>
      <c r="L297" s="865"/>
      <c r="M297" s="185" t="str">
        <f>IFERROR(INDEX('Controles de Corrupción'!$C$10:$AY$249,MATCH(A297,'Controles de Corrupción'!$B$10:$B$249,0),4),"")</f>
        <v/>
      </c>
      <c r="N297" s="70" t="str">
        <f>IFERROR(INDEX('Controles de Corrupción'!$C$10:$AY$249,MATCH(A297,'Controles de Corrupción'!$B$10:$B$249,0),40),"")</f>
        <v/>
      </c>
      <c r="O297" s="70" t="str">
        <f>IFERROR(INDEX('Controles de Corrupción'!$C$10:$AY$251,MATCH(A297,'Controles de Corrupción'!$B$10:$B$251,0),41),"")</f>
        <v/>
      </c>
      <c r="P297" s="70" t="str">
        <f>IFERROR(INDEX('Controles de Corrupción'!$C$10:$AY$251,MATCH(A297,'Controles de Corrupción'!$B$10:$B$251,0),42),"")</f>
        <v/>
      </c>
      <c r="Q297" s="186" t="str">
        <f>IFERROR(INDEX('Controles de Corrupción'!$C$10:$AY$251,MATCH(A297,'Controles de Corrupción'!$B$10:$B$251,0),47),"")</f>
        <v/>
      </c>
    </row>
    <row r="298" spans="1:17" x14ac:dyDescent="0.25">
      <c r="A298" s="115" t="s">
        <v>530</v>
      </c>
      <c r="B298" s="1014"/>
      <c r="C298" s="1017"/>
      <c r="D298" s="861"/>
      <c r="E298" s="1019"/>
      <c r="F298" s="865"/>
      <c r="G298" s="865"/>
      <c r="H298" s="867"/>
      <c r="I298" s="865"/>
      <c r="J298" s="865"/>
      <c r="K298" s="865"/>
      <c r="L298" s="865"/>
      <c r="M298" s="185" t="str">
        <f>IFERROR(INDEX('Controles de Corrupción'!$C$10:$AY$249,MATCH(A298,'Controles de Corrupción'!$B$10:$B$249,0),4),"")</f>
        <v/>
      </c>
      <c r="N298" s="70" t="str">
        <f>IFERROR(INDEX('Controles de Corrupción'!$C$10:$AY$249,MATCH(A298,'Controles de Corrupción'!$B$10:$B$249,0),40),"")</f>
        <v/>
      </c>
      <c r="O298" s="70" t="str">
        <f>IFERROR(INDEX('Controles de Corrupción'!$C$10:$AY$251,MATCH(A298,'Controles de Corrupción'!$B$10:$B$251,0),41),"")</f>
        <v/>
      </c>
      <c r="P298" s="70" t="str">
        <f>IFERROR(INDEX('Controles de Corrupción'!$C$10:$AY$251,MATCH(A298,'Controles de Corrupción'!$B$10:$B$251,0),42),"")</f>
        <v/>
      </c>
      <c r="Q298" s="186" t="str">
        <f>IFERROR(INDEX('Controles de Corrupción'!$C$10:$AY$251,MATCH(A298,'Controles de Corrupción'!$B$10:$B$251,0),47),"")</f>
        <v/>
      </c>
    </row>
    <row r="299" spans="1:17" x14ac:dyDescent="0.25">
      <c r="A299" s="115" t="s">
        <v>531</v>
      </c>
      <c r="B299" s="1014"/>
      <c r="C299" s="1017"/>
      <c r="D299" s="861"/>
      <c r="E299" s="1019"/>
      <c r="F299" s="865"/>
      <c r="G299" s="865"/>
      <c r="H299" s="867"/>
      <c r="I299" s="865"/>
      <c r="J299" s="865"/>
      <c r="K299" s="865"/>
      <c r="L299" s="865"/>
      <c r="M299" s="185" t="str">
        <f>IFERROR(INDEX('Controles de Corrupción'!$C$10:$AY$249,MATCH(A299,'Controles de Corrupción'!$B$10:$B$249,0),4),"")</f>
        <v/>
      </c>
      <c r="N299" s="70" t="str">
        <f>IFERROR(INDEX('Controles de Corrupción'!$C$10:$AY$249,MATCH(A299,'Controles de Corrupción'!$B$10:$B$249,0),40),"")</f>
        <v/>
      </c>
      <c r="O299" s="70" t="str">
        <f>IFERROR(INDEX('Controles de Corrupción'!$C$10:$AY$251,MATCH(A299,'Controles de Corrupción'!$B$10:$B$251,0),41),"")</f>
        <v/>
      </c>
      <c r="P299" s="70" t="str">
        <f>IFERROR(INDEX('Controles de Corrupción'!$C$10:$AY$251,MATCH(A299,'Controles de Corrupción'!$B$10:$B$251,0),42),"")</f>
        <v/>
      </c>
      <c r="Q299" s="186" t="str">
        <f>IFERROR(INDEX('Controles de Corrupción'!$C$10:$AY$251,MATCH(A299,'Controles de Corrupción'!$B$10:$B$251,0),47),"")</f>
        <v/>
      </c>
    </row>
    <row r="300" spans="1:17" x14ac:dyDescent="0.25">
      <c r="A300" s="115" t="s">
        <v>532</v>
      </c>
      <c r="B300" s="1015"/>
      <c r="C300" s="1017"/>
      <c r="D300" s="861"/>
      <c r="E300" s="1019"/>
      <c r="F300" s="865"/>
      <c r="G300" s="865"/>
      <c r="H300" s="867"/>
      <c r="I300" s="865"/>
      <c r="J300" s="865"/>
      <c r="K300" s="865"/>
      <c r="L300" s="865"/>
      <c r="M300" s="185" t="str">
        <f>IFERROR(INDEX('Controles de Corrupción'!$C$10:$AY$249,MATCH(A300,'Controles de Corrupción'!$B$10:$B$249,0),4),"")</f>
        <v/>
      </c>
      <c r="N300" s="70" t="str">
        <f>IFERROR(INDEX('Controles de Corrupción'!$C$10:$AY$249,MATCH(A300,'Controles de Corrupción'!$B$10:$B$249,0),40),"")</f>
        <v/>
      </c>
      <c r="O300" s="70" t="str">
        <f>IFERROR(INDEX('Controles de Corrupción'!$C$10:$AY$251,MATCH(A300,'Controles de Corrupción'!$B$10:$B$251,0),41),"")</f>
        <v/>
      </c>
      <c r="P300" s="70" t="str">
        <f>IFERROR(INDEX('Controles de Corrupción'!$C$10:$AY$251,MATCH(A300,'Controles de Corrupción'!$B$10:$B$251,0),42),"")</f>
        <v/>
      </c>
      <c r="Q300" s="186" t="str">
        <f>IFERROR(INDEX('Controles de Corrupción'!$C$10:$AY$251,MATCH(A300,'Controles de Corrupción'!$B$10:$B$251,0),47),"")</f>
        <v/>
      </c>
    </row>
    <row r="301" spans="1:17" x14ac:dyDescent="0.25">
      <c r="A301" s="115" t="s">
        <v>533</v>
      </c>
      <c r="B301" s="1013"/>
      <c r="C301" s="1016" t="str">
        <f>IFERROR(INDEX('Riesgos de Corrupción'!$B$11:$BN$100,MATCH('Mapa Riesgo Corrupción'!B301,'Riesgos de Corrupción'!$B$11:$B$100,0),2),"")</f>
        <v/>
      </c>
      <c r="D301" s="860" t="str">
        <f>IFERROR(INDEX('Riesgos de Corrupción'!$B$11:$BN$100,MATCH('Mapa Riesgo Corrupción'!B301,'Riesgos de Corrupción'!$B$11:$B$100,0),4),"")</f>
        <v/>
      </c>
      <c r="E301" s="1018" t="str">
        <f>IFERROR(INDEX('Riesgos de Corrupción'!$B$11:$BN$100,MATCH('Mapa Riesgo Corrupción'!B301,'Riesgos de Corrupción'!$B$11:$B$100,0),5),"")</f>
        <v/>
      </c>
      <c r="F301" s="865" t="str">
        <f>IFERROR(INDEX('Riesgos de Corrupción'!$B$11:$BN$100,MATCH('Mapa Riesgo Corrupción'!B301,'Riesgos de Corrupción'!$B$11:$B$100,0),18),"")</f>
        <v/>
      </c>
      <c r="G301" s="865" t="str">
        <f>IFERROR(INDEX('Riesgos de Corrupción'!$B$11:$BN$100,MATCH('Mapa Riesgo Corrupción'!B301,'Riesgos de Corrupción'!$B$11:$B$100,0),63),"")</f>
        <v/>
      </c>
      <c r="H301" s="867" t="str">
        <f>IFERROR(INDEX('Riesgos de Corrupción'!$B$11:$BN$100,MATCH('Mapa Riesgo Corrupción'!B301,'Riesgos de Corrupción'!$B$11:$B$100,0),64),"")</f>
        <v/>
      </c>
      <c r="I301" s="865" t="str">
        <f>IFERROR(INDEX('Controles de Corrupción'!$C$10:$AY$251,MATCH('Mapa Riesgo Corrupción'!B301,'Controles de Corrupción'!#REF!,0),33),"")</f>
        <v/>
      </c>
      <c r="J301" s="865" t="str">
        <f>IFERROR(INDEX('Controles de Corrupción'!$C$10:$AY$251,MATCH('Mapa Riesgo Corrupción'!B301,'Controles de Corrupción'!#REF!,0),36),"")</f>
        <v/>
      </c>
      <c r="K301" s="865" t="str">
        <f>IFERROR(INDEX('Controles de Corrupción'!$C$10:$AY$251,MATCH('Mapa Riesgo Corrupción'!B301,'Controles de Corrupción'!#REF!,0),37),"")</f>
        <v/>
      </c>
      <c r="L301" s="865" t="str">
        <f>IFERROR(INDEX('Controles de Corrupción'!$C$10:$AY$251,MATCH('Mapa Riesgo Corrupción'!B301,'Controles de Corrupción'!#REF!,0),38),"")</f>
        <v/>
      </c>
      <c r="M301" s="185" t="str">
        <f>IFERROR(INDEX('Controles de Corrupción'!$C$10:$AY$249,MATCH(A301,'Controles de Corrupción'!$B$10:$B$249,0),4),"")</f>
        <v/>
      </c>
      <c r="N301" s="70" t="str">
        <f>IFERROR(INDEX('Controles de Corrupción'!$C$10:$AY$249,MATCH(A301,'Controles de Corrupción'!$B$10:$B$249,0),40),"")</f>
        <v/>
      </c>
      <c r="O301" s="70" t="str">
        <f>IFERROR(INDEX('Controles de Corrupción'!$C$10:$AY$251,MATCH(A301,'Controles de Corrupción'!$B$10:$B$251,0),41),"")</f>
        <v/>
      </c>
      <c r="P301" s="70" t="str">
        <f>IFERROR(INDEX('Controles de Corrupción'!$C$10:$AY$251,MATCH(A301,'Controles de Corrupción'!$B$10:$B$251,0),42),"")</f>
        <v/>
      </c>
      <c r="Q301" s="186" t="str">
        <f>IFERROR(INDEX('Controles de Corrupción'!$C$10:$AY$251,MATCH(A301,'Controles de Corrupción'!$B$10:$B$251,0),47),"")</f>
        <v/>
      </c>
    </row>
    <row r="302" spans="1:17" x14ac:dyDescent="0.25">
      <c r="A302" s="115" t="s">
        <v>534</v>
      </c>
      <c r="B302" s="1014"/>
      <c r="C302" s="1017"/>
      <c r="D302" s="861"/>
      <c r="E302" s="1019"/>
      <c r="F302" s="865"/>
      <c r="G302" s="865"/>
      <c r="H302" s="867"/>
      <c r="I302" s="865"/>
      <c r="J302" s="865"/>
      <c r="K302" s="865"/>
      <c r="L302" s="865"/>
      <c r="M302" s="185" t="str">
        <f>IFERROR(INDEX('Controles de Corrupción'!$C$10:$AY$249,MATCH(A302,'Controles de Corrupción'!$B$10:$B$249,0),4),"")</f>
        <v/>
      </c>
      <c r="N302" s="70" t="str">
        <f>IFERROR(INDEX('Controles de Corrupción'!$C$10:$AY$249,MATCH(A302,'Controles de Corrupción'!$B$10:$B$249,0),40),"")</f>
        <v/>
      </c>
      <c r="O302" s="70" t="str">
        <f>IFERROR(INDEX('Controles de Corrupción'!$C$10:$AY$251,MATCH(A302,'Controles de Corrupción'!$B$10:$B$251,0),41),"")</f>
        <v/>
      </c>
      <c r="P302" s="70" t="str">
        <f>IFERROR(INDEX('Controles de Corrupción'!$C$10:$AY$251,MATCH(A302,'Controles de Corrupción'!$B$10:$B$251,0),42),"")</f>
        <v/>
      </c>
      <c r="Q302" s="186" t="str">
        <f>IFERROR(INDEX('Controles de Corrupción'!$C$10:$AY$251,MATCH(A302,'Controles de Corrupción'!$B$10:$B$251,0),47),"")</f>
        <v/>
      </c>
    </row>
    <row r="303" spans="1:17" x14ac:dyDescent="0.25">
      <c r="A303" s="115" t="s">
        <v>535</v>
      </c>
      <c r="B303" s="1014"/>
      <c r="C303" s="1017"/>
      <c r="D303" s="861"/>
      <c r="E303" s="1019"/>
      <c r="F303" s="865"/>
      <c r="G303" s="865"/>
      <c r="H303" s="867"/>
      <c r="I303" s="865"/>
      <c r="J303" s="865"/>
      <c r="K303" s="865"/>
      <c r="L303" s="865"/>
      <c r="M303" s="185" t="str">
        <f>IFERROR(INDEX('Controles de Corrupción'!$C$10:$AY$249,MATCH(A303,'Controles de Corrupción'!$B$10:$B$249,0),4),"")</f>
        <v/>
      </c>
      <c r="N303" s="70" t="str">
        <f>IFERROR(INDEX('Controles de Corrupción'!$C$10:$AY$249,MATCH(A303,'Controles de Corrupción'!$B$10:$B$249,0),40),"")</f>
        <v/>
      </c>
      <c r="O303" s="70" t="str">
        <f>IFERROR(INDEX('Controles de Corrupción'!$C$10:$AY$251,MATCH(A303,'Controles de Corrupción'!$B$10:$B$251,0),41),"")</f>
        <v/>
      </c>
      <c r="P303" s="70" t="str">
        <f>IFERROR(INDEX('Controles de Corrupción'!$C$10:$AY$251,MATCH(A303,'Controles de Corrupción'!$B$10:$B$251,0),42),"")</f>
        <v/>
      </c>
      <c r="Q303" s="186" t="str">
        <f>IFERROR(INDEX('Controles de Corrupción'!$C$10:$AY$251,MATCH(A303,'Controles de Corrupción'!$B$10:$B$251,0),47),"")</f>
        <v/>
      </c>
    </row>
    <row r="304" spans="1:17" x14ac:dyDescent="0.25">
      <c r="A304" s="115" t="s">
        <v>536</v>
      </c>
      <c r="B304" s="1014"/>
      <c r="C304" s="1017"/>
      <c r="D304" s="861"/>
      <c r="E304" s="1019"/>
      <c r="F304" s="865"/>
      <c r="G304" s="865"/>
      <c r="H304" s="867"/>
      <c r="I304" s="865"/>
      <c r="J304" s="865"/>
      <c r="K304" s="865"/>
      <c r="L304" s="865"/>
      <c r="M304" s="185" t="str">
        <f>IFERROR(INDEX('Controles de Corrupción'!$C$10:$AY$249,MATCH(A304,'Controles de Corrupción'!$B$10:$B$249,0),4),"")</f>
        <v/>
      </c>
      <c r="N304" s="70" t="str">
        <f>IFERROR(INDEX('Controles de Corrupción'!$C$10:$AY$249,MATCH(A304,'Controles de Corrupción'!$B$10:$B$249,0),40),"")</f>
        <v/>
      </c>
      <c r="O304" s="70" t="str">
        <f>IFERROR(INDEX('Controles de Corrupción'!$C$10:$AY$251,MATCH(A304,'Controles de Corrupción'!$B$10:$B$251,0),41),"")</f>
        <v/>
      </c>
      <c r="P304" s="70" t="str">
        <f>IFERROR(INDEX('Controles de Corrupción'!$C$10:$AY$251,MATCH(A304,'Controles de Corrupción'!$B$10:$B$251,0),42),"")</f>
        <v/>
      </c>
      <c r="Q304" s="186" t="str">
        <f>IFERROR(INDEX('Controles de Corrupción'!$C$10:$AY$251,MATCH(A304,'Controles de Corrupción'!$B$10:$B$251,0),47),"")</f>
        <v/>
      </c>
    </row>
    <row r="305" spans="1:17" x14ac:dyDescent="0.25">
      <c r="A305" s="115" t="s">
        <v>537</v>
      </c>
      <c r="B305" s="1014"/>
      <c r="C305" s="1017"/>
      <c r="D305" s="861"/>
      <c r="E305" s="1019"/>
      <c r="F305" s="865"/>
      <c r="G305" s="865"/>
      <c r="H305" s="867"/>
      <c r="I305" s="865"/>
      <c r="J305" s="865"/>
      <c r="K305" s="865"/>
      <c r="L305" s="865"/>
      <c r="M305" s="185" t="str">
        <f>IFERROR(INDEX('Controles de Corrupción'!$C$10:$AY$249,MATCH(A305,'Controles de Corrupción'!$B$10:$B$249,0),4),"")</f>
        <v/>
      </c>
      <c r="N305" s="70" t="str">
        <f>IFERROR(INDEX('Controles de Corrupción'!$C$10:$AY$249,MATCH(A305,'Controles de Corrupción'!$B$10:$B$249,0),40),"")</f>
        <v/>
      </c>
      <c r="O305" s="70" t="str">
        <f>IFERROR(INDEX('Controles de Corrupción'!$C$10:$AY$251,MATCH(A305,'Controles de Corrupción'!$B$10:$B$251,0),41),"")</f>
        <v/>
      </c>
      <c r="P305" s="70" t="str">
        <f>IFERROR(INDEX('Controles de Corrupción'!$C$10:$AY$251,MATCH(A305,'Controles de Corrupción'!$B$10:$B$251,0),42),"")</f>
        <v/>
      </c>
      <c r="Q305" s="186" t="str">
        <f>IFERROR(INDEX('Controles de Corrupción'!$C$10:$AY$251,MATCH(A305,'Controles de Corrupción'!$B$10:$B$251,0),47),"")</f>
        <v/>
      </c>
    </row>
    <row r="306" spans="1:17" x14ac:dyDescent="0.25">
      <c r="A306" s="115" t="s">
        <v>538</v>
      </c>
      <c r="B306" s="1015"/>
      <c r="C306" s="1017"/>
      <c r="D306" s="861"/>
      <c r="E306" s="1019"/>
      <c r="F306" s="865"/>
      <c r="G306" s="865"/>
      <c r="H306" s="867"/>
      <c r="I306" s="865"/>
      <c r="J306" s="865"/>
      <c r="K306" s="865"/>
      <c r="L306" s="865"/>
      <c r="M306" s="185" t="str">
        <f>IFERROR(INDEX('Controles de Corrupción'!$C$10:$AY$249,MATCH(A306,'Controles de Corrupción'!$B$10:$B$249,0),4),"")</f>
        <v/>
      </c>
      <c r="N306" s="70" t="str">
        <f>IFERROR(INDEX('Controles de Corrupción'!$C$10:$AY$249,MATCH(A306,'Controles de Corrupción'!$B$10:$B$249,0),40),"")</f>
        <v/>
      </c>
      <c r="O306" s="70" t="str">
        <f>IFERROR(INDEX('Controles de Corrupción'!$C$10:$AY$251,MATCH(A306,'Controles de Corrupción'!$B$10:$B$251,0),41),"")</f>
        <v/>
      </c>
      <c r="P306" s="70" t="str">
        <f>IFERROR(INDEX('Controles de Corrupción'!$C$10:$AY$251,MATCH(A306,'Controles de Corrupción'!$B$10:$B$251,0),42),"")</f>
        <v/>
      </c>
      <c r="Q306" s="186" t="str">
        <f>IFERROR(INDEX('Controles de Corrupción'!$C$10:$AY$251,MATCH(A306,'Controles de Corrupción'!$B$10:$B$251,0),47),"")</f>
        <v/>
      </c>
    </row>
    <row r="307" spans="1:17" x14ac:dyDescent="0.25">
      <c r="A307" s="115" t="s">
        <v>539</v>
      </c>
      <c r="B307" s="1013"/>
      <c r="C307" s="1016" t="str">
        <f>IFERROR(INDEX('Riesgos de Corrupción'!$B$11:$BN$100,MATCH('Mapa Riesgo Corrupción'!B307,'Riesgos de Corrupción'!$B$11:$B$100,0),2),"")</f>
        <v/>
      </c>
      <c r="D307" s="860" t="str">
        <f>IFERROR(INDEX('Riesgos de Corrupción'!$B$11:$BN$100,MATCH('Mapa Riesgo Corrupción'!B307,'Riesgos de Corrupción'!$B$11:$B$100,0),4),"")</f>
        <v/>
      </c>
      <c r="E307" s="1018" t="str">
        <f>IFERROR(INDEX('Riesgos de Corrupción'!$B$11:$BN$100,MATCH('Mapa Riesgo Corrupción'!B307,'Riesgos de Corrupción'!$B$11:$B$100,0),5),"")</f>
        <v/>
      </c>
      <c r="F307" s="865" t="str">
        <f>IFERROR(INDEX('Riesgos de Corrupción'!$B$11:$BN$100,MATCH('Mapa Riesgo Corrupción'!B307,'Riesgos de Corrupción'!$B$11:$B$100,0),18),"")</f>
        <v/>
      </c>
      <c r="G307" s="865" t="str">
        <f>IFERROR(INDEX('Riesgos de Corrupción'!$B$11:$BN$100,MATCH('Mapa Riesgo Corrupción'!B307,'Riesgos de Corrupción'!$B$11:$B$100,0),63),"")</f>
        <v/>
      </c>
      <c r="H307" s="867" t="str">
        <f>IFERROR(INDEX('Riesgos de Corrupción'!$B$11:$BN$100,MATCH('Mapa Riesgo Corrupción'!B307,'Riesgos de Corrupción'!$B$11:$B$100,0),64),"")</f>
        <v/>
      </c>
      <c r="I307" s="865" t="str">
        <f>IFERROR(INDEX('Controles de Corrupción'!$C$10:$AY$251,MATCH('Mapa Riesgo Corrupción'!B307,'Controles de Corrupción'!#REF!,0),33),"")</f>
        <v/>
      </c>
      <c r="J307" s="865" t="str">
        <f>IFERROR(INDEX('Controles de Corrupción'!$C$10:$AY$251,MATCH('Mapa Riesgo Corrupción'!B307,'Controles de Corrupción'!#REF!,0),36),"")</f>
        <v/>
      </c>
      <c r="K307" s="865" t="str">
        <f>IFERROR(INDEX('Controles de Corrupción'!$C$10:$AY$251,MATCH('Mapa Riesgo Corrupción'!B307,'Controles de Corrupción'!#REF!,0),37),"")</f>
        <v/>
      </c>
      <c r="L307" s="865" t="str">
        <f>IFERROR(INDEX('Controles de Corrupción'!$C$10:$AY$251,MATCH('Mapa Riesgo Corrupción'!B307,'Controles de Corrupción'!#REF!,0),38),"")</f>
        <v/>
      </c>
      <c r="M307" s="185" t="str">
        <f>IFERROR(INDEX('Controles de Corrupción'!$C$10:$AY$249,MATCH(A307,'Controles de Corrupción'!$B$10:$B$249,0),4),"")</f>
        <v/>
      </c>
      <c r="N307" s="70" t="str">
        <f>IFERROR(INDEX('Controles de Corrupción'!$C$10:$AY$249,MATCH(A307,'Controles de Corrupción'!$B$10:$B$249,0),40),"")</f>
        <v/>
      </c>
      <c r="O307" s="70" t="str">
        <f>IFERROR(INDEX('Controles de Corrupción'!$C$10:$AY$251,MATCH(A307,'Controles de Corrupción'!$B$10:$B$251,0),41),"")</f>
        <v/>
      </c>
      <c r="P307" s="70" t="str">
        <f>IFERROR(INDEX('Controles de Corrupción'!$C$10:$AY$251,MATCH(A307,'Controles de Corrupción'!$B$10:$B$251,0),42),"")</f>
        <v/>
      </c>
      <c r="Q307" s="186" t="str">
        <f>IFERROR(INDEX('Controles de Corrupción'!$C$10:$AY$251,MATCH(A307,'Controles de Corrupción'!$B$10:$B$251,0),47),"")</f>
        <v/>
      </c>
    </row>
    <row r="308" spans="1:17" x14ac:dyDescent="0.25">
      <c r="A308" s="115" t="s">
        <v>540</v>
      </c>
      <c r="B308" s="1014"/>
      <c r="C308" s="1017"/>
      <c r="D308" s="861"/>
      <c r="E308" s="1019"/>
      <c r="F308" s="865"/>
      <c r="G308" s="865"/>
      <c r="H308" s="867"/>
      <c r="I308" s="865"/>
      <c r="J308" s="865"/>
      <c r="K308" s="865"/>
      <c r="L308" s="865"/>
      <c r="M308" s="185" t="str">
        <f>IFERROR(INDEX('Controles de Corrupción'!$C$10:$AY$249,MATCH(A308,'Controles de Corrupción'!$B$10:$B$249,0),4),"")</f>
        <v/>
      </c>
      <c r="N308" s="70" t="str">
        <f>IFERROR(INDEX('Controles de Corrupción'!$C$10:$AY$249,MATCH(A308,'Controles de Corrupción'!$B$10:$B$249,0),40),"")</f>
        <v/>
      </c>
      <c r="O308" s="70" t="str">
        <f>IFERROR(INDEX('Controles de Corrupción'!$C$10:$AY$251,MATCH(A308,'Controles de Corrupción'!$B$10:$B$251,0),41),"")</f>
        <v/>
      </c>
      <c r="P308" s="70" t="str">
        <f>IFERROR(INDEX('Controles de Corrupción'!$C$10:$AY$251,MATCH(A308,'Controles de Corrupción'!$B$10:$B$251,0),42),"")</f>
        <v/>
      </c>
      <c r="Q308" s="186" t="str">
        <f>IFERROR(INDEX('Controles de Corrupción'!$C$10:$AY$251,MATCH(A308,'Controles de Corrupción'!$B$10:$B$251,0),47),"")</f>
        <v/>
      </c>
    </row>
    <row r="309" spans="1:17" x14ac:dyDescent="0.25">
      <c r="A309" s="115" t="s">
        <v>541</v>
      </c>
      <c r="B309" s="1014"/>
      <c r="C309" s="1017"/>
      <c r="D309" s="861"/>
      <c r="E309" s="1019"/>
      <c r="F309" s="865"/>
      <c r="G309" s="865"/>
      <c r="H309" s="867"/>
      <c r="I309" s="865"/>
      <c r="J309" s="865"/>
      <c r="K309" s="865"/>
      <c r="L309" s="865"/>
      <c r="M309" s="185" t="str">
        <f>IFERROR(INDEX('Controles de Corrupción'!$C$10:$AY$249,MATCH(A309,'Controles de Corrupción'!$B$10:$B$249,0),4),"")</f>
        <v/>
      </c>
      <c r="N309" s="70" t="str">
        <f>IFERROR(INDEX('Controles de Corrupción'!$C$10:$AY$249,MATCH(A309,'Controles de Corrupción'!$B$10:$B$249,0),40),"")</f>
        <v/>
      </c>
      <c r="O309" s="70" t="str">
        <f>IFERROR(INDEX('Controles de Corrupción'!$C$10:$AY$251,MATCH(A309,'Controles de Corrupción'!$B$10:$B$251,0),41),"")</f>
        <v/>
      </c>
      <c r="P309" s="70" t="str">
        <f>IFERROR(INDEX('Controles de Corrupción'!$C$10:$AY$251,MATCH(A309,'Controles de Corrupción'!$B$10:$B$251,0),42),"")</f>
        <v/>
      </c>
      <c r="Q309" s="186" t="str">
        <f>IFERROR(INDEX('Controles de Corrupción'!$C$10:$AY$251,MATCH(A309,'Controles de Corrupción'!$B$10:$B$251,0),47),"")</f>
        <v/>
      </c>
    </row>
    <row r="310" spans="1:17" x14ac:dyDescent="0.25">
      <c r="A310" s="115" t="s">
        <v>542</v>
      </c>
      <c r="B310" s="1014"/>
      <c r="C310" s="1017"/>
      <c r="D310" s="861"/>
      <c r="E310" s="1019"/>
      <c r="F310" s="865"/>
      <c r="G310" s="865"/>
      <c r="H310" s="867"/>
      <c r="I310" s="865"/>
      <c r="J310" s="865"/>
      <c r="K310" s="865"/>
      <c r="L310" s="865"/>
      <c r="M310" s="185" t="str">
        <f>IFERROR(INDEX('Controles de Corrupción'!$C$10:$AY$249,MATCH(A310,'Controles de Corrupción'!$B$10:$B$249,0),4),"")</f>
        <v/>
      </c>
      <c r="N310" s="70" t="str">
        <f>IFERROR(INDEX('Controles de Corrupción'!$C$10:$AY$249,MATCH(A310,'Controles de Corrupción'!$B$10:$B$249,0),40),"")</f>
        <v/>
      </c>
      <c r="O310" s="70" t="str">
        <f>IFERROR(INDEX('Controles de Corrupción'!$C$10:$AY$251,MATCH(A310,'Controles de Corrupción'!$B$10:$B$251,0),41),"")</f>
        <v/>
      </c>
      <c r="P310" s="70" t="str">
        <f>IFERROR(INDEX('Controles de Corrupción'!$C$10:$AY$251,MATCH(A310,'Controles de Corrupción'!$B$10:$B$251,0),42),"")</f>
        <v/>
      </c>
      <c r="Q310" s="186" t="str">
        <f>IFERROR(INDEX('Controles de Corrupción'!$C$10:$AY$251,MATCH(A310,'Controles de Corrupción'!$B$10:$B$251,0),47),"")</f>
        <v/>
      </c>
    </row>
    <row r="311" spans="1:17" x14ac:dyDescent="0.25">
      <c r="A311" s="115" t="s">
        <v>543</v>
      </c>
      <c r="B311" s="1014"/>
      <c r="C311" s="1017"/>
      <c r="D311" s="861"/>
      <c r="E311" s="1019"/>
      <c r="F311" s="865"/>
      <c r="G311" s="865"/>
      <c r="H311" s="867"/>
      <c r="I311" s="865"/>
      <c r="J311" s="865"/>
      <c r="K311" s="865"/>
      <c r="L311" s="865"/>
      <c r="M311" s="185" t="str">
        <f>IFERROR(INDEX('Controles de Corrupción'!$C$10:$AY$249,MATCH(A311,'Controles de Corrupción'!$B$10:$B$249,0),4),"")</f>
        <v/>
      </c>
      <c r="N311" s="70" t="str">
        <f>IFERROR(INDEX('Controles de Corrupción'!$C$10:$AY$249,MATCH(A311,'Controles de Corrupción'!$B$10:$B$249,0),40),"")</f>
        <v/>
      </c>
      <c r="O311" s="70" t="str">
        <f>IFERROR(INDEX('Controles de Corrupción'!$C$10:$AY$251,MATCH(A311,'Controles de Corrupción'!$B$10:$B$251,0),41),"")</f>
        <v/>
      </c>
      <c r="P311" s="70" t="str">
        <f>IFERROR(INDEX('Controles de Corrupción'!$C$10:$AY$251,MATCH(A311,'Controles de Corrupción'!$B$10:$B$251,0),42),"")</f>
        <v/>
      </c>
      <c r="Q311" s="186" t="str">
        <f>IFERROR(INDEX('Controles de Corrupción'!$C$10:$AY$251,MATCH(A311,'Controles de Corrupción'!$B$10:$B$251,0),47),"")</f>
        <v/>
      </c>
    </row>
    <row r="312" spans="1:17" x14ac:dyDescent="0.25">
      <c r="A312" s="115" t="s">
        <v>544</v>
      </c>
      <c r="B312" s="1015"/>
      <c r="C312" s="1017"/>
      <c r="D312" s="861"/>
      <c r="E312" s="1019"/>
      <c r="F312" s="865"/>
      <c r="G312" s="865"/>
      <c r="H312" s="867"/>
      <c r="I312" s="865"/>
      <c r="J312" s="865"/>
      <c r="K312" s="865"/>
      <c r="L312" s="865"/>
      <c r="M312" s="185" t="str">
        <f>IFERROR(INDEX('Controles de Corrupción'!$C$10:$AY$249,MATCH(A312,'Controles de Corrupción'!$B$10:$B$249,0),4),"")</f>
        <v/>
      </c>
      <c r="N312" s="70" t="str">
        <f>IFERROR(INDEX('Controles de Corrupción'!$C$10:$AY$249,MATCH(A312,'Controles de Corrupción'!$B$10:$B$249,0),40),"")</f>
        <v/>
      </c>
      <c r="O312" s="70" t="str">
        <f>IFERROR(INDEX('Controles de Corrupción'!$C$10:$AY$251,MATCH(A312,'Controles de Corrupción'!$B$10:$B$251,0),41),"")</f>
        <v/>
      </c>
      <c r="P312" s="70" t="str">
        <f>IFERROR(INDEX('Controles de Corrupción'!$C$10:$AY$251,MATCH(A312,'Controles de Corrupción'!$B$10:$B$251,0),42),"")</f>
        <v/>
      </c>
      <c r="Q312" s="186" t="str">
        <f>IFERROR(INDEX('Controles de Corrupción'!$C$10:$AY$251,MATCH(A312,'Controles de Corrupción'!$B$10:$B$251,0),47),"")</f>
        <v/>
      </c>
    </row>
    <row r="313" spans="1:17" x14ac:dyDescent="0.25">
      <c r="A313" s="115" t="s">
        <v>545</v>
      </c>
      <c r="B313" s="1013"/>
      <c r="C313" s="1016" t="str">
        <f>IFERROR(INDEX('Riesgos de Corrupción'!$B$11:$BN$100,MATCH('Mapa Riesgo Corrupción'!B313,'Riesgos de Corrupción'!$B$11:$B$100,0),2),"")</f>
        <v/>
      </c>
      <c r="D313" s="860" t="str">
        <f>IFERROR(INDEX('Riesgos de Corrupción'!$B$11:$BN$100,MATCH('Mapa Riesgo Corrupción'!B313,'Riesgos de Corrupción'!$B$11:$B$100,0),4),"")</f>
        <v/>
      </c>
      <c r="E313" s="1018" t="str">
        <f>IFERROR(INDEX('Riesgos de Corrupción'!$B$11:$BN$100,MATCH('Mapa Riesgo Corrupción'!B313,'Riesgos de Corrupción'!$B$11:$B$100,0),5),"")</f>
        <v/>
      </c>
      <c r="F313" s="865" t="str">
        <f>IFERROR(INDEX('Riesgos de Corrupción'!$B$11:$BN$100,MATCH('Mapa Riesgo Corrupción'!B313,'Riesgos de Corrupción'!$B$11:$B$100,0),18),"")</f>
        <v/>
      </c>
      <c r="G313" s="865" t="str">
        <f>IFERROR(INDEX('Riesgos de Corrupción'!$B$11:$BN$100,MATCH('Mapa Riesgo Corrupción'!B313,'Riesgos de Corrupción'!$B$11:$B$100,0),63),"")</f>
        <v/>
      </c>
      <c r="H313" s="867" t="str">
        <f>IFERROR(INDEX('Riesgos de Corrupción'!$B$11:$BN$100,MATCH('Mapa Riesgo Corrupción'!B313,'Riesgos de Corrupción'!$B$11:$B$100,0),64),"")</f>
        <v/>
      </c>
      <c r="I313" s="865" t="str">
        <f>IFERROR(INDEX('Controles de Corrupción'!$C$10:$AY$251,MATCH('Mapa Riesgo Corrupción'!B313,'Controles de Corrupción'!#REF!,0),33),"")</f>
        <v/>
      </c>
      <c r="J313" s="865" t="str">
        <f>IFERROR(INDEX('Controles de Corrupción'!$C$10:$AY$251,MATCH('Mapa Riesgo Corrupción'!B313,'Controles de Corrupción'!#REF!,0),36),"")</f>
        <v/>
      </c>
      <c r="K313" s="865" t="str">
        <f>IFERROR(INDEX('Controles de Corrupción'!$C$10:$AY$251,MATCH('Mapa Riesgo Corrupción'!B313,'Controles de Corrupción'!#REF!,0),37),"")</f>
        <v/>
      </c>
      <c r="L313" s="865" t="str">
        <f>IFERROR(INDEX('Controles de Corrupción'!$C$10:$AY$251,MATCH('Mapa Riesgo Corrupción'!B313,'Controles de Corrupción'!#REF!,0),38),"")</f>
        <v/>
      </c>
      <c r="M313" s="185" t="str">
        <f>IFERROR(INDEX('Controles de Corrupción'!$C$10:$AY$249,MATCH(A313,'Controles de Corrupción'!$B$10:$B$249,0),4),"")</f>
        <v/>
      </c>
      <c r="N313" s="70" t="str">
        <f>IFERROR(INDEX('Controles de Corrupción'!$C$10:$AY$249,MATCH(A313,'Controles de Corrupción'!$B$10:$B$249,0),40),"")</f>
        <v/>
      </c>
      <c r="O313" s="70" t="str">
        <f>IFERROR(INDEX('Controles de Corrupción'!$C$10:$AY$251,MATCH(A313,'Controles de Corrupción'!$B$10:$B$251,0),41),"")</f>
        <v/>
      </c>
      <c r="P313" s="70" t="str">
        <f>IFERROR(INDEX('Controles de Corrupción'!$C$10:$AY$251,MATCH(A313,'Controles de Corrupción'!$B$10:$B$251,0),42),"")</f>
        <v/>
      </c>
      <c r="Q313" s="186" t="str">
        <f>IFERROR(INDEX('Controles de Corrupción'!$C$10:$AY$251,MATCH(A313,'Controles de Corrupción'!$B$10:$B$251,0),47),"")</f>
        <v/>
      </c>
    </row>
    <row r="314" spans="1:17" x14ac:dyDescent="0.25">
      <c r="A314" s="115" t="s">
        <v>546</v>
      </c>
      <c r="B314" s="1014"/>
      <c r="C314" s="1017"/>
      <c r="D314" s="861"/>
      <c r="E314" s="1019"/>
      <c r="F314" s="865"/>
      <c r="G314" s="865"/>
      <c r="H314" s="867"/>
      <c r="I314" s="865"/>
      <c r="J314" s="865"/>
      <c r="K314" s="865"/>
      <c r="L314" s="865"/>
      <c r="M314" s="185" t="str">
        <f>IFERROR(INDEX('Controles de Corrupción'!$C$10:$AY$249,MATCH(A314,'Controles de Corrupción'!$B$10:$B$249,0),4),"")</f>
        <v/>
      </c>
      <c r="N314" s="70" t="str">
        <f>IFERROR(INDEX('Controles de Corrupción'!$C$10:$AY$249,MATCH(A314,'Controles de Corrupción'!$B$10:$B$249,0),40),"")</f>
        <v/>
      </c>
      <c r="O314" s="70" t="str">
        <f>IFERROR(INDEX('Controles de Corrupción'!$C$10:$AY$251,MATCH(A314,'Controles de Corrupción'!$B$10:$B$251,0),41),"")</f>
        <v/>
      </c>
      <c r="P314" s="70" t="str">
        <f>IFERROR(INDEX('Controles de Corrupción'!$C$10:$AY$251,MATCH(A314,'Controles de Corrupción'!$B$10:$B$251,0),42),"")</f>
        <v/>
      </c>
      <c r="Q314" s="186" t="str">
        <f>IFERROR(INDEX('Controles de Corrupción'!$C$10:$AY$251,MATCH(A314,'Controles de Corrupción'!$B$10:$B$251,0),47),"")</f>
        <v/>
      </c>
    </row>
    <row r="315" spans="1:17" x14ac:dyDescent="0.25">
      <c r="A315" s="115" t="s">
        <v>547</v>
      </c>
      <c r="B315" s="1014"/>
      <c r="C315" s="1017"/>
      <c r="D315" s="861"/>
      <c r="E315" s="1019"/>
      <c r="F315" s="865"/>
      <c r="G315" s="865"/>
      <c r="H315" s="867"/>
      <c r="I315" s="865"/>
      <c r="J315" s="865"/>
      <c r="K315" s="865"/>
      <c r="L315" s="865"/>
      <c r="M315" s="185" t="str">
        <f>IFERROR(INDEX('Controles de Corrupción'!$C$10:$AY$249,MATCH(A315,'Controles de Corrupción'!$B$10:$B$249,0),4),"")</f>
        <v/>
      </c>
      <c r="N315" s="70" t="str">
        <f>IFERROR(INDEX('Controles de Corrupción'!$C$10:$AY$249,MATCH(A315,'Controles de Corrupción'!$B$10:$B$249,0),40),"")</f>
        <v/>
      </c>
      <c r="O315" s="70" t="str">
        <f>IFERROR(INDEX('Controles de Corrupción'!$C$10:$AY$251,MATCH(A315,'Controles de Corrupción'!$B$10:$B$251,0),41),"")</f>
        <v/>
      </c>
      <c r="P315" s="70" t="str">
        <f>IFERROR(INDEX('Controles de Corrupción'!$C$10:$AY$251,MATCH(A315,'Controles de Corrupción'!$B$10:$B$251,0),42),"")</f>
        <v/>
      </c>
      <c r="Q315" s="186" t="str">
        <f>IFERROR(INDEX('Controles de Corrupción'!$C$10:$AY$251,MATCH(A315,'Controles de Corrupción'!$B$10:$B$251,0),47),"")</f>
        <v/>
      </c>
    </row>
    <row r="316" spans="1:17" x14ac:dyDescent="0.25">
      <c r="A316" s="115" t="s">
        <v>548</v>
      </c>
      <c r="B316" s="1014"/>
      <c r="C316" s="1017"/>
      <c r="D316" s="861"/>
      <c r="E316" s="1019"/>
      <c r="F316" s="865"/>
      <c r="G316" s="865"/>
      <c r="H316" s="867"/>
      <c r="I316" s="865"/>
      <c r="J316" s="865"/>
      <c r="K316" s="865"/>
      <c r="L316" s="865"/>
      <c r="M316" s="185" t="str">
        <f>IFERROR(INDEX('Controles de Corrupción'!$C$10:$AY$249,MATCH(A316,'Controles de Corrupción'!$B$10:$B$249,0),4),"")</f>
        <v/>
      </c>
      <c r="N316" s="70" t="str">
        <f>IFERROR(INDEX('Controles de Corrupción'!$C$10:$AY$249,MATCH(A316,'Controles de Corrupción'!$B$10:$B$249,0),40),"")</f>
        <v/>
      </c>
      <c r="O316" s="70" t="str">
        <f>IFERROR(INDEX('Controles de Corrupción'!$C$10:$AY$251,MATCH(A316,'Controles de Corrupción'!$B$10:$B$251,0),41),"")</f>
        <v/>
      </c>
      <c r="P316" s="70" t="str">
        <f>IFERROR(INDEX('Controles de Corrupción'!$C$10:$AY$251,MATCH(A316,'Controles de Corrupción'!$B$10:$B$251,0),42),"")</f>
        <v/>
      </c>
      <c r="Q316" s="186" t="str">
        <f>IFERROR(INDEX('Controles de Corrupción'!$C$10:$AY$251,MATCH(A316,'Controles de Corrupción'!$B$10:$B$251,0),47),"")</f>
        <v/>
      </c>
    </row>
    <row r="317" spans="1:17" x14ac:dyDescent="0.25">
      <c r="A317" s="115" t="s">
        <v>549</v>
      </c>
      <c r="B317" s="1014"/>
      <c r="C317" s="1017"/>
      <c r="D317" s="861"/>
      <c r="E317" s="1019"/>
      <c r="F317" s="865"/>
      <c r="G317" s="865"/>
      <c r="H317" s="867"/>
      <c r="I317" s="865"/>
      <c r="J317" s="865"/>
      <c r="K317" s="865"/>
      <c r="L317" s="865"/>
      <c r="M317" s="185" t="str">
        <f>IFERROR(INDEX('Controles de Corrupción'!$C$10:$AY$249,MATCH(A317,'Controles de Corrupción'!$B$10:$B$249,0),4),"")</f>
        <v/>
      </c>
      <c r="N317" s="70" t="str">
        <f>IFERROR(INDEX('Controles de Corrupción'!$C$10:$AY$249,MATCH(A317,'Controles de Corrupción'!$B$10:$B$249,0),40),"")</f>
        <v/>
      </c>
      <c r="O317" s="70" t="str">
        <f>IFERROR(INDEX('Controles de Corrupción'!$C$10:$AY$251,MATCH(A317,'Controles de Corrupción'!$B$10:$B$251,0),41),"")</f>
        <v/>
      </c>
      <c r="P317" s="70" t="str">
        <f>IFERROR(INDEX('Controles de Corrupción'!$C$10:$AY$251,MATCH(A317,'Controles de Corrupción'!$B$10:$B$251,0),42),"")</f>
        <v/>
      </c>
      <c r="Q317" s="186" t="str">
        <f>IFERROR(INDEX('Controles de Corrupción'!$C$10:$AY$251,MATCH(A317,'Controles de Corrupción'!$B$10:$B$251,0),47),"")</f>
        <v/>
      </c>
    </row>
    <row r="318" spans="1:17" x14ac:dyDescent="0.25">
      <c r="A318" s="115" t="s">
        <v>550</v>
      </c>
      <c r="B318" s="1015"/>
      <c r="C318" s="1017"/>
      <c r="D318" s="861"/>
      <c r="E318" s="1019"/>
      <c r="F318" s="865"/>
      <c r="G318" s="865"/>
      <c r="H318" s="867"/>
      <c r="I318" s="865"/>
      <c r="J318" s="865"/>
      <c r="K318" s="865"/>
      <c r="L318" s="865"/>
      <c r="M318" s="185" t="str">
        <f>IFERROR(INDEX('Controles de Corrupción'!$C$10:$AY$249,MATCH(A318,'Controles de Corrupción'!$B$10:$B$249,0),4),"")</f>
        <v/>
      </c>
      <c r="N318" s="70" t="str">
        <f>IFERROR(INDEX('Controles de Corrupción'!$C$10:$AY$249,MATCH(A318,'Controles de Corrupción'!$B$10:$B$249,0),40),"")</f>
        <v/>
      </c>
      <c r="O318" s="70" t="str">
        <f>IFERROR(INDEX('Controles de Corrupción'!$C$10:$AY$251,MATCH(A318,'Controles de Corrupción'!$B$10:$B$251,0),41),"")</f>
        <v/>
      </c>
      <c r="P318" s="70" t="str">
        <f>IFERROR(INDEX('Controles de Corrupción'!$C$10:$AY$251,MATCH(A318,'Controles de Corrupción'!$B$10:$B$251,0),42),"")</f>
        <v/>
      </c>
      <c r="Q318" s="186" t="str">
        <f>IFERROR(INDEX('Controles de Corrupción'!$C$10:$AY$251,MATCH(A318,'Controles de Corrupción'!$B$10:$B$251,0),47),"")</f>
        <v/>
      </c>
    </row>
    <row r="319" spans="1:17" x14ac:dyDescent="0.25">
      <c r="A319" s="115" t="s">
        <v>551</v>
      </c>
      <c r="B319" s="1013"/>
      <c r="C319" s="1016" t="str">
        <f>IFERROR(INDEX('Riesgos de Corrupción'!$B$11:$BN$100,MATCH('Mapa Riesgo Corrupción'!B319,'Riesgos de Corrupción'!$B$11:$B$100,0),2),"")</f>
        <v/>
      </c>
      <c r="D319" s="860" t="str">
        <f>IFERROR(INDEX('Riesgos de Corrupción'!$B$11:$BN$100,MATCH('Mapa Riesgo Corrupción'!B319,'Riesgos de Corrupción'!$B$11:$B$100,0),4),"")</f>
        <v/>
      </c>
      <c r="E319" s="1018" t="str">
        <f>IFERROR(INDEX('Riesgos de Corrupción'!$B$11:$BN$100,MATCH('Mapa Riesgo Corrupción'!B319,'Riesgos de Corrupción'!$B$11:$B$100,0),5),"")</f>
        <v/>
      </c>
      <c r="F319" s="865" t="str">
        <f>IFERROR(INDEX('Riesgos de Corrupción'!$B$11:$BN$100,MATCH('Mapa Riesgo Corrupción'!B319,'Riesgos de Corrupción'!$B$11:$B$100,0),18),"")</f>
        <v/>
      </c>
      <c r="G319" s="865" t="str">
        <f>IFERROR(INDEX('Riesgos de Corrupción'!$B$11:$BN$100,MATCH('Mapa Riesgo Corrupción'!B319,'Riesgos de Corrupción'!$B$11:$B$100,0),63),"")</f>
        <v/>
      </c>
      <c r="H319" s="867" t="str">
        <f>IFERROR(INDEX('Riesgos de Corrupción'!$B$11:$BN$100,MATCH('Mapa Riesgo Corrupción'!B319,'Riesgos de Corrupción'!$B$11:$B$100,0),64),"")</f>
        <v/>
      </c>
      <c r="I319" s="865" t="str">
        <f>IFERROR(INDEX('Controles de Corrupción'!$C$10:$AY$251,MATCH('Mapa Riesgo Corrupción'!B319,'Controles de Corrupción'!#REF!,0),33),"")</f>
        <v/>
      </c>
      <c r="J319" s="865" t="str">
        <f>IFERROR(INDEX('Controles de Corrupción'!$C$10:$AY$251,MATCH('Mapa Riesgo Corrupción'!B319,'Controles de Corrupción'!#REF!,0),36),"")</f>
        <v/>
      </c>
      <c r="K319" s="865" t="str">
        <f>IFERROR(INDEX('Controles de Corrupción'!$C$10:$AY$251,MATCH('Mapa Riesgo Corrupción'!B319,'Controles de Corrupción'!#REF!,0),37),"")</f>
        <v/>
      </c>
      <c r="L319" s="865" t="str">
        <f>IFERROR(INDEX('Controles de Corrupción'!$C$10:$AY$251,MATCH('Mapa Riesgo Corrupción'!B319,'Controles de Corrupción'!#REF!,0),38),"")</f>
        <v/>
      </c>
      <c r="M319" s="185" t="str">
        <f>IFERROR(INDEX('Controles de Corrupción'!$C$10:$AY$249,MATCH(A319,'Controles de Corrupción'!$B$10:$B$249,0),4),"")</f>
        <v/>
      </c>
      <c r="N319" s="70" t="str">
        <f>IFERROR(INDEX('Controles de Corrupción'!$C$10:$AY$249,MATCH(A319,'Controles de Corrupción'!$B$10:$B$249,0),40),"")</f>
        <v/>
      </c>
      <c r="O319" s="70" t="str">
        <f>IFERROR(INDEX('Controles de Corrupción'!$C$10:$AY$251,MATCH(A319,'Controles de Corrupción'!$B$10:$B$251,0),41),"")</f>
        <v/>
      </c>
      <c r="P319" s="70" t="str">
        <f>IFERROR(INDEX('Controles de Corrupción'!$C$10:$AY$251,MATCH(A319,'Controles de Corrupción'!$B$10:$B$251,0),42),"")</f>
        <v/>
      </c>
      <c r="Q319" s="186" t="str">
        <f>IFERROR(INDEX('Controles de Corrupción'!$C$10:$AY$251,MATCH(A319,'Controles de Corrupción'!$B$10:$B$251,0),47),"")</f>
        <v/>
      </c>
    </row>
    <row r="320" spans="1:17" x14ac:dyDescent="0.25">
      <c r="A320" s="115" t="s">
        <v>552</v>
      </c>
      <c r="B320" s="1014"/>
      <c r="C320" s="1017"/>
      <c r="D320" s="861"/>
      <c r="E320" s="1019"/>
      <c r="F320" s="865"/>
      <c r="G320" s="865"/>
      <c r="H320" s="867"/>
      <c r="I320" s="865"/>
      <c r="J320" s="865"/>
      <c r="K320" s="865"/>
      <c r="L320" s="865"/>
      <c r="M320" s="185" t="str">
        <f>IFERROR(INDEX('Controles de Corrupción'!$C$10:$AY$249,MATCH(A320,'Controles de Corrupción'!$B$10:$B$249,0),4),"")</f>
        <v/>
      </c>
      <c r="N320" s="70" t="str">
        <f>IFERROR(INDEX('Controles de Corrupción'!$C$10:$AY$249,MATCH(A320,'Controles de Corrupción'!$B$10:$B$249,0),40),"")</f>
        <v/>
      </c>
      <c r="O320" s="70" t="str">
        <f>IFERROR(INDEX('Controles de Corrupción'!$C$10:$AY$251,MATCH(A320,'Controles de Corrupción'!$B$10:$B$251,0),41),"")</f>
        <v/>
      </c>
      <c r="P320" s="70" t="str">
        <f>IFERROR(INDEX('Controles de Corrupción'!$C$10:$AY$251,MATCH(A320,'Controles de Corrupción'!$B$10:$B$251,0),42),"")</f>
        <v/>
      </c>
      <c r="Q320" s="186" t="str">
        <f>IFERROR(INDEX('Controles de Corrupción'!$C$10:$AY$251,MATCH(A320,'Controles de Corrupción'!$B$10:$B$251,0),47),"")</f>
        <v/>
      </c>
    </row>
    <row r="321" spans="1:17" x14ac:dyDescent="0.25">
      <c r="A321" s="115" t="s">
        <v>553</v>
      </c>
      <c r="B321" s="1014"/>
      <c r="C321" s="1017"/>
      <c r="D321" s="861"/>
      <c r="E321" s="1019"/>
      <c r="F321" s="865"/>
      <c r="G321" s="865"/>
      <c r="H321" s="867"/>
      <c r="I321" s="865"/>
      <c r="J321" s="865"/>
      <c r="K321" s="865"/>
      <c r="L321" s="865"/>
      <c r="M321" s="185" t="str">
        <f>IFERROR(INDEX('Controles de Corrupción'!$C$10:$AY$249,MATCH(A321,'Controles de Corrupción'!$B$10:$B$249,0),4),"")</f>
        <v/>
      </c>
      <c r="N321" s="70" t="str">
        <f>IFERROR(INDEX('Controles de Corrupción'!$C$10:$AY$249,MATCH(A321,'Controles de Corrupción'!$B$10:$B$249,0),40),"")</f>
        <v/>
      </c>
      <c r="O321" s="70" t="str">
        <f>IFERROR(INDEX('Controles de Corrupción'!$C$10:$AY$251,MATCH(A321,'Controles de Corrupción'!$B$10:$B$251,0),41),"")</f>
        <v/>
      </c>
      <c r="P321" s="70" t="str">
        <f>IFERROR(INDEX('Controles de Corrupción'!$C$10:$AY$251,MATCH(A321,'Controles de Corrupción'!$B$10:$B$251,0),42),"")</f>
        <v/>
      </c>
      <c r="Q321" s="186" t="str">
        <f>IFERROR(INDEX('Controles de Corrupción'!$C$10:$AY$251,MATCH(A321,'Controles de Corrupción'!$B$10:$B$251,0),47),"")</f>
        <v/>
      </c>
    </row>
    <row r="322" spans="1:17" x14ac:dyDescent="0.25">
      <c r="A322" s="115" t="s">
        <v>554</v>
      </c>
      <c r="B322" s="1014"/>
      <c r="C322" s="1017"/>
      <c r="D322" s="861"/>
      <c r="E322" s="1019"/>
      <c r="F322" s="865"/>
      <c r="G322" s="865"/>
      <c r="H322" s="867"/>
      <c r="I322" s="865"/>
      <c r="J322" s="865"/>
      <c r="K322" s="865"/>
      <c r="L322" s="865"/>
      <c r="M322" s="185" t="str">
        <f>IFERROR(INDEX('Controles de Corrupción'!$C$10:$AY$249,MATCH(A322,'Controles de Corrupción'!$B$10:$B$249,0),4),"")</f>
        <v/>
      </c>
      <c r="N322" s="70" t="str">
        <f>IFERROR(INDEX('Controles de Corrupción'!$C$10:$AY$249,MATCH(A322,'Controles de Corrupción'!$B$10:$B$249,0),40),"")</f>
        <v/>
      </c>
      <c r="O322" s="70" t="str">
        <f>IFERROR(INDEX('Controles de Corrupción'!$C$10:$AY$251,MATCH(A322,'Controles de Corrupción'!$B$10:$B$251,0),41),"")</f>
        <v/>
      </c>
      <c r="P322" s="70" t="str">
        <f>IFERROR(INDEX('Controles de Corrupción'!$C$10:$AY$251,MATCH(A322,'Controles de Corrupción'!$B$10:$B$251,0),42),"")</f>
        <v/>
      </c>
      <c r="Q322" s="186" t="str">
        <f>IFERROR(INDEX('Controles de Corrupción'!$C$10:$AY$251,MATCH(A322,'Controles de Corrupción'!$B$10:$B$251,0),47),"")</f>
        <v/>
      </c>
    </row>
    <row r="323" spans="1:17" x14ac:dyDescent="0.25">
      <c r="A323" s="115" t="s">
        <v>555</v>
      </c>
      <c r="B323" s="1014"/>
      <c r="C323" s="1017"/>
      <c r="D323" s="861"/>
      <c r="E323" s="1019"/>
      <c r="F323" s="865"/>
      <c r="G323" s="865"/>
      <c r="H323" s="867"/>
      <c r="I323" s="865"/>
      <c r="J323" s="865"/>
      <c r="K323" s="865"/>
      <c r="L323" s="865"/>
      <c r="M323" s="185" t="str">
        <f>IFERROR(INDEX('Controles de Corrupción'!$C$10:$AY$249,MATCH(A323,'Controles de Corrupción'!$B$10:$B$249,0),4),"")</f>
        <v/>
      </c>
      <c r="N323" s="70" t="str">
        <f>IFERROR(INDEX('Controles de Corrupción'!$C$10:$AY$249,MATCH(A323,'Controles de Corrupción'!$B$10:$B$249,0),40),"")</f>
        <v/>
      </c>
      <c r="O323" s="70" t="str">
        <f>IFERROR(INDEX('Controles de Corrupción'!$C$10:$AY$251,MATCH(A323,'Controles de Corrupción'!$B$10:$B$251,0),41),"")</f>
        <v/>
      </c>
      <c r="P323" s="70" t="str">
        <f>IFERROR(INDEX('Controles de Corrupción'!$C$10:$AY$251,MATCH(A323,'Controles de Corrupción'!$B$10:$B$251,0),42),"")</f>
        <v/>
      </c>
      <c r="Q323" s="186" t="str">
        <f>IFERROR(INDEX('Controles de Corrupción'!$C$10:$AY$251,MATCH(A323,'Controles de Corrupción'!$B$10:$B$251,0),47),"")</f>
        <v/>
      </c>
    </row>
    <row r="324" spans="1:17" x14ac:dyDescent="0.25">
      <c r="A324" s="115" t="s">
        <v>556</v>
      </c>
      <c r="B324" s="1015"/>
      <c r="C324" s="1017"/>
      <c r="D324" s="861"/>
      <c r="E324" s="1019"/>
      <c r="F324" s="865"/>
      <c r="G324" s="865"/>
      <c r="H324" s="867"/>
      <c r="I324" s="865"/>
      <c r="J324" s="865"/>
      <c r="K324" s="865"/>
      <c r="L324" s="865"/>
      <c r="M324" s="185" t="str">
        <f>IFERROR(INDEX('Controles de Corrupción'!$C$10:$AY$249,MATCH(A324,'Controles de Corrupción'!$B$10:$B$249,0),4),"")</f>
        <v/>
      </c>
      <c r="N324" s="70" t="str">
        <f>IFERROR(INDEX('Controles de Corrupción'!$C$10:$AY$249,MATCH(A324,'Controles de Corrupción'!$B$10:$B$249,0),40),"")</f>
        <v/>
      </c>
      <c r="O324" s="70" t="str">
        <f>IFERROR(INDEX('Controles de Corrupción'!$C$10:$AY$251,MATCH(A324,'Controles de Corrupción'!$B$10:$B$251,0),41),"")</f>
        <v/>
      </c>
      <c r="P324" s="70" t="str">
        <f>IFERROR(INDEX('Controles de Corrupción'!$C$10:$AY$251,MATCH(A324,'Controles de Corrupción'!$B$10:$B$251,0),42),"")</f>
        <v/>
      </c>
      <c r="Q324" s="186" t="str">
        <f>IFERROR(INDEX('Controles de Corrupción'!$C$10:$AY$251,MATCH(A324,'Controles de Corrupción'!$B$10:$B$251,0),47),"")</f>
        <v/>
      </c>
    </row>
    <row r="325" spans="1:17" x14ac:dyDescent="0.25">
      <c r="A325" s="115" t="s">
        <v>557</v>
      </c>
      <c r="B325" s="1013"/>
      <c r="C325" s="1016" t="str">
        <f>IFERROR(INDEX('Riesgos de Corrupción'!$B$11:$BN$100,MATCH('Mapa Riesgo Corrupción'!B325,'Riesgos de Corrupción'!$B$11:$B$100,0),2),"")</f>
        <v/>
      </c>
      <c r="D325" s="860" t="str">
        <f>IFERROR(INDEX('Riesgos de Corrupción'!$B$11:$BN$100,MATCH('Mapa Riesgo Corrupción'!B325,'Riesgos de Corrupción'!$B$11:$B$100,0),4),"")</f>
        <v/>
      </c>
      <c r="E325" s="1018" t="str">
        <f>IFERROR(INDEX('Riesgos de Corrupción'!$B$11:$BN$100,MATCH('Mapa Riesgo Corrupción'!B325,'Riesgos de Corrupción'!$B$11:$B$100,0),5),"")</f>
        <v/>
      </c>
      <c r="F325" s="865" t="str">
        <f>IFERROR(INDEX('Riesgos de Corrupción'!$B$11:$BN$100,MATCH('Mapa Riesgo Corrupción'!B325,'Riesgos de Corrupción'!$B$11:$B$100,0),18),"")</f>
        <v/>
      </c>
      <c r="G325" s="865" t="str">
        <f>IFERROR(INDEX('Riesgos de Corrupción'!$B$11:$BN$100,MATCH('Mapa Riesgo Corrupción'!B325,'Riesgos de Corrupción'!$B$11:$B$100,0),63),"")</f>
        <v/>
      </c>
      <c r="H325" s="867" t="str">
        <f>IFERROR(INDEX('Riesgos de Corrupción'!$B$11:$BN$100,MATCH('Mapa Riesgo Corrupción'!B325,'Riesgos de Corrupción'!$B$11:$B$100,0),64),"")</f>
        <v/>
      </c>
      <c r="I325" s="865" t="str">
        <f>IFERROR(INDEX('Controles de Corrupción'!$C$10:$AY$251,MATCH('Mapa Riesgo Corrupción'!B325,'Controles de Corrupción'!#REF!,0),33),"")</f>
        <v/>
      </c>
      <c r="J325" s="865" t="str">
        <f>IFERROR(INDEX('Controles de Corrupción'!$C$10:$AY$251,MATCH('Mapa Riesgo Corrupción'!B325,'Controles de Corrupción'!#REF!,0),36),"")</f>
        <v/>
      </c>
      <c r="K325" s="865" t="str">
        <f>IFERROR(INDEX('Controles de Corrupción'!$C$10:$AY$251,MATCH('Mapa Riesgo Corrupción'!B325,'Controles de Corrupción'!#REF!,0),37),"")</f>
        <v/>
      </c>
      <c r="L325" s="865" t="str">
        <f>IFERROR(INDEX('Controles de Corrupción'!$C$10:$AY$251,MATCH('Mapa Riesgo Corrupción'!B325,'Controles de Corrupción'!#REF!,0),38),"")</f>
        <v/>
      </c>
      <c r="M325" s="185" t="str">
        <f>IFERROR(INDEX('Controles de Corrupción'!$C$10:$AY$249,MATCH(A325,'Controles de Corrupción'!$B$10:$B$249,0),4),"")</f>
        <v/>
      </c>
      <c r="N325" s="70" t="str">
        <f>IFERROR(INDEX('Controles de Corrupción'!$C$10:$AY$249,MATCH(A325,'Controles de Corrupción'!$B$10:$B$249,0),40),"")</f>
        <v/>
      </c>
      <c r="O325" s="70" t="str">
        <f>IFERROR(INDEX('Controles de Corrupción'!$C$10:$AY$251,MATCH(A325,'Controles de Corrupción'!$B$10:$B$251,0),41),"")</f>
        <v/>
      </c>
      <c r="P325" s="70" t="str">
        <f>IFERROR(INDEX('Controles de Corrupción'!$C$10:$AY$251,MATCH(A325,'Controles de Corrupción'!$B$10:$B$251,0),42),"")</f>
        <v/>
      </c>
      <c r="Q325" s="186" t="str">
        <f>IFERROR(INDEX('Controles de Corrupción'!$C$10:$AY$251,MATCH(A325,'Controles de Corrupción'!$B$10:$B$251,0),47),"")</f>
        <v/>
      </c>
    </row>
    <row r="326" spans="1:17" x14ac:dyDescent="0.25">
      <c r="A326" s="115" t="s">
        <v>558</v>
      </c>
      <c r="B326" s="1014"/>
      <c r="C326" s="1017"/>
      <c r="D326" s="861"/>
      <c r="E326" s="1019"/>
      <c r="F326" s="865"/>
      <c r="G326" s="865"/>
      <c r="H326" s="867"/>
      <c r="I326" s="865"/>
      <c r="J326" s="865"/>
      <c r="K326" s="865"/>
      <c r="L326" s="865"/>
      <c r="M326" s="185" t="str">
        <f>IFERROR(INDEX('Controles de Corrupción'!$C$10:$AY$249,MATCH(A326,'Controles de Corrupción'!$B$10:$B$249,0),4),"")</f>
        <v/>
      </c>
      <c r="N326" s="70" t="str">
        <f>IFERROR(INDEX('Controles de Corrupción'!$C$10:$AY$249,MATCH(A326,'Controles de Corrupción'!$B$10:$B$249,0),40),"")</f>
        <v/>
      </c>
      <c r="O326" s="70" t="str">
        <f>IFERROR(INDEX('Controles de Corrupción'!$C$10:$AY$251,MATCH(A326,'Controles de Corrupción'!$B$10:$B$251,0),41),"")</f>
        <v/>
      </c>
      <c r="P326" s="70" t="str">
        <f>IFERROR(INDEX('Controles de Corrupción'!$C$10:$AY$251,MATCH(A326,'Controles de Corrupción'!$B$10:$B$251,0),42),"")</f>
        <v/>
      </c>
      <c r="Q326" s="186" t="str">
        <f>IFERROR(INDEX('Controles de Corrupción'!$C$10:$AY$251,MATCH(A326,'Controles de Corrupción'!$B$10:$B$251,0),47),"")</f>
        <v/>
      </c>
    </row>
    <row r="327" spans="1:17" x14ac:dyDescent="0.25">
      <c r="A327" s="115" t="s">
        <v>559</v>
      </c>
      <c r="B327" s="1014"/>
      <c r="C327" s="1017"/>
      <c r="D327" s="861"/>
      <c r="E327" s="1019"/>
      <c r="F327" s="865"/>
      <c r="G327" s="865"/>
      <c r="H327" s="867"/>
      <c r="I327" s="865"/>
      <c r="J327" s="865"/>
      <c r="K327" s="865"/>
      <c r="L327" s="865"/>
      <c r="M327" s="185" t="str">
        <f>IFERROR(INDEX('Controles de Corrupción'!$C$10:$AY$249,MATCH(A327,'Controles de Corrupción'!$B$10:$B$249,0),4),"")</f>
        <v/>
      </c>
      <c r="N327" s="70" t="str">
        <f>IFERROR(INDEX('Controles de Corrupción'!$C$10:$AY$249,MATCH(A327,'Controles de Corrupción'!$B$10:$B$249,0),40),"")</f>
        <v/>
      </c>
      <c r="O327" s="70" t="str">
        <f>IFERROR(INDEX('Controles de Corrupción'!$C$10:$AY$251,MATCH(A327,'Controles de Corrupción'!$B$10:$B$251,0),41),"")</f>
        <v/>
      </c>
      <c r="P327" s="70" t="str">
        <f>IFERROR(INDEX('Controles de Corrupción'!$C$10:$AY$251,MATCH(A327,'Controles de Corrupción'!$B$10:$B$251,0),42),"")</f>
        <v/>
      </c>
      <c r="Q327" s="186" t="str">
        <f>IFERROR(INDEX('Controles de Corrupción'!$C$10:$AY$251,MATCH(A327,'Controles de Corrupción'!$B$10:$B$251,0),47),"")</f>
        <v/>
      </c>
    </row>
    <row r="328" spans="1:17" x14ac:dyDescent="0.25">
      <c r="A328" s="115" t="s">
        <v>560</v>
      </c>
      <c r="B328" s="1014"/>
      <c r="C328" s="1017"/>
      <c r="D328" s="861"/>
      <c r="E328" s="1019"/>
      <c r="F328" s="865"/>
      <c r="G328" s="865"/>
      <c r="H328" s="867"/>
      <c r="I328" s="865"/>
      <c r="J328" s="865"/>
      <c r="K328" s="865"/>
      <c r="L328" s="865"/>
      <c r="M328" s="185" t="str">
        <f>IFERROR(INDEX('Controles de Corrupción'!$C$10:$AY$249,MATCH(A328,'Controles de Corrupción'!$B$10:$B$249,0),4),"")</f>
        <v/>
      </c>
      <c r="N328" s="70" t="str">
        <f>IFERROR(INDEX('Controles de Corrupción'!$C$10:$AY$249,MATCH(A328,'Controles de Corrupción'!$B$10:$B$249,0),40),"")</f>
        <v/>
      </c>
      <c r="O328" s="70" t="str">
        <f>IFERROR(INDEX('Controles de Corrupción'!$C$10:$AY$251,MATCH(A328,'Controles de Corrupción'!$B$10:$B$251,0),41),"")</f>
        <v/>
      </c>
      <c r="P328" s="70" t="str">
        <f>IFERROR(INDEX('Controles de Corrupción'!$C$10:$AY$251,MATCH(A328,'Controles de Corrupción'!$B$10:$B$251,0),42),"")</f>
        <v/>
      </c>
      <c r="Q328" s="186" t="str">
        <f>IFERROR(INDEX('Controles de Corrupción'!$C$10:$AY$251,MATCH(A328,'Controles de Corrupción'!$B$10:$B$251,0),47),"")</f>
        <v/>
      </c>
    </row>
    <row r="329" spans="1:17" x14ac:dyDescent="0.25">
      <c r="A329" s="115" t="s">
        <v>561</v>
      </c>
      <c r="B329" s="1014"/>
      <c r="C329" s="1017"/>
      <c r="D329" s="861"/>
      <c r="E329" s="1019"/>
      <c r="F329" s="865"/>
      <c r="G329" s="865"/>
      <c r="H329" s="867"/>
      <c r="I329" s="865"/>
      <c r="J329" s="865"/>
      <c r="K329" s="865"/>
      <c r="L329" s="865"/>
      <c r="M329" s="185" t="str">
        <f>IFERROR(INDEX('Controles de Corrupción'!$C$10:$AY$249,MATCH(A329,'Controles de Corrupción'!$B$10:$B$249,0),4),"")</f>
        <v/>
      </c>
      <c r="N329" s="70" t="str">
        <f>IFERROR(INDEX('Controles de Corrupción'!$C$10:$AY$249,MATCH(A329,'Controles de Corrupción'!$B$10:$B$249,0),40),"")</f>
        <v/>
      </c>
      <c r="O329" s="70" t="str">
        <f>IFERROR(INDEX('Controles de Corrupción'!$C$10:$AY$251,MATCH(A329,'Controles de Corrupción'!$B$10:$B$251,0),41),"")</f>
        <v/>
      </c>
      <c r="P329" s="70" t="str">
        <f>IFERROR(INDEX('Controles de Corrupción'!$C$10:$AY$251,MATCH(A329,'Controles de Corrupción'!$B$10:$B$251,0),42),"")</f>
        <v/>
      </c>
      <c r="Q329" s="186" t="str">
        <f>IFERROR(INDEX('Controles de Corrupción'!$C$10:$AY$251,MATCH(A329,'Controles de Corrupción'!$B$10:$B$251,0),47),"")</f>
        <v/>
      </c>
    </row>
    <row r="330" spans="1:17" x14ac:dyDescent="0.25">
      <c r="A330" s="115" t="s">
        <v>562</v>
      </c>
      <c r="B330" s="1015"/>
      <c r="C330" s="1017"/>
      <c r="D330" s="861"/>
      <c r="E330" s="1019"/>
      <c r="F330" s="865"/>
      <c r="G330" s="865"/>
      <c r="H330" s="867"/>
      <c r="I330" s="865"/>
      <c r="J330" s="865"/>
      <c r="K330" s="865"/>
      <c r="L330" s="865"/>
      <c r="M330" s="185" t="str">
        <f>IFERROR(INDEX('Controles de Corrupción'!$C$10:$AY$249,MATCH(A330,'Controles de Corrupción'!$B$10:$B$249,0),4),"")</f>
        <v/>
      </c>
      <c r="N330" s="70" t="str">
        <f>IFERROR(INDEX('Controles de Corrupción'!$C$10:$AY$249,MATCH(A330,'Controles de Corrupción'!$B$10:$B$249,0),40),"")</f>
        <v/>
      </c>
      <c r="O330" s="70" t="str">
        <f>IFERROR(INDEX('Controles de Corrupción'!$C$10:$AY$251,MATCH(A330,'Controles de Corrupción'!$B$10:$B$251,0),41),"")</f>
        <v/>
      </c>
      <c r="P330" s="70" t="str">
        <f>IFERROR(INDEX('Controles de Corrupción'!$C$10:$AY$251,MATCH(A330,'Controles de Corrupción'!$B$10:$B$251,0),42),"")</f>
        <v/>
      </c>
      <c r="Q330" s="186" t="str">
        <f>IFERROR(INDEX('Controles de Corrupción'!$C$10:$AY$251,MATCH(A330,'Controles de Corrupción'!$B$10:$B$251,0),47),"")</f>
        <v/>
      </c>
    </row>
    <row r="331" spans="1:17" x14ac:dyDescent="0.25">
      <c r="A331" s="115" t="s">
        <v>563</v>
      </c>
      <c r="B331" s="1013"/>
      <c r="C331" s="1016" t="str">
        <f>IFERROR(INDEX('Riesgos de Corrupción'!$B$11:$BN$100,MATCH('Mapa Riesgo Corrupción'!B331,'Riesgos de Corrupción'!$B$11:$B$100,0),2),"")</f>
        <v/>
      </c>
      <c r="D331" s="860" t="str">
        <f>IFERROR(INDEX('Riesgos de Corrupción'!$B$11:$BN$100,MATCH('Mapa Riesgo Corrupción'!B331,'Riesgos de Corrupción'!$B$11:$B$100,0),4),"")</f>
        <v/>
      </c>
      <c r="E331" s="1018" t="str">
        <f>IFERROR(INDEX('Riesgos de Corrupción'!$B$11:$BN$100,MATCH('Mapa Riesgo Corrupción'!B331,'Riesgos de Corrupción'!$B$11:$B$100,0),5),"")</f>
        <v/>
      </c>
      <c r="F331" s="865" t="str">
        <f>IFERROR(INDEX('Riesgos de Corrupción'!$B$11:$BN$100,MATCH('Mapa Riesgo Corrupción'!B331,'Riesgos de Corrupción'!$B$11:$B$100,0),18),"")</f>
        <v/>
      </c>
      <c r="G331" s="865" t="str">
        <f>IFERROR(INDEX('Riesgos de Corrupción'!$B$11:$BN$100,MATCH('Mapa Riesgo Corrupción'!B331,'Riesgos de Corrupción'!$B$11:$B$100,0),63),"")</f>
        <v/>
      </c>
      <c r="H331" s="867" t="str">
        <f>IFERROR(INDEX('Riesgos de Corrupción'!$B$11:$BN$100,MATCH('Mapa Riesgo Corrupción'!B331,'Riesgos de Corrupción'!$B$11:$B$100,0),64),"")</f>
        <v/>
      </c>
      <c r="I331" s="865" t="str">
        <f>IFERROR(INDEX('Controles de Corrupción'!$C$10:$AY$251,MATCH('Mapa Riesgo Corrupción'!B331,'Controles de Corrupción'!#REF!,0),33),"")</f>
        <v/>
      </c>
      <c r="J331" s="865" t="str">
        <f>IFERROR(INDEX('Controles de Corrupción'!$C$10:$AY$251,MATCH('Mapa Riesgo Corrupción'!B331,'Controles de Corrupción'!#REF!,0),36),"")</f>
        <v/>
      </c>
      <c r="K331" s="865" t="str">
        <f>IFERROR(INDEX('Controles de Corrupción'!$C$10:$AY$251,MATCH('Mapa Riesgo Corrupción'!B331,'Controles de Corrupción'!#REF!,0),37),"")</f>
        <v/>
      </c>
      <c r="L331" s="865" t="str">
        <f>IFERROR(INDEX('Controles de Corrupción'!$C$10:$AY$251,MATCH('Mapa Riesgo Corrupción'!B331,'Controles de Corrupción'!#REF!,0),38),"")</f>
        <v/>
      </c>
      <c r="M331" s="185" t="str">
        <f>IFERROR(INDEX('Controles de Corrupción'!$C$10:$AY$249,MATCH(A331,'Controles de Corrupción'!$B$10:$B$249,0),4),"")</f>
        <v/>
      </c>
      <c r="N331" s="70" t="str">
        <f>IFERROR(INDEX('Controles de Corrupción'!$C$10:$AY$249,MATCH(A331,'Controles de Corrupción'!$B$10:$B$249,0),40),"")</f>
        <v/>
      </c>
      <c r="O331" s="70" t="str">
        <f>IFERROR(INDEX('Controles de Corrupción'!$C$10:$AY$251,MATCH(A331,'Controles de Corrupción'!$B$10:$B$251,0),41),"")</f>
        <v/>
      </c>
      <c r="P331" s="70" t="str">
        <f>IFERROR(INDEX('Controles de Corrupción'!$C$10:$AY$251,MATCH(A331,'Controles de Corrupción'!$B$10:$B$251,0),42),"")</f>
        <v/>
      </c>
      <c r="Q331" s="186" t="str">
        <f>IFERROR(INDEX('Controles de Corrupción'!$C$10:$AY$251,MATCH(A331,'Controles de Corrupción'!$B$10:$B$251,0),47),"")</f>
        <v/>
      </c>
    </row>
    <row r="332" spans="1:17" x14ac:dyDescent="0.25">
      <c r="A332" s="115" t="s">
        <v>564</v>
      </c>
      <c r="B332" s="1014"/>
      <c r="C332" s="1017"/>
      <c r="D332" s="861"/>
      <c r="E332" s="1019"/>
      <c r="F332" s="865"/>
      <c r="G332" s="865"/>
      <c r="H332" s="867"/>
      <c r="I332" s="865"/>
      <c r="J332" s="865"/>
      <c r="K332" s="865"/>
      <c r="L332" s="865"/>
      <c r="M332" s="185" t="str">
        <f>IFERROR(INDEX('Controles de Corrupción'!$C$10:$AY$249,MATCH(A332,'Controles de Corrupción'!$B$10:$B$249,0),4),"")</f>
        <v/>
      </c>
      <c r="N332" s="70" t="str">
        <f>IFERROR(INDEX('Controles de Corrupción'!$C$10:$AY$249,MATCH(A332,'Controles de Corrupción'!$B$10:$B$249,0),40),"")</f>
        <v/>
      </c>
      <c r="O332" s="70" t="str">
        <f>IFERROR(INDEX('Controles de Corrupción'!$C$10:$AY$251,MATCH(A332,'Controles de Corrupción'!$B$10:$B$251,0),41),"")</f>
        <v/>
      </c>
      <c r="P332" s="70" t="str">
        <f>IFERROR(INDEX('Controles de Corrupción'!$C$10:$AY$251,MATCH(A332,'Controles de Corrupción'!$B$10:$B$251,0),42),"")</f>
        <v/>
      </c>
      <c r="Q332" s="186" t="str">
        <f>IFERROR(INDEX('Controles de Corrupción'!$C$10:$AY$251,MATCH(A332,'Controles de Corrupción'!$B$10:$B$251,0),47),"")</f>
        <v/>
      </c>
    </row>
    <row r="333" spans="1:17" x14ac:dyDescent="0.25">
      <c r="A333" s="115" t="s">
        <v>565</v>
      </c>
      <c r="B333" s="1014"/>
      <c r="C333" s="1017"/>
      <c r="D333" s="861"/>
      <c r="E333" s="1019"/>
      <c r="F333" s="865"/>
      <c r="G333" s="865"/>
      <c r="H333" s="867"/>
      <c r="I333" s="865"/>
      <c r="J333" s="865"/>
      <c r="K333" s="865"/>
      <c r="L333" s="865"/>
      <c r="M333" s="185" t="str">
        <f>IFERROR(INDEX('Controles de Corrupción'!$C$10:$AY$249,MATCH(A333,'Controles de Corrupción'!$B$10:$B$249,0),4),"")</f>
        <v/>
      </c>
      <c r="N333" s="70" t="str">
        <f>IFERROR(INDEX('Controles de Corrupción'!$C$10:$AY$249,MATCH(A333,'Controles de Corrupción'!$B$10:$B$249,0),40),"")</f>
        <v/>
      </c>
      <c r="O333" s="70" t="str">
        <f>IFERROR(INDEX('Controles de Corrupción'!$C$10:$AY$251,MATCH(A333,'Controles de Corrupción'!$B$10:$B$251,0),41),"")</f>
        <v/>
      </c>
      <c r="P333" s="70" t="str">
        <f>IFERROR(INDEX('Controles de Corrupción'!$C$10:$AY$251,MATCH(A333,'Controles de Corrupción'!$B$10:$B$251,0),42),"")</f>
        <v/>
      </c>
      <c r="Q333" s="186" t="str">
        <f>IFERROR(INDEX('Controles de Corrupción'!$C$10:$AY$251,MATCH(A333,'Controles de Corrupción'!$B$10:$B$251,0),47),"")</f>
        <v/>
      </c>
    </row>
    <row r="334" spans="1:17" x14ac:dyDescent="0.25">
      <c r="A334" s="115" t="s">
        <v>566</v>
      </c>
      <c r="B334" s="1014"/>
      <c r="C334" s="1017"/>
      <c r="D334" s="861"/>
      <c r="E334" s="1019"/>
      <c r="F334" s="865"/>
      <c r="G334" s="865"/>
      <c r="H334" s="867"/>
      <c r="I334" s="865"/>
      <c r="J334" s="865"/>
      <c r="K334" s="865"/>
      <c r="L334" s="865"/>
      <c r="M334" s="185" t="str">
        <f>IFERROR(INDEX('Controles de Corrupción'!$C$10:$AY$249,MATCH(A334,'Controles de Corrupción'!$B$10:$B$249,0),4),"")</f>
        <v/>
      </c>
      <c r="N334" s="70" t="str">
        <f>IFERROR(INDEX('Controles de Corrupción'!$C$10:$AY$249,MATCH(A334,'Controles de Corrupción'!$B$10:$B$249,0),40),"")</f>
        <v/>
      </c>
      <c r="O334" s="70" t="str">
        <f>IFERROR(INDEX('Controles de Corrupción'!$C$10:$AY$251,MATCH(A334,'Controles de Corrupción'!$B$10:$B$251,0),41),"")</f>
        <v/>
      </c>
      <c r="P334" s="70" t="str">
        <f>IFERROR(INDEX('Controles de Corrupción'!$C$10:$AY$251,MATCH(A334,'Controles de Corrupción'!$B$10:$B$251,0),42),"")</f>
        <v/>
      </c>
      <c r="Q334" s="186" t="str">
        <f>IFERROR(INDEX('Controles de Corrupción'!$C$10:$AY$251,MATCH(A334,'Controles de Corrupción'!$B$10:$B$251,0),47),"")</f>
        <v/>
      </c>
    </row>
    <row r="335" spans="1:17" x14ac:dyDescent="0.25">
      <c r="A335" s="115" t="s">
        <v>567</v>
      </c>
      <c r="B335" s="1014"/>
      <c r="C335" s="1017"/>
      <c r="D335" s="861"/>
      <c r="E335" s="1019"/>
      <c r="F335" s="865"/>
      <c r="G335" s="865"/>
      <c r="H335" s="867"/>
      <c r="I335" s="865"/>
      <c r="J335" s="865"/>
      <c r="K335" s="865"/>
      <c r="L335" s="865"/>
      <c r="M335" s="185" t="str">
        <f>IFERROR(INDEX('Controles de Corrupción'!$C$10:$AY$249,MATCH(A335,'Controles de Corrupción'!$B$10:$B$249,0),4),"")</f>
        <v/>
      </c>
      <c r="N335" s="70" t="str">
        <f>IFERROR(INDEX('Controles de Corrupción'!$C$10:$AY$249,MATCH(A335,'Controles de Corrupción'!$B$10:$B$249,0),40),"")</f>
        <v/>
      </c>
      <c r="O335" s="70" t="str">
        <f>IFERROR(INDEX('Controles de Corrupción'!$C$10:$AY$251,MATCH(A335,'Controles de Corrupción'!$B$10:$B$251,0),41),"")</f>
        <v/>
      </c>
      <c r="P335" s="70" t="str">
        <f>IFERROR(INDEX('Controles de Corrupción'!$C$10:$AY$251,MATCH(A335,'Controles de Corrupción'!$B$10:$B$251,0),42),"")</f>
        <v/>
      </c>
      <c r="Q335" s="186" t="str">
        <f>IFERROR(INDEX('Controles de Corrupción'!$C$10:$AY$251,MATCH(A335,'Controles de Corrupción'!$B$10:$B$251,0),47),"")</f>
        <v/>
      </c>
    </row>
    <row r="336" spans="1:17" x14ac:dyDescent="0.25">
      <c r="A336" s="115" t="s">
        <v>568</v>
      </c>
      <c r="B336" s="1015"/>
      <c r="C336" s="1017"/>
      <c r="D336" s="861"/>
      <c r="E336" s="1019"/>
      <c r="F336" s="865"/>
      <c r="G336" s="865"/>
      <c r="H336" s="867"/>
      <c r="I336" s="865"/>
      <c r="J336" s="865"/>
      <c r="K336" s="865"/>
      <c r="L336" s="865"/>
      <c r="M336" s="185" t="str">
        <f>IFERROR(INDEX('Controles de Corrupción'!$C$10:$AY$249,MATCH(A336,'Controles de Corrupción'!$B$10:$B$249,0),4),"")</f>
        <v/>
      </c>
      <c r="N336" s="70" t="str">
        <f>IFERROR(INDEX('Controles de Corrupción'!$C$10:$AY$249,MATCH(A336,'Controles de Corrupción'!$B$10:$B$249,0),40),"")</f>
        <v/>
      </c>
      <c r="O336" s="70" t="str">
        <f>IFERROR(INDEX('Controles de Corrupción'!$C$10:$AY$251,MATCH(A336,'Controles de Corrupción'!$B$10:$B$251,0),41),"")</f>
        <v/>
      </c>
      <c r="P336" s="70" t="str">
        <f>IFERROR(INDEX('Controles de Corrupción'!$C$10:$AY$251,MATCH(A336,'Controles de Corrupción'!$B$10:$B$251,0),42),"")</f>
        <v/>
      </c>
      <c r="Q336" s="186" t="str">
        <f>IFERROR(INDEX('Controles de Corrupción'!$C$10:$AY$251,MATCH(A336,'Controles de Corrupción'!$B$10:$B$251,0),47),"")</f>
        <v/>
      </c>
    </row>
    <row r="337" spans="1:17" x14ac:dyDescent="0.25">
      <c r="A337" s="115" t="s">
        <v>569</v>
      </c>
      <c r="B337" s="1013"/>
      <c r="C337" s="1016" t="str">
        <f>IFERROR(INDEX('Riesgos de Corrupción'!$B$11:$BN$100,MATCH('Mapa Riesgo Corrupción'!B337,'Riesgos de Corrupción'!$B$11:$B$100,0),2),"")</f>
        <v/>
      </c>
      <c r="D337" s="860" t="str">
        <f>IFERROR(INDEX('Riesgos de Corrupción'!$B$11:$BN$100,MATCH('Mapa Riesgo Corrupción'!B337,'Riesgos de Corrupción'!$B$11:$B$100,0),4),"")</f>
        <v/>
      </c>
      <c r="E337" s="1018" t="str">
        <f>IFERROR(INDEX('Riesgos de Corrupción'!$B$11:$BN$100,MATCH('Mapa Riesgo Corrupción'!B337,'Riesgos de Corrupción'!$B$11:$B$100,0),5),"")</f>
        <v/>
      </c>
      <c r="F337" s="865" t="str">
        <f>IFERROR(INDEX('Riesgos de Corrupción'!$B$11:$BN$100,MATCH('Mapa Riesgo Corrupción'!B337,'Riesgos de Corrupción'!$B$11:$B$100,0),18),"")</f>
        <v/>
      </c>
      <c r="G337" s="865" t="str">
        <f>IFERROR(INDEX('Riesgos de Corrupción'!$B$11:$BN$100,MATCH('Mapa Riesgo Corrupción'!B337,'Riesgos de Corrupción'!$B$11:$B$100,0),63),"")</f>
        <v/>
      </c>
      <c r="H337" s="867" t="str">
        <f>IFERROR(INDEX('Riesgos de Corrupción'!$B$11:$BN$100,MATCH('Mapa Riesgo Corrupción'!B337,'Riesgos de Corrupción'!$B$11:$B$100,0),64),"")</f>
        <v/>
      </c>
      <c r="I337" s="865" t="str">
        <f>IFERROR(INDEX('Controles de Corrupción'!$C$10:$AY$251,MATCH('Mapa Riesgo Corrupción'!B337,'Controles de Corrupción'!#REF!,0),33),"")</f>
        <v/>
      </c>
      <c r="J337" s="865" t="str">
        <f>IFERROR(INDEX('Controles de Corrupción'!$C$10:$AY$251,MATCH('Mapa Riesgo Corrupción'!B337,'Controles de Corrupción'!#REF!,0),36),"")</f>
        <v/>
      </c>
      <c r="K337" s="865" t="str">
        <f>IFERROR(INDEX('Controles de Corrupción'!$C$10:$AY$251,MATCH('Mapa Riesgo Corrupción'!B337,'Controles de Corrupción'!#REF!,0),37),"")</f>
        <v/>
      </c>
      <c r="L337" s="865" t="str">
        <f>IFERROR(INDEX('Controles de Corrupción'!$C$10:$AY$251,MATCH('Mapa Riesgo Corrupción'!B337,'Controles de Corrupción'!#REF!,0),38),"")</f>
        <v/>
      </c>
      <c r="M337" s="185" t="str">
        <f>IFERROR(INDEX('Controles de Corrupción'!$C$10:$AY$249,MATCH(A337,'Controles de Corrupción'!$B$10:$B$249,0),4),"")</f>
        <v/>
      </c>
      <c r="N337" s="70" t="str">
        <f>IFERROR(INDEX('Controles de Corrupción'!$C$10:$AY$249,MATCH(A337,'Controles de Corrupción'!$B$10:$B$249,0),40),"")</f>
        <v/>
      </c>
      <c r="O337" s="70" t="str">
        <f>IFERROR(INDEX('Controles de Corrupción'!$C$10:$AY$251,MATCH(A337,'Controles de Corrupción'!$B$10:$B$251,0),41),"")</f>
        <v/>
      </c>
      <c r="P337" s="70" t="str">
        <f>IFERROR(INDEX('Controles de Corrupción'!$C$10:$AY$251,MATCH(A337,'Controles de Corrupción'!$B$10:$B$251,0),42),"")</f>
        <v/>
      </c>
      <c r="Q337" s="186" t="str">
        <f>IFERROR(INDEX('Controles de Corrupción'!$C$10:$AY$251,MATCH(A337,'Controles de Corrupción'!$B$10:$B$251,0),47),"")</f>
        <v/>
      </c>
    </row>
    <row r="338" spans="1:17" x14ac:dyDescent="0.25">
      <c r="A338" s="115" t="s">
        <v>570</v>
      </c>
      <c r="B338" s="1014"/>
      <c r="C338" s="1017"/>
      <c r="D338" s="861"/>
      <c r="E338" s="1019"/>
      <c r="F338" s="865"/>
      <c r="G338" s="865"/>
      <c r="H338" s="867"/>
      <c r="I338" s="865"/>
      <c r="J338" s="865"/>
      <c r="K338" s="865"/>
      <c r="L338" s="865"/>
      <c r="M338" s="185" t="str">
        <f>IFERROR(INDEX('Controles de Corrupción'!$C$10:$AY$249,MATCH(A338,'Controles de Corrupción'!$B$10:$B$249,0),4),"")</f>
        <v/>
      </c>
      <c r="N338" s="70" t="str">
        <f>IFERROR(INDEX('Controles de Corrupción'!$C$10:$AY$249,MATCH(A338,'Controles de Corrupción'!$B$10:$B$249,0),40),"")</f>
        <v/>
      </c>
      <c r="O338" s="70" t="str">
        <f>IFERROR(INDEX('Controles de Corrupción'!$C$10:$AY$251,MATCH(A338,'Controles de Corrupción'!$B$10:$B$251,0),41),"")</f>
        <v/>
      </c>
      <c r="P338" s="70" t="str">
        <f>IFERROR(INDEX('Controles de Corrupción'!$C$10:$AY$251,MATCH(A338,'Controles de Corrupción'!$B$10:$B$251,0),42),"")</f>
        <v/>
      </c>
      <c r="Q338" s="186" t="str">
        <f>IFERROR(INDEX('Controles de Corrupción'!$C$10:$AY$251,MATCH(A338,'Controles de Corrupción'!$B$10:$B$251,0),47),"")</f>
        <v/>
      </c>
    </row>
    <row r="339" spans="1:17" x14ac:dyDescent="0.25">
      <c r="A339" s="115" t="s">
        <v>571</v>
      </c>
      <c r="B339" s="1014"/>
      <c r="C339" s="1017"/>
      <c r="D339" s="861"/>
      <c r="E339" s="1019"/>
      <c r="F339" s="865"/>
      <c r="G339" s="865"/>
      <c r="H339" s="867"/>
      <c r="I339" s="865"/>
      <c r="J339" s="865"/>
      <c r="K339" s="865"/>
      <c r="L339" s="865"/>
      <c r="M339" s="185" t="str">
        <f>IFERROR(INDEX('Controles de Corrupción'!$C$10:$AY$249,MATCH(A339,'Controles de Corrupción'!$B$10:$B$249,0),4),"")</f>
        <v/>
      </c>
      <c r="N339" s="70" t="str">
        <f>IFERROR(INDEX('Controles de Corrupción'!$C$10:$AY$249,MATCH(A339,'Controles de Corrupción'!$B$10:$B$249,0),40),"")</f>
        <v/>
      </c>
      <c r="O339" s="70" t="str">
        <f>IFERROR(INDEX('Controles de Corrupción'!$C$10:$AY$251,MATCH(A339,'Controles de Corrupción'!$B$10:$B$251,0),41),"")</f>
        <v/>
      </c>
      <c r="P339" s="70" t="str">
        <f>IFERROR(INDEX('Controles de Corrupción'!$C$10:$AY$251,MATCH(A339,'Controles de Corrupción'!$B$10:$B$251,0),42),"")</f>
        <v/>
      </c>
      <c r="Q339" s="186" t="str">
        <f>IFERROR(INDEX('Controles de Corrupción'!$C$10:$AY$251,MATCH(A339,'Controles de Corrupción'!$B$10:$B$251,0),47),"")</f>
        <v/>
      </c>
    </row>
    <row r="340" spans="1:17" x14ac:dyDescent="0.25">
      <c r="A340" s="115" t="s">
        <v>572</v>
      </c>
      <c r="B340" s="1014"/>
      <c r="C340" s="1017"/>
      <c r="D340" s="861"/>
      <c r="E340" s="1019"/>
      <c r="F340" s="865"/>
      <c r="G340" s="865"/>
      <c r="H340" s="867"/>
      <c r="I340" s="865"/>
      <c r="J340" s="865"/>
      <c r="K340" s="865"/>
      <c r="L340" s="865"/>
      <c r="M340" s="185" t="str">
        <f>IFERROR(INDEX('Controles de Corrupción'!$C$10:$AY$249,MATCH(A340,'Controles de Corrupción'!$B$10:$B$249,0),4),"")</f>
        <v/>
      </c>
      <c r="N340" s="70" t="str">
        <f>IFERROR(INDEX('Controles de Corrupción'!$C$10:$AY$249,MATCH(A340,'Controles de Corrupción'!$B$10:$B$249,0),40),"")</f>
        <v/>
      </c>
      <c r="O340" s="70" t="str">
        <f>IFERROR(INDEX('Controles de Corrupción'!$C$10:$AY$251,MATCH(A340,'Controles de Corrupción'!$B$10:$B$251,0),41),"")</f>
        <v/>
      </c>
      <c r="P340" s="70" t="str">
        <f>IFERROR(INDEX('Controles de Corrupción'!$C$10:$AY$251,MATCH(A340,'Controles de Corrupción'!$B$10:$B$251,0),42),"")</f>
        <v/>
      </c>
      <c r="Q340" s="186" t="str">
        <f>IFERROR(INDEX('Controles de Corrupción'!$C$10:$AY$251,MATCH(A340,'Controles de Corrupción'!$B$10:$B$251,0),47),"")</f>
        <v/>
      </c>
    </row>
    <row r="341" spans="1:17" x14ac:dyDescent="0.25">
      <c r="A341" s="115" t="s">
        <v>573</v>
      </c>
      <c r="B341" s="1014"/>
      <c r="C341" s="1017"/>
      <c r="D341" s="861"/>
      <c r="E341" s="1019"/>
      <c r="F341" s="865"/>
      <c r="G341" s="865"/>
      <c r="H341" s="867"/>
      <c r="I341" s="865"/>
      <c r="J341" s="865"/>
      <c r="K341" s="865"/>
      <c r="L341" s="865"/>
      <c r="M341" s="185" t="str">
        <f>IFERROR(INDEX('Controles de Corrupción'!$C$10:$AY$249,MATCH(A341,'Controles de Corrupción'!$B$10:$B$249,0),4),"")</f>
        <v/>
      </c>
      <c r="N341" s="70" t="str">
        <f>IFERROR(INDEX('Controles de Corrupción'!$C$10:$AY$249,MATCH(A341,'Controles de Corrupción'!$B$10:$B$249,0),40),"")</f>
        <v/>
      </c>
      <c r="O341" s="70" t="str">
        <f>IFERROR(INDEX('Controles de Corrupción'!$C$10:$AY$251,MATCH(A341,'Controles de Corrupción'!$B$10:$B$251,0),41),"")</f>
        <v/>
      </c>
      <c r="P341" s="70" t="str">
        <f>IFERROR(INDEX('Controles de Corrupción'!$C$10:$AY$251,MATCH(A341,'Controles de Corrupción'!$B$10:$B$251,0),42),"")</f>
        <v/>
      </c>
      <c r="Q341" s="186" t="str">
        <f>IFERROR(INDEX('Controles de Corrupción'!$C$10:$AY$251,MATCH(A341,'Controles de Corrupción'!$B$10:$B$251,0),47),"")</f>
        <v/>
      </c>
    </row>
    <row r="342" spans="1:17" x14ac:dyDescent="0.25">
      <c r="A342" s="115" t="s">
        <v>574</v>
      </c>
      <c r="B342" s="1015"/>
      <c r="C342" s="1017"/>
      <c r="D342" s="861"/>
      <c r="E342" s="1019"/>
      <c r="F342" s="865"/>
      <c r="G342" s="865"/>
      <c r="H342" s="867"/>
      <c r="I342" s="865"/>
      <c r="J342" s="865"/>
      <c r="K342" s="865"/>
      <c r="L342" s="865"/>
      <c r="M342" s="185" t="str">
        <f>IFERROR(INDEX('Controles de Corrupción'!$C$10:$AY$249,MATCH(A342,'Controles de Corrupción'!$B$10:$B$249,0),4),"")</f>
        <v/>
      </c>
      <c r="N342" s="70" t="str">
        <f>IFERROR(INDEX('Controles de Corrupción'!$C$10:$AY$249,MATCH(A342,'Controles de Corrupción'!$B$10:$B$249,0),40),"")</f>
        <v/>
      </c>
      <c r="O342" s="70" t="str">
        <f>IFERROR(INDEX('Controles de Corrupción'!$C$10:$AY$251,MATCH(A342,'Controles de Corrupción'!$B$10:$B$251,0),41),"")</f>
        <v/>
      </c>
      <c r="P342" s="70" t="str">
        <f>IFERROR(INDEX('Controles de Corrupción'!$C$10:$AY$251,MATCH(A342,'Controles de Corrupción'!$B$10:$B$251,0),42),"")</f>
        <v/>
      </c>
      <c r="Q342" s="186" t="str">
        <f>IFERROR(INDEX('Controles de Corrupción'!$C$10:$AY$251,MATCH(A342,'Controles de Corrupción'!$B$10:$B$251,0),47),"")</f>
        <v/>
      </c>
    </row>
    <row r="343" spans="1:17" x14ac:dyDescent="0.25">
      <c r="A343" s="115" t="s">
        <v>575</v>
      </c>
      <c r="B343" s="1013"/>
      <c r="C343" s="1016" t="str">
        <f>IFERROR(INDEX('Riesgos de Corrupción'!$B$11:$BN$100,MATCH('Mapa Riesgo Corrupción'!B343,'Riesgos de Corrupción'!$B$11:$B$100,0),2),"")</f>
        <v/>
      </c>
      <c r="D343" s="860" t="str">
        <f>IFERROR(INDEX('Riesgos de Corrupción'!$B$11:$BN$100,MATCH('Mapa Riesgo Corrupción'!B343,'Riesgos de Corrupción'!$B$11:$B$100,0),4),"")</f>
        <v/>
      </c>
      <c r="E343" s="1018" t="str">
        <f>IFERROR(INDEX('Riesgos de Corrupción'!$B$11:$BN$100,MATCH('Mapa Riesgo Corrupción'!B343,'Riesgos de Corrupción'!$B$11:$B$100,0),5),"")</f>
        <v/>
      </c>
      <c r="F343" s="865" t="str">
        <f>IFERROR(INDEX('Riesgos de Corrupción'!$B$11:$BN$100,MATCH('Mapa Riesgo Corrupción'!B343,'Riesgos de Corrupción'!$B$11:$B$100,0),18),"")</f>
        <v/>
      </c>
      <c r="G343" s="865" t="str">
        <f>IFERROR(INDEX('Riesgos de Corrupción'!$B$11:$BN$100,MATCH('Mapa Riesgo Corrupción'!B343,'Riesgos de Corrupción'!$B$11:$B$100,0),63),"")</f>
        <v/>
      </c>
      <c r="H343" s="867" t="str">
        <f>IFERROR(INDEX('Riesgos de Corrupción'!$B$11:$BN$100,MATCH('Mapa Riesgo Corrupción'!B343,'Riesgos de Corrupción'!$B$11:$B$100,0),64),"")</f>
        <v/>
      </c>
      <c r="I343" s="865" t="str">
        <f>IFERROR(INDEX('Controles de Corrupción'!$C$10:$AY$251,MATCH('Mapa Riesgo Corrupción'!B343,'Controles de Corrupción'!#REF!,0),33),"")</f>
        <v/>
      </c>
      <c r="J343" s="865" t="str">
        <f>IFERROR(INDEX('Controles de Corrupción'!$C$10:$AY$251,MATCH('Mapa Riesgo Corrupción'!B343,'Controles de Corrupción'!#REF!,0),36),"")</f>
        <v/>
      </c>
      <c r="K343" s="865" t="str">
        <f>IFERROR(INDEX('Controles de Corrupción'!$C$10:$AY$251,MATCH('Mapa Riesgo Corrupción'!B343,'Controles de Corrupción'!#REF!,0),37),"")</f>
        <v/>
      </c>
      <c r="L343" s="865" t="str">
        <f>IFERROR(INDEX('Controles de Corrupción'!$C$10:$AY$251,MATCH('Mapa Riesgo Corrupción'!B343,'Controles de Corrupción'!#REF!,0),38),"")</f>
        <v/>
      </c>
      <c r="M343" s="185" t="str">
        <f>IFERROR(INDEX('Controles de Corrupción'!$C$10:$AY$249,MATCH(A343,'Controles de Corrupción'!$B$10:$B$249,0),4),"")</f>
        <v/>
      </c>
      <c r="N343" s="70" t="str">
        <f>IFERROR(INDEX('Controles de Corrupción'!$C$10:$AY$249,MATCH(A343,'Controles de Corrupción'!$B$10:$B$249,0),40),"")</f>
        <v/>
      </c>
      <c r="O343" s="70" t="str">
        <f>IFERROR(INDEX('Controles de Corrupción'!$C$10:$AY$251,MATCH(A343,'Controles de Corrupción'!$B$10:$B$251,0),41),"")</f>
        <v/>
      </c>
      <c r="P343" s="70" t="str">
        <f>IFERROR(INDEX('Controles de Corrupción'!$C$10:$AY$251,MATCH(A343,'Controles de Corrupción'!$B$10:$B$251,0),42),"")</f>
        <v/>
      </c>
      <c r="Q343" s="186" t="str">
        <f>IFERROR(INDEX('Controles de Corrupción'!$C$10:$AY$251,MATCH(A343,'Controles de Corrupción'!$B$10:$B$251,0),47),"")</f>
        <v/>
      </c>
    </row>
    <row r="344" spans="1:17" x14ac:dyDescent="0.25">
      <c r="A344" s="115" t="s">
        <v>576</v>
      </c>
      <c r="B344" s="1014"/>
      <c r="C344" s="1017"/>
      <c r="D344" s="861"/>
      <c r="E344" s="1019"/>
      <c r="F344" s="865"/>
      <c r="G344" s="865"/>
      <c r="H344" s="867"/>
      <c r="I344" s="865"/>
      <c r="J344" s="865"/>
      <c r="K344" s="865"/>
      <c r="L344" s="865"/>
      <c r="M344" s="185" t="str">
        <f>IFERROR(INDEX('Controles de Corrupción'!$C$10:$AY$249,MATCH(A344,'Controles de Corrupción'!$B$10:$B$249,0),4),"")</f>
        <v/>
      </c>
      <c r="N344" s="70" t="str">
        <f>IFERROR(INDEX('Controles de Corrupción'!$C$10:$AY$249,MATCH(A344,'Controles de Corrupción'!$B$10:$B$249,0),40),"")</f>
        <v/>
      </c>
      <c r="O344" s="70" t="str">
        <f>IFERROR(INDEX('Controles de Corrupción'!$C$10:$AY$251,MATCH(A344,'Controles de Corrupción'!$B$10:$B$251,0),41),"")</f>
        <v/>
      </c>
      <c r="P344" s="70" t="str">
        <f>IFERROR(INDEX('Controles de Corrupción'!$C$10:$AY$251,MATCH(A344,'Controles de Corrupción'!$B$10:$B$251,0),42),"")</f>
        <v/>
      </c>
      <c r="Q344" s="186" t="str">
        <f>IFERROR(INDEX('Controles de Corrupción'!$C$10:$AY$251,MATCH(A344,'Controles de Corrupción'!$B$10:$B$251,0),47),"")</f>
        <v/>
      </c>
    </row>
    <row r="345" spans="1:17" x14ac:dyDescent="0.25">
      <c r="A345" s="115" t="s">
        <v>577</v>
      </c>
      <c r="B345" s="1014"/>
      <c r="C345" s="1017"/>
      <c r="D345" s="861"/>
      <c r="E345" s="1019"/>
      <c r="F345" s="865"/>
      <c r="G345" s="865"/>
      <c r="H345" s="867"/>
      <c r="I345" s="865"/>
      <c r="J345" s="865"/>
      <c r="K345" s="865"/>
      <c r="L345" s="865"/>
      <c r="M345" s="185" t="str">
        <f>IFERROR(INDEX('Controles de Corrupción'!$C$10:$AY$249,MATCH(A345,'Controles de Corrupción'!$B$10:$B$249,0),4),"")</f>
        <v/>
      </c>
      <c r="N345" s="70" t="str">
        <f>IFERROR(INDEX('Controles de Corrupción'!$C$10:$AY$249,MATCH(A345,'Controles de Corrupción'!$B$10:$B$249,0),40),"")</f>
        <v/>
      </c>
      <c r="O345" s="70" t="str">
        <f>IFERROR(INDEX('Controles de Corrupción'!$C$10:$AY$251,MATCH(A345,'Controles de Corrupción'!$B$10:$B$251,0),41),"")</f>
        <v/>
      </c>
      <c r="P345" s="70" t="str">
        <f>IFERROR(INDEX('Controles de Corrupción'!$C$10:$AY$251,MATCH(A345,'Controles de Corrupción'!$B$10:$B$251,0),42),"")</f>
        <v/>
      </c>
      <c r="Q345" s="186" t="str">
        <f>IFERROR(INDEX('Controles de Corrupción'!$C$10:$AY$251,MATCH(A345,'Controles de Corrupción'!$B$10:$B$251,0),47),"")</f>
        <v/>
      </c>
    </row>
    <row r="346" spans="1:17" x14ac:dyDescent="0.25">
      <c r="A346" s="115" t="s">
        <v>578</v>
      </c>
      <c r="B346" s="1014"/>
      <c r="C346" s="1017"/>
      <c r="D346" s="861"/>
      <c r="E346" s="1019"/>
      <c r="F346" s="865"/>
      <c r="G346" s="865"/>
      <c r="H346" s="867"/>
      <c r="I346" s="865"/>
      <c r="J346" s="865"/>
      <c r="K346" s="865"/>
      <c r="L346" s="865"/>
      <c r="M346" s="185" t="str">
        <f>IFERROR(INDEX('Controles de Corrupción'!$C$10:$AY$249,MATCH(A346,'Controles de Corrupción'!$B$10:$B$249,0),4),"")</f>
        <v/>
      </c>
      <c r="N346" s="70" t="str">
        <f>IFERROR(INDEX('Controles de Corrupción'!$C$10:$AY$249,MATCH(A346,'Controles de Corrupción'!$B$10:$B$249,0),40),"")</f>
        <v/>
      </c>
      <c r="O346" s="70" t="str">
        <f>IFERROR(INDEX('Controles de Corrupción'!$C$10:$AY$251,MATCH(A346,'Controles de Corrupción'!$B$10:$B$251,0),41),"")</f>
        <v/>
      </c>
      <c r="P346" s="70" t="str">
        <f>IFERROR(INDEX('Controles de Corrupción'!$C$10:$AY$251,MATCH(A346,'Controles de Corrupción'!$B$10:$B$251,0),42),"")</f>
        <v/>
      </c>
      <c r="Q346" s="186" t="str">
        <f>IFERROR(INDEX('Controles de Corrupción'!$C$10:$AY$251,MATCH(A346,'Controles de Corrupción'!$B$10:$B$251,0),47),"")</f>
        <v/>
      </c>
    </row>
    <row r="347" spans="1:17" x14ac:dyDescent="0.25">
      <c r="A347" s="115" t="s">
        <v>579</v>
      </c>
      <c r="B347" s="1014"/>
      <c r="C347" s="1017"/>
      <c r="D347" s="861"/>
      <c r="E347" s="1019"/>
      <c r="F347" s="865"/>
      <c r="G347" s="865"/>
      <c r="H347" s="867"/>
      <c r="I347" s="865"/>
      <c r="J347" s="865"/>
      <c r="K347" s="865"/>
      <c r="L347" s="865"/>
      <c r="M347" s="185" t="str">
        <f>IFERROR(INDEX('Controles de Corrupción'!$C$10:$AY$249,MATCH(A347,'Controles de Corrupción'!$B$10:$B$249,0),4),"")</f>
        <v/>
      </c>
      <c r="N347" s="70" t="str">
        <f>IFERROR(INDEX('Controles de Corrupción'!$C$10:$AY$249,MATCH(A347,'Controles de Corrupción'!$B$10:$B$249,0),40),"")</f>
        <v/>
      </c>
      <c r="O347" s="70" t="str">
        <f>IFERROR(INDEX('Controles de Corrupción'!$C$10:$AY$251,MATCH(A347,'Controles de Corrupción'!$B$10:$B$251,0),41),"")</f>
        <v/>
      </c>
      <c r="P347" s="70" t="str">
        <f>IFERROR(INDEX('Controles de Corrupción'!$C$10:$AY$251,MATCH(A347,'Controles de Corrupción'!$B$10:$B$251,0),42),"")</f>
        <v/>
      </c>
      <c r="Q347" s="186" t="str">
        <f>IFERROR(INDEX('Controles de Corrupción'!$C$10:$AY$251,MATCH(A347,'Controles de Corrupción'!$B$10:$B$251,0),47),"")</f>
        <v/>
      </c>
    </row>
    <row r="348" spans="1:17" x14ac:dyDescent="0.25">
      <c r="A348" s="115" t="s">
        <v>580</v>
      </c>
      <c r="B348" s="1015"/>
      <c r="C348" s="1017"/>
      <c r="D348" s="861"/>
      <c r="E348" s="1019"/>
      <c r="F348" s="865"/>
      <c r="G348" s="865"/>
      <c r="H348" s="867"/>
      <c r="I348" s="865"/>
      <c r="J348" s="865"/>
      <c r="K348" s="865"/>
      <c r="L348" s="865"/>
      <c r="M348" s="185" t="str">
        <f>IFERROR(INDEX('Controles de Corrupción'!$C$10:$AY$249,MATCH(A348,'Controles de Corrupción'!$B$10:$B$249,0),4),"")</f>
        <v/>
      </c>
      <c r="N348" s="70" t="str">
        <f>IFERROR(INDEX('Controles de Corrupción'!$C$10:$AY$249,MATCH(A348,'Controles de Corrupción'!$B$10:$B$249,0),40),"")</f>
        <v/>
      </c>
      <c r="O348" s="70" t="str">
        <f>IFERROR(INDEX('Controles de Corrupción'!$C$10:$AY$251,MATCH(A348,'Controles de Corrupción'!$B$10:$B$251,0),41),"")</f>
        <v/>
      </c>
      <c r="P348" s="70" t="str">
        <f>IFERROR(INDEX('Controles de Corrupción'!$C$10:$AY$251,MATCH(A348,'Controles de Corrupción'!$B$10:$B$251,0),42),"")</f>
        <v/>
      </c>
      <c r="Q348" s="186" t="str">
        <f>IFERROR(INDEX('Controles de Corrupción'!$C$10:$AY$251,MATCH(A348,'Controles de Corrupción'!$B$10:$B$251,0),47),"")</f>
        <v/>
      </c>
    </row>
    <row r="349" spans="1:17" x14ac:dyDescent="0.25">
      <c r="A349" s="115" t="s">
        <v>581</v>
      </c>
      <c r="B349" s="1013"/>
      <c r="C349" s="1016" t="str">
        <f>IFERROR(INDEX('Riesgos de Corrupción'!$B$11:$BN$100,MATCH('Mapa Riesgo Corrupción'!B349,'Riesgos de Corrupción'!$B$11:$B$100,0),2),"")</f>
        <v/>
      </c>
      <c r="D349" s="860" t="str">
        <f>IFERROR(INDEX('Riesgos de Corrupción'!$B$11:$BN$100,MATCH('Mapa Riesgo Corrupción'!B349,'Riesgos de Corrupción'!$B$11:$B$100,0),4),"")</f>
        <v/>
      </c>
      <c r="E349" s="1018" t="str">
        <f>IFERROR(INDEX('Riesgos de Corrupción'!$B$11:$BN$100,MATCH('Mapa Riesgo Corrupción'!B349,'Riesgos de Corrupción'!$B$11:$B$100,0),5),"")</f>
        <v/>
      </c>
      <c r="F349" s="865" t="str">
        <f>IFERROR(INDEX('Riesgos de Corrupción'!$B$11:$BN$100,MATCH('Mapa Riesgo Corrupción'!B349,'Riesgos de Corrupción'!$B$11:$B$100,0),18),"")</f>
        <v/>
      </c>
      <c r="G349" s="865" t="str">
        <f>IFERROR(INDEX('Riesgos de Corrupción'!$B$11:$BN$100,MATCH('Mapa Riesgo Corrupción'!B349,'Riesgos de Corrupción'!$B$11:$B$100,0),63),"")</f>
        <v/>
      </c>
      <c r="H349" s="867" t="str">
        <f>IFERROR(INDEX('Riesgos de Corrupción'!$B$11:$BN$100,MATCH('Mapa Riesgo Corrupción'!B349,'Riesgos de Corrupción'!$B$11:$B$100,0),64),"")</f>
        <v/>
      </c>
      <c r="I349" s="865" t="str">
        <f>IFERROR(INDEX('Controles de Corrupción'!$C$10:$AY$251,MATCH('Mapa Riesgo Corrupción'!B349,'Controles de Corrupción'!#REF!,0),33),"")</f>
        <v/>
      </c>
      <c r="J349" s="865" t="str">
        <f>IFERROR(INDEX('Controles de Corrupción'!$C$10:$AY$251,MATCH('Mapa Riesgo Corrupción'!B349,'Controles de Corrupción'!#REF!,0),36),"")</f>
        <v/>
      </c>
      <c r="K349" s="865" t="str">
        <f>IFERROR(INDEX('Controles de Corrupción'!$C$10:$AY$251,MATCH('Mapa Riesgo Corrupción'!B349,'Controles de Corrupción'!#REF!,0),37),"")</f>
        <v/>
      </c>
      <c r="L349" s="865" t="str">
        <f>IFERROR(INDEX('Controles de Corrupción'!$C$10:$AY$251,MATCH('Mapa Riesgo Corrupción'!B349,'Controles de Corrupción'!#REF!,0),38),"")</f>
        <v/>
      </c>
      <c r="M349" s="185" t="str">
        <f>IFERROR(INDEX('Controles de Corrupción'!$C$10:$AY$249,MATCH(A349,'Controles de Corrupción'!$B$10:$B$249,0),4),"")</f>
        <v/>
      </c>
      <c r="N349" s="70" t="str">
        <f>IFERROR(INDEX('Controles de Corrupción'!$C$10:$AY$249,MATCH(A349,'Controles de Corrupción'!$B$10:$B$249,0),40),"")</f>
        <v/>
      </c>
      <c r="O349" s="70" t="str">
        <f>IFERROR(INDEX('Controles de Corrupción'!$C$10:$AY$251,MATCH(A349,'Controles de Corrupción'!$B$10:$B$251,0),41),"")</f>
        <v/>
      </c>
      <c r="P349" s="70" t="str">
        <f>IFERROR(INDEX('Controles de Corrupción'!$C$10:$AY$251,MATCH(A349,'Controles de Corrupción'!$B$10:$B$251,0),42),"")</f>
        <v/>
      </c>
      <c r="Q349" s="186" t="str">
        <f>IFERROR(INDEX('Controles de Corrupción'!$C$10:$AY$251,MATCH(A349,'Controles de Corrupción'!$B$10:$B$251,0),47),"")</f>
        <v/>
      </c>
    </row>
    <row r="350" spans="1:17" x14ac:dyDescent="0.25">
      <c r="A350" s="115" t="s">
        <v>582</v>
      </c>
      <c r="B350" s="1014"/>
      <c r="C350" s="1017"/>
      <c r="D350" s="861"/>
      <c r="E350" s="1019"/>
      <c r="F350" s="865"/>
      <c r="G350" s="865"/>
      <c r="H350" s="867"/>
      <c r="I350" s="865"/>
      <c r="J350" s="865"/>
      <c r="K350" s="865"/>
      <c r="L350" s="865"/>
      <c r="M350" s="185" t="str">
        <f>IFERROR(INDEX('Controles de Corrupción'!$C$10:$AY$249,MATCH(A350,'Controles de Corrupción'!$B$10:$B$249,0),4),"")</f>
        <v/>
      </c>
      <c r="N350" s="70" t="str">
        <f>IFERROR(INDEX('Controles de Corrupción'!$C$10:$AY$249,MATCH(A350,'Controles de Corrupción'!$B$10:$B$249,0),40),"")</f>
        <v/>
      </c>
      <c r="O350" s="70" t="str">
        <f>IFERROR(INDEX('Controles de Corrupción'!$C$10:$AY$251,MATCH(A350,'Controles de Corrupción'!$B$10:$B$251,0),41),"")</f>
        <v/>
      </c>
      <c r="P350" s="70" t="str">
        <f>IFERROR(INDEX('Controles de Corrupción'!$C$10:$AY$251,MATCH(A350,'Controles de Corrupción'!$B$10:$B$251,0),42),"")</f>
        <v/>
      </c>
      <c r="Q350" s="186" t="str">
        <f>IFERROR(INDEX('Controles de Corrupción'!$C$10:$AY$251,MATCH(A350,'Controles de Corrupción'!$B$10:$B$251,0),47),"")</f>
        <v/>
      </c>
    </row>
    <row r="351" spans="1:17" x14ac:dyDescent="0.25">
      <c r="A351" s="115" t="s">
        <v>583</v>
      </c>
      <c r="B351" s="1014"/>
      <c r="C351" s="1017"/>
      <c r="D351" s="861"/>
      <c r="E351" s="1019"/>
      <c r="F351" s="865"/>
      <c r="G351" s="865"/>
      <c r="H351" s="867"/>
      <c r="I351" s="865"/>
      <c r="J351" s="865"/>
      <c r="K351" s="865"/>
      <c r="L351" s="865"/>
      <c r="M351" s="185" t="str">
        <f>IFERROR(INDEX('Controles de Corrupción'!$C$10:$AY$249,MATCH(A351,'Controles de Corrupción'!$B$10:$B$249,0),4),"")</f>
        <v/>
      </c>
      <c r="N351" s="70" t="str">
        <f>IFERROR(INDEX('Controles de Corrupción'!$C$10:$AY$249,MATCH(A351,'Controles de Corrupción'!$B$10:$B$249,0),40),"")</f>
        <v/>
      </c>
      <c r="O351" s="70" t="str">
        <f>IFERROR(INDEX('Controles de Corrupción'!$C$10:$AY$251,MATCH(A351,'Controles de Corrupción'!$B$10:$B$251,0),41),"")</f>
        <v/>
      </c>
      <c r="P351" s="70" t="str">
        <f>IFERROR(INDEX('Controles de Corrupción'!$C$10:$AY$251,MATCH(A351,'Controles de Corrupción'!$B$10:$B$251,0),42),"")</f>
        <v/>
      </c>
      <c r="Q351" s="186" t="str">
        <f>IFERROR(INDEX('Controles de Corrupción'!$C$10:$AY$251,MATCH(A351,'Controles de Corrupción'!$B$10:$B$251,0),47),"")</f>
        <v/>
      </c>
    </row>
    <row r="352" spans="1:17" x14ac:dyDescent="0.25">
      <c r="A352" s="115" t="s">
        <v>584</v>
      </c>
      <c r="B352" s="1014"/>
      <c r="C352" s="1017"/>
      <c r="D352" s="861"/>
      <c r="E352" s="1019"/>
      <c r="F352" s="865"/>
      <c r="G352" s="865"/>
      <c r="H352" s="867"/>
      <c r="I352" s="865"/>
      <c r="J352" s="865"/>
      <c r="K352" s="865"/>
      <c r="L352" s="865"/>
      <c r="M352" s="185" t="str">
        <f>IFERROR(INDEX('Controles de Corrupción'!$C$10:$AY$249,MATCH(A352,'Controles de Corrupción'!$B$10:$B$249,0),4),"")</f>
        <v/>
      </c>
      <c r="N352" s="70" t="str">
        <f>IFERROR(INDEX('Controles de Corrupción'!$C$10:$AY$249,MATCH(A352,'Controles de Corrupción'!$B$10:$B$249,0),40),"")</f>
        <v/>
      </c>
      <c r="O352" s="70" t="str">
        <f>IFERROR(INDEX('Controles de Corrupción'!$C$10:$AY$251,MATCH(A352,'Controles de Corrupción'!$B$10:$B$251,0),41),"")</f>
        <v/>
      </c>
      <c r="P352" s="70" t="str">
        <f>IFERROR(INDEX('Controles de Corrupción'!$C$10:$AY$251,MATCH(A352,'Controles de Corrupción'!$B$10:$B$251,0),42),"")</f>
        <v/>
      </c>
      <c r="Q352" s="186" t="str">
        <f>IFERROR(INDEX('Controles de Corrupción'!$C$10:$AY$251,MATCH(A352,'Controles de Corrupción'!$B$10:$B$251,0),47),"")</f>
        <v/>
      </c>
    </row>
    <row r="353" spans="1:17" x14ac:dyDescent="0.25">
      <c r="A353" s="115" t="s">
        <v>585</v>
      </c>
      <c r="B353" s="1014"/>
      <c r="C353" s="1017"/>
      <c r="D353" s="861"/>
      <c r="E353" s="1019"/>
      <c r="F353" s="865"/>
      <c r="G353" s="865"/>
      <c r="H353" s="867"/>
      <c r="I353" s="865"/>
      <c r="J353" s="865"/>
      <c r="K353" s="865"/>
      <c r="L353" s="865"/>
      <c r="M353" s="185" t="str">
        <f>IFERROR(INDEX('Controles de Corrupción'!$C$10:$AY$249,MATCH(A353,'Controles de Corrupción'!$B$10:$B$249,0),4),"")</f>
        <v/>
      </c>
      <c r="N353" s="70" t="str">
        <f>IFERROR(INDEX('Controles de Corrupción'!$C$10:$AY$249,MATCH(A353,'Controles de Corrupción'!$B$10:$B$249,0),40),"")</f>
        <v/>
      </c>
      <c r="O353" s="70" t="str">
        <f>IFERROR(INDEX('Controles de Corrupción'!$C$10:$AY$251,MATCH(A353,'Controles de Corrupción'!$B$10:$B$251,0),41),"")</f>
        <v/>
      </c>
      <c r="P353" s="70" t="str">
        <f>IFERROR(INDEX('Controles de Corrupción'!$C$10:$AY$251,MATCH(A353,'Controles de Corrupción'!$B$10:$B$251,0),42),"")</f>
        <v/>
      </c>
      <c r="Q353" s="186" t="str">
        <f>IFERROR(INDEX('Controles de Corrupción'!$C$10:$AY$251,MATCH(A353,'Controles de Corrupción'!$B$10:$B$251,0),47),"")</f>
        <v/>
      </c>
    </row>
    <row r="354" spans="1:17" x14ac:dyDescent="0.25">
      <c r="A354" s="115" t="s">
        <v>586</v>
      </c>
      <c r="B354" s="1015"/>
      <c r="C354" s="1017"/>
      <c r="D354" s="861"/>
      <c r="E354" s="1019"/>
      <c r="F354" s="865"/>
      <c r="G354" s="865"/>
      <c r="H354" s="867"/>
      <c r="I354" s="865"/>
      <c r="J354" s="865"/>
      <c r="K354" s="865"/>
      <c r="L354" s="865"/>
      <c r="M354" s="185" t="str">
        <f>IFERROR(INDEX('Controles de Corrupción'!$C$10:$AY$249,MATCH(A354,'Controles de Corrupción'!$B$10:$B$249,0),4),"")</f>
        <v/>
      </c>
      <c r="N354" s="70" t="str">
        <f>IFERROR(INDEX('Controles de Corrupción'!$C$10:$AY$249,MATCH(A354,'Controles de Corrupción'!$B$10:$B$249,0),40),"")</f>
        <v/>
      </c>
      <c r="O354" s="70" t="str">
        <f>IFERROR(INDEX('Controles de Corrupción'!$C$10:$AY$251,MATCH(A354,'Controles de Corrupción'!$B$10:$B$251,0),41),"")</f>
        <v/>
      </c>
      <c r="P354" s="70" t="str">
        <f>IFERROR(INDEX('Controles de Corrupción'!$C$10:$AY$251,MATCH(A354,'Controles de Corrupción'!$B$10:$B$251,0),42),"")</f>
        <v/>
      </c>
      <c r="Q354" s="186" t="str">
        <f>IFERROR(INDEX('Controles de Corrupción'!$C$10:$AY$251,MATCH(A354,'Controles de Corrupción'!$B$10:$B$251,0),47),"")</f>
        <v/>
      </c>
    </row>
    <row r="355" spans="1:17" x14ac:dyDescent="0.25">
      <c r="A355" s="115" t="s">
        <v>587</v>
      </c>
      <c r="B355" s="1013"/>
      <c r="C355" s="1016" t="str">
        <f>IFERROR(INDEX('Riesgos de Corrupción'!$B$11:$BN$100,MATCH('Mapa Riesgo Corrupción'!B355,'Riesgos de Corrupción'!$B$11:$B$100,0),2),"")</f>
        <v/>
      </c>
      <c r="D355" s="860" t="str">
        <f>IFERROR(INDEX('Riesgos de Corrupción'!$B$11:$BN$100,MATCH('Mapa Riesgo Corrupción'!B355,'Riesgos de Corrupción'!$B$11:$B$100,0),4),"")</f>
        <v/>
      </c>
      <c r="E355" s="1018" t="str">
        <f>IFERROR(INDEX('Riesgos de Corrupción'!$B$11:$BN$100,MATCH('Mapa Riesgo Corrupción'!B355,'Riesgos de Corrupción'!$B$11:$B$100,0),5),"")</f>
        <v/>
      </c>
      <c r="F355" s="865" t="str">
        <f>IFERROR(INDEX('Riesgos de Corrupción'!$B$11:$BN$100,MATCH('Mapa Riesgo Corrupción'!B355,'Riesgos de Corrupción'!$B$11:$B$100,0),18),"")</f>
        <v/>
      </c>
      <c r="G355" s="865" t="str">
        <f>IFERROR(INDEX('Riesgos de Corrupción'!$B$11:$BN$100,MATCH('Mapa Riesgo Corrupción'!B355,'Riesgos de Corrupción'!$B$11:$B$100,0),63),"")</f>
        <v/>
      </c>
      <c r="H355" s="867" t="str">
        <f>IFERROR(INDEX('Riesgos de Corrupción'!$B$11:$BN$100,MATCH('Mapa Riesgo Corrupción'!B355,'Riesgos de Corrupción'!$B$11:$B$100,0),64),"")</f>
        <v/>
      </c>
      <c r="I355" s="865" t="str">
        <f>IFERROR(INDEX('Controles de Corrupción'!$C$10:$AY$251,MATCH('Mapa Riesgo Corrupción'!B355,'Controles de Corrupción'!#REF!,0),33),"")</f>
        <v/>
      </c>
      <c r="J355" s="865" t="str">
        <f>IFERROR(INDEX('Controles de Corrupción'!$C$10:$AY$251,MATCH('Mapa Riesgo Corrupción'!B355,'Controles de Corrupción'!#REF!,0),36),"")</f>
        <v/>
      </c>
      <c r="K355" s="865" t="str">
        <f>IFERROR(INDEX('Controles de Corrupción'!$C$10:$AY$251,MATCH('Mapa Riesgo Corrupción'!B355,'Controles de Corrupción'!#REF!,0),37),"")</f>
        <v/>
      </c>
      <c r="L355" s="865" t="str">
        <f>IFERROR(INDEX('Controles de Corrupción'!$C$10:$AY$251,MATCH('Mapa Riesgo Corrupción'!B355,'Controles de Corrupción'!#REF!,0),38),"")</f>
        <v/>
      </c>
      <c r="M355" s="185" t="str">
        <f>IFERROR(INDEX('Controles de Corrupción'!$C$10:$AY$249,MATCH(A355,'Controles de Corrupción'!$B$10:$B$249,0),4),"")</f>
        <v/>
      </c>
      <c r="N355" s="70" t="str">
        <f>IFERROR(INDEX('Controles de Corrupción'!$C$10:$AY$249,MATCH(A355,'Controles de Corrupción'!$B$10:$B$249,0),40),"")</f>
        <v/>
      </c>
      <c r="O355" s="70" t="str">
        <f>IFERROR(INDEX('Controles de Corrupción'!$C$10:$AY$251,MATCH(A355,'Controles de Corrupción'!$B$10:$B$251,0),41),"")</f>
        <v/>
      </c>
      <c r="P355" s="70" t="str">
        <f>IFERROR(INDEX('Controles de Corrupción'!$C$10:$AY$251,MATCH(A355,'Controles de Corrupción'!$B$10:$B$251,0),42),"")</f>
        <v/>
      </c>
      <c r="Q355" s="186" t="str">
        <f>IFERROR(INDEX('Controles de Corrupción'!$C$10:$AY$251,MATCH(A355,'Controles de Corrupción'!$B$10:$B$251,0),47),"")</f>
        <v/>
      </c>
    </row>
    <row r="356" spans="1:17" x14ac:dyDescent="0.25">
      <c r="A356" s="115" t="s">
        <v>588</v>
      </c>
      <c r="B356" s="1014"/>
      <c r="C356" s="1017"/>
      <c r="D356" s="861"/>
      <c r="E356" s="1019"/>
      <c r="F356" s="865"/>
      <c r="G356" s="865"/>
      <c r="H356" s="867"/>
      <c r="I356" s="865"/>
      <c r="J356" s="865"/>
      <c r="K356" s="865"/>
      <c r="L356" s="865"/>
      <c r="M356" s="185" t="str">
        <f>IFERROR(INDEX('Controles de Corrupción'!$C$10:$AY$249,MATCH(A356,'Controles de Corrupción'!$B$10:$B$249,0),4),"")</f>
        <v/>
      </c>
      <c r="N356" s="70" t="str">
        <f>IFERROR(INDEX('Controles de Corrupción'!$C$10:$AY$249,MATCH(A356,'Controles de Corrupción'!$B$10:$B$249,0),40),"")</f>
        <v/>
      </c>
      <c r="O356" s="70" t="str">
        <f>IFERROR(INDEX('Controles de Corrupción'!$C$10:$AY$251,MATCH(A356,'Controles de Corrupción'!$B$10:$B$251,0),41),"")</f>
        <v/>
      </c>
      <c r="P356" s="70" t="str">
        <f>IFERROR(INDEX('Controles de Corrupción'!$C$10:$AY$251,MATCH(A356,'Controles de Corrupción'!$B$10:$B$251,0),42),"")</f>
        <v/>
      </c>
      <c r="Q356" s="186" t="str">
        <f>IFERROR(INDEX('Controles de Corrupción'!$C$10:$AY$251,MATCH(A356,'Controles de Corrupción'!$B$10:$B$251,0),47),"")</f>
        <v/>
      </c>
    </row>
    <row r="357" spans="1:17" x14ac:dyDescent="0.25">
      <c r="A357" s="115" t="s">
        <v>589</v>
      </c>
      <c r="B357" s="1014"/>
      <c r="C357" s="1017"/>
      <c r="D357" s="861"/>
      <c r="E357" s="1019"/>
      <c r="F357" s="865"/>
      <c r="G357" s="865"/>
      <c r="H357" s="867"/>
      <c r="I357" s="865"/>
      <c r="J357" s="865"/>
      <c r="K357" s="865"/>
      <c r="L357" s="865"/>
      <c r="M357" s="185" t="str">
        <f>IFERROR(INDEX('Controles de Corrupción'!$C$10:$AY$249,MATCH(A357,'Controles de Corrupción'!$B$10:$B$249,0),4),"")</f>
        <v/>
      </c>
      <c r="N357" s="70" t="str">
        <f>IFERROR(INDEX('Controles de Corrupción'!$C$10:$AY$249,MATCH(A357,'Controles de Corrupción'!$B$10:$B$249,0),40),"")</f>
        <v/>
      </c>
      <c r="O357" s="70" t="str">
        <f>IFERROR(INDEX('Controles de Corrupción'!$C$10:$AY$251,MATCH(A357,'Controles de Corrupción'!$B$10:$B$251,0),41),"")</f>
        <v/>
      </c>
      <c r="P357" s="70" t="str">
        <f>IFERROR(INDEX('Controles de Corrupción'!$C$10:$AY$251,MATCH(A357,'Controles de Corrupción'!$B$10:$B$251,0),42),"")</f>
        <v/>
      </c>
      <c r="Q357" s="186" t="str">
        <f>IFERROR(INDEX('Controles de Corrupción'!$C$10:$AY$251,MATCH(A357,'Controles de Corrupción'!$B$10:$B$251,0),47),"")</f>
        <v/>
      </c>
    </row>
    <row r="358" spans="1:17" x14ac:dyDescent="0.25">
      <c r="A358" s="115" t="s">
        <v>590</v>
      </c>
      <c r="B358" s="1014"/>
      <c r="C358" s="1017"/>
      <c r="D358" s="861"/>
      <c r="E358" s="1019"/>
      <c r="F358" s="865"/>
      <c r="G358" s="865"/>
      <c r="H358" s="867"/>
      <c r="I358" s="865"/>
      <c r="J358" s="865"/>
      <c r="K358" s="865"/>
      <c r="L358" s="865"/>
      <c r="M358" s="185" t="str">
        <f>IFERROR(INDEX('Controles de Corrupción'!$C$10:$AY$249,MATCH(A358,'Controles de Corrupción'!$B$10:$B$249,0),4),"")</f>
        <v/>
      </c>
      <c r="N358" s="70" t="str">
        <f>IFERROR(INDEX('Controles de Corrupción'!$C$10:$AY$249,MATCH(A358,'Controles de Corrupción'!$B$10:$B$249,0),40),"")</f>
        <v/>
      </c>
      <c r="O358" s="70" t="str">
        <f>IFERROR(INDEX('Controles de Corrupción'!$C$10:$AY$251,MATCH(A358,'Controles de Corrupción'!$B$10:$B$251,0),41),"")</f>
        <v/>
      </c>
      <c r="P358" s="70" t="str">
        <f>IFERROR(INDEX('Controles de Corrupción'!$C$10:$AY$251,MATCH(A358,'Controles de Corrupción'!$B$10:$B$251,0),42),"")</f>
        <v/>
      </c>
      <c r="Q358" s="186" t="str">
        <f>IFERROR(INDEX('Controles de Corrupción'!$C$10:$AY$251,MATCH(A358,'Controles de Corrupción'!$B$10:$B$251,0),47),"")</f>
        <v/>
      </c>
    </row>
    <row r="359" spans="1:17" x14ac:dyDescent="0.25">
      <c r="A359" s="115" t="s">
        <v>591</v>
      </c>
      <c r="B359" s="1014"/>
      <c r="C359" s="1017"/>
      <c r="D359" s="861"/>
      <c r="E359" s="1019"/>
      <c r="F359" s="865"/>
      <c r="G359" s="865"/>
      <c r="H359" s="867"/>
      <c r="I359" s="865"/>
      <c r="J359" s="865"/>
      <c r="K359" s="865"/>
      <c r="L359" s="865"/>
      <c r="M359" s="185" t="str">
        <f>IFERROR(INDEX('Controles de Corrupción'!$C$10:$AY$249,MATCH(A359,'Controles de Corrupción'!$B$10:$B$249,0),4),"")</f>
        <v/>
      </c>
      <c r="N359" s="70" t="str">
        <f>IFERROR(INDEX('Controles de Corrupción'!$C$10:$AY$249,MATCH(A359,'Controles de Corrupción'!$B$10:$B$249,0),40),"")</f>
        <v/>
      </c>
      <c r="O359" s="70" t="str">
        <f>IFERROR(INDEX('Controles de Corrupción'!$C$10:$AY$251,MATCH(A359,'Controles de Corrupción'!$B$10:$B$251,0),41),"")</f>
        <v/>
      </c>
      <c r="P359" s="70" t="str">
        <f>IFERROR(INDEX('Controles de Corrupción'!$C$10:$AY$251,MATCH(A359,'Controles de Corrupción'!$B$10:$B$251,0),42),"")</f>
        <v/>
      </c>
      <c r="Q359" s="186" t="str">
        <f>IFERROR(INDEX('Controles de Corrupción'!$C$10:$AY$251,MATCH(A359,'Controles de Corrupción'!$B$10:$B$251,0),47),"")</f>
        <v/>
      </c>
    </row>
    <row r="360" spans="1:17" x14ac:dyDescent="0.25">
      <c r="A360" s="115" t="s">
        <v>592</v>
      </c>
      <c r="B360" s="1015"/>
      <c r="C360" s="1017"/>
      <c r="D360" s="861"/>
      <c r="E360" s="1019"/>
      <c r="F360" s="865"/>
      <c r="G360" s="865"/>
      <c r="H360" s="867"/>
      <c r="I360" s="865"/>
      <c r="J360" s="865"/>
      <c r="K360" s="865"/>
      <c r="L360" s="865"/>
      <c r="M360" s="185" t="str">
        <f>IFERROR(INDEX('Controles de Corrupción'!$C$10:$AY$249,MATCH(A360,'Controles de Corrupción'!$B$10:$B$249,0),4),"")</f>
        <v/>
      </c>
      <c r="N360" s="70" t="str">
        <f>IFERROR(INDEX('Controles de Corrupción'!$C$10:$AY$249,MATCH(A360,'Controles de Corrupción'!$B$10:$B$249,0),40),"")</f>
        <v/>
      </c>
      <c r="O360" s="70" t="str">
        <f>IFERROR(INDEX('Controles de Corrupción'!$C$10:$AY$251,MATCH(A360,'Controles de Corrupción'!$B$10:$B$251,0),41),"")</f>
        <v/>
      </c>
      <c r="P360" s="70" t="str">
        <f>IFERROR(INDEX('Controles de Corrupción'!$C$10:$AY$251,MATCH(A360,'Controles de Corrupción'!$B$10:$B$251,0),42),"")</f>
        <v/>
      </c>
      <c r="Q360" s="186" t="str">
        <f>IFERROR(INDEX('Controles de Corrupción'!$C$10:$AY$251,MATCH(A360,'Controles de Corrupción'!$B$10:$B$251,0),47),"")</f>
        <v/>
      </c>
    </row>
    <row r="361" spans="1:17" x14ac:dyDescent="0.25">
      <c r="A361" s="115" t="s">
        <v>593</v>
      </c>
      <c r="B361" s="1013"/>
      <c r="C361" s="1016" t="str">
        <f>IFERROR(INDEX('Riesgos de Corrupción'!$B$11:$BN$100,MATCH('Mapa Riesgo Corrupción'!B361,'Riesgos de Corrupción'!$B$11:$B$100,0),2),"")</f>
        <v/>
      </c>
      <c r="D361" s="860" t="str">
        <f>IFERROR(INDEX('Riesgos de Corrupción'!$B$11:$BN$100,MATCH('Mapa Riesgo Corrupción'!B361,'Riesgos de Corrupción'!$B$11:$B$100,0),4),"")</f>
        <v/>
      </c>
      <c r="E361" s="1018" t="str">
        <f>IFERROR(INDEX('Riesgos de Corrupción'!$B$11:$BN$100,MATCH('Mapa Riesgo Corrupción'!B361,'Riesgos de Corrupción'!$B$11:$B$100,0),5),"")</f>
        <v/>
      </c>
      <c r="F361" s="865" t="str">
        <f>IFERROR(INDEX('Riesgos de Corrupción'!$B$11:$BN$100,MATCH('Mapa Riesgo Corrupción'!B361,'Riesgos de Corrupción'!$B$11:$B$100,0),18),"")</f>
        <v/>
      </c>
      <c r="G361" s="865" t="str">
        <f>IFERROR(INDEX('Riesgos de Corrupción'!$B$11:$BN$100,MATCH('Mapa Riesgo Corrupción'!B361,'Riesgos de Corrupción'!$B$11:$B$100,0),63),"")</f>
        <v/>
      </c>
      <c r="H361" s="867" t="str">
        <f>IFERROR(INDEX('Riesgos de Corrupción'!$B$11:$BN$100,MATCH('Mapa Riesgo Corrupción'!B361,'Riesgos de Corrupción'!$B$11:$B$100,0),64),"")</f>
        <v/>
      </c>
      <c r="I361" s="865" t="str">
        <f>IFERROR(INDEX('Controles de Corrupción'!$C$10:$AY$251,MATCH('Mapa Riesgo Corrupción'!B361,'Controles de Corrupción'!#REF!,0),33),"")</f>
        <v/>
      </c>
      <c r="J361" s="865" t="str">
        <f>IFERROR(INDEX('Controles de Corrupción'!$C$10:$AY$251,MATCH('Mapa Riesgo Corrupción'!B361,'Controles de Corrupción'!#REF!,0),36),"")</f>
        <v/>
      </c>
      <c r="K361" s="865" t="str">
        <f>IFERROR(INDEX('Controles de Corrupción'!$C$10:$AY$251,MATCH('Mapa Riesgo Corrupción'!B361,'Controles de Corrupción'!#REF!,0),37),"")</f>
        <v/>
      </c>
      <c r="L361" s="865" t="str">
        <f>IFERROR(INDEX('Controles de Corrupción'!$C$10:$AY$251,MATCH('Mapa Riesgo Corrupción'!B361,'Controles de Corrupción'!#REF!,0),38),"")</f>
        <v/>
      </c>
      <c r="M361" s="185" t="str">
        <f>IFERROR(INDEX('Controles de Corrupción'!$C$10:$AY$249,MATCH(A361,'Controles de Corrupción'!$B$10:$B$249,0),4),"")</f>
        <v/>
      </c>
      <c r="N361" s="70" t="str">
        <f>IFERROR(INDEX('Controles de Corrupción'!$C$10:$AY$249,MATCH(A361,'Controles de Corrupción'!$B$10:$B$249,0),40),"")</f>
        <v/>
      </c>
      <c r="O361" s="70" t="str">
        <f>IFERROR(INDEX('Controles de Corrupción'!$C$10:$AY$251,MATCH(A361,'Controles de Corrupción'!$B$10:$B$251,0),41),"")</f>
        <v/>
      </c>
      <c r="P361" s="70" t="str">
        <f>IFERROR(INDEX('Controles de Corrupción'!$C$10:$AY$251,MATCH(A361,'Controles de Corrupción'!$B$10:$B$251,0),42),"")</f>
        <v/>
      </c>
      <c r="Q361" s="186" t="str">
        <f>IFERROR(INDEX('Controles de Corrupción'!$C$10:$AY$251,MATCH(A361,'Controles de Corrupción'!$B$10:$B$251,0),47),"")</f>
        <v/>
      </c>
    </row>
    <row r="362" spans="1:17" x14ac:dyDescent="0.25">
      <c r="A362" s="115" t="s">
        <v>594</v>
      </c>
      <c r="B362" s="1014"/>
      <c r="C362" s="1017"/>
      <c r="D362" s="861"/>
      <c r="E362" s="1019"/>
      <c r="F362" s="865"/>
      <c r="G362" s="865"/>
      <c r="H362" s="867"/>
      <c r="I362" s="865"/>
      <c r="J362" s="865"/>
      <c r="K362" s="865"/>
      <c r="L362" s="865"/>
      <c r="M362" s="185" t="str">
        <f>IFERROR(INDEX('Controles de Corrupción'!$C$10:$AY$249,MATCH(A362,'Controles de Corrupción'!$B$10:$B$249,0),4),"")</f>
        <v/>
      </c>
      <c r="N362" s="70" t="str">
        <f>IFERROR(INDEX('Controles de Corrupción'!$C$10:$AY$249,MATCH(A362,'Controles de Corrupción'!$B$10:$B$249,0),40),"")</f>
        <v/>
      </c>
      <c r="O362" s="70" t="str">
        <f>IFERROR(INDEX('Controles de Corrupción'!$C$10:$AY$251,MATCH(A362,'Controles de Corrupción'!$B$10:$B$251,0),41),"")</f>
        <v/>
      </c>
      <c r="P362" s="70" t="str">
        <f>IFERROR(INDEX('Controles de Corrupción'!$C$10:$AY$251,MATCH(A362,'Controles de Corrupción'!$B$10:$B$251,0),42),"")</f>
        <v/>
      </c>
      <c r="Q362" s="186" t="str">
        <f>IFERROR(INDEX('Controles de Corrupción'!$C$10:$AY$251,MATCH(A362,'Controles de Corrupción'!$B$10:$B$251,0),47),"")</f>
        <v/>
      </c>
    </row>
    <row r="363" spans="1:17" x14ac:dyDescent="0.25">
      <c r="A363" s="115" t="s">
        <v>595</v>
      </c>
      <c r="B363" s="1014"/>
      <c r="C363" s="1017"/>
      <c r="D363" s="861"/>
      <c r="E363" s="1019"/>
      <c r="F363" s="865"/>
      <c r="G363" s="865"/>
      <c r="H363" s="867"/>
      <c r="I363" s="865"/>
      <c r="J363" s="865"/>
      <c r="K363" s="865"/>
      <c r="L363" s="865"/>
      <c r="M363" s="185" t="str">
        <f>IFERROR(INDEX('Controles de Corrupción'!$C$10:$AY$249,MATCH(A363,'Controles de Corrupción'!$B$10:$B$249,0),4),"")</f>
        <v/>
      </c>
      <c r="N363" s="70" t="str">
        <f>IFERROR(INDEX('Controles de Corrupción'!$C$10:$AY$249,MATCH(A363,'Controles de Corrupción'!$B$10:$B$249,0),40),"")</f>
        <v/>
      </c>
      <c r="O363" s="70" t="str">
        <f>IFERROR(INDEX('Controles de Corrupción'!$C$10:$AY$251,MATCH(A363,'Controles de Corrupción'!$B$10:$B$251,0),41),"")</f>
        <v/>
      </c>
      <c r="P363" s="70" t="str">
        <f>IFERROR(INDEX('Controles de Corrupción'!$C$10:$AY$251,MATCH(A363,'Controles de Corrupción'!$B$10:$B$251,0),42),"")</f>
        <v/>
      </c>
      <c r="Q363" s="186" t="str">
        <f>IFERROR(INDEX('Controles de Corrupción'!$C$10:$AY$251,MATCH(A363,'Controles de Corrupción'!$B$10:$B$251,0),47),"")</f>
        <v/>
      </c>
    </row>
    <row r="364" spans="1:17" x14ac:dyDescent="0.25">
      <c r="A364" s="115" t="s">
        <v>596</v>
      </c>
      <c r="B364" s="1014"/>
      <c r="C364" s="1017"/>
      <c r="D364" s="861"/>
      <c r="E364" s="1019"/>
      <c r="F364" s="865"/>
      <c r="G364" s="865"/>
      <c r="H364" s="867"/>
      <c r="I364" s="865"/>
      <c r="J364" s="865"/>
      <c r="K364" s="865"/>
      <c r="L364" s="865"/>
      <c r="M364" s="185" t="str">
        <f>IFERROR(INDEX('Controles de Corrupción'!$C$10:$AY$249,MATCH(A364,'Controles de Corrupción'!$B$10:$B$249,0),4),"")</f>
        <v/>
      </c>
      <c r="N364" s="70" t="str">
        <f>IFERROR(INDEX('Controles de Corrupción'!$C$10:$AY$249,MATCH(A364,'Controles de Corrupción'!$B$10:$B$249,0),40),"")</f>
        <v/>
      </c>
      <c r="O364" s="70" t="str">
        <f>IFERROR(INDEX('Controles de Corrupción'!$C$10:$AY$251,MATCH(A364,'Controles de Corrupción'!$B$10:$B$251,0),41),"")</f>
        <v/>
      </c>
      <c r="P364" s="70" t="str">
        <f>IFERROR(INDEX('Controles de Corrupción'!$C$10:$AY$251,MATCH(A364,'Controles de Corrupción'!$B$10:$B$251,0),42),"")</f>
        <v/>
      </c>
      <c r="Q364" s="186" t="str">
        <f>IFERROR(INDEX('Controles de Corrupción'!$C$10:$AY$251,MATCH(A364,'Controles de Corrupción'!$B$10:$B$251,0),47),"")</f>
        <v/>
      </c>
    </row>
    <row r="365" spans="1:17" x14ac:dyDescent="0.25">
      <c r="A365" s="115" t="s">
        <v>597</v>
      </c>
      <c r="B365" s="1014"/>
      <c r="C365" s="1017"/>
      <c r="D365" s="861"/>
      <c r="E365" s="1019"/>
      <c r="F365" s="865"/>
      <c r="G365" s="865"/>
      <c r="H365" s="867"/>
      <c r="I365" s="865"/>
      <c r="J365" s="865"/>
      <c r="K365" s="865"/>
      <c r="L365" s="865"/>
      <c r="M365" s="185" t="str">
        <f>IFERROR(INDEX('Controles de Corrupción'!$C$10:$AY$249,MATCH(A365,'Controles de Corrupción'!$B$10:$B$249,0),4),"")</f>
        <v/>
      </c>
      <c r="N365" s="70" t="str">
        <f>IFERROR(INDEX('Controles de Corrupción'!$C$10:$AY$249,MATCH(A365,'Controles de Corrupción'!$B$10:$B$249,0),40),"")</f>
        <v/>
      </c>
      <c r="O365" s="70" t="str">
        <f>IFERROR(INDEX('Controles de Corrupción'!$C$10:$AY$251,MATCH(A365,'Controles de Corrupción'!$B$10:$B$251,0),41),"")</f>
        <v/>
      </c>
      <c r="P365" s="70" t="str">
        <f>IFERROR(INDEX('Controles de Corrupción'!$C$10:$AY$251,MATCH(A365,'Controles de Corrupción'!$B$10:$B$251,0),42),"")</f>
        <v/>
      </c>
      <c r="Q365" s="186" t="str">
        <f>IFERROR(INDEX('Controles de Corrupción'!$C$10:$AY$251,MATCH(A365,'Controles de Corrupción'!$B$10:$B$251,0),47),"")</f>
        <v/>
      </c>
    </row>
    <row r="366" spans="1:17" x14ac:dyDescent="0.25">
      <c r="A366" s="115" t="s">
        <v>598</v>
      </c>
      <c r="B366" s="1015"/>
      <c r="C366" s="1017"/>
      <c r="D366" s="861"/>
      <c r="E366" s="1019"/>
      <c r="F366" s="865"/>
      <c r="G366" s="865"/>
      <c r="H366" s="867"/>
      <c r="I366" s="865"/>
      <c r="J366" s="865"/>
      <c r="K366" s="865"/>
      <c r="L366" s="865"/>
      <c r="M366" s="185" t="str">
        <f>IFERROR(INDEX('Controles de Corrupción'!$C$10:$AY$249,MATCH(A366,'Controles de Corrupción'!$B$10:$B$249,0),4),"")</f>
        <v/>
      </c>
      <c r="N366" s="70" t="str">
        <f>IFERROR(INDEX('Controles de Corrupción'!$C$10:$AY$249,MATCH(A366,'Controles de Corrupción'!$B$10:$B$249,0),40),"")</f>
        <v/>
      </c>
      <c r="O366" s="70" t="str">
        <f>IFERROR(INDEX('Controles de Corrupción'!$C$10:$AY$251,MATCH(A366,'Controles de Corrupción'!$B$10:$B$251,0),41),"")</f>
        <v/>
      </c>
      <c r="P366" s="70" t="str">
        <f>IFERROR(INDEX('Controles de Corrupción'!$C$10:$AY$251,MATCH(A366,'Controles de Corrupción'!$B$10:$B$251,0),42),"")</f>
        <v/>
      </c>
      <c r="Q366" s="186" t="str">
        <f>IFERROR(INDEX('Controles de Corrupción'!$C$10:$AY$251,MATCH(A366,'Controles de Corrupción'!$B$10:$B$251,0),47),"")</f>
        <v/>
      </c>
    </row>
    <row r="367" spans="1:17" x14ac:dyDescent="0.25">
      <c r="A367" s="115" t="s">
        <v>599</v>
      </c>
      <c r="B367" s="1013"/>
      <c r="C367" s="1016" t="str">
        <f>IFERROR(INDEX('Riesgos de Corrupción'!$B$11:$BN$100,MATCH('Mapa Riesgo Corrupción'!B367,'Riesgos de Corrupción'!$B$11:$B$100,0),2),"")</f>
        <v/>
      </c>
      <c r="D367" s="860" t="str">
        <f>IFERROR(INDEX('Riesgos de Corrupción'!$B$11:$BN$100,MATCH('Mapa Riesgo Corrupción'!B367,'Riesgos de Corrupción'!$B$11:$B$100,0),4),"")</f>
        <v/>
      </c>
      <c r="E367" s="1018" t="str">
        <f>IFERROR(INDEX('Riesgos de Corrupción'!$B$11:$BN$100,MATCH('Mapa Riesgo Corrupción'!B367,'Riesgos de Corrupción'!$B$11:$B$100,0),5),"")</f>
        <v/>
      </c>
      <c r="F367" s="865" t="str">
        <f>IFERROR(INDEX('Riesgos de Corrupción'!$B$11:$BN$100,MATCH('Mapa Riesgo Corrupción'!B367,'Riesgos de Corrupción'!$B$11:$B$100,0),18),"")</f>
        <v/>
      </c>
      <c r="G367" s="865" t="str">
        <f>IFERROR(INDEX('Riesgos de Corrupción'!$B$11:$BN$100,MATCH('Mapa Riesgo Corrupción'!B367,'Riesgos de Corrupción'!$B$11:$B$100,0),63),"")</f>
        <v/>
      </c>
      <c r="H367" s="867" t="str">
        <f>IFERROR(INDEX('Riesgos de Corrupción'!$B$11:$BN$100,MATCH('Mapa Riesgo Corrupción'!B367,'Riesgos de Corrupción'!$B$11:$B$100,0),64),"")</f>
        <v/>
      </c>
      <c r="I367" s="865" t="str">
        <f>IFERROR(INDEX('Controles de Corrupción'!$C$10:$AY$251,MATCH('Mapa Riesgo Corrupción'!B367,'Controles de Corrupción'!#REF!,0),33),"")</f>
        <v/>
      </c>
      <c r="J367" s="865" t="str">
        <f>IFERROR(INDEX('Controles de Corrupción'!$C$10:$AY$251,MATCH('Mapa Riesgo Corrupción'!B367,'Controles de Corrupción'!#REF!,0),36),"")</f>
        <v/>
      </c>
      <c r="K367" s="865" t="str">
        <f>IFERROR(INDEX('Controles de Corrupción'!$C$10:$AY$251,MATCH('Mapa Riesgo Corrupción'!B367,'Controles de Corrupción'!#REF!,0),37),"")</f>
        <v/>
      </c>
      <c r="L367" s="865" t="str">
        <f>IFERROR(INDEX('Controles de Corrupción'!$C$10:$AY$251,MATCH('Mapa Riesgo Corrupción'!B367,'Controles de Corrupción'!#REF!,0),38),"")</f>
        <v/>
      </c>
      <c r="M367" s="185" t="str">
        <f>IFERROR(INDEX('Controles de Corrupción'!$C$10:$AY$249,MATCH(A367,'Controles de Corrupción'!$B$10:$B$249,0),4),"")</f>
        <v/>
      </c>
      <c r="N367" s="70" t="str">
        <f>IFERROR(INDEX('Controles de Corrupción'!$C$10:$AY$249,MATCH(A367,'Controles de Corrupción'!$B$10:$B$249,0),40),"")</f>
        <v/>
      </c>
      <c r="O367" s="70" t="str">
        <f>IFERROR(INDEX('Controles de Corrupción'!$C$10:$AY$251,MATCH(A367,'Controles de Corrupción'!$B$10:$B$251,0),41),"")</f>
        <v/>
      </c>
      <c r="P367" s="70" t="str">
        <f>IFERROR(INDEX('Controles de Corrupción'!$C$10:$AY$251,MATCH(A367,'Controles de Corrupción'!$B$10:$B$251,0),42),"")</f>
        <v/>
      </c>
      <c r="Q367" s="186" t="str">
        <f>IFERROR(INDEX('Controles de Corrupción'!$C$10:$AY$251,MATCH(A367,'Controles de Corrupción'!$B$10:$B$251,0),47),"")</f>
        <v/>
      </c>
    </row>
    <row r="368" spans="1:17" x14ac:dyDescent="0.25">
      <c r="A368" s="115" t="s">
        <v>600</v>
      </c>
      <c r="B368" s="1014"/>
      <c r="C368" s="1017"/>
      <c r="D368" s="861"/>
      <c r="E368" s="1019"/>
      <c r="F368" s="865"/>
      <c r="G368" s="865"/>
      <c r="H368" s="867"/>
      <c r="I368" s="865"/>
      <c r="J368" s="865"/>
      <c r="K368" s="865"/>
      <c r="L368" s="865"/>
      <c r="M368" s="185" t="str">
        <f>IFERROR(INDEX('Controles de Corrupción'!$C$10:$AY$249,MATCH(A368,'Controles de Corrupción'!$B$10:$B$249,0),4),"")</f>
        <v/>
      </c>
      <c r="N368" s="70" t="str">
        <f>IFERROR(INDEX('Controles de Corrupción'!$C$10:$AY$249,MATCH(A368,'Controles de Corrupción'!$B$10:$B$249,0),40),"")</f>
        <v/>
      </c>
      <c r="O368" s="70" t="str">
        <f>IFERROR(INDEX('Controles de Corrupción'!$C$10:$AY$251,MATCH(A368,'Controles de Corrupción'!$B$10:$B$251,0),41),"")</f>
        <v/>
      </c>
      <c r="P368" s="70" t="str">
        <f>IFERROR(INDEX('Controles de Corrupción'!$C$10:$AY$251,MATCH(A368,'Controles de Corrupción'!$B$10:$B$251,0),42),"")</f>
        <v/>
      </c>
      <c r="Q368" s="186" t="str">
        <f>IFERROR(INDEX('Controles de Corrupción'!$C$10:$AY$251,MATCH(A368,'Controles de Corrupción'!$B$10:$B$251,0),47),"")</f>
        <v/>
      </c>
    </row>
    <row r="369" spans="1:17" x14ac:dyDescent="0.25">
      <c r="A369" s="115" t="s">
        <v>601</v>
      </c>
      <c r="B369" s="1014"/>
      <c r="C369" s="1017"/>
      <c r="D369" s="861"/>
      <c r="E369" s="1019"/>
      <c r="F369" s="865"/>
      <c r="G369" s="865"/>
      <c r="H369" s="867"/>
      <c r="I369" s="865"/>
      <c r="J369" s="865"/>
      <c r="K369" s="865"/>
      <c r="L369" s="865"/>
      <c r="M369" s="185" t="str">
        <f>IFERROR(INDEX('Controles de Corrupción'!$C$10:$AY$249,MATCH(A369,'Controles de Corrupción'!$B$10:$B$249,0),4),"")</f>
        <v/>
      </c>
      <c r="N369" s="70" t="str">
        <f>IFERROR(INDEX('Controles de Corrupción'!$C$10:$AY$249,MATCH(A369,'Controles de Corrupción'!$B$10:$B$249,0),40),"")</f>
        <v/>
      </c>
      <c r="O369" s="70" t="str">
        <f>IFERROR(INDEX('Controles de Corrupción'!$C$10:$AY$251,MATCH(A369,'Controles de Corrupción'!$B$10:$B$251,0),41),"")</f>
        <v/>
      </c>
      <c r="P369" s="70" t="str">
        <f>IFERROR(INDEX('Controles de Corrupción'!$C$10:$AY$251,MATCH(A369,'Controles de Corrupción'!$B$10:$B$251,0),42),"")</f>
        <v/>
      </c>
      <c r="Q369" s="186" t="str">
        <f>IFERROR(INDEX('Controles de Corrupción'!$C$10:$AY$251,MATCH(A369,'Controles de Corrupción'!$B$10:$B$251,0),47),"")</f>
        <v/>
      </c>
    </row>
    <row r="370" spans="1:17" x14ac:dyDescent="0.25">
      <c r="A370" s="115" t="s">
        <v>602</v>
      </c>
      <c r="B370" s="1014"/>
      <c r="C370" s="1017"/>
      <c r="D370" s="861"/>
      <c r="E370" s="1019"/>
      <c r="F370" s="865"/>
      <c r="G370" s="865"/>
      <c r="H370" s="867"/>
      <c r="I370" s="865"/>
      <c r="J370" s="865"/>
      <c r="K370" s="865"/>
      <c r="L370" s="865"/>
      <c r="M370" s="185" t="str">
        <f>IFERROR(INDEX('Controles de Corrupción'!$C$10:$AY$249,MATCH(A370,'Controles de Corrupción'!$B$10:$B$249,0),4),"")</f>
        <v/>
      </c>
      <c r="N370" s="70" t="str">
        <f>IFERROR(INDEX('Controles de Corrupción'!$C$10:$AY$249,MATCH(A370,'Controles de Corrupción'!$B$10:$B$249,0),40),"")</f>
        <v/>
      </c>
      <c r="O370" s="70" t="str">
        <f>IFERROR(INDEX('Controles de Corrupción'!$C$10:$AY$251,MATCH(A370,'Controles de Corrupción'!$B$10:$B$251,0),41),"")</f>
        <v/>
      </c>
      <c r="P370" s="70" t="str">
        <f>IFERROR(INDEX('Controles de Corrupción'!$C$10:$AY$251,MATCH(A370,'Controles de Corrupción'!$B$10:$B$251,0),42),"")</f>
        <v/>
      </c>
      <c r="Q370" s="186" t="str">
        <f>IFERROR(INDEX('Controles de Corrupción'!$C$10:$AY$251,MATCH(A370,'Controles de Corrupción'!$B$10:$B$251,0),47),"")</f>
        <v/>
      </c>
    </row>
    <row r="371" spans="1:17" x14ac:dyDescent="0.25">
      <c r="A371" s="115" t="s">
        <v>603</v>
      </c>
      <c r="B371" s="1014"/>
      <c r="C371" s="1017"/>
      <c r="D371" s="861"/>
      <c r="E371" s="1019"/>
      <c r="F371" s="865"/>
      <c r="G371" s="865"/>
      <c r="H371" s="867"/>
      <c r="I371" s="865"/>
      <c r="J371" s="865"/>
      <c r="K371" s="865"/>
      <c r="L371" s="865"/>
      <c r="M371" s="185" t="str">
        <f>IFERROR(INDEX('Controles de Corrupción'!$C$10:$AY$249,MATCH(A371,'Controles de Corrupción'!$B$10:$B$249,0),4),"")</f>
        <v/>
      </c>
      <c r="N371" s="70" t="str">
        <f>IFERROR(INDEX('Controles de Corrupción'!$C$10:$AY$249,MATCH(A371,'Controles de Corrupción'!$B$10:$B$249,0),40),"")</f>
        <v/>
      </c>
      <c r="O371" s="70" t="str">
        <f>IFERROR(INDEX('Controles de Corrupción'!$C$10:$AY$251,MATCH(A371,'Controles de Corrupción'!$B$10:$B$251,0),41),"")</f>
        <v/>
      </c>
      <c r="P371" s="70" t="str">
        <f>IFERROR(INDEX('Controles de Corrupción'!$C$10:$AY$251,MATCH(A371,'Controles de Corrupción'!$B$10:$B$251,0),42),"")</f>
        <v/>
      </c>
      <c r="Q371" s="186" t="str">
        <f>IFERROR(INDEX('Controles de Corrupción'!$C$10:$AY$251,MATCH(A371,'Controles de Corrupción'!$B$10:$B$251,0),47),"")</f>
        <v/>
      </c>
    </row>
    <row r="372" spans="1:17" x14ac:dyDescent="0.25">
      <c r="A372" s="115" t="s">
        <v>604</v>
      </c>
      <c r="B372" s="1015"/>
      <c r="C372" s="1017"/>
      <c r="D372" s="861"/>
      <c r="E372" s="1019"/>
      <c r="F372" s="865"/>
      <c r="G372" s="865"/>
      <c r="H372" s="867"/>
      <c r="I372" s="865"/>
      <c r="J372" s="865"/>
      <c r="K372" s="865"/>
      <c r="L372" s="865"/>
      <c r="M372" s="185" t="str">
        <f>IFERROR(INDEX('Controles de Corrupción'!$C$10:$AY$249,MATCH(A372,'Controles de Corrupción'!$B$10:$B$249,0),4),"")</f>
        <v/>
      </c>
      <c r="N372" s="70" t="str">
        <f>IFERROR(INDEX('Controles de Corrupción'!$C$10:$AY$249,MATCH(A372,'Controles de Corrupción'!$B$10:$B$249,0),40),"")</f>
        <v/>
      </c>
      <c r="O372" s="70" t="str">
        <f>IFERROR(INDEX('Controles de Corrupción'!$C$10:$AY$251,MATCH(A372,'Controles de Corrupción'!$B$10:$B$251,0),41),"")</f>
        <v/>
      </c>
      <c r="P372" s="70" t="str">
        <f>IFERROR(INDEX('Controles de Corrupción'!$C$10:$AY$251,MATCH(A372,'Controles de Corrupción'!$B$10:$B$251,0),42),"")</f>
        <v/>
      </c>
      <c r="Q372" s="186" t="str">
        <f>IFERROR(INDEX('Controles de Corrupción'!$C$10:$AY$251,MATCH(A372,'Controles de Corrupción'!$B$10:$B$251,0),47),"")</f>
        <v/>
      </c>
    </row>
    <row r="373" spans="1:17" x14ac:dyDescent="0.25">
      <c r="A373" s="115" t="s">
        <v>605</v>
      </c>
      <c r="B373" s="1013"/>
      <c r="C373" s="1016" t="str">
        <f>IFERROR(INDEX('Riesgos de Corrupción'!$B$11:$BN$100,MATCH('Mapa Riesgo Corrupción'!B373,'Riesgos de Corrupción'!$B$11:$B$100,0),2),"")</f>
        <v/>
      </c>
      <c r="D373" s="860" t="str">
        <f>IFERROR(INDEX('Riesgos de Corrupción'!$B$11:$BN$100,MATCH('Mapa Riesgo Corrupción'!B373,'Riesgos de Corrupción'!$B$11:$B$100,0),4),"")</f>
        <v/>
      </c>
      <c r="E373" s="1018" t="str">
        <f>IFERROR(INDEX('Riesgos de Corrupción'!$B$11:$BN$100,MATCH('Mapa Riesgo Corrupción'!B373,'Riesgos de Corrupción'!$B$11:$B$100,0),5),"")</f>
        <v/>
      </c>
      <c r="F373" s="865" t="str">
        <f>IFERROR(INDEX('Riesgos de Corrupción'!$B$11:$BN$100,MATCH('Mapa Riesgo Corrupción'!B373,'Riesgos de Corrupción'!$B$11:$B$100,0),18),"")</f>
        <v/>
      </c>
      <c r="G373" s="865" t="str">
        <f>IFERROR(INDEX('Riesgos de Corrupción'!$B$11:$BN$100,MATCH('Mapa Riesgo Corrupción'!B373,'Riesgos de Corrupción'!$B$11:$B$100,0),63),"")</f>
        <v/>
      </c>
      <c r="H373" s="867" t="str">
        <f>IFERROR(INDEX('Riesgos de Corrupción'!$B$11:$BN$100,MATCH('Mapa Riesgo Corrupción'!B373,'Riesgos de Corrupción'!$B$11:$B$100,0),64),"")</f>
        <v/>
      </c>
      <c r="I373" s="865" t="str">
        <f>IFERROR(INDEX('Controles de Corrupción'!$C$10:$AY$251,MATCH('Mapa Riesgo Corrupción'!B373,'Controles de Corrupción'!#REF!,0),33),"")</f>
        <v/>
      </c>
      <c r="J373" s="865" t="str">
        <f>IFERROR(INDEX('Controles de Corrupción'!$C$10:$AY$251,MATCH('Mapa Riesgo Corrupción'!B373,'Controles de Corrupción'!#REF!,0),36),"")</f>
        <v/>
      </c>
      <c r="K373" s="865" t="str">
        <f>IFERROR(INDEX('Controles de Corrupción'!$C$10:$AY$251,MATCH('Mapa Riesgo Corrupción'!B373,'Controles de Corrupción'!#REF!,0),37),"")</f>
        <v/>
      </c>
      <c r="L373" s="865" t="str">
        <f>IFERROR(INDEX('Controles de Corrupción'!$C$10:$AY$251,MATCH('Mapa Riesgo Corrupción'!B373,'Controles de Corrupción'!#REF!,0),38),"")</f>
        <v/>
      </c>
      <c r="M373" s="185" t="str">
        <f>IFERROR(INDEX('Controles de Corrupción'!$C$10:$AY$249,MATCH(A373,'Controles de Corrupción'!$B$10:$B$249,0),4),"")</f>
        <v/>
      </c>
      <c r="N373" s="70" t="str">
        <f>IFERROR(INDEX('Controles de Corrupción'!$C$10:$AY$249,MATCH(A373,'Controles de Corrupción'!$B$10:$B$249,0),40),"")</f>
        <v/>
      </c>
      <c r="O373" s="70" t="str">
        <f>IFERROR(INDEX('Controles de Corrupción'!$C$10:$AY$251,MATCH(A373,'Controles de Corrupción'!$B$10:$B$251,0),41),"")</f>
        <v/>
      </c>
      <c r="P373" s="70" t="str">
        <f>IFERROR(INDEX('Controles de Corrupción'!$C$10:$AY$251,MATCH(A373,'Controles de Corrupción'!$B$10:$B$251,0),42),"")</f>
        <v/>
      </c>
      <c r="Q373" s="186" t="str">
        <f>IFERROR(INDEX('Controles de Corrupción'!$C$10:$AY$251,MATCH(A373,'Controles de Corrupción'!$B$10:$B$251,0),47),"")</f>
        <v/>
      </c>
    </row>
    <row r="374" spans="1:17" x14ac:dyDescent="0.25">
      <c r="A374" s="115" t="s">
        <v>606</v>
      </c>
      <c r="B374" s="1014"/>
      <c r="C374" s="1017"/>
      <c r="D374" s="861"/>
      <c r="E374" s="1019"/>
      <c r="F374" s="865"/>
      <c r="G374" s="865"/>
      <c r="H374" s="867"/>
      <c r="I374" s="865"/>
      <c r="J374" s="865"/>
      <c r="K374" s="865"/>
      <c r="L374" s="865"/>
      <c r="M374" s="185" t="str">
        <f>IFERROR(INDEX('Controles de Corrupción'!$C$10:$AY$249,MATCH(A374,'Controles de Corrupción'!$B$10:$B$249,0),4),"")</f>
        <v/>
      </c>
      <c r="N374" s="70" t="str">
        <f>IFERROR(INDEX('Controles de Corrupción'!$C$10:$AY$249,MATCH(A374,'Controles de Corrupción'!$B$10:$B$249,0),40),"")</f>
        <v/>
      </c>
      <c r="O374" s="70" t="str">
        <f>IFERROR(INDEX('Controles de Corrupción'!$C$10:$AY$251,MATCH(A374,'Controles de Corrupción'!$B$10:$B$251,0),41),"")</f>
        <v/>
      </c>
      <c r="P374" s="70" t="str">
        <f>IFERROR(INDEX('Controles de Corrupción'!$C$10:$AY$251,MATCH(A374,'Controles de Corrupción'!$B$10:$B$251,0),42),"")</f>
        <v/>
      </c>
      <c r="Q374" s="186" t="str">
        <f>IFERROR(INDEX('Controles de Corrupción'!$C$10:$AY$251,MATCH(A374,'Controles de Corrupción'!$B$10:$B$251,0),47),"")</f>
        <v/>
      </c>
    </row>
    <row r="375" spans="1:17" x14ac:dyDescent="0.25">
      <c r="A375" s="115" t="s">
        <v>607</v>
      </c>
      <c r="B375" s="1014"/>
      <c r="C375" s="1017"/>
      <c r="D375" s="861"/>
      <c r="E375" s="1019"/>
      <c r="F375" s="865"/>
      <c r="G375" s="865"/>
      <c r="H375" s="867"/>
      <c r="I375" s="865"/>
      <c r="J375" s="865"/>
      <c r="K375" s="865"/>
      <c r="L375" s="865"/>
      <c r="M375" s="185" t="str">
        <f>IFERROR(INDEX('Controles de Corrupción'!$C$10:$AY$249,MATCH(A375,'Controles de Corrupción'!$B$10:$B$249,0),4),"")</f>
        <v/>
      </c>
      <c r="N375" s="70" t="str">
        <f>IFERROR(INDEX('Controles de Corrupción'!$C$10:$AY$249,MATCH(A375,'Controles de Corrupción'!$B$10:$B$249,0),40),"")</f>
        <v/>
      </c>
      <c r="O375" s="70" t="str">
        <f>IFERROR(INDEX('Controles de Corrupción'!$C$10:$AY$251,MATCH(A375,'Controles de Corrupción'!$B$10:$B$251,0),41),"")</f>
        <v/>
      </c>
      <c r="P375" s="70" t="str">
        <f>IFERROR(INDEX('Controles de Corrupción'!$C$10:$AY$251,MATCH(A375,'Controles de Corrupción'!$B$10:$B$251,0),42),"")</f>
        <v/>
      </c>
      <c r="Q375" s="186" t="str">
        <f>IFERROR(INDEX('Controles de Corrupción'!$C$10:$AY$251,MATCH(A375,'Controles de Corrupción'!$B$10:$B$251,0),47),"")</f>
        <v/>
      </c>
    </row>
    <row r="376" spans="1:17" x14ac:dyDescent="0.25">
      <c r="A376" s="115" t="s">
        <v>608</v>
      </c>
      <c r="B376" s="1014"/>
      <c r="C376" s="1017"/>
      <c r="D376" s="861"/>
      <c r="E376" s="1019"/>
      <c r="F376" s="865"/>
      <c r="G376" s="865"/>
      <c r="H376" s="867"/>
      <c r="I376" s="865"/>
      <c r="J376" s="865"/>
      <c r="K376" s="865"/>
      <c r="L376" s="865"/>
      <c r="M376" s="185" t="str">
        <f>IFERROR(INDEX('Controles de Corrupción'!$C$10:$AY$249,MATCH(A376,'Controles de Corrupción'!$B$10:$B$249,0),4),"")</f>
        <v/>
      </c>
      <c r="N376" s="70" t="str">
        <f>IFERROR(INDEX('Controles de Corrupción'!$C$10:$AY$249,MATCH(A376,'Controles de Corrupción'!$B$10:$B$249,0),40),"")</f>
        <v/>
      </c>
      <c r="O376" s="70" t="str">
        <f>IFERROR(INDEX('Controles de Corrupción'!$C$10:$AY$251,MATCH(A376,'Controles de Corrupción'!$B$10:$B$251,0),41),"")</f>
        <v/>
      </c>
      <c r="P376" s="70" t="str">
        <f>IFERROR(INDEX('Controles de Corrupción'!$C$10:$AY$251,MATCH(A376,'Controles de Corrupción'!$B$10:$B$251,0),42),"")</f>
        <v/>
      </c>
      <c r="Q376" s="186" t="str">
        <f>IFERROR(INDEX('Controles de Corrupción'!$C$10:$AY$251,MATCH(A376,'Controles de Corrupción'!$B$10:$B$251,0),47),"")</f>
        <v/>
      </c>
    </row>
    <row r="377" spans="1:17" x14ac:dyDescent="0.25">
      <c r="A377" s="115" t="s">
        <v>609</v>
      </c>
      <c r="B377" s="1014"/>
      <c r="C377" s="1017"/>
      <c r="D377" s="861"/>
      <c r="E377" s="1019"/>
      <c r="F377" s="865"/>
      <c r="G377" s="865"/>
      <c r="H377" s="867"/>
      <c r="I377" s="865"/>
      <c r="J377" s="865"/>
      <c r="K377" s="865"/>
      <c r="L377" s="865"/>
      <c r="M377" s="185" t="str">
        <f>IFERROR(INDEX('Controles de Corrupción'!$C$10:$AY$249,MATCH(A377,'Controles de Corrupción'!$B$10:$B$249,0),4),"")</f>
        <v/>
      </c>
      <c r="N377" s="70" t="str">
        <f>IFERROR(INDEX('Controles de Corrupción'!$C$10:$AY$249,MATCH(A377,'Controles de Corrupción'!$B$10:$B$249,0),40),"")</f>
        <v/>
      </c>
      <c r="O377" s="70" t="str">
        <f>IFERROR(INDEX('Controles de Corrupción'!$C$10:$AY$251,MATCH(A377,'Controles de Corrupción'!$B$10:$B$251,0),41),"")</f>
        <v/>
      </c>
      <c r="P377" s="70" t="str">
        <f>IFERROR(INDEX('Controles de Corrupción'!$C$10:$AY$251,MATCH(A377,'Controles de Corrupción'!$B$10:$B$251,0),42),"")</f>
        <v/>
      </c>
      <c r="Q377" s="186" t="str">
        <f>IFERROR(INDEX('Controles de Corrupción'!$C$10:$AY$251,MATCH(A377,'Controles de Corrupción'!$B$10:$B$251,0),47),"")</f>
        <v/>
      </c>
    </row>
    <row r="378" spans="1:17" x14ac:dyDescent="0.25">
      <c r="A378" s="115" t="s">
        <v>610</v>
      </c>
      <c r="B378" s="1015"/>
      <c r="C378" s="1017"/>
      <c r="D378" s="861"/>
      <c r="E378" s="1019"/>
      <c r="F378" s="865"/>
      <c r="G378" s="865"/>
      <c r="H378" s="867"/>
      <c r="I378" s="865"/>
      <c r="J378" s="865"/>
      <c r="K378" s="865"/>
      <c r="L378" s="865"/>
      <c r="M378" s="185" t="str">
        <f>IFERROR(INDEX('Controles de Corrupción'!$C$10:$AY$249,MATCH(A378,'Controles de Corrupción'!$B$10:$B$249,0),4),"")</f>
        <v/>
      </c>
      <c r="N378" s="70" t="str">
        <f>IFERROR(INDEX('Controles de Corrupción'!$C$10:$AY$249,MATCH(A378,'Controles de Corrupción'!$B$10:$B$249,0),40),"")</f>
        <v/>
      </c>
      <c r="O378" s="70" t="str">
        <f>IFERROR(INDEX('Controles de Corrupción'!$C$10:$AY$251,MATCH(A378,'Controles de Corrupción'!$B$10:$B$251,0),41),"")</f>
        <v/>
      </c>
      <c r="P378" s="70" t="str">
        <f>IFERROR(INDEX('Controles de Corrupción'!$C$10:$AY$251,MATCH(A378,'Controles de Corrupción'!$B$10:$B$251,0),42),"")</f>
        <v/>
      </c>
      <c r="Q378" s="186" t="str">
        <f>IFERROR(INDEX('Controles de Corrupción'!$C$10:$AY$251,MATCH(A378,'Controles de Corrupción'!$B$10:$B$251,0),47),"")</f>
        <v/>
      </c>
    </row>
    <row r="379" spans="1:17" x14ac:dyDescent="0.25">
      <c r="A379" s="115" t="s">
        <v>611</v>
      </c>
      <c r="B379" s="1013"/>
      <c r="C379" s="1016" t="str">
        <f>IFERROR(INDEX('Riesgos de Corrupción'!$B$11:$BN$100,MATCH('Mapa Riesgo Corrupción'!B379,'Riesgos de Corrupción'!$B$11:$B$100,0),2),"")</f>
        <v/>
      </c>
      <c r="D379" s="860" t="str">
        <f>IFERROR(INDEX('Riesgos de Corrupción'!$B$11:$BN$100,MATCH('Mapa Riesgo Corrupción'!B379,'Riesgos de Corrupción'!$B$11:$B$100,0),4),"")</f>
        <v/>
      </c>
      <c r="E379" s="1018" t="str">
        <f>IFERROR(INDEX('Riesgos de Corrupción'!$B$11:$BN$100,MATCH('Mapa Riesgo Corrupción'!B379,'Riesgos de Corrupción'!$B$11:$B$100,0),5),"")</f>
        <v/>
      </c>
      <c r="F379" s="865" t="str">
        <f>IFERROR(INDEX('Riesgos de Corrupción'!$B$11:$BN$100,MATCH('Mapa Riesgo Corrupción'!B379,'Riesgos de Corrupción'!$B$11:$B$100,0),18),"")</f>
        <v/>
      </c>
      <c r="G379" s="865" t="str">
        <f>IFERROR(INDEX('Riesgos de Corrupción'!$B$11:$BN$100,MATCH('Mapa Riesgo Corrupción'!B379,'Riesgos de Corrupción'!$B$11:$B$100,0),63),"")</f>
        <v/>
      </c>
      <c r="H379" s="867" t="str">
        <f>IFERROR(INDEX('Riesgos de Corrupción'!$B$11:$BN$100,MATCH('Mapa Riesgo Corrupción'!B379,'Riesgos de Corrupción'!$B$11:$B$100,0),64),"")</f>
        <v/>
      </c>
      <c r="I379" s="865" t="str">
        <f>IFERROR(INDEX('Controles de Corrupción'!$C$10:$AY$251,MATCH('Mapa Riesgo Corrupción'!B379,'Controles de Corrupción'!#REF!,0),33),"")</f>
        <v/>
      </c>
      <c r="J379" s="865" t="str">
        <f>IFERROR(INDEX('Controles de Corrupción'!$C$10:$AY$251,MATCH('Mapa Riesgo Corrupción'!B379,'Controles de Corrupción'!#REF!,0),36),"")</f>
        <v/>
      </c>
      <c r="K379" s="865" t="str">
        <f>IFERROR(INDEX('Controles de Corrupción'!$C$10:$AY$251,MATCH('Mapa Riesgo Corrupción'!B379,'Controles de Corrupción'!#REF!,0),37),"")</f>
        <v/>
      </c>
      <c r="L379" s="865" t="str">
        <f>IFERROR(INDEX('Controles de Corrupción'!$C$10:$AY$251,MATCH('Mapa Riesgo Corrupción'!B379,'Controles de Corrupción'!#REF!,0),38),"")</f>
        <v/>
      </c>
      <c r="M379" s="185" t="str">
        <f>IFERROR(INDEX('Controles de Corrupción'!$C$10:$AY$249,MATCH(A379,'Controles de Corrupción'!$B$10:$B$249,0),4),"")</f>
        <v/>
      </c>
      <c r="N379" s="70" t="str">
        <f>IFERROR(INDEX('Controles de Corrupción'!$C$10:$AY$249,MATCH(A379,'Controles de Corrupción'!$B$10:$B$249,0),40),"")</f>
        <v/>
      </c>
      <c r="O379" s="70" t="str">
        <f>IFERROR(INDEX('Controles de Corrupción'!$C$10:$AY$251,MATCH(A379,'Controles de Corrupción'!$B$10:$B$251,0),41),"")</f>
        <v/>
      </c>
      <c r="P379" s="70" t="str">
        <f>IFERROR(INDEX('Controles de Corrupción'!$C$10:$AY$251,MATCH(A379,'Controles de Corrupción'!$B$10:$B$251,0),42),"")</f>
        <v/>
      </c>
      <c r="Q379" s="186" t="str">
        <f>IFERROR(INDEX('Controles de Corrupción'!$C$10:$AY$251,MATCH(A379,'Controles de Corrupción'!$B$10:$B$251,0),47),"")</f>
        <v/>
      </c>
    </row>
    <row r="380" spans="1:17" x14ac:dyDescent="0.25">
      <c r="A380" s="115" t="s">
        <v>612</v>
      </c>
      <c r="B380" s="1014"/>
      <c r="C380" s="1017"/>
      <c r="D380" s="861"/>
      <c r="E380" s="1019"/>
      <c r="F380" s="865"/>
      <c r="G380" s="865"/>
      <c r="H380" s="867"/>
      <c r="I380" s="865"/>
      <c r="J380" s="865"/>
      <c r="K380" s="865"/>
      <c r="L380" s="865"/>
      <c r="M380" s="185" t="str">
        <f>IFERROR(INDEX('Controles de Corrupción'!$C$10:$AY$249,MATCH(A380,'Controles de Corrupción'!$B$10:$B$249,0),4),"")</f>
        <v/>
      </c>
      <c r="N380" s="70" t="str">
        <f>IFERROR(INDEX('Controles de Corrupción'!$C$10:$AY$249,MATCH(A380,'Controles de Corrupción'!$B$10:$B$249,0),40),"")</f>
        <v/>
      </c>
      <c r="O380" s="70" t="str">
        <f>IFERROR(INDEX('Controles de Corrupción'!$C$10:$AY$251,MATCH(A380,'Controles de Corrupción'!$B$10:$B$251,0),41),"")</f>
        <v/>
      </c>
      <c r="P380" s="70" t="str">
        <f>IFERROR(INDEX('Controles de Corrupción'!$C$10:$AY$251,MATCH(A380,'Controles de Corrupción'!$B$10:$B$251,0),42),"")</f>
        <v/>
      </c>
      <c r="Q380" s="186" t="str">
        <f>IFERROR(INDEX('Controles de Corrupción'!$C$10:$AY$251,MATCH(A380,'Controles de Corrupción'!$B$10:$B$251,0),47),"")</f>
        <v/>
      </c>
    </row>
    <row r="381" spans="1:17" x14ac:dyDescent="0.25">
      <c r="A381" s="115" t="s">
        <v>613</v>
      </c>
      <c r="B381" s="1014"/>
      <c r="C381" s="1017"/>
      <c r="D381" s="861"/>
      <c r="E381" s="1019"/>
      <c r="F381" s="865"/>
      <c r="G381" s="865"/>
      <c r="H381" s="867"/>
      <c r="I381" s="865"/>
      <c r="J381" s="865"/>
      <c r="K381" s="865"/>
      <c r="L381" s="865"/>
      <c r="M381" s="185" t="str">
        <f>IFERROR(INDEX('Controles de Corrupción'!$C$10:$AY$249,MATCH(A381,'Controles de Corrupción'!$B$10:$B$249,0),4),"")</f>
        <v/>
      </c>
      <c r="N381" s="70" t="str">
        <f>IFERROR(INDEX('Controles de Corrupción'!$C$10:$AY$249,MATCH(A381,'Controles de Corrupción'!$B$10:$B$249,0),40),"")</f>
        <v/>
      </c>
      <c r="O381" s="70" t="str">
        <f>IFERROR(INDEX('Controles de Corrupción'!$C$10:$AY$251,MATCH(A381,'Controles de Corrupción'!$B$10:$B$251,0),41),"")</f>
        <v/>
      </c>
      <c r="P381" s="70" t="str">
        <f>IFERROR(INDEX('Controles de Corrupción'!$C$10:$AY$251,MATCH(A381,'Controles de Corrupción'!$B$10:$B$251,0),42),"")</f>
        <v/>
      </c>
      <c r="Q381" s="186" t="str">
        <f>IFERROR(INDEX('Controles de Corrupción'!$C$10:$AY$251,MATCH(A381,'Controles de Corrupción'!$B$10:$B$251,0),47),"")</f>
        <v/>
      </c>
    </row>
    <row r="382" spans="1:17" x14ac:dyDescent="0.25">
      <c r="A382" s="115" t="s">
        <v>614</v>
      </c>
      <c r="B382" s="1014"/>
      <c r="C382" s="1017"/>
      <c r="D382" s="861"/>
      <c r="E382" s="1019"/>
      <c r="F382" s="865"/>
      <c r="G382" s="865"/>
      <c r="H382" s="867"/>
      <c r="I382" s="865"/>
      <c r="J382" s="865"/>
      <c r="K382" s="865"/>
      <c r="L382" s="865"/>
      <c r="M382" s="185" t="str">
        <f>IFERROR(INDEX('Controles de Corrupción'!$C$10:$AY$249,MATCH(A382,'Controles de Corrupción'!$B$10:$B$249,0),4),"")</f>
        <v/>
      </c>
      <c r="N382" s="70" t="str">
        <f>IFERROR(INDEX('Controles de Corrupción'!$C$10:$AY$249,MATCH(A382,'Controles de Corrupción'!$B$10:$B$249,0),40),"")</f>
        <v/>
      </c>
      <c r="O382" s="70" t="str">
        <f>IFERROR(INDEX('Controles de Corrupción'!$C$10:$AY$251,MATCH(A382,'Controles de Corrupción'!$B$10:$B$251,0),41),"")</f>
        <v/>
      </c>
      <c r="P382" s="70" t="str">
        <f>IFERROR(INDEX('Controles de Corrupción'!$C$10:$AY$251,MATCH(A382,'Controles de Corrupción'!$B$10:$B$251,0),42),"")</f>
        <v/>
      </c>
      <c r="Q382" s="186" t="str">
        <f>IFERROR(INDEX('Controles de Corrupción'!$C$10:$AY$251,MATCH(A382,'Controles de Corrupción'!$B$10:$B$251,0),47),"")</f>
        <v/>
      </c>
    </row>
    <row r="383" spans="1:17" x14ac:dyDescent="0.25">
      <c r="A383" s="115" t="s">
        <v>615</v>
      </c>
      <c r="B383" s="1014"/>
      <c r="C383" s="1017"/>
      <c r="D383" s="861"/>
      <c r="E383" s="1019"/>
      <c r="F383" s="865"/>
      <c r="G383" s="865"/>
      <c r="H383" s="867"/>
      <c r="I383" s="865"/>
      <c r="J383" s="865"/>
      <c r="K383" s="865"/>
      <c r="L383" s="865"/>
      <c r="M383" s="185" t="str">
        <f>IFERROR(INDEX('Controles de Corrupción'!$C$10:$AY$249,MATCH(A383,'Controles de Corrupción'!$B$10:$B$249,0),4),"")</f>
        <v/>
      </c>
      <c r="N383" s="70" t="str">
        <f>IFERROR(INDEX('Controles de Corrupción'!$C$10:$AY$249,MATCH(A383,'Controles de Corrupción'!$B$10:$B$249,0),40),"")</f>
        <v/>
      </c>
      <c r="O383" s="70" t="str">
        <f>IFERROR(INDEX('Controles de Corrupción'!$C$10:$AY$251,MATCH(A383,'Controles de Corrupción'!$B$10:$B$251,0),41),"")</f>
        <v/>
      </c>
      <c r="P383" s="70" t="str">
        <f>IFERROR(INDEX('Controles de Corrupción'!$C$10:$AY$251,MATCH(A383,'Controles de Corrupción'!$B$10:$B$251,0),42),"")</f>
        <v/>
      </c>
      <c r="Q383" s="186" t="str">
        <f>IFERROR(INDEX('Controles de Corrupción'!$C$10:$AY$251,MATCH(A383,'Controles de Corrupción'!$B$10:$B$251,0),47),"")</f>
        <v/>
      </c>
    </row>
    <row r="384" spans="1:17" x14ac:dyDescent="0.25">
      <c r="A384" s="115" t="s">
        <v>616</v>
      </c>
      <c r="B384" s="1015"/>
      <c r="C384" s="1017"/>
      <c r="D384" s="861"/>
      <c r="E384" s="1019"/>
      <c r="F384" s="865"/>
      <c r="G384" s="865"/>
      <c r="H384" s="867"/>
      <c r="I384" s="865"/>
      <c r="J384" s="865"/>
      <c r="K384" s="865"/>
      <c r="L384" s="865"/>
      <c r="M384" s="185" t="str">
        <f>IFERROR(INDEX('Controles de Corrupción'!$C$10:$AY$249,MATCH(A384,'Controles de Corrupción'!$B$10:$B$249,0),4),"")</f>
        <v/>
      </c>
      <c r="N384" s="70" t="str">
        <f>IFERROR(INDEX('Controles de Corrupción'!$C$10:$AY$249,MATCH(A384,'Controles de Corrupción'!$B$10:$B$249,0),40),"")</f>
        <v/>
      </c>
      <c r="O384" s="70" t="str">
        <f>IFERROR(INDEX('Controles de Corrupción'!$C$10:$AY$251,MATCH(A384,'Controles de Corrupción'!$B$10:$B$251,0),41),"")</f>
        <v/>
      </c>
      <c r="P384" s="70" t="str">
        <f>IFERROR(INDEX('Controles de Corrupción'!$C$10:$AY$251,MATCH(A384,'Controles de Corrupción'!$B$10:$B$251,0),42),"")</f>
        <v/>
      </c>
      <c r="Q384" s="186" t="str">
        <f>IFERROR(INDEX('Controles de Corrupción'!$C$10:$AY$251,MATCH(A384,'Controles de Corrupción'!$B$10:$B$251,0),47),"")</f>
        <v/>
      </c>
    </row>
    <row r="385" spans="1:17" x14ac:dyDescent="0.25">
      <c r="A385" s="115" t="s">
        <v>617</v>
      </c>
      <c r="B385" s="1013"/>
      <c r="C385" s="1016" t="str">
        <f>IFERROR(INDEX('Riesgos de Corrupción'!$B$11:$BN$100,MATCH('Mapa Riesgo Corrupción'!B385,'Riesgos de Corrupción'!$B$11:$B$100,0),2),"")</f>
        <v/>
      </c>
      <c r="D385" s="860" t="str">
        <f>IFERROR(INDEX('Riesgos de Corrupción'!$B$11:$BN$100,MATCH('Mapa Riesgo Corrupción'!B385,'Riesgos de Corrupción'!$B$11:$B$100,0),4),"")</f>
        <v/>
      </c>
      <c r="E385" s="1018" t="str">
        <f>IFERROR(INDEX('Riesgos de Corrupción'!$B$11:$BN$100,MATCH('Mapa Riesgo Corrupción'!B385,'Riesgos de Corrupción'!$B$11:$B$100,0),5),"")</f>
        <v/>
      </c>
      <c r="F385" s="865" t="str">
        <f>IFERROR(INDEX('Riesgos de Corrupción'!$B$11:$BN$100,MATCH('Mapa Riesgo Corrupción'!B385,'Riesgos de Corrupción'!$B$11:$B$100,0),18),"")</f>
        <v/>
      </c>
      <c r="G385" s="865" t="str">
        <f>IFERROR(INDEX('Riesgos de Corrupción'!$B$11:$BN$100,MATCH('Mapa Riesgo Corrupción'!B385,'Riesgos de Corrupción'!$B$11:$B$100,0),63),"")</f>
        <v/>
      </c>
      <c r="H385" s="867" t="str">
        <f>IFERROR(INDEX('Riesgos de Corrupción'!$B$11:$BN$100,MATCH('Mapa Riesgo Corrupción'!B385,'Riesgos de Corrupción'!$B$11:$B$100,0),64),"")</f>
        <v/>
      </c>
      <c r="I385" s="865" t="str">
        <f>IFERROR(INDEX('Controles de Corrupción'!$C$10:$AY$251,MATCH('Mapa Riesgo Corrupción'!B385,'Controles de Corrupción'!#REF!,0),33),"")</f>
        <v/>
      </c>
      <c r="J385" s="865" t="str">
        <f>IFERROR(INDEX('Controles de Corrupción'!$C$10:$AY$251,MATCH('Mapa Riesgo Corrupción'!B385,'Controles de Corrupción'!#REF!,0),36),"")</f>
        <v/>
      </c>
      <c r="K385" s="865" t="str">
        <f>IFERROR(INDEX('Controles de Corrupción'!$C$10:$AY$251,MATCH('Mapa Riesgo Corrupción'!B385,'Controles de Corrupción'!#REF!,0),37),"")</f>
        <v/>
      </c>
      <c r="L385" s="865" t="str">
        <f>IFERROR(INDEX('Controles de Corrupción'!$C$10:$AY$251,MATCH('Mapa Riesgo Corrupción'!B385,'Controles de Corrupción'!#REF!,0),38),"")</f>
        <v/>
      </c>
      <c r="M385" s="185" t="str">
        <f>IFERROR(INDEX('Controles de Corrupción'!$C$10:$AY$249,MATCH(A385,'Controles de Corrupción'!$B$10:$B$249,0),4),"")</f>
        <v/>
      </c>
      <c r="N385" s="70" t="str">
        <f>IFERROR(INDEX('Controles de Corrupción'!$C$10:$AY$249,MATCH(A385,'Controles de Corrupción'!$B$10:$B$249,0),40),"")</f>
        <v/>
      </c>
      <c r="O385" s="70" t="str">
        <f>IFERROR(INDEX('Controles de Corrupción'!$C$10:$AY$251,MATCH(A385,'Controles de Corrupción'!$B$10:$B$251,0),41),"")</f>
        <v/>
      </c>
      <c r="P385" s="70" t="str">
        <f>IFERROR(INDEX('Controles de Corrupción'!$C$10:$AY$251,MATCH(A385,'Controles de Corrupción'!$B$10:$B$251,0),42),"")</f>
        <v/>
      </c>
      <c r="Q385" s="186" t="str">
        <f>IFERROR(INDEX('Controles de Corrupción'!$C$10:$AY$251,MATCH(A385,'Controles de Corrupción'!$B$10:$B$251,0),47),"")</f>
        <v/>
      </c>
    </row>
    <row r="386" spans="1:17" x14ac:dyDescent="0.25">
      <c r="A386" s="115" t="s">
        <v>618</v>
      </c>
      <c r="B386" s="1014"/>
      <c r="C386" s="1017"/>
      <c r="D386" s="861"/>
      <c r="E386" s="1019"/>
      <c r="F386" s="865"/>
      <c r="G386" s="865"/>
      <c r="H386" s="867"/>
      <c r="I386" s="865"/>
      <c r="J386" s="865"/>
      <c r="K386" s="865"/>
      <c r="L386" s="865"/>
      <c r="M386" s="185" t="str">
        <f>IFERROR(INDEX('Controles de Corrupción'!$C$10:$AY$249,MATCH(A386,'Controles de Corrupción'!$B$10:$B$249,0),4),"")</f>
        <v/>
      </c>
      <c r="N386" s="70" t="str">
        <f>IFERROR(INDEX('Controles de Corrupción'!$C$10:$AY$249,MATCH(A386,'Controles de Corrupción'!$B$10:$B$249,0),40),"")</f>
        <v/>
      </c>
      <c r="O386" s="70" t="str">
        <f>IFERROR(INDEX('Controles de Corrupción'!$C$10:$AY$251,MATCH(A386,'Controles de Corrupción'!$B$10:$B$251,0),41),"")</f>
        <v/>
      </c>
      <c r="P386" s="70" t="str">
        <f>IFERROR(INDEX('Controles de Corrupción'!$C$10:$AY$251,MATCH(A386,'Controles de Corrupción'!$B$10:$B$251,0),42),"")</f>
        <v/>
      </c>
      <c r="Q386" s="186" t="str">
        <f>IFERROR(INDEX('Controles de Corrupción'!$C$10:$AY$251,MATCH(A386,'Controles de Corrupción'!$B$10:$B$251,0),47),"")</f>
        <v/>
      </c>
    </row>
    <row r="387" spans="1:17" x14ac:dyDescent="0.25">
      <c r="A387" s="115" t="s">
        <v>619</v>
      </c>
      <c r="B387" s="1014"/>
      <c r="C387" s="1017"/>
      <c r="D387" s="861"/>
      <c r="E387" s="1019"/>
      <c r="F387" s="865"/>
      <c r="G387" s="865"/>
      <c r="H387" s="867"/>
      <c r="I387" s="865"/>
      <c r="J387" s="865"/>
      <c r="K387" s="865"/>
      <c r="L387" s="865"/>
      <c r="M387" s="185" t="str">
        <f>IFERROR(INDEX('Controles de Corrupción'!$C$10:$AY$249,MATCH(A387,'Controles de Corrupción'!$B$10:$B$249,0),4),"")</f>
        <v/>
      </c>
      <c r="N387" s="70" t="str">
        <f>IFERROR(INDEX('Controles de Corrupción'!$C$10:$AY$249,MATCH(A387,'Controles de Corrupción'!$B$10:$B$249,0),40),"")</f>
        <v/>
      </c>
      <c r="O387" s="70" t="str">
        <f>IFERROR(INDEX('Controles de Corrupción'!$C$10:$AY$251,MATCH(A387,'Controles de Corrupción'!$B$10:$B$251,0),41),"")</f>
        <v/>
      </c>
      <c r="P387" s="70" t="str">
        <f>IFERROR(INDEX('Controles de Corrupción'!$C$10:$AY$251,MATCH(A387,'Controles de Corrupción'!$B$10:$B$251,0),42),"")</f>
        <v/>
      </c>
      <c r="Q387" s="186" t="str">
        <f>IFERROR(INDEX('Controles de Corrupción'!$C$10:$AY$251,MATCH(A387,'Controles de Corrupción'!$B$10:$B$251,0),47),"")</f>
        <v/>
      </c>
    </row>
    <row r="388" spans="1:17" x14ac:dyDescent="0.25">
      <c r="A388" s="115" t="s">
        <v>620</v>
      </c>
      <c r="B388" s="1014"/>
      <c r="C388" s="1017"/>
      <c r="D388" s="861"/>
      <c r="E388" s="1019"/>
      <c r="F388" s="865"/>
      <c r="G388" s="865"/>
      <c r="H388" s="867"/>
      <c r="I388" s="865"/>
      <c r="J388" s="865"/>
      <c r="K388" s="865"/>
      <c r="L388" s="865"/>
      <c r="M388" s="185" t="str">
        <f>IFERROR(INDEX('Controles de Corrupción'!$C$10:$AY$249,MATCH(A388,'Controles de Corrupción'!$B$10:$B$249,0),4),"")</f>
        <v/>
      </c>
      <c r="N388" s="70" t="str">
        <f>IFERROR(INDEX('Controles de Corrupción'!$C$10:$AY$249,MATCH(A388,'Controles de Corrupción'!$B$10:$B$249,0),40),"")</f>
        <v/>
      </c>
      <c r="O388" s="70" t="str">
        <f>IFERROR(INDEX('Controles de Corrupción'!$C$10:$AY$251,MATCH(A388,'Controles de Corrupción'!$B$10:$B$251,0),41),"")</f>
        <v/>
      </c>
      <c r="P388" s="70" t="str">
        <f>IFERROR(INDEX('Controles de Corrupción'!$C$10:$AY$251,MATCH(A388,'Controles de Corrupción'!$B$10:$B$251,0),42),"")</f>
        <v/>
      </c>
      <c r="Q388" s="186" t="str">
        <f>IFERROR(INDEX('Controles de Corrupción'!$C$10:$AY$251,MATCH(A388,'Controles de Corrupción'!$B$10:$B$251,0),47),"")</f>
        <v/>
      </c>
    </row>
    <row r="389" spans="1:17" x14ac:dyDescent="0.25">
      <c r="A389" s="115" t="s">
        <v>621</v>
      </c>
      <c r="B389" s="1014"/>
      <c r="C389" s="1017"/>
      <c r="D389" s="861"/>
      <c r="E389" s="1019"/>
      <c r="F389" s="865"/>
      <c r="G389" s="865"/>
      <c r="H389" s="867"/>
      <c r="I389" s="865"/>
      <c r="J389" s="865"/>
      <c r="K389" s="865"/>
      <c r="L389" s="865"/>
      <c r="M389" s="185" t="str">
        <f>IFERROR(INDEX('Controles de Corrupción'!$C$10:$AY$249,MATCH(A389,'Controles de Corrupción'!$B$10:$B$249,0),4),"")</f>
        <v/>
      </c>
      <c r="N389" s="70" t="str">
        <f>IFERROR(INDEX('Controles de Corrupción'!$C$10:$AY$249,MATCH(A389,'Controles de Corrupción'!$B$10:$B$249,0),40),"")</f>
        <v/>
      </c>
      <c r="O389" s="70" t="str">
        <f>IFERROR(INDEX('Controles de Corrupción'!$C$10:$AY$251,MATCH(A389,'Controles de Corrupción'!$B$10:$B$251,0),41),"")</f>
        <v/>
      </c>
      <c r="P389" s="70" t="str">
        <f>IFERROR(INDEX('Controles de Corrupción'!$C$10:$AY$251,MATCH(A389,'Controles de Corrupción'!$B$10:$B$251,0),42),"")</f>
        <v/>
      </c>
      <c r="Q389" s="186" t="str">
        <f>IFERROR(INDEX('Controles de Corrupción'!$C$10:$AY$251,MATCH(A389,'Controles de Corrupción'!$B$10:$B$251,0),47),"")</f>
        <v/>
      </c>
    </row>
    <row r="390" spans="1:17" x14ac:dyDescent="0.25">
      <c r="A390" s="115" t="s">
        <v>622</v>
      </c>
      <c r="B390" s="1015"/>
      <c r="C390" s="1017"/>
      <c r="D390" s="861"/>
      <c r="E390" s="1019"/>
      <c r="F390" s="865"/>
      <c r="G390" s="865"/>
      <c r="H390" s="867"/>
      <c r="I390" s="865"/>
      <c r="J390" s="865"/>
      <c r="K390" s="865"/>
      <c r="L390" s="865"/>
      <c r="M390" s="185" t="str">
        <f>IFERROR(INDEX('Controles de Corrupción'!$C$10:$AY$249,MATCH(A390,'Controles de Corrupción'!$B$10:$B$249,0),4),"")</f>
        <v/>
      </c>
      <c r="N390" s="70" t="str">
        <f>IFERROR(INDEX('Controles de Corrupción'!$C$10:$AY$249,MATCH(A390,'Controles de Corrupción'!$B$10:$B$249,0),40),"")</f>
        <v/>
      </c>
      <c r="O390" s="70" t="str">
        <f>IFERROR(INDEX('Controles de Corrupción'!$C$10:$AY$251,MATCH(A390,'Controles de Corrupción'!$B$10:$B$251,0),41),"")</f>
        <v/>
      </c>
      <c r="P390" s="70" t="str">
        <f>IFERROR(INDEX('Controles de Corrupción'!$C$10:$AY$251,MATCH(A390,'Controles de Corrupción'!$B$10:$B$251,0),42),"")</f>
        <v/>
      </c>
      <c r="Q390" s="186" t="str">
        <f>IFERROR(INDEX('Controles de Corrupción'!$C$10:$AY$251,MATCH(A390,'Controles de Corrupción'!$B$10:$B$251,0),47),"")</f>
        <v/>
      </c>
    </row>
    <row r="391" spans="1:17" x14ac:dyDescent="0.25">
      <c r="A391" s="115" t="s">
        <v>623</v>
      </c>
      <c r="B391" s="1013"/>
      <c r="C391" s="1016" t="str">
        <f>IFERROR(INDEX('Riesgos de Corrupción'!$B$11:$BN$100,MATCH('Mapa Riesgo Corrupción'!B391,'Riesgos de Corrupción'!$B$11:$B$100,0),2),"")</f>
        <v/>
      </c>
      <c r="D391" s="860" t="str">
        <f>IFERROR(INDEX('Riesgos de Corrupción'!$B$11:$BN$100,MATCH('Mapa Riesgo Corrupción'!B391,'Riesgos de Corrupción'!$B$11:$B$100,0),4),"")</f>
        <v/>
      </c>
      <c r="E391" s="1018" t="str">
        <f>IFERROR(INDEX('Riesgos de Corrupción'!$B$11:$BN$100,MATCH('Mapa Riesgo Corrupción'!B391,'Riesgos de Corrupción'!$B$11:$B$100,0),5),"")</f>
        <v/>
      </c>
      <c r="F391" s="865" t="str">
        <f>IFERROR(INDEX('Riesgos de Corrupción'!$B$11:$BN$100,MATCH('Mapa Riesgo Corrupción'!B391,'Riesgos de Corrupción'!$B$11:$B$100,0),18),"")</f>
        <v/>
      </c>
      <c r="G391" s="865" t="str">
        <f>IFERROR(INDEX('Riesgos de Corrupción'!$B$11:$BN$100,MATCH('Mapa Riesgo Corrupción'!B391,'Riesgos de Corrupción'!$B$11:$B$100,0),63),"")</f>
        <v/>
      </c>
      <c r="H391" s="867" t="str">
        <f>IFERROR(INDEX('Riesgos de Corrupción'!$B$11:$BN$100,MATCH('Mapa Riesgo Corrupción'!B391,'Riesgos de Corrupción'!$B$11:$B$100,0),64),"")</f>
        <v/>
      </c>
      <c r="I391" s="865" t="str">
        <f>IFERROR(INDEX('Controles de Corrupción'!$C$10:$AY$251,MATCH('Mapa Riesgo Corrupción'!B391,'Controles de Corrupción'!#REF!,0),33),"")</f>
        <v/>
      </c>
      <c r="J391" s="865" t="str">
        <f>IFERROR(INDEX('Controles de Corrupción'!$C$10:$AY$251,MATCH('Mapa Riesgo Corrupción'!B391,'Controles de Corrupción'!#REF!,0),36),"")</f>
        <v/>
      </c>
      <c r="K391" s="865" t="str">
        <f>IFERROR(INDEX('Controles de Corrupción'!$C$10:$AY$251,MATCH('Mapa Riesgo Corrupción'!B391,'Controles de Corrupción'!#REF!,0),37),"")</f>
        <v/>
      </c>
      <c r="L391" s="865" t="str">
        <f>IFERROR(INDEX('Controles de Corrupción'!$C$10:$AY$251,MATCH('Mapa Riesgo Corrupción'!B391,'Controles de Corrupción'!#REF!,0),38),"")</f>
        <v/>
      </c>
      <c r="M391" s="185" t="str">
        <f>IFERROR(INDEX('Controles de Corrupción'!$C$10:$AY$249,MATCH(A391,'Controles de Corrupción'!$B$10:$B$249,0),4),"")</f>
        <v/>
      </c>
      <c r="N391" s="70" t="str">
        <f>IFERROR(INDEX('Controles de Corrupción'!$C$10:$AY$249,MATCH(A391,'Controles de Corrupción'!$B$10:$B$249,0),40),"")</f>
        <v/>
      </c>
      <c r="O391" s="70" t="str">
        <f>IFERROR(INDEX('Controles de Corrupción'!$C$10:$AY$251,MATCH(A391,'Controles de Corrupción'!$B$10:$B$251,0),41),"")</f>
        <v/>
      </c>
      <c r="P391" s="70" t="str">
        <f>IFERROR(INDEX('Controles de Corrupción'!$C$10:$AY$251,MATCH(A391,'Controles de Corrupción'!$B$10:$B$251,0),42),"")</f>
        <v/>
      </c>
      <c r="Q391" s="186" t="str">
        <f>IFERROR(INDEX('Controles de Corrupción'!$C$10:$AY$251,MATCH(A391,'Controles de Corrupción'!$B$10:$B$251,0),47),"")</f>
        <v/>
      </c>
    </row>
    <row r="392" spans="1:17" x14ac:dyDescent="0.25">
      <c r="A392" s="115" t="s">
        <v>624</v>
      </c>
      <c r="B392" s="1014"/>
      <c r="C392" s="1017"/>
      <c r="D392" s="861"/>
      <c r="E392" s="1019"/>
      <c r="F392" s="865"/>
      <c r="G392" s="865"/>
      <c r="H392" s="867"/>
      <c r="I392" s="865"/>
      <c r="J392" s="865"/>
      <c r="K392" s="865"/>
      <c r="L392" s="865"/>
      <c r="M392" s="185" t="str">
        <f>IFERROR(INDEX('Controles de Corrupción'!$C$10:$AY$249,MATCH(A392,'Controles de Corrupción'!$B$10:$B$249,0),4),"")</f>
        <v/>
      </c>
      <c r="N392" s="70" t="str">
        <f>IFERROR(INDEX('Controles de Corrupción'!$C$10:$AY$249,MATCH(A392,'Controles de Corrupción'!$B$10:$B$249,0),40),"")</f>
        <v/>
      </c>
      <c r="O392" s="70" t="str">
        <f>IFERROR(INDEX('Controles de Corrupción'!$C$10:$AY$251,MATCH(A392,'Controles de Corrupción'!$B$10:$B$251,0),41),"")</f>
        <v/>
      </c>
      <c r="P392" s="70" t="str">
        <f>IFERROR(INDEX('Controles de Corrupción'!$C$10:$AY$251,MATCH(A392,'Controles de Corrupción'!$B$10:$B$251,0),42),"")</f>
        <v/>
      </c>
      <c r="Q392" s="186" t="str">
        <f>IFERROR(INDEX('Controles de Corrupción'!$C$10:$AY$251,MATCH(A392,'Controles de Corrupción'!$B$10:$B$251,0),47),"")</f>
        <v/>
      </c>
    </row>
    <row r="393" spans="1:17" x14ac:dyDescent="0.25">
      <c r="A393" s="115" t="s">
        <v>625</v>
      </c>
      <c r="B393" s="1014"/>
      <c r="C393" s="1017"/>
      <c r="D393" s="861"/>
      <c r="E393" s="1019"/>
      <c r="F393" s="865"/>
      <c r="G393" s="865"/>
      <c r="H393" s="867"/>
      <c r="I393" s="865"/>
      <c r="J393" s="865"/>
      <c r="K393" s="865"/>
      <c r="L393" s="865"/>
      <c r="M393" s="185" t="str">
        <f>IFERROR(INDEX('Controles de Corrupción'!$C$10:$AY$249,MATCH(A393,'Controles de Corrupción'!$B$10:$B$249,0),4),"")</f>
        <v/>
      </c>
      <c r="N393" s="70" t="str">
        <f>IFERROR(INDEX('Controles de Corrupción'!$C$10:$AY$249,MATCH(A393,'Controles de Corrupción'!$B$10:$B$249,0),40),"")</f>
        <v/>
      </c>
      <c r="O393" s="70" t="str">
        <f>IFERROR(INDEX('Controles de Corrupción'!$C$10:$AY$251,MATCH(A393,'Controles de Corrupción'!$B$10:$B$251,0),41),"")</f>
        <v/>
      </c>
      <c r="P393" s="70" t="str">
        <f>IFERROR(INDEX('Controles de Corrupción'!$C$10:$AY$251,MATCH(A393,'Controles de Corrupción'!$B$10:$B$251,0),42),"")</f>
        <v/>
      </c>
      <c r="Q393" s="186" t="str">
        <f>IFERROR(INDEX('Controles de Corrupción'!$C$10:$AY$251,MATCH(A393,'Controles de Corrupción'!$B$10:$B$251,0),47),"")</f>
        <v/>
      </c>
    </row>
    <row r="394" spans="1:17" x14ac:dyDescent="0.25">
      <c r="A394" s="115" t="s">
        <v>626</v>
      </c>
      <c r="B394" s="1014"/>
      <c r="C394" s="1017"/>
      <c r="D394" s="861"/>
      <c r="E394" s="1019"/>
      <c r="F394" s="865"/>
      <c r="G394" s="865"/>
      <c r="H394" s="867"/>
      <c r="I394" s="865"/>
      <c r="J394" s="865"/>
      <c r="K394" s="865"/>
      <c r="L394" s="865"/>
      <c r="M394" s="185" t="str">
        <f>IFERROR(INDEX('Controles de Corrupción'!$C$10:$AY$249,MATCH(A394,'Controles de Corrupción'!$B$10:$B$249,0),4),"")</f>
        <v/>
      </c>
      <c r="N394" s="70" t="str">
        <f>IFERROR(INDEX('Controles de Corrupción'!$C$10:$AY$249,MATCH(A394,'Controles de Corrupción'!$B$10:$B$249,0),40),"")</f>
        <v/>
      </c>
      <c r="O394" s="70" t="str">
        <f>IFERROR(INDEX('Controles de Corrupción'!$C$10:$AY$251,MATCH(A394,'Controles de Corrupción'!$B$10:$B$251,0),41),"")</f>
        <v/>
      </c>
      <c r="P394" s="70" t="str">
        <f>IFERROR(INDEX('Controles de Corrupción'!$C$10:$AY$251,MATCH(A394,'Controles de Corrupción'!$B$10:$B$251,0),42),"")</f>
        <v/>
      </c>
      <c r="Q394" s="186" t="str">
        <f>IFERROR(INDEX('Controles de Corrupción'!$C$10:$AY$251,MATCH(A394,'Controles de Corrupción'!$B$10:$B$251,0),47),"")</f>
        <v/>
      </c>
    </row>
    <row r="395" spans="1:17" x14ac:dyDescent="0.25">
      <c r="A395" s="115" t="s">
        <v>627</v>
      </c>
      <c r="B395" s="1014"/>
      <c r="C395" s="1017"/>
      <c r="D395" s="861"/>
      <c r="E395" s="1019"/>
      <c r="F395" s="865"/>
      <c r="G395" s="865"/>
      <c r="H395" s="867"/>
      <c r="I395" s="865"/>
      <c r="J395" s="865"/>
      <c r="K395" s="865"/>
      <c r="L395" s="865"/>
      <c r="M395" s="185" t="str">
        <f>IFERROR(INDEX('Controles de Corrupción'!$C$10:$AY$249,MATCH(A395,'Controles de Corrupción'!$B$10:$B$249,0),4),"")</f>
        <v/>
      </c>
      <c r="N395" s="70" t="str">
        <f>IFERROR(INDEX('Controles de Corrupción'!$C$10:$AY$249,MATCH(A395,'Controles de Corrupción'!$B$10:$B$249,0),40),"")</f>
        <v/>
      </c>
      <c r="O395" s="70" t="str">
        <f>IFERROR(INDEX('Controles de Corrupción'!$C$10:$AY$251,MATCH(A395,'Controles de Corrupción'!$B$10:$B$251,0),41),"")</f>
        <v/>
      </c>
      <c r="P395" s="70" t="str">
        <f>IFERROR(INDEX('Controles de Corrupción'!$C$10:$AY$251,MATCH(A395,'Controles de Corrupción'!$B$10:$B$251,0),42),"")</f>
        <v/>
      </c>
      <c r="Q395" s="186" t="str">
        <f>IFERROR(INDEX('Controles de Corrupción'!$C$10:$AY$251,MATCH(A395,'Controles de Corrupción'!$B$10:$B$251,0),47),"")</f>
        <v/>
      </c>
    </row>
    <row r="396" spans="1:17" x14ac:dyDescent="0.25">
      <c r="A396" s="115" t="s">
        <v>628</v>
      </c>
      <c r="B396" s="1015"/>
      <c r="C396" s="1017"/>
      <c r="D396" s="861"/>
      <c r="E396" s="1019"/>
      <c r="F396" s="865"/>
      <c r="G396" s="865"/>
      <c r="H396" s="867"/>
      <c r="I396" s="865"/>
      <c r="J396" s="865"/>
      <c r="K396" s="865"/>
      <c r="L396" s="865"/>
      <c r="M396" s="185" t="str">
        <f>IFERROR(INDEX('Controles de Corrupción'!$C$10:$AY$249,MATCH(A396,'Controles de Corrupción'!$B$10:$B$249,0),4),"")</f>
        <v/>
      </c>
      <c r="N396" s="70" t="str">
        <f>IFERROR(INDEX('Controles de Corrupción'!$C$10:$AY$249,MATCH(A396,'Controles de Corrupción'!$B$10:$B$249,0),40),"")</f>
        <v/>
      </c>
      <c r="O396" s="70" t="str">
        <f>IFERROR(INDEX('Controles de Corrupción'!$C$10:$AY$251,MATCH(A396,'Controles de Corrupción'!$B$10:$B$251,0),41),"")</f>
        <v/>
      </c>
      <c r="P396" s="70" t="str">
        <f>IFERROR(INDEX('Controles de Corrupción'!$C$10:$AY$251,MATCH(A396,'Controles de Corrupción'!$B$10:$B$251,0),42),"")</f>
        <v/>
      </c>
      <c r="Q396" s="186" t="str">
        <f>IFERROR(INDEX('Controles de Corrupción'!$C$10:$AY$251,MATCH(A396,'Controles de Corrupción'!$B$10:$B$251,0),47),"")</f>
        <v/>
      </c>
    </row>
    <row r="397" spans="1:17" x14ac:dyDescent="0.25">
      <c r="A397" s="115" t="s">
        <v>629</v>
      </c>
      <c r="B397" s="1013"/>
      <c r="C397" s="1016" t="str">
        <f>IFERROR(INDEX('Riesgos de Corrupción'!$B$11:$BN$100,MATCH('Mapa Riesgo Corrupción'!B397,'Riesgos de Corrupción'!$B$11:$B$100,0),2),"")</f>
        <v/>
      </c>
      <c r="D397" s="860" t="str">
        <f>IFERROR(INDEX('Riesgos de Corrupción'!$B$11:$BN$100,MATCH('Mapa Riesgo Corrupción'!B397,'Riesgos de Corrupción'!$B$11:$B$100,0),4),"")</f>
        <v/>
      </c>
      <c r="E397" s="1018" t="str">
        <f>IFERROR(INDEX('Riesgos de Corrupción'!$B$11:$BN$100,MATCH('Mapa Riesgo Corrupción'!B397,'Riesgos de Corrupción'!$B$11:$B$100,0),5),"")</f>
        <v/>
      </c>
      <c r="F397" s="865" t="str">
        <f>IFERROR(INDEX('Riesgos de Corrupción'!$B$11:$BN$100,MATCH('Mapa Riesgo Corrupción'!B397,'Riesgos de Corrupción'!$B$11:$B$100,0),18),"")</f>
        <v/>
      </c>
      <c r="G397" s="865" t="str">
        <f>IFERROR(INDEX('Riesgos de Corrupción'!$B$11:$BN$100,MATCH('Mapa Riesgo Corrupción'!B397,'Riesgos de Corrupción'!$B$11:$B$100,0),63),"")</f>
        <v/>
      </c>
      <c r="H397" s="867" t="str">
        <f>IFERROR(INDEX('Riesgos de Corrupción'!$B$11:$BN$100,MATCH('Mapa Riesgo Corrupción'!B397,'Riesgos de Corrupción'!$B$11:$B$100,0),64),"")</f>
        <v/>
      </c>
      <c r="I397" s="865" t="str">
        <f>IFERROR(INDEX('Controles de Corrupción'!$C$10:$AY$251,MATCH('Mapa Riesgo Corrupción'!B397,'Controles de Corrupción'!#REF!,0),33),"")</f>
        <v/>
      </c>
      <c r="J397" s="865" t="str">
        <f>IFERROR(INDEX('Controles de Corrupción'!$C$10:$AY$251,MATCH('Mapa Riesgo Corrupción'!B397,'Controles de Corrupción'!#REF!,0),36),"")</f>
        <v/>
      </c>
      <c r="K397" s="865" t="str">
        <f>IFERROR(INDEX('Controles de Corrupción'!$C$10:$AY$251,MATCH('Mapa Riesgo Corrupción'!B397,'Controles de Corrupción'!#REF!,0),37),"")</f>
        <v/>
      </c>
      <c r="L397" s="865" t="str">
        <f>IFERROR(INDEX('Controles de Corrupción'!$C$10:$AY$251,MATCH('Mapa Riesgo Corrupción'!B397,'Controles de Corrupción'!#REF!,0),38),"")</f>
        <v/>
      </c>
      <c r="M397" s="185" t="str">
        <f>IFERROR(INDEX('Controles de Corrupción'!$C$10:$AY$249,MATCH(A397,'Controles de Corrupción'!$B$10:$B$249,0),4),"")</f>
        <v/>
      </c>
      <c r="N397" s="70" t="str">
        <f>IFERROR(INDEX('Controles de Corrupción'!$C$10:$AY$249,MATCH(A397,'Controles de Corrupción'!$B$10:$B$249,0),40),"")</f>
        <v/>
      </c>
      <c r="O397" s="70" t="str">
        <f>IFERROR(INDEX('Controles de Corrupción'!$C$10:$AY$251,MATCH(A397,'Controles de Corrupción'!$B$10:$B$251,0),41),"")</f>
        <v/>
      </c>
      <c r="P397" s="70" t="str">
        <f>IFERROR(INDEX('Controles de Corrupción'!$C$10:$AY$251,MATCH(A397,'Controles de Corrupción'!$B$10:$B$251,0),42),"")</f>
        <v/>
      </c>
      <c r="Q397" s="186" t="str">
        <f>IFERROR(INDEX('Controles de Corrupción'!$C$10:$AY$251,MATCH(A397,'Controles de Corrupción'!$B$10:$B$251,0),47),"")</f>
        <v/>
      </c>
    </row>
    <row r="398" spans="1:17" x14ac:dyDescent="0.25">
      <c r="A398" s="115" t="s">
        <v>630</v>
      </c>
      <c r="B398" s="1014"/>
      <c r="C398" s="1017"/>
      <c r="D398" s="861"/>
      <c r="E398" s="1019"/>
      <c r="F398" s="865"/>
      <c r="G398" s="865"/>
      <c r="H398" s="867"/>
      <c r="I398" s="865"/>
      <c r="J398" s="865"/>
      <c r="K398" s="865"/>
      <c r="L398" s="865"/>
      <c r="M398" s="185" t="str">
        <f>IFERROR(INDEX('Controles de Corrupción'!$C$10:$AY$249,MATCH(A398,'Controles de Corrupción'!$B$10:$B$249,0),4),"")</f>
        <v/>
      </c>
      <c r="N398" s="70" t="str">
        <f>IFERROR(INDEX('Controles de Corrupción'!$C$10:$AY$249,MATCH(A398,'Controles de Corrupción'!$B$10:$B$249,0),40),"")</f>
        <v/>
      </c>
      <c r="O398" s="70" t="str">
        <f>IFERROR(INDEX('Controles de Corrupción'!$C$10:$AY$251,MATCH(A398,'Controles de Corrupción'!$B$10:$B$251,0),41),"")</f>
        <v/>
      </c>
      <c r="P398" s="70" t="str">
        <f>IFERROR(INDEX('Controles de Corrupción'!$C$10:$AY$251,MATCH(A398,'Controles de Corrupción'!$B$10:$B$251,0),42),"")</f>
        <v/>
      </c>
      <c r="Q398" s="186" t="str">
        <f>IFERROR(INDEX('Controles de Corrupción'!$C$10:$AY$251,MATCH(A398,'Controles de Corrupción'!$B$10:$B$251,0),47),"")</f>
        <v/>
      </c>
    </row>
    <row r="399" spans="1:17" x14ac:dyDescent="0.25">
      <c r="A399" s="115" t="s">
        <v>631</v>
      </c>
      <c r="B399" s="1014"/>
      <c r="C399" s="1017"/>
      <c r="D399" s="861"/>
      <c r="E399" s="1019"/>
      <c r="F399" s="865"/>
      <c r="G399" s="865"/>
      <c r="H399" s="867"/>
      <c r="I399" s="865"/>
      <c r="J399" s="865"/>
      <c r="K399" s="865"/>
      <c r="L399" s="865"/>
      <c r="M399" s="185" t="str">
        <f>IFERROR(INDEX('Controles de Corrupción'!$C$10:$AY$249,MATCH(A399,'Controles de Corrupción'!$B$10:$B$249,0),4),"")</f>
        <v/>
      </c>
      <c r="N399" s="70" t="str">
        <f>IFERROR(INDEX('Controles de Corrupción'!$C$10:$AY$249,MATCH(A399,'Controles de Corrupción'!$B$10:$B$249,0),40),"")</f>
        <v/>
      </c>
      <c r="O399" s="70" t="str">
        <f>IFERROR(INDEX('Controles de Corrupción'!$C$10:$AY$251,MATCH(A399,'Controles de Corrupción'!$B$10:$B$251,0),41),"")</f>
        <v/>
      </c>
      <c r="P399" s="70" t="str">
        <f>IFERROR(INDEX('Controles de Corrupción'!$C$10:$AY$251,MATCH(A399,'Controles de Corrupción'!$B$10:$B$251,0),42),"")</f>
        <v/>
      </c>
      <c r="Q399" s="186" t="str">
        <f>IFERROR(INDEX('Controles de Corrupción'!$C$10:$AY$251,MATCH(A399,'Controles de Corrupción'!$B$10:$B$251,0),47),"")</f>
        <v/>
      </c>
    </row>
    <row r="400" spans="1:17" x14ac:dyDescent="0.25">
      <c r="A400" s="115" t="s">
        <v>632</v>
      </c>
      <c r="B400" s="1014"/>
      <c r="C400" s="1017"/>
      <c r="D400" s="861"/>
      <c r="E400" s="1019"/>
      <c r="F400" s="865"/>
      <c r="G400" s="865"/>
      <c r="H400" s="867"/>
      <c r="I400" s="865"/>
      <c r="J400" s="865"/>
      <c r="K400" s="865"/>
      <c r="L400" s="865"/>
      <c r="M400" s="185" t="str">
        <f>IFERROR(INDEX('Controles de Corrupción'!$C$10:$AY$249,MATCH(A400,'Controles de Corrupción'!$B$10:$B$249,0),4),"")</f>
        <v/>
      </c>
      <c r="N400" s="70" t="str">
        <f>IFERROR(INDEX('Controles de Corrupción'!$C$10:$AY$249,MATCH(A400,'Controles de Corrupción'!$B$10:$B$249,0),40),"")</f>
        <v/>
      </c>
      <c r="O400" s="70" t="str">
        <f>IFERROR(INDEX('Controles de Corrupción'!$C$10:$AY$251,MATCH(A400,'Controles de Corrupción'!$B$10:$B$251,0),41),"")</f>
        <v/>
      </c>
      <c r="P400" s="70" t="str">
        <f>IFERROR(INDEX('Controles de Corrupción'!$C$10:$AY$251,MATCH(A400,'Controles de Corrupción'!$B$10:$B$251,0),42),"")</f>
        <v/>
      </c>
      <c r="Q400" s="186" t="str">
        <f>IFERROR(INDEX('Controles de Corrupción'!$C$10:$AY$251,MATCH(A400,'Controles de Corrupción'!$B$10:$B$251,0),47),"")</f>
        <v/>
      </c>
    </row>
    <row r="401" spans="1:17" x14ac:dyDescent="0.25">
      <c r="A401" s="115" t="s">
        <v>633</v>
      </c>
      <c r="B401" s="1014"/>
      <c r="C401" s="1017"/>
      <c r="D401" s="861"/>
      <c r="E401" s="1019"/>
      <c r="F401" s="865"/>
      <c r="G401" s="865"/>
      <c r="H401" s="867"/>
      <c r="I401" s="865"/>
      <c r="J401" s="865"/>
      <c r="K401" s="865"/>
      <c r="L401" s="865"/>
      <c r="M401" s="185" t="str">
        <f>IFERROR(INDEX('Controles de Corrupción'!$C$10:$AY$249,MATCH(A401,'Controles de Corrupción'!$B$10:$B$249,0),4),"")</f>
        <v/>
      </c>
      <c r="N401" s="70" t="str">
        <f>IFERROR(INDEX('Controles de Corrupción'!$C$10:$AY$249,MATCH(A401,'Controles de Corrupción'!$B$10:$B$249,0),40),"")</f>
        <v/>
      </c>
      <c r="O401" s="70" t="str">
        <f>IFERROR(INDEX('Controles de Corrupción'!$C$10:$AY$251,MATCH(A401,'Controles de Corrupción'!$B$10:$B$251,0),41),"")</f>
        <v/>
      </c>
      <c r="P401" s="70" t="str">
        <f>IFERROR(INDEX('Controles de Corrupción'!$C$10:$AY$251,MATCH(A401,'Controles de Corrupción'!$B$10:$B$251,0),42),"")</f>
        <v/>
      </c>
      <c r="Q401" s="186" t="str">
        <f>IFERROR(INDEX('Controles de Corrupción'!$C$10:$AY$251,MATCH(A401,'Controles de Corrupción'!$B$10:$B$251,0),47),"")</f>
        <v/>
      </c>
    </row>
    <row r="402" spans="1:17" x14ac:dyDescent="0.25">
      <c r="A402" s="115" t="s">
        <v>634</v>
      </c>
      <c r="B402" s="1015"/>
      <c r="C402" s="1017"/>
      <c r="D402" s="861"/>
      <c r="E402" s="1019"/>
      <c r="F402" s="865"/>
      <c r="G402" s="865"/>
      <c r="H402" s="867"/>
      <c r="I402" s="865"/>
      <c r="J402" s="865"/>
      <c r="K402" s="865"/>
      <c r="L402" s="865"/>
      <c r="M402" s="185" t="str">
        <f>IFERROR(INDEX('Controles de Corrupción'!$C$10:$AY$249,MATCH(A402,'Controles de Corrupción'!$B$10:$B$249,0),4),"")</f>
        <v/>
      </c>
      <c r="N402" s="70" t="str">
        <f>IFERROR(INDEX('Controles de Corrupción'!$C$10:$AY$249,MATCH(A402,'Controles de Corrupción'!$B$10:$B$249,0),40),"")</f>
        <v/>
      </c>
      <c r="O402" s="70" t="str">
        <f>IFERROR(INDEX('Controles de Corrupción'!$C$10:$AY$251,MATCH(A402,'Controles de Corrupción'!$B$10:$B$251,0),41),"")</f>
        <v/>
      </c>
      <c r="P402" s="70" t="str">
        <f>IFERROR(INDEX('Controles de Corrupción'!$C$10:$AY$251,MATCH(A402,'Controles de Corrupción'!$B$10:$B$251,0),42),"")</f>
        <v/>
      </c>
      <c r="Q402" s="186" t="str">
        <f>IFERROR(INDEX('Controles de Corrupción'!$C$10:$AY$251,MATCH(A402,'Controles de Corrupción'!$B$10:$B$251,0),47),"")</f>
        <v/>
      </c>
    </row>
    <row r="403" spans="1:17" x14ac:dyDescent="0.25">
      <c r="A403" s="115" t="s">
        <v>635</v>
      </c>
      <c r="B403" s="1013"/>
      <c r="C403" s="1016" t="str">
        <f>IFERROR(INDEX('Riesgos de Corrupción'!$B$11:$BN$100,MATCH('Mapa Riesgo Corrupción'!B403,'Riesgos de Corrupción'!$B$11:$B$100,0),2),"")</f>
        <v/>
      </c>
      <c r="D403" s="860" t="str">
        <f>IFERROR(INDEX('Riesgos de Corrupción'!$B$11:$BN$100,MATCH('Mapa Riesgo Corrupción'!B403,'Riesgos de Corrupción'!$B$11:$B$100,0),4),"")</f>
        <v/>
      </c>
      <c r="E403" s="1018" t="str">
        <f>IFERROR(INDEX('Riesgos de Corrupción'!$B$11:$BN$100,MATCH('Mapa Riesgo Corrupción'!B403,'Riesgos de Corrupción'!$B$11:$B$100,0),5),"")</f>
        <v/>
      </c>
      <c r="F403" s="865" t="str">
        <f>IFERROR(INDEX('Riesgos de Corrupción'!$B$11:$BN$100,MATCH('Mapa Riesgo Corrupción'!B403,'Riesgos de Corrupción'!$B$11:$B$100,0),18),"")</f>
        <v/>
      </c>
      <c r="G403" s="865" t="str">
        <f>IFERROR(INDEX('Riesgos de Corrupción'!$B$11:$BN$100,MATCH('Mapa Riesgo Corrupción'!B403,'Riesgos de Corrupción'!$B$11:$B$100,0),63),"")</f>
        <v/>
      </c>
      <c r="H403" s="867" t="str">
        <f>IFERROR(INDEX('Riesgos de Corrupción'!$B$11:$BN$100,MATCH('Mapa Riesgo Corrupción'!B403,'Riesgos de Corrupción'!$B$11:$B$100,0),64),"")</f>
        <v/>
      </c>
      <c r="I403" s="865" t="str">
        <f>IFERROR(INDEX('Controles de Corrupción'!$C$10:$AY$251,MATCH('Mapa Riesgo Corrupción'!B403,'Controles de Corrupción'!#REF!,0),33),"")</f>
        <v/>
      </c>
      <c r="J403" s="865" t="str">
        <f>IFERROR(INDEX('Controles de Corrupción'!$C$10:$AY$251,MATCH('Mapa Riesgo Corrupción'!B403,'Controles de Corrupción'!#REF!,0),36),"")</f>
        <v/>
      </c>
      <c r="K403" s="865" t="str">
        <f>IFERROR(INDEX('Controles de Corrupción'!$C$10:$AY$251,MATCH('Mapa Riesgo Corrupción'!B403,'Controles de Corrupción'!#REF!,0),37),"")</f>
        <v/>
      </c>
      <c r="L403" s="865" t="str">
        <f>IFERROR(INDEX('Controles de Corrupción'!$C$10:$AY$251,MATCH('Mapa Riesgo Corrupción'!B403,'Controles de Corrupción'!#REF!,0),38),"")</f>
        <v/>
      </c>
      <c r="M403" s="185" t="str">
        <f>IFERROR(INDEX('Controles de Corrupción'!$C$10:$AY$249,MATCH(A403,'Controles de Corrupción'!$B$10:$B$249,0),4),"")</f>
        <v/>
      </c>
      <c r="N403" s="70" t="str">
        <f>IFERROR(INDEX('Controles de Corrupción'!$C$10:$AY$249,MATCH(A403,'Controles de Corrupción'!$B$10:$B$249,0),40),"")</f>
        <v/>
      </c>
      <c r="O403" s="70" t="str">
        <f>IFERROR(INDEX('Controles de Corrupción'!$C$10:$AY$251,MATCH(A403,'Controles de Corrupción'!$B$10:$B$251,0),41),"")</f>
        <v/>
      </c>
      <c r="P403" s="70" t="str">
        <f>IFERROR(INDEX('Controles de Corrupción'!$C$10:$AY$251,MATCH(A403,'Controles de Corrupción'!$B$10:$B$251,0),42),"")</f>
        <v/>
      </c>
      <c r="Q403" s="186" t="str">
        <f>IFERROR(INDEX('Controles de Corrupción'!$C$10:$AY$251,MATCH(A403,'Controles de Corrupción'!$B$10:$B$251,0),47),"")</f>
        <v/>
      </c>
    </row>
    <row r="404" spans="1:17" x14ac:dyDescent="0.25">
      <c r="A404" s="115" t="s">
        <v>636</v>
      </c>
      <c r="B404" s="1014"/>
      <c r="C404" s="1017"/>
      <c r="D404" s="861"/>
      <c r="E404" s="1019"/>
      <c r="F404" s="865"/>
      <c r="G404" s="865"/>
      <c r="H404" s="867"/>
      <c r="I404" s="865"/>
      <c r="J404" s="865"/>
      <c r="K404" s="865"/>
      <c r="L404" s="865"/>
      <c r="M404" s="185" t="str">
        <f>IFERROR(INDEX('Controles de Corrupción'!$C$10:$AY$249,MATCH(A404,'Controles de Corrupción'!$B$10:$B$249,0),4),"")</f>
        <v/>
      </c>
      <c r="N404" s="70" t="str">
        <f>IFERROR(INDEX('Controles de Corrupción'!$C$10:$AY$249,MATCH(A404,'Controles de Corrupción'!$B$10:$B$249,0),40),"")</f>
        <v/>
      </c>
      <c r="O404" s="70" t="str">
        <f>IFERROR(INDEX('Controles de Corrupción'!$C$10:$AY$251,MATCH(A404,'Controles de Corrupción'!$B$10:$B$251,0),41),"")</f>
        <v/>
      </c>
      <c r="P404" s="70" t="str">
        <f>IFERROR(INDEX('Controles de Corrupción'!$C$10:$AY$251,MATCH(A404,'Controles de Corrupción'!$B$10:$B$251,0),42),"")</f>
        <v/>
      </c>
      <c r="Q404" s="186" t="str">
        <f>IFERROR(INDEX('Controles de Corrupción'!$C$10:$AY$251,MATCH(A404,'Controles de Corrupción'!$B$10:$B$251,0),47),"")</f>
        <v/>
      </c>
    </row>
    <row r="405" spans="1:17" x14ac:dyDescent="0.25">
      <c r="A405" s="115" t="s">
        <v>637</v>
      </c>
      <c r="B405" s="1014"/>
      <c r="C405" s="1017"/>
      <c r="D405" s="861"/>
      <c r="E405" s="1019"/>
      <c r="F405" s="865"/>
      <c r="G405" s="865"/>
      <c r="H405" s="867"/>
      <c r="I405" s="865"/>
      <c r="J405" s="865"/>
      <c r="K405" s="865"/>
      <c r="L405" s="865"/>
      <c r="M405" s="185" t="str">
        <f>IFERROR(INDEX('Controles de Corrupción'!$C$10:$AY$249,MATCH(A405,'Controles de Corrupción'!$B$10:$B$249,0),4),"")</f>
        <v/>
      </c>
      <c r="N405" s="70" t="str">
        <f>IFERROR(INDEX('Controles de Corrupción'!$C$10:$AY$249,MATCH(A405,'Controles de Corrupción'!$B$10:$B$249,0),40),"")</f>
        <v/>
      </c>
      <c r="O405" s="70" t="str">
        <f>IFERROR(INDEX('Controles de Corrupción'!$C$10:$AY$251,MATCH(A405,'Controles de Corrupción'!$B$10:$B$251,0),41),"")</f>
        <v/>
      </c>
      <c r="P405" s="70" t="str">
        <f>IFERROR(INDEX('Controles de Corrupción'!$C$10:$AY$251,MATCH(A405,'Controles de Corrupción'!$B$10:$B$251,0),42),"")</f>
        <v/>
      </c>
      <c r="Q405" s="186" t="str">
        <f>IFERROR(INDEX('Controles de Corrupción'!$C$10:$AY$251,MATCH(A405,'Controles de Corrupción'!$B$10:$B$251,0),47),"")</f>
        <v/>
      </c>
    </row>
    <row r="406" spans="1:17" x14ac:dyDescent="0.25">
      <c r="A406" s="115" t="s">
        <v>638</v>
      </c>
      <c r="B406" s="1014"/>
      <c r="C406" s="1017"/>
      <c r="D406" s="861"/>
      <c r="E406" s="1019"/>
      <c r="F406" s="865"/>
      <c r="G406" s="865"/>
      <c r="H406" s="867"/>
      <c r="I406" s="865"/>
      <c r="J406" s="865"/>
      <c r="K406" s="865"/>
      <c r="L406" s="865"/>
      <c r="M406" s="185" t="str">
        <f>IFERROR(INDEX('Controles de Corrupción'!$C$10:$AY$249,MATCH(A406,'Controles de Corrupción'!$B$10:$B$249,0),4),"")</f>
        <v/>
      </c>
      <c r="N406" s="70" t="str">
        <f>IFERROR(INDEX('Controles de Corrupción'!$C$10:$AY$249,MATCH(A406,'Controles de Corrupción'!$B$10:$B$249,0),40),"")</f>
        <v/>
      </c>
      <c r="O406" s="70" t="str">
        <f>IFERROR(INDEX('Controles de Corrupción'!$C$10:$AY$251,MATCH(A406,'Controles de Corrupción'!$B$10:$B$251,0),41),"")</f>
        <v/>
      </c>
      <c r="P406" s="70" t="str">
        <f>IFERROR(INDEX('Controles de Corrupción'!$C$10:$AY$251,MATCH(A406,'Controles de Corrupción'!$B$10:$B$251,0),42),"")</f>
        <v/>
      </c>
      <c r="Q406" s="186" t="str">
        <f>IFERROR(INDEX('Controles de Corrupción'!$C$10:$AY$251,MATCH(A406,'Controles de Corrupción'!$B$10:$B$251,0),47),"")</f>
        <v/>
      </c>
    </row>
    <row r="407" spans="1:17" x14ac:dyDescent="0.25">
      <c r="A407" s="115" t="s">
        <v>639</v>
      </c>
      <c r="B407" s="1014"/>
      <c r="C407" s="1017"/>
      <c r="D407" s="861"/>
      <c r="E407" s="1019"/>
      <c r="F407" s="865"/>
      <c r="G407" s="865"/>
      <c r="H407" s="867"/>
      <c r="I407" s="865"/>
      <c r="J407" s="865"/>
      <c r="K407" s="865"/>
      <c r="L407" s="865"/>
      <c r="M407" s="185" t="str">
        <f>IFERROR(INDEX('Controles de Corrupción'!$C$10:$AY$249,MATCH(A407,'Controles de Corrupción'!$B$10:$B$249,0),4),"")</f>
        <v/>
      </c>
      <c r="N407" s="70" t="str">
        <f>IFERROR(INDEX('Controles de Corrupción'!$C$10:$AY$249,MATCH(A407,'Controles de Corrupción'!$B$10:$B$249,0),40),"")</f>
        <v/>
      </c>
      <c r="O407" s="70" t="str">
        <f>IFERROR(INDEX('Controles de Corrupción'!$C$10:$AY$251,MATCH(A407,'Controles de Corrupción'!$B$10:$B$251,0),41),"")</f>
        <v/>
      </c>
      <c r="P407" s="70" t="str">
        <f>IFERROR(INDEX('Controles de Corrupción'!$C$10:$AY$251,MATCH(A407,'Controles de Corrupción'!$B$10:$B$251,0),42),"")</f>
        <v/>
      </c>
      <c r="Q407" s="186" t="str">
        <f>IFERROR(INDEX('Controles de Corrupción'!$C$10:$AY$251,MATCH(A407,'Controles de Corrupción'!$B$10:$B$251,0),47),"")</f>
        <v/>
      </c>
    </row>
    <row r="408" spans="1:17" x14ac:dyDescent="0.25">
      <c r="A408" s="115" t="s">
        <v>640</v>
      </c>
      <c r="B408" s="1015"/>
      <c r="C408" s="1017"/>
      <c r="D408" s="861"/>
      <c r="E408" s="1019"/>
      <c r="F408" s="865"/>
      <c r="G408" s="865"/>
      <c r="H408" s="867"/>
      <c r="I408" s="865"/>
      <c r="J408" s="865"/>
      <c r="K408" s="865"/>
      <c r="L408" s="865"/>
      <c r="M408" s="185" t="str">
        <f>IFERROR(INDEX('Controles de Corrupción'!$C$10:$AY$249,MATCH(A408,'Controles de Corrupción'!$B$10:$B$249,0),4),"")</f>
        <v/>
      </c>
      <c r="N408" s="70" t="str">
        <f>IFERROR(INDEX('Controles de Corrupción'!$C$10:$AY$249,MATCH(A408,'Controles de Corrupción'!$B$10:$B$249,0),40),"")</f>
        <v/>
      </c>
      <c r="O408" s="70" t="str">
        <f>IFERROR(INDEX('Controles de Corrupción'!$C$10:$AY$251,MATCH(A408,'Controles de Corrupción'!$B$10:$B$251,0),41),"")</f>
        <v/>
      </c>
      <c r="P408" s="70" t="str">
        <f>IFERROR(INDEX('Controles de Corrupción'!$C$10:$AY$251,MATCH(A408,'Controles de Corrupción'!$B$10:$B$251,0),42),"")</f>
        <v/>
      </c>
      <c r="Q408" s="186" t="str">
        <f>IFERROR(INDEX('Controles de Corrupción'!$C$10:$AY$251,MATCH(A408,'Controles de Corrupción'!$B$10:$B$251,0),47),"")</f>
        <v/>
      </c>
    </row>
    <row r="409" spans="1:17" x14ac:dyDescent="0.25">
      <c r="A409" s="115" t="s">
        <v>641</v>
      </c>
      <c r="B409" s="1013"/>
      <c r="C409" s="1016" t="str">
        <f>IFERROR(INDEX('Riesgos de Corrupción'!$B$11:$BN$100,MATCH('Mapa Riesgo Corrupción'!B409,'Riesgos de Corrupción'!$B$11:$B$100,0),2),"")</f>
        <v/>
      </c>
      <c r="D409" s="860" t="str">
        <f>IFERROR(INDEX('Riesgos de Corrupción'!$B$11:$BN$100,MATCH('Mapa Riesgo Corrupción'!B409,'Riesgos de Corrupción'!$B$11:$B$100,0),4),"")</f>
        <v/>
      </c>
      <c r="E409" s="1018" t="str">
        <f>IFERROR(INDEX('Riesgos de Corrupción'!$B$11:$BN$100,MATCH('Mapa Riesgo Corrupción'!B409,'Riesgos de Corrupción'!$B$11:$B$100,0),5),"")</f>
        <v/>
      </c>
      <c r="F409" s="865" t="str">
        <f>IFERROR(INDEX('Riesgos de Corrupción'!$B$11:$BN$100,MATCH('Mapa Riesgo Corrupción'!B409,'Riesgos de Corrupción'!$B$11:$B$100,0),18),"")</f>
        <v/>
      </c>
      <c r="G409" s="865" t="str">
        <f>IFERROR(INDEX('Riesgos de Corrupción'!$B$11:$BN$100,MATCH('Mapa Riesgo Corrupción'!B409,'Riesgos de Corrupción'!$B$11:$B$100,0),63),"")</f>
        <v/>
      </c>
      <c r="H409" s="867" t="str">
        <f>IFERROR(INDEX('Riesgos de Corrupción'!$B$11:$BN$100,MATCH('Mapa Riesgo Corrupción'!B409,'Riesgos de Corrupción'!$B$11:$B$100,0),64),"")</f>
        <v/>
      </c>
      <c r="I409" s="865" t="str">
        <f>IFERROR(INDEX('Controles de Corrupción'!$C$10:$AY$251,MATCH('Mapa Riesgo Corrupción'!B409,'Controles de Corrupción'!#REF!,0),33),"")</f>
        <v/>
      </c>
      <c r="J409" s="865" t="str">
        <f>IFERROR(INDEX('Controles de Corrupción'!$C$10:$AY$251,MATCH('Mapa Riesgo Corrupción'!B409,'Controles de Corrupción'!#REF!,0),36),"")</f>
        <v/>
      </c>
      <c r="K409" s="865" t="str">
        <f>IFERROR(INDEX('Controles de Corrupción'!$C$10:$AY$251,MATCH('Mapa Riesgo Corrupción'!B409,'Controles de Corrupción'!#REF!,0),37),"")</f>
        <v/>
      </c>
      <c r="L409" s="865" t="str">
        <f>IFERROR(INDEX('Controles de Corrupción'!$C$10:$AY$251,MATCH('Mapa Riesgo Corrupción'!B409,'Controles de Corrupción'!#REF!,0),38),"")</f>
        <v/>
      </c>
      <c r="M409" s="185" t="str">
        <f>IFERROR(INDEX('Controles de Corrupción'!$C$10:$AY$249,MATCH(A409,'Controles de Corrupción'!$B$10:$B$249,0),4),"")</f>
        <v/>
      </c>
      <c r="N409" s="70" t="str">
        <f>IFERROR(INDEX('Controles de Corrupción'!$C$10:$AY$249,MATCH(A409,'Controles de Corrupción'!$B$10:$B$249,0),40),"")</f>
        <v/>
      </c>
      <c r="O409" s="70" t="str">
        <f>IFERROR(INDEX('Controles de Corrupción'!$C$10:$AY$251,MATCH(A409,'Controles de Corrupción'!$B$10:$B$251,0),41),"")</f>
        <v/>
      </c>
      <c r="P409" s="70" t="str">
        <f>IFERROR(INDEX('Controles de Corrupción'!$C$10:$AY$251,MATCH(A409,'Controles de Corrupción'!$B$10:$B$251,0),42),"")</f>
        <v/>
      </c>
      <c r="Q409" s="186" t="str">
        <f>IFERROR(INDEX('Controles de Corrupción'!$C$10:$AY$251,MATCH(A409,'Controles de Corrupción'!$B$10:$B$251,0),47),"")</f>
        <v/>
      </c>
    </row>
    <row r="410" spans="1:17" x14ac:dyDescent="0.25">
      <c r="A410" s="115" t="s">
        <v>642</v>
      </c>
      <c r="B410" s="1014"/>
      <c r="C410" s="1017"/>
      <c r="D410" s="861"/>
      <c r="E410" s="1019"/>
      <c r="F410" s="865"/>
      <c r="G410" s="865"/>
      <c r="H410" s="867"/>
      <c r="I410" s="865"/>
      <c r="J410" s="865"/>
      <c r="K410" s="865"/>
      <c r="L410" s="865"/>
      <c r="M410" s="185" t="str">
        <f>IFERROR(INDEX('Controles de Corrupción'!$C$10:$AY$249,MATCH(A410,'Controles de Corrupción'!$B$10:$B$249,0),4),"")</f>
        <v/>
      </c>
      <c r="N410" s="70" t="str">
        <f>IFERROR(INDEX('Controles de Corrupción'!$C$10:$AY$249,MATCH(A410,'Controles de Corrupción'!$B$10:$B$249,0),40),"")</f>
        <v/>
      </c>
      <c r="O410" s="70" t="str">
        <f>IFERROR(INDEX('Controles de Corrupción'!$C$10:$AY$251,MATCH(A410,'Controles de Corrupción'!$B$10:$B$251,0),41),"")</f>
        <v/>
      </c>
      <c r="P410" s="70" t="str">
        <f>IFERROR(INDEX('Controles de Corrupción'!$C$10:$AY$251,MATCH(A410,'Controles de Corrupción'!$B$10:$B$251,0),42),"")</f>
        <v/>
      </c>
      <c r="Q410" s="186" t="str">
        <f>IFERROR(INDEX('Controles de Corrupción'!$C$10:$AY$251,MATCH(A410,'Controles de Corrupción'!$B$10:$B$251,0),47),"")</f>
        <v/>
      </c>
    </row>
    <row r="411" spans="1:17" x14ac:dyDescent="0.25">
      <c r="A411" s="115" t="s">
        <v>643</v>
      </c>
      <c r="B411" s="1014"/>
      <c r="C411" s="1017"/>
      <c r="D411" s="861"/>
      <c r="E411" s="1019"/>
      <c r="F411" s="865"/>
      <c r="G411" s="865"/>
      <c r="H411" s="867"/>
      <c r="I411" s="865"/>
      <c r="J411" s="865"/>
      <c r="K411" s="865"/>
      <c r="L411" s="865"/>
      <c r="M411" s="185" t="str">
        <f>IFERROR(INDEX('Controles de Corrupción'!$C$10:$AY$249,MATCH(A411,'Controles de Corrupción'!$B$10:$B$249,0),4),"")</f>
        <v/>
      </c>
      <c r="N411" s="70" t="str">
        <f>IFERROR(INDEX('Controles de Corrupción'!$C$10:$AY$249,MATCH(A411,'Controles de Corrupción'!$B$10:$B$249,0),40),"")</f>
        <v/>
      </c>
      <c r="O411" s="70" t="str">
        <f>IFERROR(INDEX('Controles de Corrupción'!$C$10:$AY$251,MATCH(A411,'Controles de Corrupción'!$B$10:$B$251,0),41),"")</f>
        <v/>
      </c>
      <c r="P411" s="70" t="str">
        <f>IFERROR(INDEX('Controles de Corrupción'!$C$10:$AY$251,MATCH(A411,'Controles de Corrupción'!$B$10:$B$251,0),42),"")</f>
        <v/>
      </c>
      <c r="Q411" s="186" t="str">
        <f>IFERROR(INDEX('Controles de Corrupción'!$C$10:$AY$251,MATCH(A411,'Controles de Corrupción'!$B$10:$B$251,0),47),"")</f>
        <v/>
      </c>
    </row>
    <row r="412" spans="1:17" x14ac:dyDescent="0.25">
      <c r="A412" s="115" t="s">
        <v>644</v>
      </c>
      <c r="B412" s="1014"/>
      <c r="C412" s="1017"/>
      <c r="D412" s="861"/>
      <c r="E412" s="1019"/>
      <c r="F412" s="865"/>
      <c r="G412" s="865"/>
      <c r="H412" s="867"/>
      <c r="I412" s="865"/>
      <c r="J412" s="865"/>
      <c r="K412" s="865"/>
      <c r="L412" s="865"/>
      <c r="M412" s="185" t="str">
        <f>IFERROR(INDEX('Controles de Corrupción'!$C$10:$AY$249,MATCH(A412,'Controles de Corrupción'!$B$10:$B$249,0),4),"")</f>
        <v/>
      </c>
      <c r="N412" s="70" t="str">
        <f>IFERROR(INDEX('Controles de Corrupción'!$C$10:$AY$249,MATCH(A412,'Controles de Corrupción'!$B$10:$B$249,0),40),"")</f>
        <v/>
      </c>
      <c r="O412" s="70" t="str">
        <f>IFERROR(INDEX('Controles de Corrupción'!$C$10:$AY$251,MATCH(A412,'Controles de Corrupción'!$B$10:$B$251,0),41),"")</f>
        <v/>
      </c>
      <c r="P412" s="70" t="str">
        <f>IFERROR(INDEX('Controles de Corrupción'!$C$10:$AY$251,MATCH(A412,'Controles de Corrupción'!$B$10:$B$251,0),42),"")</f>
        <v/>
      </c>
      <c r="Q412" s="186" t="str">
        <f>IFERROR(INDEX('Controles de Corrupción'!$C$10:$AY$251,MATCH(A412,'Controles de Corrupción'!$B$10:$B$251,0),47),"")</f>
        <v/>
      </c>
    </row>
    <row r="413" spans="1:17" x14ac:dyDescent="0.25">
      <c r="A413" s="115" t="s">
        <v>645</v>
      </c>
      <c r="B413" s="1014"/>
      <c r="C413" s="1017"/>
      <c r="D413" s="861"/>
      <c r="E413" s="1019"/>
      <c r="F413" s="865"/>
      <c r="G413" s="865"/>
      <c r="H413" s="867"/>
      <c r="I413" s="865"/>
      <c r="J413" s="865"/>
      <c r="K413" s="865"/>
      <c r="L413" s="865"/>
      <c r="M413" s="185" t="str">
        <f>IFERROR(INDEX('Controles de Corrupción'!$C$10:$AY$249,MATCH(A413,'Controles de Corrupción'!$B$10:$B$249,0),4),"")</f>
        <v/>
      </c>
      <c r="N413" s="70" t="str">
        <f>IFERROR(INDEX('Controles de Corrupción'!$C$10:$AY$249,MATCH(A413,'Controles de Corrupción'!$B$10:$B$249,0),40),"")</f>
        <v/>
      </c>
      <c r="O413" s="70" t="str">
        <f>IFERROR(INDEX('Controles de Corrupción'!$C$10:$AY$251,MATCH(A413,'Controles de Corrupción'!$B$10:$B$251,0),41),"")</f>
        <v/>
      </c>
      <c r="P413" s="70" t="str">
        <f>IFERROR(INDEX('Controles de Corrupción'!$C$10:$AY$251,MATCH(A413,'Controles de Corrupción'!$B$10:$B$251,0),42),"")</f>
        <v/>
      </c>
      <c r="Q413" s="186" t="str">
        <f>IFERROR(INDEX('Controles de Corrupción'!$C$10:$AY$251,MATCH(A413,'Controles de Corrupción'!$B$10:$B$251,0),47),"")</f>
        <v/>
      </c>
    </row>
    <row r="414" spans="1:17" x14ac:dyDescent="0.25">
      <c r="A414" s="115" t="s">
        <v>646</v>
      </c>
      <c r="B414" s="1015"/>
      <c r="C414" s="1017"/>
      <c r="D414" s="861"/>
      <c r="E414" s="1019"/>
      <c r="F414" s="865"/>
      <c r="G414" s="865"/>
      <c r="H414" s="867"/>
      <c r="I414" s="865"/>
      <c r="J414" s="865"/>
      <c r="K414" s="865"/>
      <c r="L414" s="865"/>
      <c r="M414" s="185" t="str">
        <f>IFERROR(INDEX('Controles de Corrupción'!$C$10:$AY$249,MATCH(A414,'Controles de Corrupción'!$B$10:$B$249,0),4),"")</f>
        <v/>
      </c>
      <c r="N414" s="70" t="str">
        <f>IFERROR(INDEX('Controles de Corrupción'!$C$10:$AY$249,MATCH(A414,'Controles de Corrupción'!$B$10:$B$249,0),40),"")</f>
        <v/>
      </c>
      <c r="O414" s="70" t="str">
        <f>IFERROR(INDEX('Controles de Corrupción'!$C$10:$AY$251,MATCH(A414,'Controles de Corrupción'!$B$10:$B$251,0),41),"")</f>
        <v/>
      </c>
      <c r="P414" s="70" t="str">
        <f>IFERROR(INDEX('Controles de Corrupción'!$C$10:$AY$251,MATCH(A414,'Controles de Corrupción'!$B$10:$B$251,0),42),"")</f>
        <v/>
      </c>
      <c r="Q414" s="186" t="str">
        <f>IFERROR(INDEX('Controles de Corrupción'!$C$10:$AY$251,MATCH(A414,'Controles de Corrupción'!$B$10:$B$251,0),47),"")</f>
        <v/>
      </c>
    </row>
    <row r="415" spans="1:17" x14ac:dyDescent="0.25">
      <c r="A415" s="115" t="s">
        <v>647</v>
      </c>
      <c r="B415" s="1013"/>
      <c r="C415" s="1016" t="str">
        <f>IFERROR(INDEX('Riesgos de Corrupción'!$B$11:$BN$100,MATCH('Mapa Riesgo Corrupción'!B415,'Riesgos de Corrupción'!$B$11:$B$100,0),2),"")</f>
        <v/>
      </c>
      <c r="D415" s="860" t="str">
        <f>IFERROR(INDEX('Riesgos de Corrupción'!$B$11:$BN$100,MATCH('Mapa Riesgo Corrupción'!B415,'Riesgos de Corrupción'!$B$11:$B$100,0),4),"")</f>
        <v/>
      </c>
      <c r="E415" s="1018" t="str">
        <f>IFERROR(INDEX('Riesgos de Corrupción'!$B$11:$BN$100,MATCH('Mapa Riesgo Corrupción'!B415,'Riesgos de Corrupción'!$B$11:$B$100,0),5),"")</f>
        <v/>
      </c>
      <c r="F415" s="865" t="str">
        <f>IFERROR(INDEX('Riesgos de Corrupción'!$B$11:$BN$100,MATCH('Mapa Riesgo Corrupción'!B415,'Riesgos de Corrupción'!$B$11:$B$100,0),18),"")</f>
        <v/>
      </c>
      <c r="G415" s="865" t="str">
        <f>IFERROR(INDEX('Riesgos de Corrupción'!$B$11:$BN$100,MATCH('Mapa Riesgo Corrupción'!B415,'Riesgos de Corrupción'!$B$11:$B$100,0),63),"")</f>
        <v/>
      </c>
      <c r="H415" s="867" t="str">
        <f>IFERROR(INDEX('Riesgos de Corrupción'!$B$11:$BN$100,MATCH('Mapa Riesgo Corrupción'!B415,'Riesgos de Corrupción'!$B$11:$B$100,0),64),"")</f>
        <v/>
      </c>
      <c r="I415" s="865" t="str">
        <f>IFERROR(INDEX('Controles de Corrupción'!$C$10:$AY$251,MATCH('Mapa Riesgo Corrupción'!B415,'Controles de Corrupción'!#REF!,0),33),"")</f>
        <v/>
      </c>
      <c r="J415" s="865" t="str">
        <f>IFERROR(INDEX('Controles de Corrupción'!$C$10:$AY$251,MATCH('Mapa Riesgo Corrupción'!B415,'Controles de Corrupción'!#REF!,0),36),"")</f>
        <v/>
      </c>
      <c r="K415" s="865" t="str">
        <f>IFERROR(INDEX('Controles de Corrupción'!$C$10:$AY$251,MATCH('Mapa Riesgo Corrupción'!B415,'Controles de Corrupción'!#REF!,0),37),"")</f>
        <v/>
      </c>
      <c r="L415" s="865" t="str">
        <f>IFERROR(INDEX('Controles de Corrupción'!$C$10:$AY$251,MATCH('Mapa Riesgo Corrupción'!B415,'Controles de Corrupción'!#REF!,0),38),"")</f>
        <v/>
      </c>
      <c r="M415" s="185" t="str">
        <f>IFERROR(INDEX('Controles de Corrupción'!$C$10:$AY$249,MATCH(A415,'Controles de Corrupción'!$B$10:$B$249,0),4),"")</f>
        <v/>
      </c>
      <c r="N415" s="70" t="str">
        <f>IFERROR(INDEX('Controles de Corrupción'!$C$10:$AY$249,MATCH(A415,'Controles de Corrupción'!$B$10:$B$249,0),40),"")</f>
        <v/>
      </c>
      <c r="O415" s="70" t="str">
        <f>IFERROR(INDEX('Controles de Corrupción'!$C$10:$AY$251,MATCH(A415,'Controles de Corrupción'!$B$10:$B$251,0),41),"")</f>
        <v/>
      </c>
      <c r="P415" s="70" t="str">
        <f>IFERROR(INDEX('Controles de Corrupción'!$C$10:$AY$251,MATCH(A415,'Controles de Corrupción'!$B$10:$B$251,0),42),"")</f>
        <v/>
      </c>
      <c r="Q415" s="186" t="str">
        <f>IFERROR(INDEX('Controles de Corrupción'!$C$10:$AY$251,MATCH(A415,'Controles de Corrupción'!$B$10:$B$251,0),47),"")</f>
        <v/>
      </c>
    </row>
    <row r="416" spans="1:17" x14ac:dyDescent="0.25">
      <c r="A416" s="115" t="s">
        <v>648</v>
      </c>
      <c r="B416" s="1014"/>
      <c r="C416" s="1017"/>
      <c r="D416" s="861"/>
      <c r="E416" s="1019"/>
      <c r="F416" s="865"/>
      <c r="G416" s="865"/>
      <c r="H416" s="867"/>
      <c r="I416" s="865"/>
      <c r="J416" s="865"/>
      <c r="K416" s="865"/>
      <c r="L416" s="865"/>
      <c r="M416" s="185" t="str">
        <f>IFERROR(INDEX('Controles de Corrupción'!$C$10:$AY$249,MATCH(A416,'Controles de Corrupción'!$B$10:$B$249,0),4),"")</f>
        <v/>
      </c>
      <c r="N416" s="70" t="str">
        <f>IFERROR(INDEX('Controles de Corrupción'!$C$10:$AY$249,MATCH(A416,'Controles de Corrupción'!$B$10:$B$249,0),40),"")</f>
        <v/>
      </c>
      <c r="O416" s="70" t="str">
        <f>IFERROR(INDEX('Controles de Corrupción'!$C$10:$AY$251,MATCH(A416,'Controles de Corrupción'!$B$10:$B$251,0),41),"")</f>
        <v/>
      </c>
      <c r="P416" s="70" t="str">
        <f>IFERROR(INDEX('Controles de Corrupción'!$C$10:$AY$251,MATCH(A416,'Controles de Corrupción'!$B$10:$B$251,0),42),"")</f>
        <v/>
      </c>
      <c r="Q416" s="186" t="str">
        <f>IFERROR(INDEX('Controles de Corrupción'!$C$10:$AY$251,MATCH(A416,'Controles de Corrupción'!$B$10:$B$251,0),47),"")</f>
        <v/>
      </c>
    </row>
    <row r="417" spans="1:18" x14ac:dyDescent="0.25">
      <c r="A417" s="115" t="s">
        <v>649</v>
      </c>
      <c r="B417" s="1014"/>
      <c r="C417" s="1017"/>
      <c r="D417" s="861"/>
      <c r="E417" s="1019"/>
      <c r="F417" s="865"/>
      <c r="G417" s="865"/>
      <c r="H417" s="867"/>
      <c r="I417" s="865"/>
      <c r="J417" s="865"/>
      <c r="K417" s="865"/>
      <c r="L417" s="865"/>
      <c r="M417" s="185" t="str">
        <f>IFERROR(INDEX('Controles de Corrupción'!$C$10:$AY$249,MATCH(A417,'Controles de Corrupción'!$B$10:$B$249,0),4),"")</f>
        <v/>
      </c>
      <c r="N417" s="70" t="str">
        <f>IFERROR(INDEX('Controles de Corrupción'!$C$10:$AY$249,MATCH(A417,'Controles de Corrupción'!$B$10:$B$249,0),40),"")</f>
        <v/>
      </c>
      <c r="O417" s="70" t="str">
        <f>IFERROR(INDEX('Controles de Corrupción'!$C$10:$AY$251,MATCH(A417,'Controles de Corrupción'!$B$10:$B$251,0),41),"")</f>
        <v/>
      </c>
      <c r="P417" s="70" t="str">
        <f>IFERROR(INDEX('Controles de Corrupción'!$C$10:$AY$251,MATCH(A417,'Controles de Corrupción'!$B$10:$B$251,0),42),"")</f>
        <v/>
      </c>
      <c r="Q417" s="186" t="str">
        <f>IFERROR(INDEX('Controles de Corrupción'!$C$10:$AY$251,MATCH(A417,'Controles de Corrupción'!$B$10:$B$251,0),47),"")</f>
        <v/>
      </c>
    </row>
    <row r="418" spans="1:18" x14ac:dyDescent="0.25">
      <c r="A418" s="115" t="s">
        <v>650</v>
      </c>
      <c r="B418" s="1014"/>
      <c r="C418" s="1017"/>
      <c r="D418" s="861"/>
      <c r="E418" s="1019"/>
      <c r="F418" s="865"/>
      <c r="G418" s="865"/>
      <c r="H418" s="867"/>
      <c r="I418" s="865"/>
      <c r="J418" s="865"/>
      <c r="K418" s="865"/>
      <c r="L418" s="865"/>
      <c r="M418" s="185" t="str">
        <f>IFERROR(INDEX('Controles de Corrupción'!$C$10:$AY$249,MATCH(A418,'Controles de Corrupción'!$B$10:$B$249,0),4),"")</f>
        <v/>
      </c>
      <c r="N418" s="70" t="str">
        <f>IFERROR(INDEX('Controles de Corrupción'!$C$10:$AY$249,MATCH(A418,'Controles de Corrupción'!$B$10:$B$249,0),40),"")</f>
        <v/>
      </c>
      <c r="O418" s="70" t="str">
        <f>IFERROR(INDEX('Controles de Corrupción'!$C$10:$AY$251,MATCH(A418,'Controles de Corrupción'!$B$10:$B$251,0),41),"")</f>
        <v/>
      </c>
      <c r="P418" s="70" t="str">
        <f>IFERROR(INDEX('Controles de Corrupción'!$C$10:$AY$251,MATCH(A418,'Controles de Corrupción'!$B$10:$B$251,0),42),"")</f>
        <v/>
      </c>
      <c r="Q418" s="186" t="str">
        <f>IFERROR(INDEX('Controles de Corrupción'!$C$10:$AY$251,MATCH(A418,'Controles de Corrupción'!$B$10:$B$251,0),47),"")</f>
        <v/>
      </c>
    </row>
    <row r="419" spans="1:18" x14ac:dyDescent="0.25">
      <c r="A419" s="115" t="s">
        <v>651</v>
      </c>
      <c r="B419" s="1014"/>
      <c r="C419" s="1017"/>
      <c r="D419" s="861"/>
      <c r="E419" s="1019"/>
      <c r="F419" s="865"/>
      <c r="G419" s="865"/>
      <c r="H419" s="867"/>
      <c r="I419" s="865"/>
      <c r="J419" s="865"/>
      <c r="K419" s="865"/>
      <c r="L419" s="865"/>
      <c r="M419" s="185" t="str">
        <f>IFERROR(INDEX('Controles de Corrupción'!$C$10:$AY$249,MATCH(A419,'Controles de Corrupción'!$B$10:$B$249,0),4),"")</f>
        <v/>
      </c>
      <c r="N419" s="70" t="str">
        <f>IFERROR(INDEX('Controles de Corrupción'!$C$10:$AY$249,MATCH(A419,'Controles de Corrupción'!$B$10:$B$249,0),40),"")</f>
        <v/>
      </c>
      <c r="O419" s="70" t="str">
        <f>IFERROR(INDEX('Controles de Corrupción'!$C$10:$AY$251,MATCH(A419,'Controles de Corrupción'!$B$10:$B$251,0),41),"")</f>
        <v/>
      </c>
      <c r="P419" s="70" t="str">
        <f>IFERROR(INDEX('Controles de Corrupción'!$C$10:$AY$251,MATCH(A419,'Controles de Corrupción'!$B$10:$B$251,0),42),"")</f>
        <v/>
      </c>
      <c r="Q419" s="186" t="str">
        <f>IFERROR(INDEX('Controles de Corrupción'!$C$10:$AY$251,MATCH(A419,'Controles de Corrupción'!$B$10:$B$251,0),47),"")</f>
        <v/>
      </c>
    </row>
    <row r="420" spans="1:18" x14ac:dyDescent="0.25">
      <c r="A420" s="115" t="s">
        <v>652</v>
      </c>
      <c r="B420" s="1015"/>
      <c r="C420" s="1017"/>
      <c r="D420" s="861"/>
      <c r="E420" s="1019"/>
      <c r="F420" s="865"/>
      <c r="G420" s="865"/>
      <c r="H420" s="867"/>
      <c r="I420" s="865"/>
      <c r="J420" s="865"/>
      <c r="K420" s="865"/>
      <c r="L420" s="865"/>
      <c r="M420" s="185" t="str">
        <f>IFERROR(INDEX('Controles de Corrupción'!$C$10:$AY$249,MATCH(A420,'Controles de Corrupción'!$B$10:$B$249,0),4),"")</f>
        <v/>
      </c>
      <c r="N420" s="70" t="str">
        <f>IFERROR(INDEX('Controles de Corrupción'!$C$10:$AY$249,MATCH(A420,'Controles de Corrupción'!$B$10:$B$249,0),40),"")</f>
        <v/>
      </c>
      <c r="O420" s="70" t="str">
        <f>IFERROR(INDEX('Controles de Corrupción'!$C$10:$AY$251,MATCH(A420,'Controles de Corrupción'!$B$10:$B$251,0),41),"")</f>
        <v/>
      </c>
      <c r="P420" s="70" t="str">
        <f>IFERROR(INDEX('Controles de Corrupción'!$C$10:$AY$251,MATCH(A420,'Controles de Corrupción'!$B$10:$B$251,0),42),"")</f>
        <v/>
      </c>
      <c r="Q420" s="186" t="str">
        <f>IFERROR(INDEX('Controles de Corrupción'!$C$10:$AY$251,MATCH(A420,'Controles de Corrupción'!$B$10:$B$251,0),47),"")</f>
        <v/>
      </c>
    </row>
    <row r="421" spans="1:18" x14ac:dyDescent="0.25">
      <c r="A421" s="115" t="s">
        <v>653</v>
      </c>
      <c r="B421" s="1013"/>
      <c r="C421" s="1016" t="str">
        <f>IFERROR(INDEX('Riesgos de Corrupción'!$B$11:$BN$100,MATCH('Mapa Riesgo Corrupción'!B421,'Riesgos de Corrupción'!$B$11:$B$100,0),2),"")</f>
        <v/>
      </c>
      <c r="D421" s="860" t="str">
        <f>IFERROR(INDEX('Riesgos de Corrupción'!$B$11:$BN$100,MATCH('Mapa Riesgo Corrupción'!B421,'Riesgos de Corrupción'!$B$11:$B$100,0),4),"")</f>
        <v/>
      </c>
      <c r="E421" s="1018" t="str">
        <f>IFERROR(INDEX('Riesgos de Corrupción'!$B$11:$BN$100,MATCH('Mapa Riesgo Corrupción'!B421,'Riesgos de Corrupción'!$B$11:$B$100,0),5),"")</f>
        <v/>
      </c>
      <c r="F421" s="865" t="str">
        <f>IFERROR(INDEX('Riesgos de Corrupción'!$B$11:$BN$100,MATCH('Mapa Riesgo Corrupción'!B421,'Riesgos de Corrupción'!$B$11:$B$100,0),18),"")</f>
        <v/>
      </c>
      <c r="G421" s="865" t="str">
        <f>IFERROR(INDEX('Riesgos de Corrupción'!$B$11:$BN$100,MATCH('Mapa Riesgo Corrupción'!B421,'Riesgos de Corrupción'!$B$11:$B$100,0),63),"")</f>
        <v/>
      </c>
      <c r="H421" s="867" t="str">
        <f>IFERROR(INDEX('Riesgos de Corrupción'!$B$11:$BN$100,MATCH('Mapa Riesgo Corrupción'!B421,'Riesgos de Corrupción'!$B$11:$B$100,0),64),"")</f>
        <v/>
      </c>
      <c r="I421" s="865" t="str">
        <f>IFERROR(INDEX('Controles de Corrupción'!$C$10:$AY$251,MATCH('Mapa Riesgo Corrupción'!B421,'Controles de Corrupción'!#REF!,0),33),"")</f>
        <v/>
      </c>
      <c r="J421" s="865" t="str">
        <f>IFERROR(INDEX('Controles de Corrupción'!$C$10:$AY$251,MATCH('Mapa Riesgo Corrupción'!B421,'Controles de Corrupción'!#REF!,0),36),"")</f>
        <v/>
      </c>
      <c r="K421" s="865" t="str">
        <f>IFERROR(INDEX('Controles de Corrupción'!$C$10:$AY$251,MATCH('Mapa Riesgo Corrupción'!B421,'Controles de Corrupción'!#REF!,0),37),"")</f>
        <v/>
      </c>
      <c r="L421" s="865" t="str">
        <f>IFERROR(INDEX('Controles de Corrupción'!$C$10:$AY$251,MATCH('Mapa Riesgo Corrupción'!B421,'Controles de Corrupción'!#REF!,0),38),"")</f>
        <v/>
      </c>
      <c r="M421" s="185" t="str">
        <f>IFERROR(INDEX('Controles de Corrupción'!$C$10:$AY$249,MATCH(A421,'Controles de Corrupción'!$B$10:$B$249,0),4),"")</f>
        <v/>
      </c>
      <c r="N421" s="70" t="str">
        <f>IFERROR(INDEX('Controles de Corrupción'!$C$10:$AY$249,MATCH(A421,'Controles de Corrupción'!$B$10:$B$249,0),40),"")</f>
        <v/>
      </c>
      <c r="O421" s="70" t="str">
        <f>IFERROR(INDEX('Controles de Corrupción'!$C$10:$AY$251,MATCH(A421,'Controles de Corrupción'!$B$10:$B$251,0),41),"")</f>
        <v/>
      </c>
      <c r="P421" s="70" t="str">
        <f>IFERROR(INDEX('Controles de Corrupción'!$C$10:$AY$251,MATCH(A421,'Controles de Corrupción'!$B$10:$B$251,0),42),"")</f>
        <v/>
      </c>
      <c r="Q421" s="186" t="str">
        <f>IFERROR(INDEX('Controles de Corrupción'!$C$10:$AY$251,MATCH(A421,'Controles de Corrupción'!$B$10:$B$251,0),47),"")</f>
        <v/>
      </c>
    </row>
    <row r="422" spans="1:18" x14ac:dyDescent="0.25">
      <c r="A422" s="115" t="s">
        <v>654</v>
      </c>
      <c r="B422" s="1014"/>
      <c r="C422" s="1017"/>
      <c r="D422" s="861"/>
      <c r="E422" s="1019"/>
      <c r="F422" s="865"/>
      <c r="G422" s="865"/>
      <c r="H422" s="867"/>
      <c r="I422" s="865"/>
      <c r="J422" s="865"/>
      <c r="K422" s="865"/>
      <c r="L422" s="865"/>
      <c r="M422" s="185" t="str">
        <f>IFERROR(INDEX('Controles de Corrupción'!$C$10:$AY$249,MATCH(A422,'Controles de Corrupción'!$B$10:$B$249,0),4),"")</f>
        <v/>
      </c>
      <c r="N422" s="70" t="str">
        <f>IFERROR(INDEX('Controles de Corrupción'!$C$10:$AY$249,MATCH(A422,'Controles de Corrupción'!$B$10:$B$249,0),40),"")</f>
        <v/>
      </c>
      <c r="O422" s="70" t="str">
        <f>IFERROR(INDEX('Controles de Corrupción'!$C$10:$AY$251,MATCH(A422,'Controles de Corrupción'!$B$10:$B$251,0),41),"")</f>
        <v/>
      </c>
      <c r="P422" s="70" t="str">
        <f>IFERROR(INDEX('Controles de Corrupción'!$C$10:$AY$251,MATCH(A422,'Controles de Corrupción'!$B$10:$B$251,0),42),"")</f>
        <v/>
      </c>
      <c r="Q422" s="186" t="str">
        <f>IFERROR(INDEX('Controles de Corrupción'!$C$10:$AY$251,MATCH(A422,'Controles de Corrupción'!$B$10:$B$251,0),47),"")</f>
        <v/>
      </c>
    </row>
    <row r="423" spans="1:18" x14ac:dyDescent="0.25">
      <c r="A423" s="115" t="s">
        <v>655</v>
      </c>
      <c r="B423" s="1014"/>
      <c r="C423" s="1017"/>
      <c r="D423" s="861"/>
      <c r="E423" s="1019"/>
      <c r="F423" s="865"/>
      <c r="G423" s="865"/>
      <c r="H423" s="867"/>
      <c r="I423" s="865"/>
      <c r="J423" s="865"/>
      <c r="K423" s="865"/>
      <c r="L423" s="865"/>
      <c r="M423" s="185" t="str">
        <f>IFERROR(INDEX('Controles de Corrupción'!$C$10:$AY$249,MATCH(A423,'Controles de Corrupción'!$B$10:$B$249,0),4),"")</f>
        <v/>
      </c>
      <c r="N423" s="70" t="str">
        <f>IFERROR(INDEX('Controles de Corrupción'!$C$10:$AY$249,MATCH(A423,'Controles de Corrupción'!$B$10:$B$249,0),40),"")</f>
        <v/>
      </c>
      <c r="O423" s="70" t="str">
        <f>IFERROR(INDEX('Controles de Corrupción'!$C$10:$AY$251,MATCH(A423,'Controles de Corrupción'!$B$10:$B$251,0),41),"")</f>
        <v/>
      </c>
      <c r="P423" s="70" t="str">
        <f>IFERROR(INDEX('Controles de Corrupción'!$C$10:$AY$251,MATCH(A423,'Controles de Corrupción'!$B$10:$B$251,0),42),"")</f>
        <v/>
      </c>
      <c r="Q423" s="186" t="str">
        <f>IFERROR(INDEX('Controles de Corrupción'!$C$10:$AY$251,MATCH(A423,'Controles de Corrupción'!$B$10:$B$251,0),47),"")</f>
        <v/>
      </c>
    </row>
    <row r="424" spans="1:18" x14ac:dyDescent="0.25">
      <c r="A424" s="115" t="s">
        <v>656</v>
      </c>
      <c r="B424" s="1014"/>
      <c r="C424" s="1017"/>
      <c r="D424" s="861"/>
      <c r="E424" s="1019"/>
      <c r="F424" s="865"/>
      <c r="G424" s="865"/>
      <c r="H424" s="867"/>
      <c r="I424" s="865"/>
      <c r="J424" s="865"/>
      <c r="K424" s="865"/>
      <c r="L424" s="865"/>
      <c r="M424" s="185" t="str">
        <f>IFERROR(INDEX('Controles de Corrupción'!$C$10:$AY$249,MATCH(A424,'Controles de Corrupción'!$B$10:$B$249,0),4),"")</f>
        <v/>
      </c>
      <c r="N424" s="70" t="str">
        <f>IFERROR(INDEX('Controles de Corrupción'!$C$10:$AY$249,MATCH(A424,'Controles de Corrupción'!$B$10:$B$249,0),40),"")</f>
        <v/>
      </c>
      <c r="O424" s="70" t="str">
        <f>IFERROR(INDEX('Controles de Corrupción'!$C$10:$AY$251,MATCH(A424,'Controles de Corrupción'!$B$10:$B$251,0),41),"")</f>
        <v/>
      </c>
      <c r="P424" s="70" t="str">
        <f>IFERROR(INDEX('Controles de Corrupción'!$C$10:$AY$251,MATCH(A424,'Controles de Corrupción'!$B$10:$B$251,0),42),"")</f>
        <v/>
      </c>
      <c r="Q424" s="186" t="str">
        <f>IFERROR(INDEX('Controles de Corrupción'!$C$10:$AY$251,MATCH(A424,'Controles de Corrupción'!$B$10:$B$251,0),47),"")</f>
        <v/>
      </c>
    </row>
    <row r="425" spans="1:18" x14ac:dyDescent="0.25">
      <c r="A425" s="115" t="s">
        <v>657</v>
      </c>
      <c r="B425" s="1014"/>
      <c r="C425" s="1017"/>
      <c r="D425" s="861"/>
      <c r="E425" s="1019"/>
      <c r="F425" s="865"/>
      <c r="G425" s="865"/>
      <c r="H425" s="867"/>
      <c r="I425" s="865"/>
      <c r="J425" s="865"/>
      <c r="K425" s="865"/>
      <c r="L425" s="865"/>
      <c r="M425" s="185" t="str">
        <f>IFERROR(INDEX('Controles de Corrupción'!$C$10:$AY$249,MATCH(A425,'Controles de Corrupción'!$B$10:$B$249,0),4),"")</f>
        <v/>
      </c>
      <c r="N425" s="70" t="str">
        <f>IFERROR(INDEX('Controles de Corrupción'!$C$10:$AY$249,MATCH(A425,'Controles de Corrupción'!$B$10:$B$249,0),40),"")</f>
        <v/>
      </c>
      <c r="O425" s="70" t="str">
        <f>IFERROR(INDEX('Controles de Corrupción'!$C$10:$AY$251,MATCH(A425,'Controles de Corrupción'!$B$10:$B$251,0),41),"")</f>
        <v/>
      </c>
      <c r="P425" s="70" t="str">
        <f>IFERROR(INDEX('Controles de Corrupción'!$C$10:$AY$251,MATCH(A425,'Controles de Corrupción'!$B$10:$B$251,0),42),"")</f>
        <v/>
      </c>
      <c r="Q425" s="186" t="str">
        <f>IFERROR(INDEX('Controles de Corrupción'!$C$10:$AY$251,MATCH(A425,'Controles de Corrupción'!$B$10:$B$251,0),47),"")</f>
        <v/>
      </c>
    </row>
    <row r="426" spans="1:18" x14ac:dyDescent="0.25">
      <c r="A426" s="115" t="s">
        <v>658</v>
      </c>
      <c r="B426" s="1015"/>
      <c r="C426" s="1017"/>
      <c r="D426" s="861"/>
      <c r="E426" s="1019"/>
      <c r="F426" s="865"/>
      <c r="G426" s="865"/>
      <c r="H426" s="867"/>
      <c r="I426" s="865"/>
      <c r="J426" s="865"/>
      <c r="K426" s="865"/>
      <c r="L426" s="865"/>
      <c r="M426" s="185" t="str">
        <f>IFERROR(INDEX('Controles de Corrupción'!$C$10:$AY$249,MATCH(A426,'Controles de Corrupción'!$B$10:$B$249,0),4),"")</f>
        <v/>
      </c>
      <c r="N426" s="70" t="str">
        <f>IFERROR(INDEX('Controles de Corrupción'!$C$10:$AY$249,MATCH(A426,'Controles de Corrupción'!$B$10:$B$249,0),40),"")</f>
        <v/>
      </c>
      <c r="O426" s="70" t="str">
        <f>IFERROR(INDEX('Controles de Corrupción'!$C$10:$AY$251,MATCH(A426,'Controles de Corrupción'!$B$10:$B$251,0),41),"")</f>
        <v/>
      </c>
      <c r="P426" s="70" t="str">
        <f>IFERROR(INDEX('Controles de Corrupción'!$C$10:$AY$251,MATCH(A426,'Controles de Corrupción'!$B$10:$B$251,0),42),"")</f>
        <v/>
      </c>
      <c r="Q426" s="186" t="str">
        <f>IFERROR(INDEX('Controles de Corrupción'!$C$10:$AY$251,MATCH(A426,'Controles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v+8NLuETloIbZ/4bt+5C/GUuTyBFaMrfxggYEsYihkWUWdiPIoMuSMOvJTmQ/rp9DUFAnHrcd2jItUmIzdBxw==" saltValue="PanBOCQYJPtmWMWple/Vxw=="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zoomScale="70" zoomScaleNormal="70" workbookViewId="0">
      <selection activeCell="E4" sqref="E4:R4"/>
    </sheetView>
  </sheetViews>
  <sheetFormatPr baseColWidth="10" defaultColWidth="11.42578125" defaultRowHeight="16.5" x14ac:dyDescent="0.3"/>
  <cols>
    <col min="1" max="1" width="4" style="245" bestFit="1" customWidth="1"/>
    <col min="2" max="2" width="21.28515625" style="245" customWidth="1"/>
    <col min="3" max="3" width="25.5703125" style="245" customWidth="1"/>
    <col min="4" max="4" width="20.85546875" style="245" customWidth="1"/>
    <col min="5" max="5" width="34.5703125" style="245" customWidth="1"/>
    <col min="6" max="6" width="32.5703125" style="245" customWidth="1"/>
    <col min="7" max="7" width="38.42578125" style="219" customWidth="1"/>
    <col min="8" max="9" width="19" style="246" customWidth="1"/>
    <col min="10" max="10" width="25" style="246" customWidth="1"/>
    <col min="11" max="11" width="17.85546875" style="219" customWidth="1"/>
    <col min="12" max="12" width="16.5703125" style="219" customWidth="1"/>
    <col min="13" max="13" width="6.28515625" style="219" bestFit="1" customWidth="1"/>
    <col min="14" max="14" width="27.28515625" style="219" bestFit="1" customWidth="1"/>
    <col min="15" max="15" width="30.5703125" style="219" hidden="1" customWidth="1"/>
    <col min="16" max="16" width="17.5703125" style="219" customWidth="1"/>
    <col min="17" max="17" width="6.28515625" style="219" bestFit="1" customWidth="1"/>
    <col min="18" max="18" width="16" style="219" customWidth="1"/>
    <col min="19" max="19" width="5.85546875" style="219" customWidth="1"/>
    <col min="20" max="20" width="67.85546875" style="219" customWidth="1"/>
    <col min="21" max="21" width="15.140625" style="219" customWidth="1"/>
    <col min="22" max="22" width="6.85546875" style="219" customWidth="1"/>
    <col min="23" max="23" width="5" style="219" customWidth="1"/>
    <col min="24" max="24" width="5.5703125" style="219" customWidth="1"/>
    <col min="25" max="25" width="7.140625" style="219" customWidth="1"/>
    <col min="26" max="26" width="6.7109375" style="219" customWidth="1"/>
    <col min="27" max="27" width="7.5703125" style="219" customWidth="1"/>
    <col min="28" max="28" width="38.28515625" style="219" hidden="1" customWidth="1"/>
    <col min="29" max="29" width="8.7109375" style="219" customWidth="1"/>
    <col min="30" max="30" width="10.42578125" style="219" customWidth="1"/>
    <col min="31" max="31" width="9.28515625" style="219" customWidth="1"/>
    <col min="32" max="32" width="9.140625" style="219" customWidth="1"/>
    <col min="33" max="33" width="8.42578125" style="219" customWidth="1"/>
    <col min="34" max="34" width="7.28515625" style="219" customWidth="1"/>
    <col min="35" max="35" width="45.140625" style="219" customWidth="1"/>
    <col min="36" max="36" width="18.85546875" style="219" customWidth="1"/>
    <col min="37" max="37" width="29.42578125" style="219" customWidth="1"/>
    <col min="38" max="38" width="25.42578125" style="219" customWidth="1"/>
    <col min="39" max="39" width="37.140625" style="219" customWidth="1"/>
    <col min="40" max="40" width="17.7109375" style="219" customWidth="1"/>
    <col min="41" max="41" width="83.7109375" style="219" customWidth="1"/>
    <col min="42" max="42" width="75.140625" style="557" customWidth="1"/>
    <col min="43" max="43" width="31.85546875" style="219" customWidth="1"/>
    <col min="44" max="16384" width="11.42578125" style="219"/>
  </cols>
  <sheetData>
    <row r="1" spans="1:71" s="218" customFormat="1" ht="134.44999999999999" customHeight="1" x14ac:dyDescent="0.3">
      <c r="A1" s="1027"/>
      <c r="B1" s="1028"/>
      <c r="C1" s="1028"/>
      <c r="D1" s="1028"/>
      <c r="E1" s="1028"/>
      <c r="F1" s="1028"/>
      <c r="G1" s="1028"/>
      <c r="H1" s="1028"/>
      <c r="I1" s="1028"/>
      <c r="J1" s="1028"/>
      <c r="K1" s="1028"/>
      <c r="L1" s="1028"/>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1028"/>
      <c r="AO1" s="1028"/>
      <c r="AP1" s="1028"/>
    </row>
    <row r="2" spans="1:71" s="218" customFormat="1" ht="24" customHeight="1" x14ac:dyDescent="0.3">
      <c r="A2" s="1029"/>
      <c r="B2" s="1030"/>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row>
    <row r="3" spans="1:71" x14ac:dyDescent="0.3">
      <c r="A3" s="220"/>
      <c r="B3" s="220"/>
      <c r="C3" s="220"/>
      <c r="D3" s="221"/>
      <c r="E3" s="220"/>
      <c r="F3" s="220"/>
      <c r="G3" s="218"/>
      <c r="H3" s="222"/>
      <c r="I3" s="222"/>
      <c r="J3" s="222"/>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row>
    <row r="4" spans="1:71" ht="26.45" customHeight="1" x14ac:dyDescent="0.3">
      <c r="A4" s="899" t="s">
        <v>126</v>
      </c>
      <c r="B4" s="906"/>
      <c r="C4" s="906"/>
      <c r="D4" s="900"/>
      <c r="E4" s="901" t="s">
        <v>127</v>
      </c>
      <c r="F4" s="902"/>
      <c r="G4" s="902"/>
      <c r="H4" s="902"/>
      <c r="I4" s="902"/>
      <c r="J4" s="902"/>
      <c r="K4" s="902"/>
      <c r="L4" s="902"/>
      <c r="M4" s="902"/>
      <c r="N4" s="902"/>
      <c r="O4" s="902"/>
      <c r="P4" s="902"/>
      <c r="Q4" s="902"/>
      <c r="R4" s="903"/>
      <c r="S4" s="1036"/>
      <c r="T4" s="1036"/>
      <c r="U4" s="1036"/>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row>
    <row r="5" spans="1:71" ht="50.25" customHeight="1" x14ac:dyDescent="0.3">
      <c r="A5" s="899" t="s">
        <v>128</v>
      </c>
      <c r="B5" s="906"/>
      <c r="C5" s="906"/>
      <c r="D5" s="906"/>
      <c r="E5" s="1025"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1026"/>
      <c r="G5" s="1026"/>
      <c r="H5" s="1026"/>
      <c r="I5" s="1026"/>
      <c r="J5" s="1026"/>
      <c r="K5" s="1026"/>
      <c r="L5" s="1026"/>
      <c r="M5" s="1026"/>
      <c r="N5" s="1026"/>
      <c r="O5" s="1026"/>
      <c r="P5" s="1026"/>
      <c r="Q5" s="1026"/>
      <c r="R5" s="1026"/>
      <c r="S5" s="1026"/>
      <c r="T5" s="1026"/>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row>
    <row r="6" spans="1:71" ht="49.7" customHeight="1" x14ac:dyDescent="0.3">
      <c r="A6" s="899" t="s">
        <v>129</v>
      </c>
      <c r="B6" s="906"/>
      <c r="C6" s="906"/>
      <c r="D6" s="906"/>
      <c r="E6" s="1025"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row>
    <row r="7" spans="1:71" x14ac:dyDescent="0.3">
      <c r="A7" s="1031" t="s">
        <v>130</v>
      </c>
      <c r="B7" s="1032"/>
      <c r="C7" s="1032"/>
      <c r="D7" s="1032"/>
      <c r="E7" s="1033"/>
      <c r="F7" s="1033"/>
      <c r="G7" s="1033"/>
      <c r="H7" s="1033"/>
      <c r="I7" s="1033"/>
      <c r="J7" s="1033"/>
      <c r="K7" s="1034"/>
      <c r="L7" s="1035" t="s">
        <v>131</v>
      </c>
      <c r="M7" s="1033"/>
      <c r="N7" s="1033"/>
      <c r="O7" s="1033"/>
      <c r="P7" s="1033"/>
      <c r="Q7" s="1033"/>
      <c r="R7" s="1034"/>
      <c r="S7" s="1035" t="s">
        <v>132</v>
      </c>
      <c r="T7" s="1033"/>
      <c r="U7" s="1033"/>
      <c r="V7" s="1033"/>
      <c r="W7" s="1033"/>
      <c r="X7" s="1033"/>
      <c r="Y7" s="1033"/>
      <c r="Z7" s="1033"/>
      <c r="AA7" s="1034"/>
      <c r="AB7" s="1035" t="s">
        <v>133</v>
      </c>
      <c r="AC7" s="1033"/>
      <c r="AD7" s="1033"/>
      <c r="AE7" s="1033"/>
      <c r="AF7" s="1033"/>
      <c r="AG7" s="1033"/>
      <c r="AH7" s="1034"/>
      <c r="AI7" s="1035" t="s">
        <v>134</v>
      </c>
      <c r="AJ7" s="1033"/>
      <c r="AK7" s="1033"/>
      <c r="AL7" s="1033"/>
      <c r="AM7" s="1033"/>
      <c r="AN7" s="1033"/>
      <c r="AO7" s="1023" t="s">
        <v>135</v>
      </c>
      <c r="AP7" s="1024"/>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row>
    <row r="8" spans="1:71" ht="16.5" customHeight="1" x14ac:dyDescent="0.3">
      <c r="A8" s="1044" t="s">
        <v>136</v>
      </c>
      <c r="B8" s="1046" t="s">
        <v>220</v>
      </c>
      <c r="C8" s="1046" t="s">
        <v>1304</v>
      </c>
      <c r="D8" s="1046" t="s">
        <v>81</v>
      </c>
      <c r="E8" s="1038" t="s">
        <v>83</v>
      </c>
      <c r="F8" s="1038" t="s">
        <v>85</v>
      </c>
      <c r="G8" s="1047" t="s">
        <v>87</v>
      </c>
      <c r="H8" s="1037" t="s">
        <v>154</v>
      </c>
      <c r="I8" s="1037" t="s">
        <v>1305</v>
      </c>
      <c r="J8" s="1037" t="s">
        <v>1306</v>
      </c>
      <c r="K8" s="1038" t="s">
        <v>137</v>
      </c>
      <c r="L8" s="1048" t="s">
        <v>138</v>
      </c>
      <c r="M8" s="1040" t="s">
        <v>139</v>
      </c>
      <c r="N8" s="1037" t="s">
        <v>140</v>
      </c>
      <c r="O8" s="1037" t="s">
        <v>141</v>
      </c>
      <c r="P8" s="1039" t="s">
        <v>142</v>
      </c>
      <c r="Q8" s="1040" t="s">
        <v>139</v>
      </c>
      <c r="R8" s="1038" t="s">
        <v>95</v>
      </c>
      <c r="S8" s="1042" t="s">
        <v>143</v>
      </c>
      <c r="T8" s="1041" t="s">
        <v>97</v>
      </c>
      <c r="U8" s="1037" t="s">
        <v>99</v>
      </c>
      <c r="V8" s="1041" t="s">
        <v>144</v>
      </c>
      <c r="W8" s="1041"/>
      <c r="X8" s="1041"/>
      <c r="Y8" s="1041"/>
      <c r="Z8" s="1041"/>
      <c r="AA8" s="1041"/>
      <c r="AB8" s="1049" t="s">
        <v>145</v>
      </c>
      <c r="AC8" s="1049" t="s">
        <v>146</v>
      </c>
      <c r="AD8" s="1049" t="s">
        <v>139</v>
      </c>
      <c r="AE8" s="1049" t="s">
        <v>147</v>
      </c>
      <c r="AF8" s="1049" t="s">
        <v>139</v>
      </c>
      <c r="AG8" s="1049" t="s">
        <v>148</v>
      </c>
      <c r="AH8" s="1042" t="s">
        <v>115</v>
      </c>
      <c r="AI8" s="1041" t="s">
        <v>134</v>
      </c>
      <c r="AJ8" s="1041" t="s">
        <v>149</v>
      </c>
      <c r="AK8" s="1041" t="s">
        <v>150</v>
      </c>
      <c r="AL8" s="1041" t="s">
        <v>151</v>
      </c>
      <c r="AM8" s="1041" t="s">
        <v>135</v>
      </c>
      <c r="AN8" s="1041" t="s">
        <v>119</v>
      </c>
      <c r="AO8" s="604" t="s">
        <v>152</v>
      </c>
      <c r="AP8" s="604" t="s">
        <v>153</v>
      </c>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row>
    <row r="9" spans="1:71" s="225" customFormat="1" ht="94.7" customHeight="1" x14ac:dyDescent="0.25">
      <c r="A9" s="1045"/>
      <c r="B9" s="1046" t="s">
        <v>220</v>
      </c>
      <c r="C9" s="1046"/>
      <c r="D9" s="1046"/>
      <c r="E9" s="1041"/>
      <c r="F9" s="1041"/>
      <c r="G9" s="1046"/>
      <c r="H9" s="1038"/>
      <c r="I9" s="1038" t="s">
        <v>1307</v>
      </c>
      <c r="J9" s="1038"/>
      <c r="K9" s="1041"/>
      <c r="L9" s="1038"/>
      <c r="M9" s="1035"/>
      <c r="N9" s="1038"/>
      <c r="O9" s="1038"/>
      <c r="P9" s="1035"/>
      <c r="Q9" s="1035"/>
      <c r="R9" s="1041"/>
      <c r="S9" s="1043"/>
      <c r="T9" s="1041"/>
      <c r="U9" s="1038"/>
      <c r="V9" s="223" t="s">
        <v>154</v>
      </c>
      <c r="W9" s="223" t="s">
        <v>155</v>
      </c>
      <c r="X9" s="223" t="s">
        <v>156</v>
      </c>
      <c r="Y9" s="223" t="s">
        <v>157</v>
      </c>
      <c r="Z9" s="223" t="s">
        <v>158</v>
      </c>
      <c r="AA9" s="223" t="s">
        <v>159</v>
      </c>
      <c r="AB9" s="1049"/>
      <c r="AC9" s="1049"/>
      <c r="AD9" s="1049"/>
      <c r="AE9" s="1049"/>
      <c r="AF9" s="1049"/>
      <c r="AG9" s="1049"/>
      <c r="AH9" s="1043"/>
      <c r="AI9" s="1041"/>
      <c r="AJ9" s="1041"/>
      <c r="AK9" s="1041"/>
      <c r="AL9" s="1041"/>
      <c r="AM9" s="1041"/>
      <c r="AN9" s="1041"/>
      <c r="AO9" s="604"/>
      <c r="AP9" s="60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row>
    <row r="10" spans="1:71" s="240" customFormat="1" ht="299.25" customHeight="1" x14ac:dyDescent="0.25">
      <c r="A10" s="1062">
        <v>1</v>
      </c>
      <c r="B10" s="1065" t="s">
        <v>755</v>
      </c>
      <c r="C10" s="1065" t="s">
        <v>761</v>
      </c>
      <c r="D10" s="1056" t="s">
        <v>160</v>
      </c>
      <c r="E10" s="1056" t="s">
        <v>1308</v>
      </c>
      <c r="F10" s="1056" t="s">
        <v>1309</v>
      </c>
      <c r="G10" s="1059" t="s">
        <v>1310</v>
      </c>
      <c r="H10" s="1056" t="s">
        <v>1311</v>
      </c>
      <c r="I10" s="1056" t="s">
        <v>1312</v>
      </c>
      <c r="J10" s="531" t="s">
        <v>1313</v>
      </c>
      <c r="K10" s="888">
        <v>365</v>
      </c>
      <c r="L10" s="885" t="str">
        <f>IF(K10&lt;=0,"",IF(K10&lt;=2,"Muy Baja",IF(K10&lt;=24,"Baja",IF(K10&lt;=500,"Media",IF(K10&lt;=5000,"Alta","Muy Alta")))))</f>
        <v>Media</v>
      </c>
      <c r="M10" s="1053">
        <f>IF(L10="","",IF(L10="Muy Baja",0.2,IF(L10="Baja",0.4,IF(L10="Media",0.6,IF(L10="Alta",0.8,IF(L10="Muy Alta",1,))))))</f>
        <v>0.6</v>
      </c>
      <c r="N10" s="1053" t="s">
        <v>695</v>
      </c>
      <c r="O10" s="1053" t="str">
        <f>IF(NOT(ISERROR(MATCH(N10,'Tabla Impacto'!$B$221:$B$223,0))),'Tabla Impacto'!$F$223&amp;"Por favor no seleccionar los criterios de impacto(Afectación Económica o presupuestal y Pérdida Reputacional)",N10)</f>
        <v xml:space="preserve">     El riesgo afecta la imagen de alguna área de la organización</v>
      </c>
      <c r="P10" s="885" t="str">
        <f>IF(OR(O10='Tabla Impacto'!$C$11,O10='Tabla Impacto'!$D$11),"Leve",IF(OR(O10='Tabla Impacto'!$C$12,O10='Tabla Impacto'!$D$12),"Menor",IF(OR(O10='Tabla Impacto'!$C$13,O10='Tabla Impacto'!$D$13),"Moderado",IF(OR(O10='Tabla Impacto'!$C$14,O10='Tabla Impacto'!$D$14),"Mayor",IF(OR(O10='Tabla Impacto'!$C$15,O10='Tabla Impacto'!$D$15),"Catastrófico","")))))</f>
        <v>Leve</v>
      </c>
      <c r="Q10" s="1053">
        <f>IF(P10="","",IF(P10="Leve",0.2,IF(P10="Menor",0.4,IF(P10="Moderado",0.6,IF(P10="Mayor",0.8,IF(P10="Catastrófico",1,))))))</f>
        <v>0.2</v>
      </c>
      <c r="R10" s="105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38">
        <v>1</v>
      </c>
      <c r="T10" s="532" t="s">
        <v>1314</v>
      </c>
      <c r="U10" s="226" t="str">
        <f t="shared" ref="U10:U41" si="0">IF(OR(V10="Preventivo",V10="Detectivo"),"Probabilidad",IF(V10="Correctivo","Impacto",""))</f>
        <v>Probabilidad</v>
      </c>
      <c r="V10" s="533" t="s">
        <v>166</v>
      </c>
      <c r="W10" s="533" t="s">
        <v>723</v>
      </c>
      <c r="X10" s="534" t="str">
        <f t="shared" ref="X10:X41" si="1">IF(AND(V10="Preventivo",W10="Automático"),"50%",IF(AND(V10="Preventivo",W10="Manual"),"40%",IF(AND(V10="Detectivo",W10="Automático"),"40%",IF(AND(V10="Detectivo",W10="Manual"),"30%",IF(AND(V10="Correctivo",W10="Automático"),"35%",IF(AND(V10="Correctivo",W10="Manual"),"25%",""))))))</f>
        <v>50%</v>
      </c>
      <c r="Y10" s="535" t="s">
        <v>174</v>
      </c>
      <c r="Z10" s="535" t="s">
        <v>169</v>
      </c>
      <c r="AA10" s="535" t="s">
        <v>170</v>
      </c>
      <c r="AB10" s="536">
        <f>IFERROR(IF(U10="Probabilidad",(M10-(+M10*X10)),IF(U10="Impacto",M10,"")),"")</f>
        <v>0.3</v>
      </c>
      <c r="AC10" s="537" t="str">
        <f>IFERROR(IF(AB10="","",IF(AB10&lt;=0.2,"Muy Baja",IF(AB10&lt;=0.4,"Baja",IF(AB10&lt;=0.6,"Media",IF(AB10&lt;=0.8,"Alta","Muy Alta"))))),"")</f>
        <v>Baja</v>
      </c>
      <c r="AD10" s="538">
        <f t="shared" ref="AD10:AD41" si="2">+AB10</f>
        <v>0.3</v>
      </c>
      <c r="AE10" s="537" t="str">
        <f>IFERROR(IF(AF10="","",IF(AF10&lt;=0.2,"Leve",IF(AF10&lt;=0.4,"Menor",IF(AF10&lt;=0.6,"Moderado",IF(AF10&lt;=0.8,"Mayor","Catastrófico"))))),"")</f>
        <v>Leve</v>
      </c>
      <c r="AF10" s="538">
        <f>IFERROR(IF(U10="Impacto",(Q10-(+Q10*X10)),IF(U10="Probabilidad",Q10,"")),"")</f>
        <v>0.2</v>
      </c>
      <c r="AG10" s="539"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540"/>
      <c r="AI10" s="541"/>
      <c r="AJ10" s="226"/>
      <c r="AK10" s="542"/>
      <c r="AL10" s="542"/>
      <c r="AM10" s="532"/>
      <c r="AN10" s="543"/>
      <c r="AO10" s="544" t="s">
        <v>1315</v>
      </c>
      <c r="AP10" s="227" t="s">
        <v>1316</v>
      </c>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row>
    <row r="11" spans="1:71" ht="313.5" customHeight="1" x14ac:dyDescent="0.3">
      <c r="A11" s="1063"/>
      <c r="B11" s="1066"/>
      <c r="C11" s="1066"/>
      <c r="D11" s="1057"/>
      <c r="E11" s="1057"/>
      <c r="F11" s="1057"/>
      <c r="G11" s="1060"/>
      <c r="H11" s="1057"/>
      <c r="I11" s="1057"/>
      <c r="J11" s="545"/>
      <c r="K11" s="889"/>
      <c r="L11" s="886"/>
      <c r="M11" s="1054"/>
      <c r="N11" s="1054"/>
      <c r="O11" s="1054">
        <f>IF(NOT(ISERROR(MATCH(N11,_xlfn.ANCHORARRAY(G22),0))),M24&amp;"Por favor no seleccionar los criterios de impacto",N11)</f>
        <v>0</v>
      </c>
      <c r="P11" s="886"/>
      <c r="Q11" s="1054"/>
      <c r="R11" s="1051"/>
      <c r="S11" s="226">
        <v>2</v>
      </c>
      <c r="T11" s="546" t="s">
        <v>1317</v>
      </c>
      <c r="U11" s="226" t="str">
        <f t="shared" si="0"/>
        <v>Probabilidad</v>
      </c>
      <c r="V11" s="533" t="s">
        <v>166</v>
      </c>
      <c r="W11" s="533" t="s">
        <v>723</v>
      </c>
      <c r="X11" s="534" t="str">
        <f t="shared" si="1"/>
        <v>50%</v>
      </c>
      <c r="Y11" s="535" t="s">
        <v>174</v>
      </c>
      <c r="Z11" s="535" t="s">
        <v>169</v>
      </c>
      <c r="AA11" s="535" t="s">
        <v>170</v>
      </c>
      <c r="AB11" s="536">
        <f>IFERROR(IF(AND(U10="Probabilidad",U11="Probabilidad"),(AD10-(+AD10*X11)),IF(U11="Probabilidad",(M10-(+M10*X11)),IF(U11="Impacto",AD10,""))),"")</f>
        <v>0.15</v>
      </c>
      <c r="AC11" s="537" t="str">
        <f t="shared" ref="AC11:AC69" si="4">IFERROR(IF(AB11="","",IF(AB11&lt;=0.2,"Muy Baja",IF(AB11&lt;=0.4,"Baja",IF(AB11&lt;=0.6,"Media",IF(AB11&lt;=0.8,"Alta","Muy Alta"))))),"")</f>
        <v>Muy Baja</v>
      </c>
      <c r="AD11" s="538">
        <f t="shared" si="2"/>
        <v>0.15</v>
      </c>
      <c r="AE11" s="537" t="str">
        <f t="shared" ref="AE11:AE69" si="5">IFERROR(IF(AF11="","",IF(AF11&lt;=0.2,"Leve",IF(AF11&lt;=0.4,"Menor",IF(AF11&lt;=0.6,"Moderado",IF(AF11&lt;=0.8,"Mayor","Catastrófico"))))),"")</f>
        <v>Leve</v>
      </c>
      <c r="AF11" s="538">
        <f>IFERROR(IF(AND(U10="Impacto",U11="Impacto"),(AF10-(+AF10*X11)),IF(U11="Impacto",(Q10-(+Q10*X11)),IF(U11="Probabilidad",AF10,""))),"")</f>
        <v>0.2</v>
      </c>
      <c r="AG11" s="539" t="str">
        <f t="shared" si="3"/>
        <v>Bajo</v>
      </c>
      <c r="AH11" s="540"/>
      <c r="AI11" s="541"/>
      <c r="AJ11" s="226"/>
      <c r="AK11" s="542"/>
      <c r="AL11" s="542"/>
      <c r="AM11" s="546"/>
      <c r="AN11" s="543"/>
      <c r="AO11" s="544" t="s">
        <v>1318</v>
      </c>
      <c r="AP11" s="227" t="s">
        <v>1319</v>
      </c>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row>
    <row r="12" spans="1:71" ht="268.5" customHeight="1" x14ac:dyDescent="0.3">
      <c r="A12" s="1063"/>
      <c r="B12" s="1066"/>
      <c r="C12" s="1066"/>
      <c r="D12" s="1057"/>
      <c r="E12" s="1057"/>
      <c r="F12" s="1057"/>
      <c r="G12" s="1060"/>
      <c r="H12" s="1057"/>
      <c r="I12" s="1057"/>
      <c r="J12" s="545"/>
      <c r="K12" s="889"/>
      <c r="L12" s="886"/>
      <c r="M12" s="1054"/>
      <c r="N12" s="1054"/>
      <c r="O12" s="1054">
        <f>IF(NOT(ISERROR(MATCH(N12,_xlfn.ANCHORARRAY(G23),0))),M25&amp;"Por favor no seleccionar los criterios de impacto",N12)</f>
        <v>0</v>
      </c>
      <c r="P12" s="886"/>
      <c r="Q12" s="1054"/>
      <c r="R12" s="1051"/>
      <c r="S12" s="226">
        <v>3</v>
      </c>
      <c r="T12" s="547" t="s">
        <v>1320</v>
      </c>
      <c r="U12" s="226" t="str">
        <f t="shared" si="0"/>
        <v>Probabilidad</v>
      </c>
      <c r="V12" s="533" t="s">
        <v>166</v>
      </c>
      <c r="W12" s="533" t="s">
        <v>723</v>
      </c>
      <c r="X12" s="534" t="str">
        <f t="shared" si="1"/>
        <v>50%</v>
      </c>
      <c r="Y12" s="535" t="s">
        <v>174</v>
      </c>
      <c r="Z12" s="535" t="s">
        <v>169</v>
      </c>
      <c r="AA12" s="535" t="s">
        <v>170</v>
      </c>
      <c r="AB12" s="536">
        <f>IFERROR(IF(AND(U11="Probabilidad",U12="Probabilidad"),(AD11-(+AD11*X12)),IF(AND(U11="Impacto",U12="Probabilidad"),(AD10-(+AD10*X12)),IF(U12="Impacto",AD11,""))),"")</f>
        <v>7.4999999999999997E-2</v>
      </c>
      <c r="AC12" s="537" t="str">
        <f t="shared" si="4"/>
        <v>Muy Baja</v>
      </c>
      <c r="AD12" s="538">
        <f t="shared" si="2"/>
        <v>7.4999999999999997E-2</v>
      </c>
      <c r="AE12" s="537" t="str">
        <f t="shared" si="5"/>
        <v>Leve</v>
      </c>
      <c r="AF12" s="538">
        <f>IFERROR(IF(AND(U11="Impacto",U12="Impacto"),(AF11-(+AF11*X12)),IF(AND(U11="Probabilidad",U12="Impacto"),(AF10-(+AF10*X12)),IF(U12="Probabilidad",AF11,""))),"")</f>
        <v>0.2</v>
      </c>
      <c r="AG12" s="539" t="str">
        <f t="shared" si="3"/>
        <v>Bajo</v>
      </c>
      <c r="AH12" s="540"/>
      <c r="AI12" s="541"/>
      <c r="AJ12" s="541"/>
      <c r="AK12" s="542"/>
      <c r="AL12" s="542"/>
      <c r="AM12" s="547"/>
      <c r="AN12" s="543"/>
      <c r="AO12" s="548" t="s">
        <v>1321</v>
      </c>
      <c r="AP12" s="227" t="s">
        <v>1322</v>
      </c>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row>
    <row r="13" spans="1:71" ht="360" customHeight="1" x14ac:dyDescent="0.3">
      <c r="A13" s="1063"/>
      <c r="B13" s="1066"/>
      <c r="C13" s="1066"/>
      <c r="D13" s="1057"/>
      <c r="E13" s="1057"/>
      <c r="F13" s="1057"/>
      <c r="G13" s="1060"/>
      <c r="H13" s="1057"/>
      <c r="I13" s="1057"/>
      <c r="J13" s="545"/>
      <c r="K13" s="889"/>
      <c r="L13" s="886"/>
      <c r="M13" s="1054"/>
      <c r="N13" s="1054"/>
      <c r="O13" s="1054">
        <f>IF(NOT(ISERROR(MATCH(N13,_xlfn.ANCHORARRAY(G24),0))),M26&amp;"Por favor no seleccionar los criterios de impacto",N13)</f>
        <v>0</v>
      </c>
      <c r="P13" s="886"/>
      <c r="Q13" s="1054"/>
      <c r="R13" s="1051"/>
      <c r="S13" s="226">
        <v>4</v>
      </c>
      <c r="T13" s="547" t="s">
        <v>1323</v>
      </c>
      <c r="U13" s="226" t="str">
        <f t="shared" si="0"/>
        <v>Probabilidad</v>
      </c>
      <c r="V13" s="533" t="s">
        <v>166</v>
      </c>
      <c r="W13" s="533" t="s">
        <v>723</v>
      </c>
      <c r="X13" s="534" t="str">
        <f t="shared" si="1"/>
        <v>50%</v>
      </c>
      <c r="Y13" s="535" t="s">
        <v>174</v>
      </c>
      <c r="Z13" s="535" t="s">
        <v>169</v>
      </c>
      <c r="AA13" s="535" t="s">
        <v>170</v>
      </c>
      <c r="AB13" s="536">
        <f>IFERROR(IF(AND(U12="Probabilidad",U13="Probabilidad"),(AD12-(+AD12*X13)),IF(AND(U12="Impacto",U13="Probabilidad"),(AD11-(+AD11*X13)),IF(U13="Impacto",AD12,""))),"")</f>
        <v>3.7499999999999999E-2</v>
      </c>
      <c r="AC13" s="537" t="str">
        <f t="shared" si="4"/>
        <v>Muy Baja</v>
      </c>
      <c r="AD13" s="538">
        <f t="shared" si="2"/>
        <v>3.7499999999999999E-2</v>
      </c>
      <c r="AE13" s="537" t="str">
        <f t="shared" si="5"/>
        <v>Leve</v>
      </c>
      <c r="AF13" s="538">
        <f>IFERROR(IF(AND(U12="Impacto",U13="Impacto"),(AF12-(+AF12*X13)),IF(AND(U12="Probabilidad",U13="Impacto"),(AF11-(+AF11*X13)),IF(U13="Probabilidad",AF12,""))),"")</f>
        <v>0.2</v>
      </c>
      <c r="AG13" s="539" t="str">
        <f t="shared" si="3"/>
        <v>Bajo</v>
      </c>
      <c r="AH13" s="540"/>
      <c r="AI13" s="541"/>
      <c r="AJ13" s="226"/>
      <c r="AK13" s="542"/>
      <c r="AL13" s="542"/>
      <c r="AM13" s="547"/>
      <c r="AN13" s="543"/>
      <c r="AO13" s="549" t="s">
        <v>1324</v>
      </c>
      <c r="AP13" s="558" t="s">
        <v>1325</v>
      </c>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row>
    <row r="14" spans="1:71" ht="409.5" customHeight="1" x14ac:dyDescent="0.3">
      <c r="A14" s="1063"/>
      <c r="B14" s="1066"/>
      <c r="C14" s="1066"/>
      <c r="D14" s="1057"/>
      <c r="E14" s="1057"/>
      <c r="F14" s="1057"/>
      <c r="G14" s="1060"/>
      <c r="H14" s="1057"/>
      <c r="I14" s="1057"/>
      <c r="J14" s="545"/>
      <c r="K14" s="889"/>
      <c r="L14" s="886"/>
      <c r="M14" s="1054"/>
      <c r="N14" s="1054"/>
      <c r="O14" s="1054">
        <f>IF(NOT(ISERROR(MATCH(N14,_xlfn.ANCHORARRAY(G25),0))),M27&amp;"Por favor no seleccionar los criterios de impacto",N14)</f>
        <v>0</v>
      </c>
      <c r="P14" s="886"/>
      <c r="Q14" s="1054"/>
      <c r="R14" s="1051"/>
      <c r="S14" s="226">
        <v>5</v>
      </c>
      <c r="T14" s="547" t="s">
        <v>1326</v>
      </c>
      <c r="U14" s="226" t="str">
        <f t="shared" si="0"/>
        <v>Probabilidad</v>
      </c>
      <c r="V14" s="533" t="s">
        <v>166</v>
      </c>
      <c r="W14" s="533" t="s">
        <v>723</v>
      </c>
      <c r="X14" s="534" t="str">
        <f t="shared" si="1"/>
        <v>50%</v>
      </c>
      <c r="Y14" s="535" t="s">
        <v>174</v>
      </c>
      <c r="Z14" s="535" t="s">
        <v>169</v>
      </c>
      <c r="AA14" s="535" t="s">
        <v>170</v>
      </c>
      <c r="AB14" s="536">
        <f>IFERROR(IF(AND(U13="Probabilidad",U14="Probabilidad"),(AD13-(+AD13*X14)),IF(AND(U13="Impacto",U14="Probabilidad"),(AD12-(+AD12*X14)),IF(U14="Impacto",AD13,""))),"")</f>
        <v>1.8749999999999999E-2</v>
      </c>
      <c r="AC14" s="537" t="str">
        <f t="shared" si="4"/>
        <v>Muy Baja</v>
      </c>
      <c r="AD14" s="538">
        <f t="shared" si="2"/>
        <v>1.8749999999999999E-2</v>
      </c>
      <c r="AE14" s="537" t="str">
        <f t="shared" si="5"/>
        <v>Leve</v>
      </c>
      <c r="AF14" s="538">
        <f>IFERROR(IF(AND(U13="Impacto",U14="Impacto"),(AF13-(+AF13*X14)),IF(AND(U13="Probabilidad",U14="Impacto"),(AF12-(+AF12*X14)),IF(U14="Probabilidad",AF13,""))),"")</f>
        <v>0.2</v>
      </c>
      <c r="AG14" s="539" t="str">
        <f t="shared" si="3"/>
        <v>Bajo</v>
      </c>
      <c r="AH14" s="540" t="s">
        <v>737</v>
      </c>
      <c r="AI14" s="541"/>
      <c r="AJ14" s="226"/>
      <c r="AK14" s="544"/>
      <c r="AL14" s="544"/>
      <c r="AM14" s="547"/>
      <c r="AN14" s="543"/>
      <c r="AO14" s="550" t="s">
        <v>1327</v>
      </c>
      <c r="AP14" s="558" t="s">
        <v>1328</v>
      </c>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row>
    <row r="15" spans="1:71" x14ac:dyDescent="0.3">
      <c r="A15" s="1064"/>
      <c r="B15" s="1067"/>
      <c r="C15" s="1067"/>
      <c r="D15" s="1058"/>
      <c r="E15" s="1058"/>
      <c r="F15" s="1058"/>
      <c r="G15" s="1061"/>
      <c r="H15" s="1058"/>
      <c r="I15" s="1058"/>
      <c r="J15" s="551"/>
      <c r="K15" s="890"/>
      <c r="L15" s="887"/>
      <c r="M15" s="1055"/>
      <c r="N15" s="1055"/>
      <c r="O15" s="1055">
        <f>IF(NOT(ISERROR(MATCH(N15,_xlfn.ANCHORARRAY(G26),0))),M28&amp;"Por favor no seleccionar los criterios de impacto",N15)</f>
        <v>0</v>
      </c>
      <c r="P15" s="887"/>
      <c r="Q15" s="1055"/>
      <c r="R15" s="1052"/>
      <c r="S15" s="226">
        <v>6</v>
      </c>
      <c r="T15" s="544"/>
      <c r="U15" s="226" t="str">
        <f t="shared" si="0"/>
        <v/>
      </c>
      <c r="V15" s="535"/>
      <c r="W15" s="535"/>
      <c r="X15" s="534" t="str">
        <f t="shared" si="1"/>
        <v/>
      </c>
      <c r="Y15" s="535"/>
      <c r="Z15" s="535"/>
      <c r="AA15" s="535"/>
      <c r="AB15" s="536" t="str">
        <f>IFERROR(IF(AND(U14="Probabilidad",U15="Probabilidad"),(AD14-(+AD14*X15)),IF(AND(U14="Impacto",U15="Probabilidad"),(AD13-(+AD13*X15)),IF(U15="Impacto",AD14,""))),"")</f>
        <v/>
      </c>
      <c r="AC15" s="537" t="str">
        <f t="shared" si="4"/>
        <v/>
      </c>
      <c r="AD15" s="538" t="str">
        <f t="shared" si="2"/>
        <v/>
      </c>
      <c r="AE15" s="537" t="str">
        <f t="shared" si="5"/>
        <v/>
      </c>
      <c r="AF15" s="538" t="str">
        <f>IFERROR(IF(AND(U14="Impacto",U15="Impacto"),(AF14-(+AF14*X15)),IF(AND(U14="Probabilidad",U15="Impacto"),(AF13-(+AF13*X15)),IF(U15="Probabilidad",AF14,""))),"")</f>
        <v/>
      </c>
      <c r="AG15" s="539" t="str">
        <f t="shared" si="3"/>
        <v/>
      </c>
      <c r="AH15" s="540"/>
      <c r="AI15" s="541"/>
      <c r="AJ15" s="226"/>
      <c r="AK15" s="542"/>
      <c r="AL15" s="542"/>
      <c r="AM15" s="541"/>
      <c r="AN15" s="543"/>
      <c r="AO15" s="552"/>
      <c r="AP15" s="555"/>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row>
    <row r="16" spans="1:71" x14ac:dyDescent="0.3">
      <c r="A16" s="888">
        <v>2</v>
      </c>
      <c r="B16" s="1068"/>
      <c r="C16" s="1068"/>
      <c r="D16" s="1056"/>
      <c r="E16" s="1056"/>
      <c r="F16" s="1056"/>
      <c r="G16" s="1059"/>
      <c r="H16" s="1056"/>
      <c r="I16" s="1056"/>
      <c r="J16" s="531"/>
      <c r="K16" s="888"/>
      <c r="L16" s="885" t="str">
        <f>IF(K16&lt;=0,"",IF(K16&lt;=2,"Muy Baja",IF(K16&lt;=24,"Baja",IF(K16&lt;=500,"Media",IF(K16&lt;=5000,"Alta","Muy Alta")))))</f>
        <v/>
      </c>
      <c r="M16" s="1053" t="str">
        <f>IF(L16="","",IF(L16="Muy Baja",0.2,IF(L16="Baja",0.4,IF(L16="Media",0.6,IF(L16="Alta",0.8,IF(L16="Muy Alta",1,))))))</f>
        <v/>
      </c>
      <c r="N16" s="1053"/>
      <c r="O16" s="1053">
        <f>IF(NOT(ISERROR(MATCH(N16,'Tabla Impacto'!$B$221:$B$223,0))),'Tabla Impacto'!$F$223&amp;"Por favor no seleccionar los criterios de impacto(Afectación Económica o presupuestal y Pérdida Reputacional)",N16)</f>
        <v>0</v>
      </c>
      <c r="P16" s="885" t="str">
        <f>IF(OR(O16='Tabla Impacto'!$C$11,O16='Tabla Impacto'!$D$11),"Leve",IF(OR(O16='Tabla Impacto'!$C$12,O16='Tabla Impacto'!$D$12),"Menor",IF(OR(O16='Tabla Impacto'!$C$13,O16='Tabla Impacto'!$D$13),"Moderado",IF(OR(O16='Tabla Impacto'!$C$14,O16='Tabla Impacto'!$D$14),"Mayor",IF(OR(O16='Tabla Impacto'!$C$15,O16='Tabla Impacto'!$D$15),"Catastrófico","")))))</f>
        <v/>
      </c>
      <c r="Q16" s="1053" t="str">
        <f>IF(P16="","",IF(P16="Leve",0.2,IF(P16="Menor",0.4,IF(P16="Moderado",0.6,IF(P16="Mayor",0.8,IF(P16="Catastrófico",1,))))))</f>
        <v/>
      </c>
      <c r="R16" s="105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6">
        <v>1</v>
      </c>
      <c r="T16" s="544"/>
      <c r="U16" s="226" t="str">
        <f t="shared" si="0"/>
        <v/>
      </c>
      <c r="V16" s="535"/>
      <c r="W16" s="535"/>
      <c r="X16" s="534" t="str">
        <f t="shared" si="1"/>
        <v/>
      </c>
      <c r="Y16" s="535"/>
      <c r="Z16" s="535"/>
      <c r="AA16" s="535"/>
      <c r="AB16" s="536" t="str">
        <f>IFERROR(IF(U16="Probabilidad",(M16-(+M16*X16)),IF(U16="Impacto",M16,"")),"")</f>
        <v/>
      </c>
      <c r="AC16" s="537" t="str">
        <f>IFERROR(IF(AB16="","",IF(AB16&lt;=0.2,"Muy Baja",IF(AB16&lt;=0.4,"Baja",IF(AB16&lt;=0.6,"Media",IF(AB16&lt;=0.8,"Alta","Muy Alta"))))),"")</f>
        <v/>
      </c>
      <c r="AD16" s="538" t="str">
        <f t="shared" si="2"/>
        <v/>
      </c>
      <c r="AE16" s="537" t="str">
        <f>IFERROR(IF(AF16="","",IF(AF16&lt;=0.2,"Leve",IF(AF16&lt;=0.4,"Menor",IF(AF16&lt;=0.6,"Moderado",IF(AF16&lt;=0.8,"Mayor","Catastrófico"))))),"")</f>
        <v/>
      </c>
      <c r="AF16" s="538" t="str">
        <f>IFERROR(IF(U16="Impacto",(Q16-(+Q16*X16)),IF(U16="Probabilidad",Q16,"")),"")</f>
        <v/>
      </c>
      <c r="AG16" s="539" t="str">
        <f t="shared" si="3"/>
        <v/>
      </c>
      <c r="AH16" s="540"/>
      <c r="AI16" s="541"/>
      <c r="AJ16" s="226"/>
      <c r="AK16" s="542"/>
      <c r="AL16" s="542"/>
      <c r="AM16" s="541"/>
      <c r="AN16" s="543"/>
      <c r="AO16" s="552"/>
      <c r="AP16" s="555"/>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row>
    <row r="17" spans="1:71" x14ac:dyDescent="0.3">
      <c r="A17" s="889"/>
      <c r="B17" s="1069"/>
      <c r="C17" s="1069"/>
      <c r="D17" s="1057"/>
      <c r="E17" s="1057"/>
      <c r="F17" s="1057"/>
      <c r="G17" s="1060"/>
      <c r="H17" s="1057"/>
      <c r="I17" s="1057"/>
      <c r="J17" s="545"/>
      <c r="K17" s="889"/>
      <c r="L17" s="886"/>
      <c r="M17" s="1054"/>
      <c r="N17" s="1054"/>
      <c r="O17" s="1054">
        <f>IF(NOT(ISERROR(MATCH(N17,_xlfn.ANCHORARRAY(G28),0))),M30&amp;"Por favor no seleccionar los criterios de impacto",N17)</f>
        <v>0</v>
      </c>
      <c r="P17" s="886"/>
      <c r="Q17" s="1054"/>
      <c r="R17" s="1051"/>
      <c r="S17" s="226">
        <v>2</v>
      </c>
      <c r="T17" s="544"/>
      <c r="U17" s="226" t="str">
        <f t="shared" si="0"/>
        <v/>
      </c>
      <c r="V17" s="535"/>
      <c r="W17" s="535"/>
      <c r="X17" s="534" t="str">
        <f t="shared" si="1"/>
        <v/>
      </c>
      <c r="Y17" s="535"/>
      <c r="Z17" s="535"/>
      <c r="AA17" s="535"/>
      <c r="AB17" s="536" t="str">
        <f>IFERROR(IF(AND(U16="Probabilidad",U17="Probabilidad"),(AD16-(+AD16*X17)),IF(U17="Probabilidad",(M16-(+M16*X17)),IF(U17="Impacto",AD16,""))),"")</f>
        <v/>
      </c>
      <c r="AC17" s="537" t="str">
        <f t="shared" si="4"/>
        <v/>
      </c>
      <c r="AD17" s="538" t="str">
        <f t="shared" si="2"/>
        <v/>
      </c>
      <c r="AE17" s="537" t="str">
        <f t="shared" si="5"/>
        <v/>
      </c>
      <c r="AF17" s="538" t="str">
        <f>IFERROR(IF(AND(U16="Impacto",U17="Impacto"),(AF16-(+AF16*X17)),IF(U17="Impacto",(Q16-(+Q16*X17)),IF(U17="Probabilidad",AF16,""))),"")</f>
        <v/>
      </c>
      <c r="AG17" s="539" t="str">
        <f t="shared" si="3"/>
        <v/>
      </c>
      <c r="AH17" s="540"/>
      <c r="AI17" s="541"/>
      <c r="AJ17" s="226"/>
      <c r="AK17" s="542"/>
      <c r="AL17" s="542"/>
      <c r="AM17" s="541"/>
      <c r="AN17" s="543"/>
      <c r="AO17" s="552"/>
      <c r="AP17" s="555"/>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row>
    <row r="18" spans="1:71" x14ac:dyDescent="0.3">
      <c r="A18" s="889"/>
      <c r="B18" s="1069"/>
      <c r="C18" s="1069"/>
      <c r="D18" s="1057"/>
      <c r="E18" s="1057"/>
      <c r="F18" s="1057"/>
      <c r="G18" s="1060"/>
      <c r="H18" s="1057"/>
      <c r="I18" s="1057"/>
      <c r="J18" s="545"/>
      <c r="K18" s="889"/>
      <c r="L18" s="886"/>
      <c r="M18" s="1054"/>
      <c r="N18" s="1054"/>
      <c r="O18" s="1054">
        <f>IF(NOT(ISERROR(MATCH(N18,_xlfn.ANCHORARRAY(G29),0))),M31&amp;"Por favor no seleccionar los criterios de impacto",N18)</f>
        <v>0</v>
      </c>
      <c r="P18" s="886"/>
      <c r="Q18" s="1054"/>
      <c r="R18" s="1051"/>
      <c r="S18" s="226">
        <v>3</v>
      </c>
      <c r="T18" s="553"/>
      <c r="U18" s="226" t="str">
        <f t="shared" si="0"/>
        <v/>
      </c>
      <c r="V18" s="535"/>
      <c r="W18" s="535"/>
      <c r="X18" s="534" t="str">
        <f t="shared" si="1"/>
        <v/>
      </c>
      <c r="Y18" s="535"/>
      <c r="Z18" s="535"/>
      <c r="AA18" s="535"/>
      <c r="AB18" s="536" t="str">
        <f>IFERROR(IF(AND(U17="Probabilidad",U18="Probabilidad"),(AD17-(+AD17*X18)),IF(AND(U17="Impacto",U18="Probabilidad"),(AD16-(+AD16*X18)),IF(U18="Impacto",AD17,""))),"")</f>
        <v/>
      </c>
      <c r="AC18" s="537" t="str">
        <f t="shared" si="4"/>
        <v/>
      </c>
      <c r="AD18" s="538" t="str">
        <f t="shared" si="2"/>
        <v/>
      </c>
      <c r="AE18" s="537" t="str">
        <f t="shared" si="5"/>
        <v/>
      </c>
      <c r="AF18" s="538" t="str">
        <f>IFERROR(IF(AND(U17="Impacto",U18="Impacto"),(AF17-(+AF17*X18)),IF(AND(U17="Probabilidad",U18="Impacto"),(AF16-(+AF16*X18)),IF(U18="Probabilidad",AF17,""))),"")</f>
        <v/>
      </c>
      <c r="AG18" s="539" t="str">
        <f t="shared" si="3"/>
        <v/>
      </c>
      <c r="AH18" s="540"/>
      <c r="AI18" s="541"/>
      <c r="AJ18" s="226"/>
      <c r="AK18" s="542"/>
      <c r="AL18" s="542"/>
      <c r="AM18" s="541"/>
      <c r="AN18" s="543"/>
      <c r="AO18" s="552"/>
      <c r="AP18" s="555"/>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row>
    <row r="19" spans="1:71" x14ac:dyDescent="0.3">
      <c r="A19" s="889"/>
      <c r="B19" s="1069"/>
      <c r="C19" s="1069"/>
      <c r="D19" s="1057"/>
      <c r="E19" s="1057"/>
      <c r="F19" s="1057"/>
      <c r="G19" s="1060"/>
      <c r="H19" s="1057"/>
      <c r="I19" s="1057"/>
      <c r="J19" s="545"/>
      <c r="K19" s="889"/>
      <c r="L19" s="886"/>
      <c r="M19" s="1054"/>
      <c r="N19" s="1054"/>
      <c r="O19" s="1054">
        <f>IF(NOT(ISERROR(MATCH(N19,_xlfn.ANCHORARRAY(G30),0))),M32&amp;"Por favor no seleccionar los criterios de impacto",N19)</f>
        <v>0</v>
      </c>
      <c r="P19" s="886"/>
      <c r="Q19" s="1054"/>
      <c r="R19" s="1051"/>
      <c r="S19" s="226">
        <v>4</v>
      </c>
      <c r="T19" s="544"/>
      <c r="U19" s="226" t="str">
        <f t="shared" si="0"/>
        <v/>
      </c>
      <c r="V19" s="535"/>
      <c r="W19" s="535"/>
      <c r="X19" s="534" t="str">
        <f t="shared" si="1"/>
        <v/>
      </c>
      <c r="Y19" s="535"/>
      <c r="Z19" s="535"/>
      <c r="AA19" s="535"/>
      <c r="AB19" s="536" t="str">
        <f>IFERROR(IF(AND(U18="Probabilidad",U19="Probabilidad"),(AD18-(+AD18*X19)),IF(AND(U18="Impacto",U19="Probabilidad"),(AD17-(+AD17*X19)),IF(U19="Impacto",AD18,""))),"")</f>
        <v/>
      </c>
      <c r="AC19" s="537" t="str">
        <f t="shared" si="4"/>
        <v/>
      </c>
      <c r="AD19" s="538" t="str">
        <f t="shared" si="2"/>
        <v/>
      </c>
      <c r="AE19" s="537" t="str">
        <f t="shared" si="5"/>
        <v/>
      </c>
      <c r="AF19" s="538" t="str">
        <f>IFERROR(IF(AND(U18="Impacto",U19="Impacto"),(AF18-(+AF18*X19)),IF(AND(U18="Probabilidad",U19="Impacto"),(AF17-(+AF17*X19)),IF(U19="Probabilidad",AF18,""))),"")</f>
        <v/>
      </c>
      <c r="AG19" s="539" t="str">
        <f t="shared" si="3"/>
        <v/>
      </c>
      <c r="AH19" s="540"/>
      <c r="AI19" s="541"/>
      <c r="AJ19" s="226"/>
      <c r="AK19" s="542"/>
      <c r="AL19" s="542"/>
      <c r="AM19" s="541"/>
      <c r="AN19" s="543"/>
      <c r="AO19" s="552"/>
      <c r="AP19" s="555"/>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row>
    <row r="20" spans="1:71" x14ac:dyDescent="0.3">
      <c r="A20" s="889"/>
      <c r="B20" s="1069"/>
      <c r="C20" s="1069"/>
      <c r="D20" s="1057"/>
      <c r="E20" s="1057"/>
      <c r="F20" s="1057"/>
      <c r="G20" s="1060"/>
      <c r="H20" s="1057"/>
      <c r="I20" s="1057"/>
      <c r="J20" s="545"/>
      <c r="K20" s="889"/>
      <c r="L20" s="886"/>
      <c r="M20" s="1054"/>
      <c r="N20" s="1054"/>
      <c r="O20" s="1054">
        <f>IF(NOT(ISERROR(MATCH(N20,_xlfn.ANCHORARRAY(G31),0))),M33&amp;"Por favor no seleccionar los criterios de impacto",N20)</f>
        <v>0</v>
      </c>
      <c r="P20" s="886"/>
      <c r="Q20" s="1054"/>
      <c r="R20" s="1051"/>
      <c r="S20" s="226">
        <v>5</v>
      </c>
      <c r="T20" s="544"/>
      <c r="U20" s="226" t="str">
        <f t="shared" si="0"/>
        <v/>
      </c>
      <c r="V20" s="535"/>
      <c r="W20" s="535"/>
      <c r="X20" s="534" t="str">
        <f t="shared" si="1"/>
        <v/>
      </c>
      <c r="Y20" s="535"/>
      <c r="Z20" s="535"/>
      <c r="AA20" s="535"/>
      <c r="AB20" s="536" t="str">
        <f t="shared" ref="AB20:AB26" si="6">IFERROR(IF(AND(U19="Probabilidad",U20="Probabilidad"),(AD19-(+AD19*X20)),IF(AND(U19="Impacto",U20="Probabilidad"),(AD18-(+AD18*X20)),IF(U20="Impacto",AD19,""))),"")</f>
        <v/>
      </c>
      <c r="AC20" s="537" t="str">
        <f t="shared" si="4"/>
        <v/>
      </c>
      <c r="AD20" s="538" t="str">
        <f t="shared" si="2"/>
        <v/>
      </c>
      <c r="AE20" s="537" t="str">
        <f t="shared" si="5"/>
        <v/>
      </c>
      <c r="AF20" s="538" t="str">
        <f>IFERROR(IF(AND(U19="Impacto",U20="Impacto"),(AF19-(+AF19*X20)),IF(AND(U19="Probabilidad",U20="Impacto"),(AF18-(+AF18*X20)),IF(U20="Probabilidad",AF19,""))),"")</f>
        <v/>
      </c>
      <c r="AG20" s="539" t="str">
        <f t="shared" si="3"/>
        <v/>
      </c>
      <c r="AH20" s="540"/>
      <c r="AI20" s="541"/>
      <c r="AJ20" s="226"/>
      <c r="AK20" s="542"/>
      <c r="AL20" s="542"/>
      <c r="AM20" s="541"/>
      <c r="AN20" s="543"/>
      <c r="AO20" s="552"/>
      <c r="AP20" s="555"/>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row>
    <row r="21" spans="1:71" x14ac:dyDescent="0.3">
      <c r="A21" s="890"/>
      <c r="B21" s="1070"/>
      <c r="C21" s="1070"/>
      <c r="D21" s="1058"/>
      <c r="E21" s="1058"/>
      <c r="F21" s="1058"/>
      <c r="G21" s="1061"/>
      <c r="H21" s="1058"/>
      <c r="I21" s="1058"/>
      <c r="J21" s="551"/>
      <c r="K21" s="890"/>
      <c r="L21" s="887"/>
      <c r="M21" s="1055"/>
      <c r="N21" s="1055"/>
      <c r="O21" s="1055">
        <f>IF(NOT(ISERROR(MATCH(N21,_xlfn.ANCHORARRAY(G32),0))),M34&amp;"Por favor no seleccionar los criterios de impacto",N21)</f>
        <v>0</v>
      </c>
      <c r="P21" s="887"/>
      <c r="Q21" s="1055"/>
      <c r="R21" s="1052"/>
      <c r="S21" s="226">
        <v>6</v>
      </c>
      <c r="T21" s="544"/>
      <c r="U21" s="226" t="str">
        <f t="shared" si="0"/>
        <v/>
      </c>
      <c r="V21" s="535"/>
      <c r="W21" s="535"/>
      <c r="X21" s="534" t="str">
        <f t="shared" si="1"/>
        <v/>
      </c>
      <c r="Y21" s="535"/>
      <c r="Z21" s="535"/>
      <c r="AA21" s="535"/>
      <c r="AB21" s="536" t="str">
        <f t="shared" si="6"/>
        <v/>
      </c>
      <c r="AC21" s="537" t="str">
        <f t="shared" si="4"/>
        <v/>
      </c>
      <c r="AD21" s="538" t="str">
        <f t="shared" si="2"/>
        <v/>
      </c>
      <c r="AE21" s="537" t="str">
        <f t="shared" si="5"/>
        <v/>
      </c>
      <c r="AF21" s="538" t="str">
        <f>IFERROR(IF(AND(U20="Impacto",U21="Impacto"),(AF20-(+AF20*X21)),IF(AND(U20="Probabilidad",U21="Impacto"),(AF19-(+AF19*X21)),IF(U21="Probabilidad",AF20,""))),"")</f>
        <v/>
      </c>
      <c r="AG21" s="539" t="str">
        <f t="shared" si="3"/>
        <v/>
      </c>
      <c r="AH21" s="540"/>
      <c r="AI21" s="541"/>
      <c r="AJ21" s="226"/>
      <c r="AK21" s="542"/>
      <c r="AL21" s="542"/>
      <c r="AM21" s="541"/>
      <c r="AN21" s="543"/>
      <c r="AO21" s="552"/>
      <c r="AP21" s="555"/>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row>
    <row r="22" spans="1:71" x14ac:dyDescent="0.3">
      <c r="A22" s="888">
        <v>3</v>
      </c>
      <c r="B22" s="1068"/>
      <c r="C22" s="1068"/>
      <c r="D22" s="1056"/>
      <c r="E22" s="1056"/>
      <c r="F22" s="1056"/>
      <c r="G22" s="1059"/>
      <c r="H22" s="1056"/>
      <c r="I22" s="1056"/>
      <c r="J22" s="531"/>
      <c r="K22" s="888"/>
      <c r="L22" s="885" t="str">
        <f>IF(K22&lt;=0,"",IF(K22&lt;=2,"Muy Baja",IF(K22&lt;=24,"Baja",IF(K22&lt;=500,"Media",IF(K22&lt;=5000,"Alta","Muy Alta")))))</f>
        <v/>
      </c>
      <c r="M22" s="1053" t="str">
        <f>IF(L22="","",IF(L22="Muy Baja",0.2,IF(L22="Baja",0.4,IF(L22="Media",0.6,IF(L22="Alta",0.8,IF(L22="Muy Alta",1,))))))</f>
        <v/>
      </c>
      <c r="N22" s="1053"/>
      <c r="O22" s="1053">
        <f>IF(NOT(ISERROR(MATCH(N22,'Tabla Impacto'!$B$221:$B$223,0))),'Tabla Impacto'!$F$223&amp;"Por favor no seleccionar los criterios de impacto(Afectación Económica o presupuestal y Pérdida Reputacional)",N22)</f>
        <v>0</v>
      </c>
      <c r="P22" s="885" t="str">
        <f>IF(OR(O22='Tabla Impacto'!$C$11,O22='Tabla Impacto'!$D$11),"Leve",IF(OR(O22='Tabla Impacto'!$C$12,O22='Tabla Impacto'!$D$12),"Menor",IF(OR(O22='Tabla Impacto'!$C$13,O22='Tabla Impacto'!$D$13),"Moderado",IF(OR(O22='Tabla Impacto'!$C$14,O22='Tabla Impacto'!$D$14),"Mayor",IF(OR(O22='Tabla Impacto'!$C$15,O22='Tabla Impacto'!$D$15),"Catastrófico","")))))</f>
        <v/>
      </c>
      <c r="Q22" s="1053" t="str">
        <f>IF(P22="","",IF(P22="Leve",0.2,IF(P22="Menor",0.4,IF(P22="Moderado",0.6,IF(P22="Mayor",0.8,IF(P22="Catastrófico",1,))))))</f>
        <v/>
      </c>
      <c r="R22" s="105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6">
        <v>1</v>
      </c>
      <c r="T22" s="544"/>
      <c r="U22" s="226" t="str">
        <f t="shared" si="0"/>
        <v/>
      </c>
      <c r="V22" s="535"/>
      <c r="W22" s="535"/>
      <c r="X22" s="534" t="str">
        <f t="shared" si="1"/>
        <v/>
      </c>
      <c r="Y22" s="535"/>
      <c r="Z22" s="535"/>
      <c r="AA22" s="535"/>
      <c r="AB22" s="536" t="str">
        <f t="shared" si="6"/>
        <v/>
      </c>
      <c r="AC22" s="537" t="str">
        <f>IFERROR(IF(AB22="","",IF(AB22&lt;=0.2,"Muy Baja",IF(AB22&lt;=0.4,"Baja",IF(AB22&lt;=0.6,"Media",IF(AB22&lt;=0.8,"Alta","Muy Alta"))))),"")</f>
        <v/>
      </c>
      <c r="AD22" s="538" t="str">
        <f t="shared" si="2"/>
        <v/>
      </c>
      <c r="AE22" s="537" t="str">
        <f>IFERROR(IF(AF22="","",IF(AF22&lt;=0.2,"Leve",IF(AF22&lt;=0.4,"Menor",IF(AF22&lt;=0.6,"Moderado",IF(AF22&lt;=0.8,"Mayor","Catastrófico"))))),"")</f>
        <v/>
      </c>
      <c r="AF22" s="538" t="str">
        <f>IFERROR(IF(U22="Impacto",(Q22-(+Q22*X22)),IF(U22="Probabilidad",Q22,"")),"")</f>
        <v/>
      </c>
      <c r="AG22" s="539" t="str">
        <f t="shared" si="3"/>
        <v/>
      </c>
      <c r="AH22" s="540"/>
      <c r="AI22" s="541"/>
      <c r="AJ22" s="226"/>
      <c r="AK22" s="542"/>
      <c r="AL22" s="542"/>
      <c r="AM22" s="541"/>
      <c r="AN22" s="543"/>
      <c r="AO22" s="552"/>
      <c r="AP22" s="555"/>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row>
    <row r="23" spans="1:71" x14ac:dyDescent="0.3">
      <c r="A23" s="889"/>
      <c r="B23" s="1069"/>
      <c r="C23" s="1069"/>
      <c r="D23" s="1057"/>
      <c r="E23" s="1057"/>
      <c r="F23" s="1057"/>
      <c r="G23" s="1060"/>
      <c r="H23" s="1057"/>
      <c r="I23" s="1057"/>
      <c r="J23" s="545"/>
      <c r="K23" s="889"/>
      <c r="L23" s="886"/>
      <c r="M23" s="1054"/>
      <c r="N23" s="1054"/>
      <c r="O23" s="1054">
        <f>IF(NOT(ISERROR(MATCH(N23,_xlfn.ANCHORARRAY(G34),0))),M36&amp;"Por favor no seleccionar los criterios de impacto",N23)</f>
        <v>0</v>
      </c>
      <c r="P23" s="886"/>
      <c r="Q23" s="1054"/>
      <c r="R23" s="1051"/>
      <c r="S23" s="226">
        <v>2</v>
      </c>
      <c r="T23" s="544"/>
      <c r="U23" s="226" t="str">
        <f t="shared" si="0"/>
        <v/>
      </c>
      <c r="V23" s="535"/>
      <c r="W23" s="535"/>
      <c r="X23" s="534" t="str">
        <f t="shared" si="1"/>
        <v/>
      </c>
      <c r="Y23" s="535"/>
      <c r="Z23" s="535"/>
      <c r="AA23" s="535"/>
      <c r="AB23" s="536" t="str">
        <f t="shared" si="6"/>
        <v/>
      </c>
      <c r="AC23" s="537" t="str">
        <f t="shared" si="4"/>
        <v/>
      </c>
      <c r="AD23" s="538" t="str">
        <f t="shared" si="2"/>
        <v/>
      </c>
      <c r="AE23" s="537" t="str">
        <f t="shared" si="5"/>
        <v/>
      </c>
      <c r="AF23" s="538" t="str">
        <f>IFERROR(IF(AND(U22="Impacto",U23="Impacto"),(AF22-(+AF22*X23)),IF(U23="Impacto",(Q22-(+Q22*X23)),IF(U23="Probabilidad",AF22,""))),"")</f>
        <v/>
      </c>
      <c r="AG23" s="539" t="str">
        <f t="shared" si="3"/>
        <v/>
      </c>
      <c r="AH23" s="540"/>
      <c r="AI23" s="541"/>
      <c r="AJ23" s="226"/>
      <c r="AK23" s="542"/>
      <c r="AL23" s="542"/>
      <c r="AM23" s="541"/>
      <c r="AN23" s="543"/>
      <c r="AO23" s="552"/>
      <c r="AP23" s="555"/>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row>
    <row r="24" spans="1:71" x14ac:dyDescent="0.3">
      <c r="A24" s="889"/>
      <c r="B24" s="1069"/>
      <c r="C24" s="1069"/>
      <c r="D24" s="1057"/>
      <c r="E24" s="1057"/>
      <c r="F24" s="1057"/>
      <c r="G24" s="1060"/>
      <c r="H24" s="1057"/>
      <c r="I24" s="1057"/>
      <c r="J24" s="545"/>
      <c r="K24" s="889"/>
      <c r="L24" s="886"/>
      <c r="M24" s="1054"/>
      <c r="N24" s="1054"/>
      <c r="O24" s="1054">
        <f>IF(NOT(ISERROR(MATCH(N24,_xlfn.ANCHORARRAY(G35),0))),M37&amp;"Por favor no seleccionar los criterios de impacto",N24)</f>
        <v>0</v>
      </c>
      <c r="P24" s="886"/>
      <c r="Q24" s="1054"/>
      <c r="R24" s="1051"/>
      <c r="S24" s="226">
        <v>3</v>
      </c>
      <c r="T24" s="553"/>
      <c r="U24" s="226" t="str">
        <f t="shared" si="0"/>
        <v/>
      </c>
      <c r="V24" s="535"/>
      <c r="W24" s="535"/>
      <c r="X24" s="534" t="str">
        <f t="shared" si="1"/>
        <v/>
      </c>
      <c r="Y24" s="535"/>
      <c r="Z24" s="535"/>
      <c r="AA24" s="535"/>
      <c r="AB24" s="536" t="str">
        <f t="shared" si="6"/>
        <v/>
      </c>
      <c r="AC24" s="537" t="str">
        <f t="shared" si="4"/>
        <v/>
      </c>
      <c r="AD24" s="538" t="str">
        <f t="shared" si="2"/>
        <v/>
      </c>
      <c r="AE24" s="537" t="str">
        <f t="shared" si="5"/>
        <v/>
      </c>
      <c r="AF24" s="538" t="str">
        <f>IFERROR(IF(AND(U23="Impacto",U24="Impacto"),(AF23-(+AF23*X24)),IF(AND(U23="Probabilidad",U24="Impacto"),(AF22-(+AF22*X24)),IF(U24="Probabilidad",AF23,""))),"")</f>
        <v/>
      </c>
      <c r="AG24" s="539" t="str">
        <f t="shared" si="3"/>
        <v/>
      </c>
      <c r="AH24" s="540"/>
      <c r="AI24" s="541"/>
      <c r="AJ24" s="226"/>
      <c r="AK24" s="542"/>
      <c r="AL24" s="542"/>
      <c r="AM24" s="541"/>
      <c r="AN24" s="543"/>
      <c r="AO24" s="552"/>
      <c r="AP24" s="555"/>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row>
    <row r="25" spans="1:71" x14ac:dyDescent="0.3">
      <c r="A25" s="889"/>
      <c r="B25" s="1069"/>
      <c r="C25" s="1069"/>
      <c r="D25" s="1057"/>
      <c r="E25" s="1057"/>
      <c r="F25" s="1057"/>
      <c r="G25" s="1060"/>
      <c r="H25" s="1057"/>
      <c r="I25" s="1057"/>
      <c r="J25" s="545"/>
      <c r="K25" s="889"/>
      <c r="L25" s="886"/>
      <c r="M25" s="1054"/>
      <c r="N25" s="1054"/>
      <c r="O25" s="1054">
        <f>IF(NOT(ISERROR(MATCH(N25,_xlfn.ANCHORARRAY(G36),0))),M38&amp;"Por favor no seleccionar los criterios de impacto",N25)</f>
        <v>0</v>
      </c>
      <c r="P25" s="886"/>
      <c r="Q25" s="1054"/>
      <c r="R25" s="1051"/>
      <c r="S25" s="226">
        <v>4</v>
      </c>
      <c r="T25" s="544"/>
      <c r="U25" s="226" t="str">
        <f t="shared" si="0"/>
        <v/>
      </c>
      <c r="V25" s="535"/>
      <c r="W25" s="535"/>
      <c r="X25" s="534" t="str">
        <f t="shared" si="1"/>
        <v/>
      </c>
      <c r="Y25" s="535"/>
      <c r="Z25" s="535"/>
      <c r="AA25" s="535"/>
      <c r="AB25" s="536" t="str">
        <f t="shared" si="6"/>
        <v/>
      </c>
      <c r="AC25" s="537" t="str">
        <f t="shared" si="4"/>
        <v/>
      </c>
      <c r="AD25" s="538" t="str">
        <f t="shared" si="2"/>
        <v/>
      </c>
      <c r="AE25" s="537" t="str">
        <f t="shared" si="5"/>
        <v/>
      </c>
      <c r="AF25" s="538" t="str">
        <f>IFERROR(IF(AND(U24="Impacto",U25="Impacto"),(AF24-(+AF24*X25)),IF(AND(U24="Probabilidad",U25="Impacto"),(AF23-(+AF23*X25)),IF(U25="Probabilidad",AF24,""))),"")</f>
        <v/>
      </c>
      <c r="AG25" s="539" t="str">
        <f t="shared" si="3"/>
        <v/>
      </c>
      <c r="AH25" s="540"/>
      <c r="AI25" s="541"/>
      <c r="AJ25" s="226"/>
      <c r="AK25" s="542"/>
      <c r="AL25" s="542"/>
      <c r="AM25" s="541"/>
      <c r="AN25" s="543"/>
      <c r="AO25" s="552"/>
      <c r="AP25" s="555"/>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row>
    <row r="26" spans="1:71" x14ac:dyDescent="0.3">
      <c r="A26" s="889"/>
      <c r="B26" s="1069"/>
      <c r="C26" s="1069"/>
      <c r="D26" s="1057"/>
      <c r="E26" s="1057"/>
      <c r="F26" s="1057"/>
      <c r="G26" s="1060"/>
      <c r="H26" s="1057"/>
      <c r="I26" s="1057"/>
      <c r="J26" s="545"/>
      <c r="K26" s="889"/>
      <c r="L26" s="886"/>
      <c r="M26" s="1054"/>
      <c r="N26" s="1054"/>
      <c r="O26" s="1054">
        <f>IF(NOT(ISERROR(MATCH(N26,_xlfn.ANCHORARRAY(G37),0))),M39&amp;"Por favor no seleccionar los criterios de impacto",N26)</f>
        <v>0</v>
      </c>
      <c r="P26" s="886"/>
      <c r="Q26" s="1054"/>
      <c r="R26" s="1051"/>
      <c r="S26" s="226">
        <v>5</v>
      </c>
      <c r="T26" s="544"/>
      <c r="U26" s="226" t="str">
        <f t="shared" si="0"/>
        <v/>
      </c>
      <c r="V26" s="535"/>
      <c r="W26" s="535"/>
      <c r="X26" s="534" t="str">
        <f t="shared" si="1"/>
        <v/>
      </c>
      <c r="Y26" s="535"/>
      <c r="Z26" s="535"/>
      <c r="AA26" s="535"/>
      <c r="AB26" s="536" t="str">
        <f t="shared" si="6"/>
        <v/>
      </c>
      <c r="AC26" s="537" t="str">
        <f t="shared" si="4"/>
        <v/>
      </c>
      <c r="AD26" s="538" t="str">
        <f t="shared" si="2"/>
        <v/>
      </c>
      <c r="AE26" s="537" t="str">
        <f t="shared" si="5"/>
        <v/>
      </c>
      <c r="AF26" s="538" t="str">
        <f>IFERROR(IF(AND(U25="Impacto",U26="Impacto"),(AF25-(+AF25*X26)),IF(AND(U25="Probabilidad",U26="Impacto"),(AF24-(+AF24*X26)),IF(U26="Probabilidad",AF25,""))),"")</f>
        <v/>
      </c>
      <c r="AG26" s="539" t="str">
        <f t="shared" si="3"/>
        <v/>
      </c>
      <c r="AH26" s="540"/>
      <c r="AI26" s="541"/>
      <c r="AJ26" s="226"/>
      <c r="AK26" s="542"/>
      <c r="AL26" s="542"/>
      <c r="AM26" s="541"/>
      <c r="AN26" s="543"/>
      <c r="AO26" s="552"/>
      <c r="AP26" s="555"/>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row>
    <row r="27" spans="1:71" x14ac:dyDescent="0.3">
      <c r="A27" s="890"/>
      <c r="B27" s="1070"/>
      <c r="C27" s="1070"/>
      <c r="D27" s="1058"/>
      <c r="E27" s="1058"/>
      <c r="F27" s="1058"/>
      <c r="G27" s="1061"/>
      <c r="H27" s="1058"/>
      <c r="I27" s="1058"/>
      <c r="J27" s="551"/>
      <c r="K27" s="890"/>
      <c r="L27" s="887"/>
      <c r="M27" s="1055"/>
      <c r="N27" s="1055"/>
      <c r="O27" s="1055">
        <f>IF(NOT(ISERROR(MATCH(N27,_xlfn.ANCHORARRAY(G38),0))),M40&amp;"Por favor no seleccionar los criterios de impacto",N27)</f>
        <v>0</v>
      </c>
      <c r="P27" s="887"/>
      <c r="Q27" s="1055"/>
      <c r="R27" s="1052"/>
      <c r="S27" s="226">
        <v>6</v>
      </c>
      <c r="T27" s="544"/>
      <c r="U27" s="226" t="str">
        <f t="shared" si="0"/>
        <v/>
      </c>
      <c r="V27" s="535"/>
      <c r="W27" s="535"/>
      <c r="X27" s="534" t="str">
        <f t="shared" si="1"/>
        <v/>
      </c>
      <c r="Y27" s="535"/>
      <c r="Z27" s="535"/>
      <c r="AA27" s="535"/>
      <c r="AB27" s="536" t="str">
        <f>IFERROR(IF(AND(U26="Probabilidad",U27="Probabilidad"),(AD26-(+AD26*X27)),IF(AND(U26="Impacto",U27="Probabilidad"),(AD25-(+AD25*X27)),IF(U27="Impacto",AD26,""))),"")</f>
        <v/>
      </c>
      <c r="AC27" s="537" t="str">
        <f t="shared" si="4"/>
        <v/>
      </c>
      <c r="AD27" s="538" t="str">
        <f t="shared" si="2"/>
        <v/>
      </c>
      <c r="AE27" s="537" t="str">
        <f t="shared" si="5"/>
        <v/>
      </c>
      <c r="AF27" s="538" t="str">
        <f>IFERROR(IF(AND(U26="Impacto",U27="Impacto"),(AF26-(+AF26*X27)),IF(AND(U26="Probabilidad",U27="Impacto"),(AF25-(+AF25*X27)),IF(U27="Probabilidad",AF26,""))),"")</f>
        <v/>
      </c>
      <c r="AG27" s="539" t="str">
        <f t="shared" si="3"/>
        <v/>
      </c>
      <c r="AH27" s="540"/>
      <c r="AI27" s="541"/>
      <c r="AJ27" s="226"/>
      <c r="AK27" s="542"/>
      <c r="AL27" s="542"/>
      <c r="AM27" s="541"/>
      <c r="AN27" s="543"/>
      <c r="AO27" s="552"/>
      <c r="AP27" s="555"/>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row>
    <row r="28" spans="1:71" x14ac:dyDescent="0.3">
      <c r="A28" s="888">
        <v>4</v>
      </c>
      <c r="B28" s="1068"/>
      <c r="C28" s="1068"/>
      <c r="D28" s="1056"/>
      <c r="E28" s="1056"/>
      <c r="F28" s="1056"/>
      <c r="G28" s="1059"/>
      <c r="H28" s="1056"/>
      <c r="I28" s="1056"/>
      <c r="J28" s="531"/>
      <c r="K28" s="888"/>
      <c r="L28" s="885" t="str">
        <f>IF(K28&lt;=0,"",IF(K28&lt;=2,"Muy Baja",IF(K28&lt;=24,"Baja",IF(K28&lt;=500,"Media",IF(K28&lt;=5000,"Alta","Muy Alta")))))</f>
        <v/>
      </c>
      <c r="M28" s="1053" t="str">
        <f>IF(L28="","",IF(L28="Muy Baja",0.2,IF(L28="Baja",0.4,IF(L28="Media",0.6,IF(L28="Alta",0.8,IF(L28="Muy Alta",1,))))))</f>
        <v/>
      </c>
      <c r="N28" s="1053"/>
      <c r="O28" s="1053">
        <f>IF(NOT(ISERROR(MATCH(N28,'Tabla Impacto'!$B$221:$B$223,0))),'Tabla Impacto'!$F$223&amp;"Por favor no seleccionar los criterios de impacto(Afectación Económica o presupuestal y Pérdida Reputacional)",N28)</f>
        <v>0</v>
      </c>
      <c r="P28" s="885" t="str">
        <f>IF(OR(O28='Tabla Impacto'!$C$11,O28='Tabla Impacto'!$D$11),"Leve",IF(OR(O28='Tabla Impacto'!$C$12,O28='Tabla Impacto'!$D$12),"Menor",IF(OR(O28='Tabla Impacto'!$C$13,O28='Tabla Impacto'!$D$13),"Moderado",IF(OR(O28='Tabla Impacto'!$C$14,O28='Tabla Impacto'!$D$14),"Mayor",IF(OR(O28='Tabla Impacto'!$C$15,O28='Tabla Impacto'!$D$15),"Catastrófico","")))))</f>
        <v/>
      </c>
      <c r="Q28" s="1053" t="str">
        <f>IF(P28="","",IF(P28="Leve",0.2,IF(P28="Menor",0.4,IF(P28="Moderado",0.6,IF(P28="Mayor",0.8,IF(P28="Catastrófico",1,))))))</f>
        <v/>
      </c>
      <c r="R28" s="105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6">
        <v>1</v>
      </c>
      <c r="T28" s="544"/>
      <c r="U28" s="226" t="str">
        <f t="shared" si="0"/>
        <v/>
      </c>
      <c r="V28" s="535"/>
      <c r="W28" s="535"/>
      <c r="X28" s="534" t="str">
        <f t="shared" si="1"/>
        <v/>
      </c>
      <c r="Y28" s="535"/>
      <c r="Z28" s="535"/>
      <c r="AA28" s="535"/>
      <c r="AB28" s="536" t="str">
        <f>IFERROR(IF(U28="Probabilidad",(M28-(+M28*X28)),IF(U28="Impacto",M28,"")),"")</f>
        <v/>
      </c>
      <c r="AC28" s="537" t="str">
        <f>IFERROR(IF(AB28="","",IF(AB28&lt;=0.2,"Muy Baja",IF(AB28&lt;=0.4,"Baja",IF(AB28&lt;=0.6,"Media",IF(AB28&lt;=0.8,"Alta","Muy Alta"))))),"")</f>
        <v/>
      </c>
      <c r="AD28" s="538" t="str">
        <f t="shared" si="2"/>
        <v/>
      </c>
      <c r="AE28" s="537" t="str">
        <f>IFERROR(IF(AF28="","",IF(AF28&lt;=0.2,"Leve",IF(AF28&lt;=0.4,"Menor",IF(AF28&lt;=0.6,"Moderado",IF(AF28&lt;=0.8,"Mayor","Catastrófico"))))),"")</f>
        <v/>
      </c>
      <c r="AF28" s="538" t="str">
        <f>IFERROR(IF(U28="Impacto",(Q28-(+Q28*X28)),IF(U28="Probabilidad",Q28,"")),"")</f>
        <v/>
      </c>
      <c r="AG28" s="539" t="str">
        <f t="shared" si="3"/>
        <v/>
      </c>
      <c r="AH28" s="540"/>
      <c r="AI28" s="541"/>
      <c r="AJ28" s="226"/>
      <c r="AK28" s="542"/>
      <c r="AL28" s="542"/>
      <c r="AM28" s="541"/>
      <c r="AN28" s="543"/>
      <c r="AO28" s="552"/>
      <c r="AP28" s="555"/>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row>
    <row r="29" spans="1:71" x14ac:dyDescent="0.3">
      <c r="A29" s="889"/>
      <c r="B29" s="1069"/>
      <c r="C29" s="1069"/>
      <c r="D29" s="1057"/>
      <c r="E29" s="1057"/>
      <c r="F29" s="1057"/>
      <c r="G29" s="1060"/>
      <c r="H29" s="1057"/>
      <c r="I29" s="1057"/>
      <c r="J29" s="545"/>
      <c r="K29" s="889"/>
      <c r="L29" s="886"/>
      <c r="M29" s="1054"/>
      <c r="N29" s="1054"/>
      <c r="O29" s="1054">
        <f>IF(NOT(ISERROR(MATCH(N29,_xlfn.ANCHORARRAY(G40),0))),M42&amp;"Por favor no seleccionar los criterios de impacto",N29)</f>
        <v>0</v>
      </c>
      <c r="P29" s="886"/>
      <c r="Q29" s="1054"/>
      <c r="R29" s="1051"/>
      <c r="S29" s="226">
        <v>2</v>
      </c>
      <c r="T29" s="544"/>
      <c r="U29" s="226" t="str">
        <f t="shared" si="0"/>
        <v/>
      </c>
      <c r="V29" s="535"/>
      <c r="W29" s="535"/>
      <c r="X29" s="534" t="str">
        <f t="shared" si="1"/>
        <v/>
      </c>
      <c r="Y29" s="535"/>
      <c r="Z29" s="535"/>
      <c r="AA29" s="535"/>
      <c r="AB29" s="536" t="str">
        <f>IFERROR(IF(AND(U28="Probabilidad",U29="Probabilidad"),(AD28-(+AD28*X29)),IF(U29="Probabilidad",(M28-(+M28*X29)),IF(U29="Impacto",AD28,""))),"")</f>
        <v/>
      </c>
      <c r="AC29" s="537" t="str">
        <f t="shared" si="4"/>
        <v/>
      </c>
      <c r="AD29" s="538" t="str">
        <f t="shared" si="2"/>
        <v/>
      </c>
      <c r="AE29" s="537" t="str">
        <f t="shared" si="5"/>
        <v/>
      </c>
      <c r="AF29" s="538" t="str">
        <f>IFERROR(IF(AND(U28="Impacto",U29="Impacto"),(AF28-(+AF28*X29)),IF(U29="Impacto",(Q28-(+Q28*X29)),IF(U29="Probabilidad",AF28,""))),"")</f>
        <v/>
      </c>
      <c r="AG29" s="539" t="str">
        <f t="shared" si="3"/>
        <v/>
      </c>
      <c r="AH29" s="540"/>
      <c r="AI29" s="541"/>
      <c r="AJ29" s="226"/>
      <c r="AK29" s="542"/>
      <c r="AL29" s="542"/>
      <c r="AM29" s="541"/>
      <c r="AN29" s="543"/>
      <c r="AO29" s="552"/>
      <c r="AP29" s="555"/>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row>
    <row r="30" spans="1:71" x14ac:dyDescent="0.3">
      <c r="A30" s="889"/>
      <c r="B30" s="1069"/>
      <c r="C30" s="1069"/>
      <c r="D30" s="1057"/>
      <c r="E30" s="1057"/>
      <c r="F30" s="1057"/>
      <c r="G30" s="1060"/>
      <c r="H30" s="1057"/>
      <c r="I30" s="1057"/>
      <c r="J30" s="545"/>
      <c r="K30" s="889"/>
      <c r="L30" s="886"/>
      <c r="M30" s="1054"/>
      <c r="N30" s="1054"/>
      <c r="O30" s="1054">
        <f>IF(NOT(ISERROR(MATCH(N30,_xlfn.ANCHORARRAY(G41),0))),M43&amp;"Por favor no seleccionar los criterios de impacto",N30)</f>
        <v>0</v>
      </c>
      <c r="P30" s="886"/>
      <c r="Q30" s="1054"/>
      <c r="R30" s="1051"/>
      <c r="S30" s="226">
        <v>3</v>
      </c>
      <c r="T30" s="553"/>
      <c r="U30" s="226" t="str">
        <f t="shared" si="0"/>
        <v/>
      </c>
      <c r="V30" s="535"/>
      <c r="W30" s="535"/>
      <c r="X30" s="534" t="str">
        <f t="shared" si="1"/>
        <v/>
      </c>
      <c r="Y30" s="535"/>
      <c r="Z30" s="535"/>
      <c r="AA30" s="535"/>
      <c r="AB30" s="536" t="str">
        <f>IFERROR(IF(AND(U29="Probabilidad",U30="Probabilidad"),(AD29-(+AD29*X30)),IF(AND(U29="Impacto",U30="Probabilidad"),(AD28-(+AD28*X30)),IF(U30="Impacto",AD29,""))),"")</f>
        <v/>
      </c>
      <c r="AC30" s="537" t="str">
        <f t="shared" si="4"/>
        <v/>
      </c>
      <c r="AD30" s="538" t="str">
        <f t="shared" si="2"/>
        <v/>
      </c>
      <c r="AE30" s="537" t="str">
        <f t="shared" si="5"/>
        <v/>
      </c>
      <c r="AF30" s="538" t="str">
        <f>IFERROR(IF(AND(U29="Impacto",U30="Impacto"),(AF29-(+AF29*X30)),IF(AND(U29="Probabilidad",U30="Impacto"),(AF28-(+AF28*X30)),IF(U30="Probabilidad",AF29,""))),"")</f>
        <v/>
      </c>
      <c r="AG30" s="539" t="str">
        <f t="shared" si="3"/>
        <v/>
      </c>
      <c r="AH30" s="540"/>
      <c r="AI30" s="541"/>
      <c r="AJ30" s="226"/>
      <c r="AK30" s="542"/>
      <c r="AL30" s="542"/>
      <c r="AM30" s="541"/>
      <c r="AN30" s="543"/>
      <c r="AO30" s="552"/>
      <c r="AP30" s="555"/>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row>
    <row r="31" spans="1:71" x14ac:dyDescent="0.3">
      <c r="A31" s="889"/>
      <c r="B31" s="1069"/>
      <c r="C31" s="1069"/>
      <c r="D31" s="1057"/>
      <c r="E31" s="1057"/>
      <c r="F31" s="1057"/>
      <c r="G31" s="1060"/>
      <c r="H31" s="1057"/>
      <c r="I31" s="1057"/>
      <c r="J31" s="545"/>
      <c r="K31" s="889"/>
      <c r="L31" s="886"/>
      <c r="M31" s="1054"/>
      <c r="N31" s="1054"/>
      <c r="O31" s="1054">
        <f>IF(NOT(ISERROR(MATCH(N31,_xlfn.ANCHORARRAY(G42),0))),M44&amp;"Por favor no seleccionar los criterios de impacto",N31)</f>
        <v>0</v>
      </c>
      <c r="P31" s="886"/>
      <c r="Q31" s="1054"/>
      <c r="R31" s="1051"/>
      <c r="S31" s="226">
        <v>4</v>
      </c>
      <c r="T31" s="544"/>
      <c r="U31" s="226" t="str">
        <f t="shared" si="0"/>
        <v/>
      </c>
      <c r="V31" s="535"/>
      <c r="W31" s="535"/>
      <c r="X31" s="534" t="str">
        <f t="shared" si="1"/>
        <v/>
      </c>
      <c r="Y31" s="535"/>
      <c r="Z31" s="535"/>
      <c r="AA31" s="535"/>
      <c r="AB31" s="536" t="str">
        <f t="shared" ref="AB31:AB35" si="7">IFERROR(IF(AND(U30="Probabilidad",U31="Probabilidad"),(AD30-(+AD30*X31)),IF(AND(U30="Impacto",U31="Probabilidad"),(AD29-(+AD29*X31)),IF(U31="Impacto",AD30,""))),"")</f>
        <v/>
      </c>
      <c r="AC31" s="537" t="str">
        <f t="shared" si="4"/>
        <v/>
      </c>
      <c r="AD31" s="538" t="str">
        <f t="shared" si="2"/>
        <v/>
      </c>
      <c r="AE31" s="537" t="str">
        <f t="shared" si="5"/>
        <v/>
      </c>
      <c r="AF31" s="538" t="str">
        <f>IFERROR(IF(AND(U30="Impacto",U31="Impacto"),(AF30-(+AF30*X31)),IF(AND(U30="Probabilidad",U31="Impacto"),(AF29-(+AF29*X31)),IF(U31="Probabilidad",AF30,""))),"")</f>
        <v/>
      </c>
      <c r="AG31" s="539" t="str">
        <f t="shared" si="3"/>
        <v/>
      </c>
      <c r="AH31" s="540"/>
      <c r="AI31" s="541"/>
      <c r="AJ31" s="226"/>
      <c r="AK31" s="542"/>
      <c r="AL31" s="542"/>
      <c r="AM31" s="541"/>
      <c r="AN31" s="543"/>
      <c r="AO31" s="552"/>
      <c r="AP31" s="555"/>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row>
    <row r="32" spans="1:71" x14ac:dyDescent="0.3">
      <c r="A32" s="889"/>
      <c r="B32" s="1069"/>
      <c r="C32" s="1069"/>
      <c r="D32" s="1057"/>
      <c r="E32" s="1057"/>
      <c r="F32" s="1057"/>
      <c r="G32" s="1060"/>
      <c r="H32" s="1057"/>
      <c r="I32" s="1057"/>
      <c r="J32" s="545"/>
      <c r="K32" s="889"/>
      <c r="L32" s="886"/>
      <c r="M32" s="1054"/>
      <c r="N32" s="1054"/>
      <c r="O32" s="1054">
        <f>IF(NOT(ISERROR(MATCH(N32,_xlfn.ANCHORARRAY(G43),0))),M45&amp;"Por favor no seleccionar los criterios de impacto",N32)</f>
        <v>0</v>
      </c>
      <c r="P32" s="886"/>
      <c r="Q32" s="1054"/>
      <c r="R32" s="1051"/>
      <c r="S32" s="226">
        <v>5</v>
      </c>
      <c r="T32" s="544"/>
      <c r="U32" s="226" t="str">
        <f t="shared" si="0"/>
        <v/>
      </c>
      <c r="V32" s="535"/>
      <c r="W32" s="535"/>
      <c r="X32" s="534" t="str">
        <f t="shared" si="1"/>
        <v/>
      </c>
      <c r="Y32" s="535"/>
      <c r="Z32" s="535"/>
      <c r="AA32" s="535"/>
      <c r="AB32" s="536" t="str">
        <f t="shared" si="7"/>
        <v/>
      </c>
      <c r="AC32" s="537" t="str">
        <f>IFERROR(IF(AB32="","",IF(AB32&lt;=0.2,"Muy Baja",IF(AB32&lt;=0.4,"Baja",IF(AB32&lt;=0.6,"Media",IF(AB32&lt;=0.8,"Alta","Muy Alta"))))),"")</f>
        <v/>
      </c>
      <c r="AD32" s="538" t="str">
        <f t="shared" si="2"/>
        <v/>
      </c>
      <c r="AE32" s="537" t="str">
        <f t="shared" si="5"/>
        <v/>
      </c>
      <c r="AF32" s="538" t="str">
        <f>IFERROR(IF(AND(U31="Impacto",U32="Impacto"),(AF31-(+AF31*X32)),IF(AND(U31="Probabilidad",U32="Impacto"),(AF30-(+AF30*X32)),IF(U32="Probabilidad",AF31,""))),"")</f>
        <v/>
      </c>
      <c r="AG32" s="539" t="str">
        <f t="shared" si="3"/>
        <v/>
      </c>
      <c r="AH32" s="540"/>
      <c r="AI32" s="541"/>
      <c r="AJ32" s="226"/>
      <c r="AK32" s="542"/>
      <c r="AL32" s="542"/>
      <c r="AM32" s="541"/>
      <c r="AN32" s="543"/>
      <c r="AO32" s="552"/>
      <c r="AP32" s="555"/>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row>
    <row r="33" spans="1:71" x14ac:dyDescent="0.3">
      <c r="A33" s="890"/>
      <c r="B33" s="1070"/>
      <c r="C33" s="1070"/>
      <c r="D33" s="1058"/>
      <c r="E33" s="1058"/>
      <c r="F33" s="1058"/>
      <c r="G33" s="1061"/>
      <c r="H33" s="1058"/>
      <c r="I33" s="1058"/>
      <c r="J33" s="551"/>
      <c r="K33" s="890"/>
      <c r="L33" s="887"/>
      <c r="M33" s="1055"/>
      <c r="N33" s="1055"/>
      <c r="O33" s="1055">
        <f>IF(NOT(ISERROR(MATCH(N33,_xlfn.ANCHORARRAY(G44),0))),M46&amp;"Por favor no seleccionar los criterios de impacto",N33)</f>
        <v>0</v>
      </c>
      <c r="P33" s="887"/>
      <c r="Q33" s="1055"/>
      <c r="R33" s="1052"/>
      <c r="S33" s="226">
        <v>6</v>
      </c>
      <c r="T33" s="544"/>
      <c r="U33" s="226" t="str">
        <f t="shared" si="0"/>
        <v/>
      </c>
      <c r="V33" s="535"/>
      <c r="W33" s="535"/>
      <c r="X33" s="534" t="str">
        <f t="shared" si="1"/>
        <v/>
      </c>
      <c r="Y33" s="535"/>
      <c r="Z33" s="535"/>
      <c r="AA33" s="535"/>
      <c r="AB33" s="536" t="str">
        <f t="shared" si="7"/>
        <v/>
      </c>
      <c r="AC33" s="537" t="str">
        <f t="shared" si="4"/>
        <v/>
      </c>
      <c r="AD33" s="538" t="str">
        <f t="shared" si="2"/>
        <v/>
      </c>
      <c r="AE33" s="537" t="str">
        <f t="shared" si="5"/>
        <v/>
      </c>
      <c r="AF33" s="538" t="str">
        <f>IFERROR(IF(AND(U32="Impacto",U33="Impacto"),(AF32-(+AF32*X33)),IF(AND(U32="Probabilidad",U33="Impacto"),(AF31-(+AF31*X33)),IF(U33="Probabilidad",AF32,""))),"")</f>
        <v/>
      </c>
      <c r="AG33" s="539" t="str">
        <f t="shared" si="3"/>
        <v/>
      </c>
      <c r="AH33" s="540"/>
      <c r="AI33" s="541"/>
      <c r="AJ33" s="226"/>
      <c r="AK33" s="542"/>
      <c r="AL33" s="542"/>
      <c r="AM33" s="541"/>
      <c r="AN33" s="543"/>
      <c r="AO33" s="552"/>
      <c r="AP33" s="555"/>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row>
    <row r="34" spans="1:71" x14ac:dyDescent="0.3">
      <c r="A34" s="888">
        <v>5</v>
      </c>
      <c r="B34" s="1068"/>
      <c r="C34" s="1068"/>
      <c r="D34" s="1056"/>
      <c r="E34" s="1056"/>
      <c r="F34" s="1056"/>
      <c r="G34" s="1059"/>
      <c r="H34" s="1056"/>
      <c r="I34" s="1056"/>
      <c r="J34" s="531"/>
      <c r="K34" s="888"/>
      <c r="L34" s="885" t="str">
        <f>IF(K34&lt;=0,"",IF(K34&lt;=2,"Muy Baja",IF(K34&lt;=24,"Baja",IF(K34&lt;=500,"Media",IF(K34&lt;=5000,"Alta","Muy Alta")))))</f>
        <v/>
      </c>
      <c r="M34" s="1053" t="str">
        <f>IF(L34="","",IF(L34="Muy Baja",0.2,IF(L34="Baja",0.4,IF(L34="Media",0.6,IF(L34="Alta",0.8,IF(L34="Muy Alta",1,))))))</f>
        <v/>
      </c>
      <c r="N34" s="1053"/>
      <c r="O34" s="1053">
        <f>IF(NOT(ISERROR(MATCH(N34,'Tabla Impacto'!$B$221:$B$223,0))),'Tabla Impacto'!$F$223&amp;"Por favor no seleccionar los criterios de impacto(Afectación Económica o presupuestal y Pérdida Reputacional)",N34)</f>
        <v>0</v>
      </c>
      <c r="P34" s="885" t="str">
        <f>IF(OR(O34='Tabla Impacto'!$C$11,O34='Tabla Impacto'!$D$11),"Leve",IF(OR(O34='Tabla Impacto'!$C$12,O34='Tabla Impacto'!$D$12),"Menor",IF(OR(O34='Tabla Impacto'!$C$13,O34='Tabla Impacto'!$D$13),"Moderado",IF(OR(O34='Tabla Impacto'!$C$14,O34='Tabla Impacto'!$D$14),"Mayor",IF(OR(O34='Tabla Impacto'!$C$15,O34='Tabla Impacto'!$D$15),"Catastrófico","")))))</f>
        <v/>
      </c>
      <c r="Q34" s="1053" t="str">
        <f>IF(P34="","",IF(P34="Leve",0.2,IF(P34="Menor",0.4,IF(P34="Moderado",0.6,IF(P34="Mayor",0.8,IF(P34="Catastrófico",1,))))))</f>
        <v/>
      </c>
      <c r="R34" s="105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6">
        <v>1</v>
      </c>
      <c r="T34" s="544"/>
      <c r="U34" s="226" t="str">
        <f t="shared" si="0"/>
        <v/>
      </c>
      <c r="V34" s="535"/>
      <c r="W34" s="535"/>
      <c r="X34" s="534" t="str">
        <f t="shared" si="1"/>
        <v/>
      </c>
      <c r="Y34" s="535"/>
      <c r="Z34" s="535"/>
      <c r="AA34" s="535"/>
      <c r="AB34" s="536" t="str">
        <f t="shared" si="7"/>
        <v/>
      </c>
      <c r="AC34" s="537" t="str">
        <f>IFERROR(IF(AB34="","",IF(AB34&lt;=0.2,"Muy Baja",IF(AB34&lt;=0.4,"Baja",IF(AB34&lt;=0.6,"Media",IF(AB34&lt;=0.8,"Alta","Muy Alta"))))),"")</f>
        <v/>
      </c>
      <c r="AD34" s="538" t="str">
        <f t="shared" si="2"/>
        <v/>
      </c>
      <c r="AE34" s="537" t="str">
        <f>IFERROR(IF(AF34="","",IF(AF34&lt;=0.2,"Leve",IF(AF34&lt;=0.4,"Menor",IF(AF34&lt;=0.6,"Moderado",IF(AF34&lt;=0.8,"Mayor","Catastrófico"))))),"")</f>
        <v/>
      </c>
      <c r="AF34" s="538" t="str">
        <f>IFERROR(IF(U34="Impacto",(Q34-(+Q34*X34)),IF(U34="Probabilidad",Q34,"")),"")</f>
        <v/>
      </c>
      <c r="AG34" s="539" t="str">
        <f t="shared" si="3"/>
        <v/>
      </c>
      <c r="AH34" s="540"/>
      <c r="AI34" s="541"/>
      <c r="AJ34" s="226"/>
      <c r="AK34" s="542"/>
      <c r="AL34" s="542"/>
      <c r="AM34" s="541"/>
      <c r="AN34" s="543"/>
      <c r="AO34" s="552"/>
      <c r="AP34" s="555"/>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row>
    <row r="35" spans="1:71" x14ac:dyDescent="0.3">
      <c r="A35" s="889"/>
      <c r="B35" s="1069"/>
      <c r="C35" s="1069"/>
      <c r="D35" s="1057"/>
      <c r="E35" s="1057"/>
      <c r="F35" s="1057"/>
      <c r="G35" s="1060"/>
      <c r="H35" s="1057"/>
      <c r="I35" s="1057"/>
      <c r="J35" s="545"/>
      <c r="K35" s="889"/>
      <c r="L35" s="886"/>
      <c r="M35" s="1054"/>
      <c r="N35" s="1054"/>
      <c r="O35" s="1054">
        <f>IF(NOT(ISERROR(MATCH(N35,_xlfn.ANCHORARRAY(G46),0))),M48&amp;"Por favor no seleccionar los criterios de impacto",N35)</f>
        <v>0</v>
      </c>
      <c r="P35" s="886"/>
      <c r="Q35" s="1054"/>
      <c r="R35" s="1051"/>
      <c r="S35" s="226">
        <v>2</v>
      </c>
      <c r="T35" s="544"/>
      <c r="U35" s="226" t="str">
        <f t="shared" si="0"/>
        <v/>
      </c>
      <c r="V35" s="535"/>
      <c r="W35" s="535"/>
      <c r="X35" s="534" t="str">
        <f t="shared" si="1"/>
        <v/>
      </c>
      <c r="Y35" s="535"/>
      <c r="Z35" s="535"/>
      <c r="AA35" s="535"/>
      <c r="AB35" s="536" t="str">
        <f t="shared" si="7"/>
        <v/>
      </c>
      <c r="AC35" s="537" t="str">
        <f t="shared" si="4"/>
        <v/>
      </c>
      <c r="AD35" s="538" t="str">
        <f t="shared" si="2"/>
        <v/>
      </c>
      <c r="AE35" s="537" t="str">
        <f t="shared" si="5"/>
        <v/>
      </c>
      <c r="AF35" s="538" t="str">
        <f>IFERROR(IF(AND(U34="Impacto",U35="Impacto"),(AF34-(+AF34*X35)),IF(U35="Impacto",(Q34-(+Q34*X35)),IF(U35="Probabilidad",AF34,""))),"")</f>
        <v/>
      </c>
      <c r="AG35" s="539" t="str">
        <f t="shared" si="3"/>
        <v/>
      </c>
      <c r="AH35" s="540"/>
      <c r="AI35" s="541"/>
      <c r="AJ35" s="226"/>
      <c r="AK35" s="542"/>
      <c r="AL35" s="542"/>
      <c r="AM35" s="541"/>
      <c r="AN35" s="543"/>
      <c r="AO35" s="552"/>
      <c r="AP35" s="555"/>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row>
    <row r="36" spans="1:71" x14ac:dyDescent="0.3">
      <c r="A36" s="889"/>
      <c r="B36" s="1069"/>
      <c r="C36" s="1069"/>
      <c r="D36" s="1057"/>
      <c r="E36" s="1057"/>
      <c r="F36" s="1057"/>
      <c r="G36" s="1060"/>
      <c r="H36" s="1057"/>
      <c r="I36" s="1057"/>
      <c r="J36" s="545"/>
      <c r="K36" s="889"/>
      <c r="L36" s="886"/>
      <c r="M36" s="1054"/>
      <c r="N36" s="1054"/>
      <c r="O36" s="1054">
        <f>IF(NOT(ISERROR(MATCH(N36,_xlfn.ANCHORARRAY(G47),0))),M49&amp;"Por favor no seleccionar los criterios de impacto",N36)</f>
        <v>0</v>
      </c>
      <c r="P36" s="886"/>
      <c r="Q36" s="1054"/>
      <c r="R36" s="1051"/>
      <c r="S36" s="226">
        <v>3</v>
      </c>
      <c r="T36" s="553"/>
      <c r="U36" s="226" t="str">
        <f t="shared" si="0"/>
        <v/>
      </c>
      <c r="V36" s="535"/>
      <c r="W36" s="535"/>
      <c r="X36" s="534" t="str">
        <f t="shared" si="1"/>
        <v/>
      </c>
      <c r="Y36" s="535"/>
      <c r="Z36" s="535"/>
      <c r="AA36" s="535"/>
      <c r="AB36" s="536" t="str">
        <f>IFERROR(IF(AND(U35="Probabilidad",U36="Probabilidad"),(AD35-(+AD35*X36)),IF(AND(U35="Impacto",U36="Probabilidad"),(AD34-(+AD34*X36)),IF(U36="Impacto",AD35,""))),"")</f>
        <v/>
      </c>
      <c r="AC36" s="537" t="str">
        <f t="shared" si="4"/>
        <v/>
      </c>
      <c r="AD36" s="538" t="str">
        <f t="shared" si="2"/>
        <v/>
      </c>
      <c r="AE36" s="537" t="str">
        <f t="shared" si="5"/>
        <v/>
      </c>
      <c r="AF36" s="538" t="str">
        <f>IFERROR(IF(AND(U35="Impacto",U36="Impacto"),(AF35-(+AF35*X36)),IF(AND(U35="Probabilidad",U36="Impacto"),(AF34-(+AF34*X36)),IF(U36="Probabilidad",AF35,""))),"")</f>
        <v/>
      </c>
      <c r="AG36" s="539" t="str">
        <f t="shared" si="3"/>
        <v/>
      </c>
      <c r="AH36" s="540"/>
      <c r="AI36" s="541"/>
      <c r="AJ36" s="226"/>
      <c r="AK36" s="542"/>
      <c r="AL36" s="542"/>
      <c r="AM36" s="541"/>
      <c r="AN36" s="543"/>
      <c r="AO36" s="552"/>
      <c r="AP36" s="555"/>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row>
    <row r="37" spans="1:71" x14ac:dyDescent="0.3">
      <c r="A37" s="889"/>
      <c r="B37" s="1069"/>
      <c r="C37" s="1069"/>
      <c r="D37" s="1057"/>
      <c r="E37" s="1057"/>
      <c r="F37" s="1057"/>
      <c r="G37" s="1060"/>
      <c r="H37" s="1057"/>
      <c r="I37" s="1057"/>
      <c r="J37" s="545"/>
      <c r="K37" s="889"/>
      <c r="L37" s="886"/>
      <c r="M37" s="1054"/>
      <c r="N37" s="1054"/>
      <c r="O37" s="1054">
        <f>IF(NOT(ISERROR(MATCH(N37,_xlfn.ANCHORARRAY(G48),0))),M50&amp;"Por favor no seleccionar los criterios de impacto",N37)</f>
        <v>0</v>
      </c>
      <c r="P37" s="886"/>
      <c r="Q37" s="1054"/>
      <c r="R37" s="1051"/>
      <c r="S37" s="226">
        <v>4</v>
      </c>
      <c r="T37" s="544"/>
      <c r="U37" s="226" t="str">
        <f t="shared" si="0"/>
        <v/>
      </c>
      <c r="V37" s="535"/>
      <c r="W37" s="535"/>
      <c r="X37" s="534" t="str">
        <f t="shared" si="1"/>
        <v/>
      </c>
      <c r="Y37" s="535"/>
      <c r="Z37" s="535"/>
      <c r="AA37" s="535"/>
      <c r="AB37" s="536" t="str">
        <f>IFERROR(IF(AND(U36="Probabilidad",U37="Probabilidad"),(AD36-(+AD36*X37)),IF(AND(U36="Impacto",U37="Probabilidad"),(AD35-(+AD35*X37)),IF(U37="Impacto",AD36,""))),"")</f>
        <v/>
      </c>
      <c r="AC37" s="537" t="str">
        <f t="shared" si="4"/>
        <v/>
      </c>
      <c r="AD37" s="538" t="str">
        <f t="shared" si="2"/>
        <v/>
      </c>
      <c r="AE37" s="537" t="str">
        <f t="shared" si="5"/>
        <v/>
      </c>
      <c r="AF37" s="538" t="str">
        <f>IFERROR(IF(AND(U36="Impacto",U37="Impacto"),(AF36-(+AF36*X37)),IF(AND(U36="Probabilidad",U37="Impacto"),(AF35-(+AF35*X37)),IF(U37="Probabilidad",AF36,""))),"")</f>
        <v/>
      </c>
      <c r="AG37" s="539" t="str">
        <f t="shared" si="3"/>
        <v/>
      </c>
      <c r="AH37" s="540"/>
      <c r="AI37" s="541"/>
      <c r="AJ37" s="226"/>
      <c r="AK37" s="542"/>
      <c r="AL37" s="542"/>
      <c r="AM37" s="541"/>
      <c r="AN37" s="543"/>
      <c r="AO37" s="552"/>
      <c r="AP37" s="555"/>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row>
    <row r="38" spans="1:71" x14ac:dyDescent="0.3">
      <c r="A38" s="889"/>
      <c r="B38" s="1069"/>
      <c r="C38" s="1069"/>
      <c r="D38" s="1057"/>
      <c r="E38" s="1057"/>
      <c r="F38" s="1057"/>
      <c r="G38" s="1060"/>
      <c r="H38" s="1057"/>
      <c r="I38" s="1057"/>
      <c r="J38" s="545"/>
      <c r="K38" s="889"/>
      <c r="L38" s="886"/>
      <c r="M38" s="1054"/>
      <c r="N38" s="1054"/>
      <c r="O38" s="1054">
        <f>IF(NOT(ISERROR(MATCH(N38,_xlfn.ANCHORARRAY(G49),0))),M51&amp;"Por favor no seleccionar los criterios de impacto",N38)</f>
        <v>0</v>
      </c>
      <c r="P38" s="886"/>
      <c r="Q38" s="1054"/>
      <c r="R38" s="1051"/>
      <c r="S38" s="226">
        <v>5</v>
      </c>
      <c r="T38" s="544"/>
      <c r="U38" s="226" t="str">
        <f t="shared" si="0"/>
        <v/>
      </c>
      <c r="V38" s="535"/>
      <c r="W38" s="535"/>
      <c r="X38" s="534" t="str">
        <f t="shared" si="1"/>
        <v/>
      </c>
      <c r="Y38" s="535"/>
      <c r="Z38" s="535"/>
      <c r="AA38" s="535"/>
      <c r="AB38" s="536" t="str">
        <f>IFERROR(IF(AND(U37="Probabilidad",U38="Probabilidad"),(AD37-(+AD37*X38)),IF(AND(U37="Impacto",U38="Probabilidad"),(AD36-(+AD36*X38)),IF(U38="Impacto",AD37,""))),"")</f>
        <v/>
      </c>
      <c r="AC38" s="537" t="str">
        <f t="shared" si="4"/>
        <v/>
      </c>
      <c r="AD38" s="538" t="str">
        <f t="shared" si="2"/>
        <v/>
      </c>
      <c r="AE38" s="537" t="str">
        <f t="shared" si="5"/>
        <v/>
      </c>
      <c r="AF38" s="538" t="str">
        <f>IFERROR(IF(AND(U37="Impacto",U38="Impacto"),(AF37-(+AF37*X38)),IF(AND(U37="Probabilidad",U38="Impacto"),(AF36-(+AF36*X38)),IF(U38="Probabilidad",AF37,""))),"")</f>
        <v/>
      </c>
      <c r="AG38" s="539" t="str">
        <f t="shared" si="3"/>
        <v/>
      </c>
      <c r="AH38" s="540"/>
      <c r="AI38" s="541"/>
      <c r="AJ38" s="226"/>
      <c r="AK38" s="542"/>
      <c r="AL38" s="542"/>
      <c r="AM38" s="541"/>
      <c r="AN38" s="543"/>
      <c r="AO38" s="552"/>
      <c r="AP38" s="555"/>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row>
    <row r="39" spans="1:71" x14ac:dyDescent="0.3">
      <c r="A39" s="890"/>
      <c r="B39" s="1070"/>
      <c r="C39" s="1070"/>
      <c r="D39" s="1058"/>
      <c r="E39" s="1058"/>
      <c r="F39" s="1058"/>
      <c r="G39" s="1061"/>
      <c r="H39" s="1058"/>
      <c r="I39" s="1058"/>
      <c r="J39" s="551"/>
      <c r="K39" s="890"/>
      <c r="L39" s="887"/>
      <c r="M39" s="1055"/>
      <c r="N39" s="1055"/>
      <c r="O39" s="1055">
        <f>IF(NOT(ISERROR(MATCH(N39,_xlfn.ANCHORARRAY(G50),0))),M52&amp;"Por favor no seleccionar los criterios de impacto",N39)</f>
        <v>0</v>
      </c>
      <c r="P39" s="887"/>
      <c r="Q39" s="1055"/>
      <c r="R39" s="1052"/>
      <c r="S39" s="226">
        <v>6</v>
      </c>
      <c r="T39" s="544"/>
      <c r="U39" s="226" t="str">
        <f t="shared" si="0"/>
        <v/>
      </c>
      <c r="V39" s="535"/>
      <c r="W39" s="535"/>
      <c r="X39" s="534" t="str">
        <f t="shared" si="1"/>
        <v/>
      </c>
      <c r="Y39" s="535"/>
      <c r="Z39" s="535"/>
      <c r="AA39" s="535"/>
      <c r="AB39" s="536" t="str">
        <f>IFERROR(IF(AND(U38="Probabilidad",U39="Probabilidad"),(AD38-(+AD38*X39)),IF(AND(U38="Impacto",U39="Probabilidad"),(AD37-(+AD37*X39)),IF(U39="Impacto",AD38,""))),"")</f>
        <v/>
      </c>
      <c r="AC39" s="537" t="str">
        <f t="shared" si="4"/>
        <v/>
      </c>
      <c r="AD39" s="538" t="str">
        <f t="shared" si="2"/>
        <v/>
      </c>
      <c r="AE39" s="537" t="str">
        <f t="shared" si="5"/>
        <v/>
      </c>
      <c r="AF39" s="538" t="str">
        <f>IFERROR(IF(AND(U38="Impacto",U39="Impacto"),(AF38-(+AF38*X39)),IF(AND(U38="Probabilidad",U39="Impacto"),(AF37-(+AF37*X39)),IF(U39="Probabilidad",AF38,""))),"")</f>
        <v/>
      </c>
      <c r="AG39" s="539" t="str">
        <f t="shared" si="3"/>
        <v/>
      </c>
      <c r="AH39" s="540"/>
      <c r="AI39" s="541"/>
      <c r="AJ39" s="226"/>
      <c r="AK39" s="542"/>
      <c r="AL39" s="542"/>
      <c r="AM39" s="541"/>
      <c r="AN39" s="543"/>
      <c r="AO39" s="552"/>
      <c r="AP39" s="555"/>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row>
    <row r="40" spans="1:71" x14ac:dyDescent="0.3">
      <c r="A40" s="888">
        <v>6</v>
      </c>
      <c r="B40" s="1068"/>
      <c r="C40" s="1068"/>
      <c r="D40" s="1056"/>
      <c r="E40" s="1056"/>
      <c r="F40" s="1056"/>
      <c r="G40" s="1059"/>
      <c r="H40" s="1056"/>
      <c r="I40" s="1056"/>
      <c r="J40" s="531"/>
      <c r="K40" s="888"/>
      <c r="L40" s="885" t="str">
        <f>IF(K40&lt;=0,"",IF(K40&lt;=2,"Muy Baja",IF(K40&lt;=24,"Baja",IF(K40&lt;=500,"Media",IF(K40&lt;=5000,"Alta","Muy Alta")))))</f>
        <v/>
      </c>
      <c r="M40" s="1053" t="str">
        <f>IF(L40="","",IF(L40="Muy Baja",0.2,IF(L40="Baja",0.4,IF(L40="Media",0.6,IF(L40="Alta",0.8,IF(L40="Muy Alta",1,))))))</f>
        <v/>
      </c>
      <c r="N40" s="1053"/>
      <c r="O40" s="1053">
        <f>IF(NOT(ISERROR(MATCH(N40,'Tabla Impacto'!$B$221:$B$223,0))),'Tabla Impacto'!$F$223&amp;"Por favor no seleccionar los criterios de impacto(Afectación Económica o presupuestal y Pérdida Reputacional)",N40)</f>
        <v>0</v>
      </c>
      <c r="P40" s="885" t="str">
        <f>IF(OR(O40='Tabla Impacto'!$C$11,O40='Tabla Impacto'!$D$11),"Leve",IF(OR(O40='Tabla Impacto'!$C$12,O40='Tabla Impacto'!$D$12),"Menor",IF(OR(O40='Tabla Impacto'!$C$13,O40='Tabla Impacto'!$D$13),"Moderado",IF(OR(O40='Tabla Impacto'!$C$14,O40='Tabla Impacto'!$D$14),"Mayor",IF(OR(O40='Tabla Impacto'!$C$15,O40='Tabla Impacto'!$D$15),"Catastrófico","")))))</f>
        <v/>
      </c>
      <c r="Q40" s="1053" t="str">
        <f>IF(P40="","",IF(P40="Leve",0.2,IF(P40="Menor",0.4,IF(P40="Moderado",0.6,IF(P40="Mayor",0.8,IF(P40="Catastrófico",1,))))))</f>
        <v/>
      </c>
      <c r="R40" s="105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6">
        <v>1</v>
      </c>
      <c r="T40" s="544"/>
      <c r="U40" s="226" t="str">
        <f t="shared" si="0"/>
        <v/>
      </c>
      <c r="V40" s="535"/>
      <c r="W40" s="535"/>
      <c r="X40" s="534" t="str">
        <f t="shared" si="1"/>
        <v/>
      </c>
      <c r="Y40" s="535"/>
      <c r="Z40" s="535"/>
      <c r="AA40" s="535"/>
      <c r="AB40" s="536" t="str">
        <f>IFERROR(IF(U40="Probabilidad",(M40-(+M40*X40)),IF(U40="Impacto",M40,"")),"")</f>
        <v/>
      </c>
      <c r="AC40" s="537" t="str">
        <f>IFERROR(IF(AB40="","",IF(AB40&lt;=0.2,"Muy Baja",IF(AB40&lt;=0.4,"Baja",IF(AB40&lt;=0.6,"Media",IF(AB40&lt;=0.8,"Alta","Muy Alta"))))),"")</f>
        <v/>
      </c>
      <c r="AD40" s="538" t="str">
        <f t="shared" si="2"/>
        <v/>
      </c>
      <c r="AE40" s="537" t="str">
        <f>IFERROR(IF(AF40="","",IF(AF40&lt;=0.2,"Leve",IF(AF40&lt;=0.4,"Menor",IF(AF40&lt;=0.6,"Moderado",IF(AF40&lt;=0.8,"Mayor","Catastrófico"))))),"")</f>
        <v/>
      </c>
      <c r="AF40" s="538" t="str">
        <f>IFERROR(IF(U40="Impacto",(Q40-(+Q40*X40)),IF(U40="Probabilidad",Q40,"")),"")</f>
        <v/>
      </c>
      <c r="AG40" s="539" t="str">
        <f t="shared" si="3"/>
        <v/>
      </c>
      <c r="AH40" s="540"/>
      <c r="AI40" s="541"/>
      <c r="AJ40" s="226"/>
      <c r="AK40" s="542"/>
      <c r="AL40" s="542"/>
      <c r="AM40" s="541"/>
      <c r="AN40" s="543"/>
      <c r="AO40" s="552"/>
      <c r="AP40" s="555"/>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row>
    <row r="41" spans="1:71" x14ac:dyDescent="0.3">
      <c r="A41" s="889"/>
      <c r="B41" s="1069"/>
      <c r="C41" s="1069"/>
      <c r="D41" s="1057"/>
      <c r="E41" s="1057"/>
      <c r="F41" s="1057"/>
      <c r="G41" s="1060"/>
      <c r="H41" s="1057"/>
      <c r="I41" s="1057"/>
      <c r="J41" s="545"/>
      <c r="K41" s="889"/>
      <c r="L41" s="886"/>
      <c r="M41" s="1054"/>
      <c r="N41" s="1054"/>
      <c r="O41" s="1054">
        <f>IF(NOT(ISERROR(MATCH(N41,_xlfn.ANCHORARRAY(G52),0))),M54&amp;"Por favor no seleccionar los criterios de impacto",N41)</f>
        <v>0</v>
      </c>
      <c r="P41" s="886"/>
      <c r="Q41" s="1054"/>
      <c r="R41" s="1051"/>
      <c r="S41" s="226">
        <v>2</v>
      </c>
      <c r="T41" s="544"/>
      <c r="U41" s="226" t="str">
        <f t="shared" si="0"/>
        <v/>
      </c>
      <c r="V41" s="535"/>
      <c r="W41" s="535"/>
      <c r="X41" s="534" t="str">
        <f t="shared" si="1"/>
        <v/>
      </c>
      <c r="Y41" s="535"/>
      <c r="Z41" s="535"/>
      <c r="AA41" s="535"/>
      <c r="AB41" s="536" t="str">
        <f>IFERROR(IF(AND(U40="Probabilidad",U41="Probabilidad"),(AD40-(+AD40*X41)),IF(U41="Probabilidad",(M40-(+M40*X41)),IF(U41="Impacto",AD40,""))),"")</f>
        <v/>
      </c>
      <c r="AC41" s="537" t="str">
        <f t="shared" si="4"/>
        <v/>
      </c>
      <c r="AD41" s="538" t="str">
        <f t="shared" si="2"/>
        <v/>
      </c>
      <c r="AE41" s="537" t="str">
        <f t="shared" si="5"/>
        <v/>
      </c>
      <c r="AF41" s="538" t="str">
        <f>IFERROR(IF(AND(U40="Impacto",U41="Impacto"),(AF40-(+AF40*X41)),IF(U41="Impacto",(Q40-(+Q40*X41)),IF(U41="Probabilidad",AF40,""))),"")</f>
        <v/>
      </c>
      <c r="AG41" s="539" t="str">
        <f t="shared" si="3"/>
        <v/>
      </c>
      <c r="AH41" s="540"/>
      <c r="AI41" s="541"/>
      <c r="AJ41" s="226"/>
      <c r="AK41" s="542"/>
      <c r="AL41" s="542"/>
      <c r="AM41" s="541"/>
      <c r="AN41" s="543"/>
      <c r="AO41" s="552"/>
      <c r="AP41" s="555"/>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row>
    <row r="42" spans="1:71" x14ac:dyDescent="0.3">
      <c r="A42" s="889"/>
      <c r="B42" s="1069"/>
      <c r="C42" s="1069"/>
      <c r="D42" s="1057"/>
      <c r="E42" s="1057"/>
      <c r="F42" s="1057"/>
      <c r="G42" s="1060"/>
      <c r="H42" s="1057"/>
      <c r="I42" s="1057"/>
      <c r="J42" s="545"/>
      <c r="K42" s="889"/>
      <c r="L42" s="886"/>
      <c r="M42" s="1054"/>
      <c r="N42" s="1054"/>
      <c r="O42" s="1054">
        <f>IF(NOT(ISERROR(MATCH(N42,_xlfn.ANCHORARRAY(G53),0))),M55&amp;"Por favor no seleccionar los criterios de impacto",N42)</f>
        <v>0</v>
      </c>
      <c r="P42" s="886"/>
      <c r="Q42" s="1054"/>
      <c r="R42" s="1051"/>
      <c r="S42" s="226">
        <v>3</v>
      </c>
      <c r="T42" s="553"/>
      <c r="U42" s="226" t="str">
        <f t="shared" ref="U42:U69" si="8">IF(OR(V42="Preventivo",V42="Detectivo"),"Probabilidad",IF(V42="Correctivo","Impacto",""))</f>
        <v/>
      </c>
      <c r="V42" s="535"/>
      <c r="W42" s="535"/>
      <c r="X42" s="534" t="str">
        <f t="shared" ref="X42:X69" si="9">IF(AND(V42="Preventivo",W42="Automático"),"50%",IF(AND(V42="Preventivo",W42="Manual"),"40%",IF(AND(V42="Detectivo",W42="Automático"),"40%",IF(AND(V42="Detectivo",W42="Manual"),"30%",IF(AND(V42="Correctivo",W42="Automático"),"35%",IF(AND(V42="Correctivo",W42="Manual"),"25%",""))))))</f>
        <v/>
      </c>
      <c r="Y42" s="535"/>
      <c r="Z42" s="535"/>
      <c r="AA42" s="535"/>
      <c r="AB42" s="536" t="str">
        <f>IFERROR(IF(AND(U41="Probabilidad",U42="Probabilidad"),(AD41-(+AD41*X42)),IF(AND(U41="Impacto",U42="Probabilidad"),(AD40-(+AD40*X42)),IF(U42="Impacto",AD41,""))),"")</f>
        <v/>
      </c>
      <c r="AC42" s="537" t="str">
        <f t="shared" si="4"/>
        <v/>
      </c>
      <c r="AD42" s="538" t="str">
        <f t="shared" ref="AD42:AD69" si="10">+AB42</f>
        <v/>
      </c>
      <c r="AE42" s="537" t="str">
        <f t="shared" si="5"/>
        <v/>
      </c>
      <c r="AF42" s="538" t="str">
        <f>IFERROR(IF(AND(U41="Impacto",U42="Impacto"),(AF41-(+AF41*X42)),IF(AND(U41="Probabilidad",U42="Impacto"),(AF40-(+AF40*X42)),IF(U42="Probabilidad",AF41,""))),"")</f>
        <v/>
      </c>
      <c r="AG42" s="539" t="str">
        <f t="shared" ref="AG42:AG69" si="11">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540"/>
      <c r="AI42" s="541"/>
      <c r="AJ42" s="226"/>
      <c r="AK42" s="542"/>
      <c r="AL42" s="542"/>
      <c r="AM42" s="541"/>
      <c r="AN42" s="543"/>
      <c r="AO42" s="552"/>
      <c r="AP42" s="555"/>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row>
    <row r="43" spans="1:71" x14ac:dyDescent="0.3">
      <c r="A43" s="889"/>
      <c r="B43" s="1069"/>
      <c r="C43" s="1069"/>
      <c r="D43" s="1057"/>
      <c r="E43" s="1057"/>
      <c r="F43" s="1057"/>
      <c r="G43" s="1060"/>
      <c r="H43" s="1057"/>
      <c r="I43" s="1057"/>
      <c r="J43" s="545"/>
      <c r="K43" s="889"/>
      <c r="L43" s="886"/>
      <c r="M43" s="1054"/>
      <c r="N43" s="1054"/>
      <c r="O43" s="1054">
        <f>IF(NOT(ISERROR(MATCH(N43,_xlfn.ANCHORARRAY(G54),0))),M56&amp;"Por favor no seleccionar los criterios de impacto",N43)</f>
        <v>0</v>
      </c>
      <c r="P43" s="886"/>
      <c r="Q43" s="1054"/>
      <c r="R43" s="1051"/>
      <c r="S43" s="226">
        <v>4</v>
      </c>
      <c r="T43" s="544"/>
      <c r="U43" s="226" t="str">
        <f t="shared" si="8"/>
        <v/>
      </c>
      <c r="V43" s="535"/>
      <c r="W43" s="535"/>
      <c r="X43" s="534" t="str">
        <f t="shared" si="9"/>
        <v/>
      </c>
      <c r="Y43" s="535"/>
      <c r="Z43" s="535"/>
      <c r="AA43" s="535"/>
      <c r="AB43" s="536" t="str">
        <f>IFERROR(IF(AND(U42="Probabilidad",U43="Probabilidad"),(AD42-(+AD42*X43)),IF(AND(U42="Impacto",U43="Probabilidad"),(AD41-(+AD41*X43)),IF(U43="Impacto",AD42,""))),"")</f>
        <v/>
      </c>
      <c r="AC43" s="537" t="str">
        <f t="shared" si="4"/>
        <v/>
      </c>
      <c r="AD43" s="538" t="str">
        <f t="shared" si="10"/>
        <v/>
      </c>
      <c r="AE43" s="537" t="str">
        <f t="shared" si="5"/>
        <v/>
      </c>
      <c r="AF43" s="538" t="str">
        <f>IFERROR(IF(AND(U42="Impacto",U43="Impacto"),(AF42-(+AF42*X43)),IF(AND(U42="Probabilidad",U43="Impacto"),(AF41-(+AF41*X43)),IF(U43="Probabilidad",AF42,""))),"")</f>
        <v/>
      </c>
      <c r="AG43" s="539" t="str">
        <f t="shared" si="11"/>
        <v/>
      </c>
      <c r="AH43" s="540"/>
      <c r="AI43" s="541"/>
      <c r="AJ43" s="226"/>
      <c r="AK43" s="542"/>
      <c r="AL43" s="542"/>
      <c r="AM43" s="541"/>
      <c r="AN43" s="543"/>
      <c r="AO43" s="552"/>
      <c r="AP43" s="555"/>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row>
    <row r="44" spans="1:71" x14ac:dyDescent="0.3">
      <c r="A44" s="889"/>
      <c r="B44" s="1069"/>
      <c r="C44" s="1069"/>
      <c r="D44" s="1057"/>
      <c r="E44" s="1057"/>
      <c r="F44" s="1057"/>
      <c r="G44" s="1060"/>
      <c r="H44" s="1057"/>
      <c r="I44" s="1057"/>
      <c r="J44" s="545"/>
      <c r="K44" s="889"/>
      <c r="L44" s="886"/>
      <c r="M44" s="1054"/>
      <c r="N44" s="1054"/>
      <c r="O44" s="1054">
        <f>IF(NOT(ISERROR(MATCH(N44,_xlfn.ANCHORARRAY(G55),0))),M57&amp;"Por favor no seleccionar los criterios de impacto",N44)</f>
        <v>0</v>
      </c>
      <c r="P44" s="886"/>
      <c r="Q44" s="1054"/>
      <c r="R44" s="1051"/>
      <c r="S44" s="226">
        <v>5</v>
      </c>
      <c r="T44" s="544"/>
      <c r="U44" s="226" t="str">
        <f t="shared" si="8"/>
        <v/>
      </c>
      <c r="V44" s="535"/>
      <c r="W44" s="535"/>
      <c r="X44" s="534" t="str">
        <f t="shared" si="9"/>
        <v/>
      </c>
      <c r="Y44" s="535"/>
      <c r="Z44" s="535"/>
      <c r="AA44" s="535"/>
      <c r="AB44" s="536" t="str">
        <f>IFERROR(IF(AND(U43="Probabilidad",U44="Probabilidad"),(AD43-(+AD43*X44)),IF(AND(U43="Impacto",U44="Probabilidad"),(AD42-(+AD42*X44)),IF(U44="Impacto",AD43,""))),"")</f>
        <v/>
      </c>
      <c r="AC44" s="537" t="str">
        <f t="shared" si="4"/>
        <v/>
      </c>
      <c r="AD44" s="538" t="str">
        <f t="shared" si="10"/>
        <v/>
      </c>
      <c r="AE44" s="537" t="str">
        <f t="shared" si="5"/>
        <v/>
      </c>
      <c r="AF44" s="538" t="str">
        <f>IFERROR(IF(AND(U43="Impacto",U44="Impacto"),(AF43-(+AF43*X44)),IF(AND(U43="Probabilidad",U44="Impacto"),(AF42-(+AF42*X44)),IF(U44="Probabilidad",AF43,""))),"")</f>
        <v/>
      </c>
      <c r="AG44" s="539" t="str">
        <f t="shared" si="11"/>
        <v/>
      </c>
      <c r="AH44" s="540"/>
      <c r="AI44" s="541"/>
      <c r="AJ44" s="226"/>
      <c r="AK44" s="542"/>
      <c r="AL44" s="542"/>
      <c r="AM44" s="541"/>
      <c r="AN44" s="543"/>
      <c r="AO44" s="552"/>
      <c r="AP44" s="555"/>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row>
    <row r="45" spans="1:71" x14ac:dyDescent="0.3">
      <c r="A45" s="890"/>
      <c r="B45" s="1070"/>
      <c r="C45" s="1070"/>
      <c r="D45" s="1058"/>
      <c r="E45" s="1058"/>
      <c r="F45" s="1058"/>
      <c r="G45" s="1061"/>
      <c r="H45" s="1058"/>
      <c r="I45" s="1058"/>
      <c r="J45" s="551"/>
      <c r="K45" s="890"/>
      <c r="L45" s="887"/>
      <c r="M45" s="1055"/>
      <c r="N45" s="1055"/>
      <c r="O45" s="1055">
        <f>IF(NOT(ISERROR(MATCH(N45,_xlfn.ANCHORARRAY(G56),0))),M58&amp;"Por favor no seleccionar los criterios de impacto",N45)</f>
        <v>0</v>
      </c>
      <c r="P45" s="887"/>
      <c r="Q45" s="1055"/>
      <c r="R45" s="1052"/>
      <c r="S45" s="226">
        <v>6</v>
      </c>
      <c r="T45" s="544"/>
      <c r="U45" s="226" t="str">
        <f t="shared" si="8"/>
        <v/>
      </c>
      <c r="V45" s="535"/>
      <c r="W45" s="535"/>
      <c r="X45" s="534" t="str">
        <f t="shared" si="9"/>
        <v/>
      </c>
      <c r="Y45" s="535"/>
      <c r="Z45" s="535"/>
      <c r="AA45" s="535"/>
      <c r="AB45" s="536" t="str">
        <f>IFERROR(IF(AND(U44="Probabilidad",U45="Probabilidad"),(AD44-(+AD44*X45)),IF(AND(U44="Impacto",U45="Probabilidad"),(AD43-(+AD43*X45)),IF(U45="Impacto",AD44,""))),"")</f>
        <v/>
      </c>
      <c r="AC45" s="537" t="str">
        <f t="shared" si="4"/>
        <v/>
      </c>
      <c r="AD45" s="538" t="str">
        <f t="shared" si="10"/>
        <v/>
      </c>
      <c r="AE45" s="537" t="str">
        <f>IFERROR(IF(AF45="","",IF(AF45&lt;=0.2,"Leve",IF(AF45&lt;=0.4,"Menor",IF(AF45&lt;=0.6,"Moderado",IF(AF45&lt;=0.8,"Mayor","Catastrófico"))))),"")</f>
        <v/>
      </c>
      <c r="AF45" s="538" t="str">
        <f>IFERROR(IF(AND(U44="Impacto",U45="Impacto"),(AF44-(+AF44*X45)),IF(AND(U44="Probabilidad",U45="Impacto"),(AF43-(+AF43*X45)),IF(U45="Probabilidad",AF44,""))),"")</f>
        <v/>
      </c>
      <c r="AG45" s="539" t="str">
        <f t="shared" si="11"/>
        <v/>
      </c>
      <c r="AH45" s="540"/>
      <c r="AI45" s="541"/>
      <c r="AJ45" s="226"/>
      <c r="AK45" s="542"/>
      <c r="AL45" s="542"/>
      <c r="AM45" s="541"/>
      <c r="AN45" s="543"/>
      <c r="AO45" s="552"/>
      <c r="AP45" s="555"/>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row>
    <row r="46" spans="1:71" x14ac:dyDescent="0.3">
      <c r="A46" s="888">
        <v>7</v>
      </c>
      <c r="B46" s="1068"/>
      <c r="C46" s="1068"/>
      <c r="D46" s="1056"/>
      <c r="E46" s="1056"/>
      <c r="F46" s="1056"/>
      <c r="G46" s="1059"/>
      <c r="H46" s="1056"/>
      <c r="I46" s="1056"/>
      <c r="J46" s="531"/>
      <c r="K46" s="888"/>
      <c r="L46" s="885" t="str">
        <f>IF(K46&lt;=0,"",IF(K46&lt;=2,"Muy Baja",IF(K46&lt;=24,"Baja",IF(K46&lt;=500,"Media",IF(K46&lt;=5000,"Alta","Muy Alta")))))</f>
        <v/>
      </c>
      <c r="M46" s="1053" t="str">
        <f>IF(L46="","",IF(L46="Muy Baja",0.2,IF(L46="Baja",0.4,IF(L46="Media",0.6,IF(L46="Alta",0.8,IF(L46="Muy Alta",1,))))))</f>
        <v/>
      </c>
      <c r="N46" s="1053"/>
      <c r="O46" s="1053">
        <f>IF(NOT(ISERROR(MATCH(N46,'Tabla Impacto'!$B$221:$B$223,0))),'Tabla Impacto'!$F$223&amp;"Por favor no seleccionar los criterios de impacto(Afectación Económica o presupuestal y Pérdida Reputacional)",N46)</f>
        <v>0</v>
      </c>
      <c r="P46" s="885" t="str">
        <f>IF(OR(O46='Tabla Impacto'!$C$11,O46='Tabla Impacto'!$D$11),"Leve",IF(OR(O46='Tabla Impacto'!$C$12,O46='Tabla Impacto'!$D$12),"Menor",IF(OR(O46='Tabla Impacto'!$C$13,O46='Tabla Impacto'!$D$13),"Moderado",IF(OR(O46='Tabla Impacto'!$C$14,O46='Tabla Impacto'!$D$14),"Mayor",IF(OR(O46='Tabla Impacto'!$C$15,O46='Tabla Impacto'!$D$15),"Catastrófico","")))))</f>
        <v/>
      </c>
      <c r="Q46" s="1053" t="str">
        <f>IF(P46="","",IF(P46="Leve",0.2,IF(P46="Menor",0.4,IF(P46="Moderado",0.6,IF(P46="Mayor",0.8,IF(P46="Catastrófico",1,))))))</f>
        <v/>
      </c>
      <c r="R46" s="105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6">
        <v>1</v>
      </c>
      <c r="T46" s="544"/>
      <c r="U46" s="226" t="str">
        <f t="shared" si="8"/>
        <v/>
      </c>
      <c r="V46" s="535"/>
      <c r="W46" s="535"/>
      <c r="X46" s="534" t="str">
        <f t="shared" si="9"/>
        <v/>
      </c>
      <c r="Y46" s="535"/>
      <c r="Z46" s="535"/>
      <c r="AA46" s="535"/>
      <c r="AB46" s="536" t="str">
        <f>IFERROR(IF(U46="Probabilidad",(M46-(+M46*X46)),IF(U46="Impacto",M46,"")),"")</f>
        <v/>
      </c>
      <c r="AC46" s="537" t="str">
        <f>IFERROR(IF(AB46="","",IF(AB46&lt;=0.2,"Muy Baja",IF(AB46&lt;=0.4,"Baja",IF(AB46&lt;=0.6,"Media",IF(AB46&lt;=0.8,"Alta","Muy Alta"))))),"")</f>
        <v/>
      </c>
      <c r="AD46" s="538" t="str">
        <f t="shared" si="10"/>
        <v/>
      </c>
      <c r="AE46" s="537" t="str">
        <f>IFERROR(IF(AF46="","",IF(AF46&lt;=0.2,"Leve",IF(AF46&lt;=0.4,"Menor",IF(AF46&lt;=0.6,"Moderado",IF(AF46&lt;=0.8,"Mayor","Catastrófico"))))),"")</f>
        <v/>
      </c>
      <c r="AF46" s="538" t="str">
        <f>IFERROR(IF(U46="Impacto",(Q46-(+Q46*X46)),IF(U46="Probabilidad",Q46,"")),"")</f>
        <v/>
      </c>
      <c r="AG46" s="539" t="str">
        <f t="shared" si="11"/>
        <v/>
      </c>
      <c r="AH46" s="540"/>
      <c r="AI46" s="541"/>
      <c r="AJ46" s="226"/>
      <c r="AK46" s="542"/>
      <c r="AL46" s="542"/>
      <c r="AM46" s="541"/>
      <c r="AN46" s="543"/>
      <c r="AO46" s="552"/>
      <c r="AP46" s="555"/>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row>
    <row r="47" spans="1:71" x14ac:dyDescent="0.3">
      <c r="A47" s="889"/>
      <c r="B47" s="1069"/>
      <c r="C47" s="1069"/>
      <c r="D47" s="1057"/>
      <c r="E47" s="1057"/>
      <c r="F47" s="1057"/>
      <c r="G47" s="1060"/>
      <c r="H47" s="1057"/>
      <c r="I47" s="1057"/>
      <c r="J47" s="545"/>
      <c r="K47" s="889"/>
      <c r="L47" s="886"/>
      <c r="M47" s="1054"/>
      <c r="N47" s="1054"/>
      <c r="O47" s="1054">
        <f>IF(NOT(ISERROR(MATCH(N47,_xlfn.ANCHORARRAY(G58),0))),M60&amp;"Por favor no seleccionar los criterios de impacto",N47)</f>
        <v>0</v>
      </c>
      <c r="P47" s="886"/>
      <c r="Q47" s="1054"/>
      <c r="R47" s="1051"/>
      <c r="S47" s="226">
        <v>2</v>
      </c>
      <c r="T47" s="544"/>
      <c r="U47" s="226" t="str">
        <f t="shared" si="8"/>
        <v/>
      </c>
      <c r="V47" s="535"/>
      <c r="W47" s="535"/>
      <c r="X47" s="534" t="str">
        <f t="shared" si="9"/>
        <v/>
      </c>
      <c r="Y47" s="535"/>
      <c r="Z47" s="535"/>
      <c r="AA47" s="535"/>
      <c r="AB47" s="536" t="str">
        <f>IFERROR(IF(AND(U46="Probabilidad",U47="Probabilidad"),(AD46-(+AD46*X47)),IF(U47="Probabilidad",(M46-(+M46*X47)),IF(U47="Impacto",AD46,""))),"")</f>
        <v/>
      </c>
      <c r="AC47" s="537" t="str">
        <f t="shared" si="4"/>
        <v/>
      </c>
      <c r="AD47" s="538" t="str">
        <f t="shared" si="10"/>
        <v/>
      </c>
      <c r="AE47" s="537" t="str">
        <f t="shared" si="5"/>
        <v/>
      </c>
      <c r="AF47" s="538" t="str">
        <f>IFERROR(IF(AND(U46="Impacto",U47="Impacto"),(AF46-(+AF46*X47)),IF(U47="Impacto",(Q46-(+Q46*X47)),IF(U47="Probabilidad",AF46,""))),"")</f>
        <v/>
      </c>
      <c r="AG47" s="539" t="str">
        <f t="shared" si="11"/>
        <v/>
      </c>
      <c r="AH47" s="540"/>
      <c r="AI47" s="541"/>
      <c r="AJ47" s="226"/>
      <c r="AK47" s="542"/>
      <c r="AL47" s="542"/>
      <c r="AM47" s="541"/>
      <c r="AN47" s="543"/>
      <c r="AO47" s="552"/>
      <c r="AP47" s="555"/>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row>
    <row r="48" spans="1:71" x14ac:dyDescent="0.3">
      <c r="A48" s="889"/>
      <c r="B48" s="1069"/>
      <c r="C48" s="1069"/>
      <c r="D48" s="1057"/>
      <c r="E48" s="1057"/>
      <c r="F48" s="1057"/>
      <c r="G48" s="1060"/>
      <c r="H48" s="1057"/>
      <c r="I48" s="1057"/>
      <c r="J48" s="545"/>
      <c r="K48" s="889"/>
      <c r="L48" s="886"/>
      <c r="M48" s="1054"/>
      <c r="N48" s="1054"/>
      <c r="O48" s="1054">
        <f>IF(NOT(ISERROR(MATCH(N48,_xlfn.ANCHORARRAY(G59),0))),M61&amp;"Por favor no seleccionar los criterios de impacto",N48)</f>
        <v>0</v>
      </c>
      <c r="P48" s="886"/>
      <c r="Q48" s="1054"/>
      <c r="R48" s="1051"/>
      <c r="S48" s="226">
        <v>3</v>
      </c>
      <c r="T48" s="553"/>
      <c r="U48" s="226" t="str">
        <f t="shared" si="8"/>
        <v/>
      </c>
      <c r="V48" s="535"/>
      <c r="W48" s="535"/>
      <c r="X48" s="534" t="str">
        <f t="shared" si="9"/>
        <v/>
      </c>
      <c r="Y48" s="535"/>
      <c r="Z48" s="535"/>
      <c r="AA48" s="535"/>
      <c r="AB48" s="536" t="str">
        <f>IFERROR(IF(AND(U47="Probabilidad",U48="Probabilidad"),(AD47-(+AD47*X48)),IF(AND(U47="Impacto",U48="Probabilidad"),(AD46-(+AD46*X48)),IF(U48="Impacto",AD47,""))),"")</f>
        <v/>
      </c>
      <c r="AC48" s="537" t="str">
        <f t="shared" si="4"/>
        <v/>
      </c>
      <c r="AD48" s="538" t="str">
        <f t="shared" si="10"/>
        <v/>
      </c>
      <c r="AE48" s="537" t="str">
        <f t="shared" si="5"/>
        <v/>
      </c>
      <c r="AF48" s="538" t="str">
        <f>IFERROR(IF(AND(U47="Impacto",U48="Impacto"),(AF47-(+AF47*X48)),IF(AND(U47="Probabilidad",U48="Impacto"),(AF46-(+AF46*X48)),IF(U48="Probabilidad",AF47,""))),"")</f>
        <v/>
      </c>
      <c r="AG48" s="539" t="str">
        <f t="shared" si="11"/>
        <v/>
      </c>
      <c r="AH48" s="540"/>
      <c r="AI48" s="541"/>
      <c r="AJ48" s="226"/>
      <c r="AK48" s="542"/>
      <c r="AL48" s="542"/>
      <c r="AM48" s="541"/>
      <c r="AN48" s="543"/>
      <c r="AO48" s="552"/>
      <c r="AP48" s="555"/>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row>
    <row r="49" spans="1:71" x14ac:dyDescent="0.3">
      <c r="A49" s="889"/>
      <c r="B49" s="1069"/>
      <c r="C49" s="1069"/>
      <c r="D49" s="1057"/>
      <c r="E49" s="1057"/>
      <c r="F49" s="1057"/>
      <c r="G49" s="1060"/>
      <c r="H49" s="1057"/>
      <c r="I49" s="1057"/>
      <c r="J49" s="545"/>
      <c r="K49" s="889"/>
      <c r="L49" s="886"/>
      <c r="M49" s="1054"/>
      <c r="N49" s="1054"/>
      <c r="O49" s="1054">
        <f>IF(NOT(ISERROR(MATCH(N49,_xlfn.ANCHORARRAY(G60),0))),M62&amp;"Por favor no seleccionar los criterios de impacto",N49)</f>
        <v>0</v>
      </c>
      <c r="P49" s="886"/>
      <c r="Q49" s="1054"/>
      <c r="R49" s="1051"/>
      <c r="S49" s="226">
        <v>4</v>
      </c>
      <c r="T49" s="544"/>
      <c r="U49" s="226" t="str">
        <f t="shared" si="8"/>
        <v/>
      </c>
      <c r="V49" s="535"/>
      <c r="W49" s="535"/>
      <c r="X49" s="534" t="str">
        <f t="shared" si="9"/>
        <v/>
      </c>
      <c r="Y49" s="535"/>
      <c r="Z49" s="535"/>
      <c r="AA49" s="535"/>
      <c r="AB49" s="536" t="str">
        <f>IFERROR(IF(AND(U48="Probabilidad",U49="Probabilidad"),(AD48-(+AD48*X49)),IF(AND(U48="Impacto",U49="Probabilidad"),(AD47-(+AD47*X49)),IF(U49="Impacto",AD48,""))),"")</f>
        <v/>
      </c>
      <c r="AC49" s="537" t="str">
        <f t="shared" si="4"/>
        <v/>
      </c>
      <c r="AD49" s="538" t="str">
        <f t="shared" si="10"/>
        <v/>
      </c>
      <c r="AE49" s="537" t="str">
        <f t="shared" si="5"/>
        <v/>
      </c>
      <c r="AF49" s="538" t="str">
        <f>IFERROR(IF(AND(U48="Impacto",U49="Impacto"),(AF48-(+AF48*X49)),IF(AND(U48="Probabilidad",U49="Impacto"),(AF47-(+AF47*X49)),IF(U49="Probabilidad",AF48,""))),"")</f>
        <v/>
      </c>
      <c r="AG49" s="539" t="str">
        <f t="shared" si="11"/>
        <v/>
      </c>
      <c r="AH49" s="540"/>
      <c r="AI49" s="541"/>
      <c r="AJ49" s="226"/>
      <c r="AK49" s="542"/>
      <c r="AL49" s="542"/>
      <c r="AM49" s="541"/>
      <c r="AN49" s="543"/>
      <c r="AO49" s="552"/>
      <c r="AP49" s="555"/>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row>
    <row r="50" spans="1:71" x14ac:dyDescent="0.3">
      <c r="A50" s="889"/>
      <c r="B50" s="1069"/>
      <c r="C50" s="1069"/>
      <c r="D50" s="1057"/>
      <c r="E50" s="1057"/>
      <c r="F50" s="1057"/>
      <c r="G50" s="1060"/>
      <c r="H50" s="1057"/>
      <c r="I50" s="1057"/>
      <c r="J50" s="545"/>
      <c r="K50" s="889"/>
      <c r="L50" s="886"/>
      <c r="M50" s="1054"/>
      <c r="N50" s="1054"/>
      <c r="O50" s="1054">
        <f>IF(NOT(ISERROR(MATCH(N50,_xlfn.ANCHORARRAY(G61),0))),M63&amp;"Por favor no seleccionar los criterios de impacto",N50)</f>
        <v>0</v>
      </c>
      <c r="P50" s="886"/>
      <c r="Q50" s="1054"/>
      <c r="R50" s="1051"/>
      <c r="S50" s="226">
        <v>5</v>
      </c>
      <c r="T50" s="544"/>
      <c r="U50" s="226" t="str">
        <f t="shared" si="8"/>
        <v/>
      </c>
      <c r="V50" s="535"/>
      <c r="W50" s="535"/>
      <c r="X50" s="534" t="str">
        <f t="shared" si="9"/>
        <v/>
      </c>
      <c r="Y50" s="535"/>
      <c r="Z50" s="535"/>
      <c r="AA50" s="535"/>
      <c r="AB50" s="536" t="str">
        <f>IFERROR(IF(AND(U49="Probabilidad",U50="Probabilidad"),(AD49-(+AD49*X50)),IF(AND(U49="Impacto",U50="Probabilidad"),(AD48-(+AD48*X50)),IF(U50="Impacto",AD49,""))),"")</f>
        <v/>
      </c>
      <c r="AC50" s="537" t="str">
        <f t="shared" si="4"/>
        <v/>
      </c>
      <c r="AD50" s="538" t="str">
        <f t="shared" si="10"/>
        <v/>
      </c>
      <c r="AE50" s="537" t="str">
        <f t="shared" si="5"/>
        <v/>
      </c>
      <c r="AF50" s="538" t="str">
        <f>IFERROR(IF(AND(U49="Impacto",U50="Impacto"),(AF49-(+AF49*X50)),IF(AND(U49="Probabilidad",U50="Impacto"),(AF48-(+AF48*X50)),IF(U50="Probabilidad",AF49,""))),"")</f>
        <v/>
      </c>
      <c r="AG50" s="539" t="str">
        <f t="shared" si="11"/>
        <v/>
      </c>
      <c r="AH50" s="540"/>
      <c r="AI50" s="541"/>
      <c r="AJ50" s="226"/>
      <c r="AK50" s="542"/>
      <c r="AL50" s="542"/>
      <c r="AM50" s="541"/>
      <c r="AN50" s="543"/>
      <c r="AO50" s="552"/>
      <c r="AP50" s="555"/>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row>
    <row r="51" spans="1:71" x14ac:dyDescent="0.3">
      <c r="A51" s="890"/>
      <c r="B51" s="1070"/>
      <c r="C51" s="1070"/>
      <c r="D51" s="1058"/>
      <c r="E51" s="1058"/>
      <c r="F51" s="1058"/>
      <c r="G51" s="1061"/>
      <c r="H51" s="1058"/>
      <c r="I51" s="1058"/>
      <c r="J51" s="551"/>
      <c r="K51" s="890"/>
      <c r="L51" s="887"/>
      <c r="M51" s="1055"/>
      <c r="N51" s="1055"/>
      <c r="O51" s="1055">
        <f>IF(NOT(ISERROR(MATCH(N51,_xlfn.ANCHORARRAY(G62),0))),M64&amp;"Por favor no seleccionar los criterios de impacto",N51)</f>
        <v>0</v>
      </c>
      <c r="P51" s="887"/>
      <c r="Q51" s="1055"/>
      <c r="R51" s="1052"/>
      <c r="S51" s="226">
        <v>6</v>
      </c>
      <c r="T51" s="544"/>
      <c r="U51" s="226" t="str">
        <f t="shared" si="8"/>
        <v/>
      </c>
      <c r="V51" s="535"/>
      <c r="W51" s="535"/>
      <c r="X51" s="534" t="str">
        <f t="shared" si="9"/>
        <v/>
      </c>
      <c r="Y51" s="535"/>
      <c r="Z51" s="535"/>
      <c r="AA51" s="535"/>
      <c r="AB51" s="536" t="str">
        <f>IFERROR(IF(AND(U50="Probabilidad",U51="Probabilidad"),(AD50-(+AD50*X51)),IF(AND(U50="Impacto",U51="Probabilidad"),(AD49-(+AD49*X51)),IF(U51="Impacto",AD50,""))),"")</f>
        <v/>
      </c>
      <c r="AC51" s="537" t="str">
        <f t="shared" si="4"/>
        <v/>
      </c>
      <c r="AD51" s="538" t="str">
        <f t="shared" si="10"/>
        <v/>
      </c>
      <c r="AE51" s="537" t="str">
        <f t="shared" si="5"/>
        <v/>
      </c>
      <c r="AF51" s="538" t="str">
        <f>IFERROR(IF(AND(U50="Impacto",U51="Impacto"),(AF50-(+AF50*X51)),IF(AND(U50="Probabilidad",U51="Impacto"),(AF49-(+AF49*X51)),IF(U51="Probabilidad",AF50,""))),"")</f>
        <v/>
      </c>
      <c r="AG51" s="539" t="str">
        <f t="shared" si="11"/>
        <v/>
      </c>
      <c r="AH51" s="540"/>
      <c r="AI51" s="541"/>
      <c r="AJ51" s="226"/>
      <c r="AK51" s="542"/>
      <c r="AL51" s="542"/>
      <c r="AM51" s="541"/>
      <c r="AN51" s="543"/>
      <c r="AO51" s="552"/>
      <c r="AP51" s="555"/>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row>
    <row r="52" spans="1:71" x14ac:dyDescent="0.3">
      <c r="A52" s="888">
        <v>8</v>
      </c>
      <c r="B52" s="1068"/>
      <c r="C52" s="1068"/>
      <c r="D52" s="1056"/>
      <c r="E52" s="1056"/>
      <c r="F52" s="1056"/>
      <c r="G52" s="1059"/>
      <c r="H52" s="1056"/>
      <c r="I52" s="1056"/>
      <c r="J52" s="531"/>
      <c r="K52" s="888"/>
      <c r="L52" s="885" t="str">
        <f>IF(K52&lt;=0,"",IF(K52&lt;=2,"Muy Baja",IF(K52&lt;=24,"Baja",IF(K52&lt;=500,"Media",IF(K52&lt;=5000,"Alta","Muy Alta")))))</f>
        <v/>
      </c>
      <c r="M52" s="1053" t="str">
        <f>IF(L52="","",IF(L52="Muy Baja",0.2,IF(L52="Baja",0.4,IF(L52="Media",0.6,IF(L52="Alta",0.8,IF(L52="Muy Alta",1,))))))</f>
        <v/>
      </c>
      <c r="N52" s="1053"/>
      <c r="O52" s="1053">
        <f>IF(NOT(ISERROR(MATCH(N52,'Tabla Impacto'!$B$221:$B$223,0))),'Tabla Impacto'!$F$223&amp;"Por favor no seleccionar los criterios de impacto(Afectación Económica o presupuestal y Pérdida Reputacional)",N52)</f>
        <v>0</v>
      </c>
      <c r="P52" s="885" t="str">
        <f>IF(OR(O52='Tabla Impacto'!$C$11,O52='Tabla Impacto'!$D$11),"Leve",IF(OR(O52='Tabla Impacto'!$C$12,O52='Tabla Impacto'!$D$12),"Menor",IF(OR(O52='Tabla Impacto'!$C$13,O52='Tabla Impacto'!$D$13),"Moderado",IF(OR(O52='Tabla Impacto'!$C$14,O52='Tabla Impacto'!$D$14),"Mayor",IF(OR(O52='Tabla Impacto'!$C$15,O52='Tabla Impacto'!$D$15),"Catastrófico","")))))</f>
        <v/>
      </c>
      <c r="Q52" s="1053" t="str">
        <f>IF(P52="","",IF(P52="Leve",0.2,IF(P52="Menor",0.4,IF(P52="Moderado",0.6,IF(P52="Mayor",0.8,IF(P52="Catastrófico",1,))))))</f>
        <v/>
      </c>
      <c r="R52" s="105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6">
        <v>1</v>
      </c>
      <c r="T52" s="544"/>
      <c r="U52" s="226" t="str">
        <f t="shared" si="8"/>
        <v/>
      </c>
      <c r="V52" s="535"/>
      <c r="W52" s="535"/>
      <c r="X52" s="534" t="str">
        <f t="shared" si="9"/>
        <v/>
      </c>
      <c r="Y52" s="535"/>
      <c r="Z52" s="535"/>
      <c r="AA52" s="535"/>
      <c r="AB52" s="536" t="str">
        <f>IFERROR(IF(U52="Probabilidad",(M52-(+M52*X52)),IF(U52="Impacto",M52,"")),"")</f>
        <v/>
      </c>
      <c r="AC52" s="537" t="str">
        <f>IFERROR(IF(AB52="","",IF(AB52&lt;=0.2,"Muy Baja",IF(AB52&lt;=0.4,"Baja",IF(AB52&lt;=0.6,"Media",IF(AB52&lt;=0.8,"Alta","Muy Alta"))))),"")</f>
        <v/>
      </c>
      <c r="AD52" s="538" t="str">
        <f t="shared" si="10"/>
        <v/>
      </c>
      <c r="AE52" s="537" t="str">
        <f>IFERROR(IF(AF52="","",IF(AF52&lt;=0.2,"Leve",IF(AF52&lt;=0.4,"Menor",IF(AF52&lt;=0.6,"Moderado",IF(AF52&lt;=0.8,"Mayor","Catastrófico"))))),"")</f>
        <v/>
      </c>
      <c r="AF52" s="538" t="str">
        <f>IFERROR(IF(U52="Impacto",(Q52-(+Q52*X52)),IF(U52="Probabilidad",Q52,"")),"")</f>
        <v/>
      </c>
      <c r="AG52" s="539" t="str">
        <f t="shared" si="11"/>
        <v/>
      </c>
      <c r="AH52" s="540"/>
      <c r="AI52" s="541"/>
      <c r="AJ52" s="226"/>
      <c r="AK52" s="542"/>
      <c r="AL52" s="542"/>
      <c r="AM52" s="541"/>
      <c r="AN52" s="543"/>
      <c r="AO52" s="552"/>
      <c r="AP52" s="555"/>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row>
    <row r="53" spans="1:71" x14ac:dyDescent="0.3">
      <c r="A53" s="889"/>
      <c r="B53" s="1069"/>
      <c r="C53" s="1069"/>
      <c r="D53" s="1057"/>
      <c r="E53" s="1057"/>
      <c r="F53" s="1057"/>
      <c r="G53" s="1060"/>
      <c r="H53" s="1057"/>
      <c r="I53" s="1057"/>
      <c r="J53" s="545"/>
      <c r="K53" s="889"/>
      <c r="L53" s="886"/>
      <c r="M53" s="1054"/>
      <c r="N53" s="1054"/>
      <c r="O53" s="1054">
        <f>IF(NOT(ISERROR(MATCH(N53,_xlfn.ANCHORARRAY(G64),0))),M66&amp;"Por favor no seleccionar los criterios de impacto",N53)</f>
        <v>0</v>
      </c>
      <c r="P53" s="886"/>
      <c r="Q53" s="1054"/>
      <c r="R53" s="1051"/>
      <c r="S53" s="226">
        <v>2</v>
      </c>
      <c r="T53" s="544"/>
      <c r="U53" s="226" t="str">
        <f t="shared" si="8"/>
        <v/>
      </c>
      <c r="V53" s="535"/>
      <c r="W53" s="535"/>
      <c r="X53" s="534" t="str">
        <f t="shared" si="9"/>
        <v/>
      </c>
      <c r="Y53" s="535"/>
      <c r="Z53" s="535"/>
      <c r="AA53" s="535"/>
      <c r="AB53" s="536" t="str">
        <f>IFERROR(IF(AND(U52="Probabilidad",U53="Probabilidad"),(AD52-(+AD52*X53)),IF(U53="Probabilidad",(M52-(+M52*X53)),IF(U53="Impacto",AD52,""))),"")</f>
        <v/>
      </c>
      <c r="AC53" s="537" t="str">
        <f t="shared" si="4"/>
        <v/>
      </c>
      <c r="AD53" s="538" t="str">
        <f t="shared" si="10"/>
        <v/>
      </c>
      <c r="AE53" s="537" t="str">
        <f t="shared" si="5"/>
        <v/>
      </c>
      <c r="AF53" s="538" t="str">
        <f>IFERROR(IF(AND(U52="Impacto",U53="Impacto"),(AF52-(+AF52*X53)),IF(U53="Impacto",(Q52-(+Q52*X53)),IF(U53="Probabilidad",AF52,""))),"")</f>
        <v/>
      </c>
      <c r="AG53" s="539" t="str">
        <f t="shared" si="11"/>
        <v/>
      </c>
      <c r="AH53" s="540"/>
      <c r="AI53" s="541"/>
      <c r="AJ53" s="226"/>
      <c r="AK53" s="542"/>
      <c r="AL53" s="542"/>
      <c r="AM53" s="541"/>
      <c r="AN53" s="543"/>
      <c r="AO53" s="552"/>
      <c r="AP53" s="555"/>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row>
    <row r="54" spans="1:71" x14ac:dyDescent="0.3">
      <c r="A54" s="889"/>
      <c r="B54" s="1069"/>
      <c r="C54" s="1069"/>
      <c r="D54" s="1057"/>
      <c r="E54" s="1057"/>
      <c r="F54" s="1057"/>
      <c r="G54" s="1060"/>
      <c r="H54" s="1057"/>
      <c r="I54" s="1057"/>
      <c r="J54" s="545"/>
      <c r="K54" s="889"/>
      <c r="L54" s="886"/>
      <c r="M54" s="1054"/>
      <c r="N54" s="1054"/>
      <c r="O54" s="1054">
        <f>IF(NOT(ISERROR(MATCH(N54,_xlfn.ANCHORARRAY(G65),0))),M67&amp;"Por favor no seleccionar los criterios de impacto",N54)</f>
        <v>0</v>
      </c>
      <c r="P54" s="886"/>
      <c r="Q54" s="1054"/>
      <c r="R54" s="1051"/>
      <c r="S54" s="226">
        <v>3</v>
      </c>
      <c r="T54" s="553"/>
      <c r="U54" s="226" t="str">
        <f t="shared" si="8"/>
        <v/>
      </c>
      <c r="V54" s="535"/>
      <c r="W54" s="535"/>
      <c r="X54" s="534" t="str">
        <f t="shared" si="9"/>
        <v/>
      </c>
      <c r="Y54" s="535"/>
      <c r="Z54" s="535"/>
      <c r="AA54" s="535"/>
      <c r="AB54" s="536" t="str">
        <f>IFERROR(IF(AND(U53="Probabilidad",U54="Probabilidad"),(AD53-(+AD53*X54)),IF(AND(U53="Impacto",U54="Probabilidad"),(AD52-(+AD52*X54)),IF(U54="Impacto",AD53,""))),"")</f>
        <v/>
      </c>
      <c r="AC54" s="537" t="str">
        <f t="shared" si="4"/>
        <v/>
      </c>
      <c r="AD54" s="538" t="str">
        <f t="shared" si="10"/>
        <v/>
      </c>
      <c r="AE54" s="537" t="str">
        <f t="shared" si="5"/>
        <v/>
      </c>
      <c r="AF54" s="538" t="str">
        <f>IFERROR(IF(AND(U53="Impacto",U54="Impacto"),(AF53-(+AF53*X54)),IF(AND(U53="Probabilidad",U54="Impacto"),(AF52-(+AF52*X54)),IF(U54="Probabilidad",AF53,""))),"")</f>
        <v/>
      </c>
      <c r="AG54" s="539" t="str">
        <f t="shared" si="11"/>
        <v/>
      </c>
      <c r="AH54" s="540"/>
      <c r="AI54" s="541"/>
      <c r="AJ54" s="226"/>
      <c r="AK54" s="542"/>
      <c r="AL54" s="542"/>
      <c r="AM54" s="541"/>
      <c r="AN54" s="543"/>
      <c r="AO54" s="552"/>
      <c r="AP54" s="555"/>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row>
    <row r="55" spans="1:71" x14ac:dyDescent="0.3">
      <c r="A55" s="889"/>
      <c r="B55" s="1069"/>
      <c r="C55" s="1069"/>
      <c r="D55" s="1057"/>
      <c r="E55" s="1057"/>
      <c r="F55" s="1057"/>
      <c r="G55" s="1060"/>
      <c r="H55" s="1057"/>
      <c r="I55" s="1057"/>
      <c r="J55" s="545"/>
      <c r="K55" s="889"/>
      <c r="L55" s="886"/>
      <c r="M55" s="1054"/>
      <c r="N55" s="1054"/>
      <c r="O55" s="1054">
        <f>IF(NOT(ISERROR(MATCH(N55,_xlfn.ANCHORARRAY(G66),0))),M68&amp;"Por favor no seleccionar los criterios de impacto",N55)</f>
        <v>0</v>
      </c>
      <c r="P55" s="886"/>
      <c r="Q55" s="1054"/>
      <c r="R55" s="1051"/>
      <c r="S55" s="226">
        <v>4</v>
      </c>
      <c r="T55" s="544"/>
      <c r="U55" s="226" t="str">
        <f t="shared" si="8"/>
        <v/>
      </c>
      <c r="V55" s="535"/>
      <c r="W55" s="535"/>
      <c r="X55" s="534" t="str">
        <f t="shared" si="9"/>
        <v/>
      </c>
      <c r="Y55" s="535"/>
      <c r="Z55" s="535"/>
      <c r="AA55" s="535"/>
      <c r="AB55" s="536" t="str">
        <f>IFERROR(IF(AND(U54="Probabilidad",U55="Probabilidad"),(AD54-(+AD54*X55)),IF(AND(U54="Impacto",U55="Probabilidad"),(AD53-(+AD53*X55)),IF(U55="Impacto",AD54,""))),"")</f>
        <v/>
      </c>
      <c r="AC55" s="537" t="str">
        <f t="shared" si="4"/>
        <v/>
      </c>
      <c r="AD55" s="538" t="str">
        <f t="shared" si="10"/>
        <v/>
      </c>
      <c r="AE55" s="537" t="str">
        <f t="shared" si="5"/>
        <v/>
      </c>
      <c r="AF55" s="538" t="str">
        <f>IFERROR(IF(AND(U54="Impacto",U55="Impacto"),(AF54-(+AF54*X55)),IF(AND(U54="Probabilidad",U55="Impacto"),(AF53-(+AF53*X55)),IF(U55="Probabilidad",AF54,""))),"")</f>
        <v/>
      </c>
      <c r="AG55" s="539" t="str">
        <f t="shared" si="11"/>
        <v/>
      </c>
      <c r="AH55" s="540"/>
      <c r="AI55" s="541"/>
      <c r="AJ55" s="226"/>
      <c r="AK55" s="542"/>
      <c r="AL55" s="542"/>
      <c r="AM55" s="541"/>
      <c r="AN55" s="543"/>
      <c r="AO55" s="552"/>
      <c r="AP55" s="555"/>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row>
    <row r="56" spans="1:71" x14ac:dyDescent="0.3">
      <c r="A56" s="889"/>
      <c r="B56" s="1069"/>
      <c r="C56" s="1069"/>
      <c r="D56" s="1057"/>
      <c r="E56" s="1057"/>
      <c r="F56" s="1057"/>
      <c r="G56" s="1060"/>
      <c r="H56" s="1057"/>
      <c r="I56" s="1057"/>
      <c r="J56" s="545"/>
      <c r="K56" s="889"/>
      <c r="L56" s="886"/>
      <c r="M56" s="1054"/>
      <c r="N56" s="1054"/>
      <c r="O56" s="1054">
        <f>IF(NOT(ISERROR(MATCH(N56,_xlfn.ANCHORARRAY(G67),0))),M69&amp;"Por favor no seleccionar los criterios de impacto",N56)</f>
        <v>0</v>
      </c>
      <c r="P56" s="886"/>
      <c r="Q56" s="1054"/>
      <c r="R56" s="1051"/>
      <c r="S56" s="226">
        <v>5</v>
      </c>
      <c r="T56" s="544"/>
      <c r="U56" s="226" t="str">
        <f t="shared" si="8"/>
        <v/>
      </c>
      <c r="V56" s="535"/>
      <c r="W56" s="535"/>
      <c r="X56" s="534" t="str">
        <f t="shared" si="9"/>
        <v/>
      </c>
      <c r="Y56" s="535"/>
      <c r="Z56" s="535"/>
      <c r="AA56" s="535"/>
      <c r="AB56" s="536" t="str">
        <f>IFERROR(IF(AND(U55="Probabilidad",U56="Probabilidad"),(AD55-(+AD55*X56)),IF(AND(U55="Impacto",U56="Probabilidad"),(AD54-(+AD54*X56)),IF(U56="Impacto",AD55,""))),"")</f>
        <v/>
      </c>
      <c r="AC56" s="537" t="str">
        <f t="shared" si="4"/>
        <v/>
      </c>
      <c r="AD56" s="538" t="str">
        <f t="shared" si="10"/>
        <v/>
      </c>
      <c r="AE56" s="537" t="str">
        <f t="shared" si="5"/>
        <v/>
      </c>
      <c r="AF56" s="538" t="str">
        <f>IFERROR(IF(AND(U55="Impacto",U56="Impacto"),(AF55-(+AF55*X56)),IF(AND(U55="Probabilidad",U56="Impacto"),(AF54-(+AF54*X56)),IF(U56="Probabilidad",AF55,""))),"")</f>
        <v/>
      </c>
      <c r="AG56" s="539" t="str">
        <f t="shared" si="11"/>
        <v/>
      </c>
      <c r="AH56" s="540"/>
      <c r="AI56" s="541"/>
      <c r="AJ56" s="226"/>
      <c r="AK56" s="542"/>
      <c r="AL56" s="542"/>
      <c r="AM56" s="541"/>
      <c r="AN56" s="543"/>
      <c r="AO56" s="552"/>
      <c r="AP56" s="555"/>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row>
    <row r="57" spans="1:71" x14ac:dyDescent="0.3">
      <c r="A57" s="890"/>
      <c r="B57" s="1070"/>
      <c r="C57" s="1070"/>
      <c r="D57" s="1058"/>
      <c r="E57" s="1058"/>
      <c r="F57" s="1058"/>
      <c r="G57" s="1061"/>
      <c r="H57" s="1058"/>
      <c r="I57" s="1058"/>
      <c r="J57" s="551"/>
      <c r="K57" s="890"/>
      <c r="L57" s="887"/>
      <c r="M57" s="1055"/>
      <c r="N57" s="1055"/>
      <c r="O57" s="1055">
        <f>IF(NOT(ISERROR(MATCH(N57,_xlfn.ANCHORARRAY(G68),0))),M70&amp;"Por favor no seleccionar los criterios de impacto",N57)</f>
        <v>0</v>
      </c>
      <c r="P57" s="887"/>
      <c r="Q57" s="1055"/>
      <c r="R57" s="1052"/>
      <c r="S57" s="226">
        <v>6</v>
      </c>
      <c r="T57" s="544"/>
      <c r="U57" s="226" t="str">
        <f t="shared" si="8"/>
        <v/>
      </c>
      <c r="V57" s="535"/>
      <c r="W57" s="535"/>
      <c r="X57" s="534" t="str">
        <f t="shared" si="9"/>
        <v/>
      </c>
      <c r="Y57" s="535"/>
      <c r="Z57" s="535"/>
      <c r="AA57" s="535"/>
      <c r="AB57" s="536" t="str">
        <f>IFERROR(IF(AND(U56="Probabilidad",U57="Probabilidad"),(AD56-(+AD56*X57)),IF(AND(U56="Impacto",U57="Probabilidad"),(AD55-(+AD55*X57)),IF(U57="Impacto",AD56,""))),"")</f>
        <v/>
      </c>
      <c r="AC57" s="537" t="str">
        <f t="shared" si="4"/>
        <v/>
      </c>
      <c r="AD57" s="538" t="str">
        <f t="shared" si="10"/>
        <v/>
      </c>
      <c r="AE57" s="537" t="str">
        <f t="shared" si="5"/>
        <v/>
      </c>
      <c r="AF57" s="538" t="str">
        <f>IFERROR(IF(AND(U56="Impacto",U57="Impacto"),(AF56-(+AF56*X57)),IF(AND(U56="Probabilidad",U57="Impacto"),(AF55-(+AF55*X57)),IF(U57="Probabilidad",AF56,""))),"")</f>
        <v/>
      </c>
      <c r="AG57" s="539" t="str">
        <f t="shared" si="11"/>
        <v/>
      </c>
      <c r="AH57" s="540"/>
      <c r="AI57" s="541"/>
      <c r="AJ57" s="226"/>
      <c r="AK57" s="542"/>
      <c r="AL57" s="542"/>
      <c r="AM57" s="541"/>
      <c r="AN57" s="543"/>
      <c r="AO57" s="552"/>
      <c r="AP57" s="555"/>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row>
    <row r="58" spans="1:71" x14ac:dyDescent="0.3">
      <c r="A58" s="888">
        <v>9</v>
      </c>
      <c r="B58" s="1068"/>
      <c r="C58" s="1068"/>
      <c r="D58" s="1056"/>
      <c r="E58" s="1056"/>
      <c r="F58" s="1056"/>
      <c r="G58" s="1059"/>
      <c r="H58" s="1056"/>
      <c r="I58" s="1056"/>
      <c r="J58" s="531"/>
      <c r="K58" s="888"/>
      <c r="L58" s="885" t="str">
        <f>IF(K58&lt;=0,"",IF(K58&lt;=2,"Muy Baja",IF(K58&lt;=24,"Baja",IF(K58&lt;=500,"Media",IF(K58&lt;=5000,"Alta","Muy Alta")))))</f>
        <v/>
      </c>
      <c r="M58" s="1053" t="str">
        <f>IF(L58="","",IF(L58="Muy Baja",0.2,IF(L58="Baja",0.4,IF(L58="Media",0.6,IF(L58="Alta",0.8,IF(L58="Muy Alta",1,))))))</f>
        <v/>
      </c>
      <c r="N58" s="1053"/>
      <c r="O58" s="1053">
        <f>IF(NOT(ISERROR(MATCH(N58,'Tabla Impacto'!$B$221:$B$223,0))),'Tabla Impacto'!$F$223&amp;"Por favor no seleccionar los criterios de impacto(Afectación Económica o presupuestal y Pérdida Reputacional)",N58)</f>
        <v>0</v>
      </c>
      <c r="P58" s="885" t="str">
        <f>IF(OR(O58='Tabla Impacto'!$C$11,O58='Tabla Impacto'!$D$11),"Leve",IF(OR(O58='Tabla Impacto'!$C$12,O58='Tabla Impacto'!$D$12),"Menor",IF(OR(O58='Tabla Impacto'!$C$13,O58='Tabla Impacto'!$D$13),"Moderado",IF(OR(O58='Tabla Impacto'!$C$14,O58='Tabla Impacto'!$D$14),"Mayor",IF(OR(O58='Tabla Impacto'!$C$15,O58='Tabla Impacto'!$D$15),"Catastrófico","")))))</f>
        <v/>
      </c>
      <c r="Q58" s="1053" t="str">
        <f>IF(P58="","",IF(P58="Leve",0.2,IF(P58="Menor",0.4,IF(P58="Moderado",0.6,IF(P58="Mayor",0.8,IF(P58="Catastrófico",1,))))))</f>
        <v/>
      </c>
      <c r="R58" s="105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6">
        <v>1</v>
      </c>
      <c r="T58" s="544"/>
      <c r="U58" s="226" t="str">
        <f t="shared" si="8"/>
        <v/>
      </c>
      <c r="V58" s="535"/>
      <c r="W58" s="535"/>
      <c r="X58" s="534" t="str">
        <f t="shared" si="9"/>
        <v/>
      </c>
      <c r="Y58" s="535"/>
      <c r="Z58" s="535"/>
      <c r="AA58" s="535"/>
      <c r="AB58" s="536" t="str">
        <f>IFERROR(IF(U58="Probabilidad",(M58-(+M58*X58)),IF(U58="Impacto",M58,"")),"")</f>
        <v/>
      </c>
      <c r="AC58" s="537" t="str">
        <f>IFERROR(IF(AB58="","",IF(AB58&lt;=0.2,"Muy Baja",IF(AB58&lt;=0.4,"Baja",IF(AB58&lt;=0.6,"Media",IF(AB58&lt;=0.8,"Alta","Muy Alta"))))),"")</f>
        <v/>
      </c>
      <c r="AD58" s="538" t="str">
        <f t="shared" si="10"/>
        <v/>
      </c>
      <c r="AE58" s="537" t="str">
        <f>IFERROR(IF(AF58="","",IF(AF58&lt;=0.2,"Leve",IF(AF58&lt;=0.4,"Menor",IF(AF58&lt;=0.6,"Moderado",IF(AF58&lt;=0.8,"Mayor","Catastrófico"))))),"")</f>
        <v/>
      </c>
      <c r="AF58" s="538" t="str">
        <f>IFERROR(IF(U58="Impacto",(Q58-(+Q58*X58)),IF(U58="Probabilidad",Q58,"")),"")</f>
        <v/>
      </c>
      <c r="AG58" s="539" t="str">
        <f t="shared" si="11"/>
        <v/>
      </c>
      <c r="AH58" s="540"/>
      <c r="AI58" s="541"/>
      <c r="AJ58" s="226"/>
      <c r="AK58" s="542"/>
      <c r="AL58" s="542"/>
      <c r="AM58" s="541"/>
      <c r="AN58" s="543"/>
      <c r="AO58" s="552"/>
      <c r="AP58" s="555"/>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row>
    <row r="59" spans="1:71" x14ac:dyDescent="0.3">
      <c r="A59" s="889"/>
      <c r="B59" s="1069"/>
      <c r="C59" s="1069"/>
      <c r="D59" s="1057"/>
      <c r="E59" s="1057"/>
      <c r="F59" s="1057"/>
      <c r="G59" s="1060"/>
      <c r="H59" s="1057"/>
      <c r="I59" s="1057"/>
      <c r="J59" s="545"/>
      <c r="K59" s="889"/>
      <c r="L59" s="886"/>
      <c r="M59" s="1054"/>
      <c r="N59" s="1054"/>
      <c r="O59" s="1054">
        <f>IF(NOT(ISERROR(MATCH(N59,_xlfn.ANCHORARRAY(G70),0))),M72&amp;"Por favor no seleccionar los criterios de impacto",N59)</f>
        <v>0</v>
      </c>
      <c r="P59" s="886"/>
      <c r="Q59" s="1054"/>
      <c r="R59" s="1051"/>
      <c r="S59" s="226">
        <v>2</v>
      </c>
      <c r="T59" s="544"/>
      <c r="U59" s="226" t="str">
        <f t="shared" si="8"/>
        <v/>
      </c>
      <c r="V59" s="535"/>
      <c r="W59" s="535"/>
      <c r="X59" s="534" t="str">
        <f t="shared" si="9"/>
        <v/>
      </c>
      <c r="Y59" s="535"/>
      <c r="Z59" s="535"/>
      <c r="AA59" s="535"/>
      <c r="AB59" s="536" t="str">
        <f>IFERROR(IF(AND(U58="Probabilidad",U59="Probabilidad"),(AD58-(+AD58*X59)),IF(U59="Probabilidad",(M58-(+M58*X59)),IF(U59="Impacto",AD58,""))),"")</f>
        <v/>
      </c>
      <c r="AC59" s="537" t="str">
        <f t="shared" si="4"/>
        <v/>
      </c>
      <c r="AD59" s="538" t="str">
        <f t="shared" si="10"/>
        <v/>
      </c>
      <c r="AE59" s="537" t="str">
        <f t="shared" si="5"/>
        <v/>
      </c>
      <c r="AF59" s="538" t="str">
        <f>IFERROR(IF(AND(U58="Impacto",U59="Impacto"),(AF58-(+AF58*X59)),IF(U59="Impacto",(Q58-(+Q58*X59)),IF(U59="Probabilidad",AF58,""))),"")</f>
        <v/>
      </c>
      <c r="AG59" s="539" t="str">
        <f t="shared" si="11"/>
        <v/>
      </c>
      <c r="AH59" s="540"/>
      <c r="AI59" s="541"/>
      <c r="AJ59" s="226"/>
      <c r="AK59" s="542"/>
      <c r="AL59" s="542"/>
      <c r="AM59" s="541"/>
      <c r="AN59" s="543"/>
      <c r="AO59" s="552"/>
      <c r="AP59" s="555"/>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row>
    <row r="60" spans="1:71" x14ac:dyDescent="0.3">
      <c r="A60" s="889"/>
      <c r="B60" s="1069"/>
      <c r="C60" s="1069"/>
      <c r="D60" s="1057"/>
      <c r="E60" s="1057"/>
      <c r="F60" s="1057"/>
      <c r="G60" s="1060"/>
      <c r="H60" s="1057"/>
      <c r="I60" s="1057"/>
      <c r="J60" s="545"/>
      <c r="K60" s="889"/>
      <c r="L60" s="886"/>
      <c r="M60" s="1054"/>
      <c r="N60" s="1054"/>
      <c r="O60" s="1054">
        <f>IF(NOT(ISERROR(MATCH(N60,_xlfn.ANCHORARRAY(G71),0))),M73&amp;"Por favor no seleccionar los criterios de impacto",N60)</f>
        <v>0</v>
      </c>
      <c r="P60" s="886"/>
      <c r="Q60" s="1054"/>
      <c r="R60" s="1051"/>
      <c r="S60" s="226">
        <v>3</v>
      </c>
      <c r="T60" s="553"/>
      <c r="U60" s="226" t="str">
        <f t="shared" si="8"/>
        <v/>
      </c>
      <c r="V60" s="535"/>
      <c r="W60" s="535"/>
      <c r="X60" s="534" t="str">
        <f t="shared" si="9"/>
        <v/>
      </c>
      <c r="Y60" s="535"/>
      <c r="Z60" s="535"/>
      <c r="AA60" s="535"/>
      <c r="AB60" s="536" t="str">
        <f>IFERROR(IF(AND(U59="Probabilidad",U60="Probabilidad"),(AD59-(+AD59*X60)),IF(AND(U59="Impacto",U60="Probabilidad"),(AD58-(+AD58*X60)),IF(U60="Impacto",AD59,""))),"")</f>
        <v/>
      </c>
      <c r="AC60" s="537" t="str">
        <f t="shared" si="4"/>
        <v/>
      </c>
      <c r="AD60" s="538" t="str">
        <f t="shared" si="10"/>
        <v/>
      </c>
      <c r="AE60" s="537" t="str">
        <f t="shared" si="5"/>
        <v/>
      </c>
      <c r="AF60" s="538" t="str">
        <f>IFERROR(IF(AND(U59="Impacto",U60="Impacto"),(AF59-(+AF59*X60)),IF(AND(U59="Probabilidad",U60="Impacto"),(AF58-(+AF58*X60)),IF(U60="Probabilidad",AF59,""))),"")</f>
        <v/>
      </c>
      <c r="AG60" s="539" t="str">
        <f t="shared" si="11"/>
        <v/>
      </c>
      <c r="AH60" s="540"/>
      <c r="AI60" s="541"/>
      <c r="AJ60" s="226"/>
      <c r="AK60" s="542"/>
      <c r="AL60" s="542"/>
      <c r="AM60" s="541"/>
      <c r="AN60" s="543"/>
      <c r="AO60" s="552"/>
      <c r="AP60" s="555"/>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row>
    <row r="61" spans="1:71" x14ac:dyDescent="0.3">
      <c r="A61" s="889"/>
      <c r="B61" s="1069"/>
      <c r="C61" s="1069"/>
      <c r="D61" s="1057"/>
      <c r="E61" s="1057"/>
      <c r="F61" s="1057"/>
      <c r="G61" s="1060"/>
      <c r="H61" s="1057"/>
      <c r="I61" s="1057"/>
      <c r="J61" s="545"/>
      <c r="K61" s="889"/>
      <c r="L61" s="886"/>
      <c r="M61" s="1054"/>
      <c r="N61" s="1054"/>
      <c r="O61" s="1054">
        <f>IF(NOT(ISERROR(MATCH(N61,_xlfn.ANCHORARRAY(G72),0))),M74&amp;"Por favor no seleccionar los criterios de impacto",N61)</f>
        <v>0</v>
      </c>
      <c r="P61" s="886"/>
      <c r="Q61" s="1054"/>
      <c r="R61" s="1051"/>
      <c r="S61" s="226">
        <v>4</v>
      </c>
      <c r="T61" s="544"/>
      <c r="U61" s="226" t="str">
        <f t="shared" si="8"/>
        <v/>
      </c>
      <c r="V61" s="535"/>
      <c r="W61" s="535"/>
      <c r="X61" s="534" t="str">
        <f t="shared" si="9"/>
        <v/>
      </c>
      <c r="Y61" s="535"/>
      <c r="Z61" s="535"/>
      <c r="AA61" s="535"/>
      <c r="AB61" s="536" t="str">
        <f>IFERROR(IF(AND(U60="Probabilidad",U61="Probabilidad"),(AD60-(+AD60*X61)),IF(AND(U60="Impacto",U61="Probabilidad"),(AD59-(+AD59*X61)),IF(U61="Impacto",AD60,""))),"")</f>
        <v/>
      </c>
      <c r="AC61" s="537" t="str">
        <f t="shared" si="4"/>
        <v/>
      </c>
      <c r="AD61" s="538" t="str">
        <f t="shared" si="10"/>
        <v/>
      </c>
      <c r="AE61" s="537" t="str">
        <f t="shared" si="5"/>
        <v/>
      </c>
      <c r="AF61" s="538" t="str">
        <f>IFERROR(IF(AND(U60="Impacto",U61="Impacto"),(AF60-(+AF60*X61)),IF(AND(U60="Probabilidad",U61="Impacto"),(AF59-(+AF59*X61)),IF(U61="Probabilidad",AF60,""))),"")</f>
        <v/>
      </c>
      <c r="AG61" s="539" t="str">
        <f t="shared" si="11"/>
        <v/>
      </c>
      <c r="AH61" s="540"/>
      <c r="AI61" s="541"/>
      <c r="AJ61" s="226"/>
      <c r="AK61" s="542"/>
      <c r="AL61" s="542"/>
      <c r="AM61" s="541"/>
      <c r="AN61" s="543"/>
      <c r="AO61" s="552"/>
      <c r="AP61" s="555"/>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row>
    <row r="62" spans="1:71" x14ac:dyDescent="0.3">
      <c r="A62" s="889"/>
      <c r="B62" s="1069"/>
      <c r="C62" s="1069"/>
      <c r="D62" s="1057"/>
      <c r="E62" s="1057"/>
      <c r="F62" s="1057"/>
      <c r="G62" s="1060"/>
      <c r="H62" s="1057"/>
      <c r="I62" s="1057"/>
      <c r="J62" s="545"/>
      <c r="K62" s="889"/>
      <c r="L62" s="886"/>
      <c r="M62" s="1054"/>
      <c r="N62" s="1054"/>
      <c r="O62" s="1054">
        <f>IF(NOT(ISERROR(MATCH(N62,_xlfn.ANCHORARRAY(G73),0))),M75&amp;"Por favor no seleccionar los criterios de impacto",N62)</f>
        <v>0</v>
      </c>
      <c r="P62" s="886"/>
      <c r="Q62" s="1054"/>
      <c r="R62" s="1051"/>
      <c r="S62" s="226">
        <v>5</v>
      </c>
      <c r="T62" s="544"/>
      <c r="U62" s="226" t="str">
        <f t="shared" si="8"/>
        <v/>
      </c>
      <c r="V62" s="535"/>
      <c r="W62" s="535"/>
      <c r="X62" s="534" t="str">
        <f t="shared" si="9"/>
        <v/>
      </c>
      <c r="Y62" s="535"/>
      <c r="Z62" s="535"/>
      <c r="AA62" s="535"/>
      <c r="AB62" s="536" t="str">
        <f>IFERROR(IF(AND(U61="Probabilidad",U62="Probabilidad"),(AD61-(+AD61*X62)),IF(AND(U61="Impacto",U62="Probabilidad"),(AD60-(+AD60*X62)),IF(U62="Impacto",AD61,""))),"")</f>
        <v/>
      </c>
      <c r="AC62" s="537" t="str">
        <f t="shared" si="4"/>
        <v/>
      </c>
      <c r="AD62" s="538" t="str">
        <f t="shared" si="10"/>
        <v/>
      </c>
      <c r="AE62" s="537" t="str">
        <f t="shared" si="5"/>
        <v/>
      </c>
      <c r="AF62" s="538" t="str">
        <f>IFERROR(IF(AND(U61="Impacto",U62="Impacto"),(AF61-(+AF61*X62)),IF(AND(U61="Probabilidad",U62="Impacto"),(AF60-(+AF60*X62)),IF(U62="Probabilidad",AF61,""))),"")</f>
        <v/>
      </c>
      <c r="AG62" s="539" t="str">
        <f t="shared" si="11"/>
        <v/>
      </c>
      <c r="AH62" s="540"/>
      <c r="AI62" s="541"/>
      <c r="AJ62" s="226"/>
      <c r="AK62" s="542"/>
      <c r="AL62" s="542"/>
      <c r="AM62" s="541"/>
      <c r="AN62" s="543"/>
      <c r="AO62" s="552"/>
      <c r="AP62" s="555"/>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row>
    <row r="63" spans="1:71" x14ac:dyDescent="0.3">
      <c r="A63" s="890"/>
      <c r="B63" s="1070"/>
      <c r="C63" s="1070"/>
      <c r="D63" s="1058"/>
      <c r="E63" s="1058"/>
      <c r="F63" s="1058"/>
      <c r="G63" s="1061"/>
      <c r="H63" s="1058"/>
      <c r="I63" s="1058"/>
      <c r="J63" s="551"/>
      <c r="K63" s="890"/>
      <c r="L63" s="887"/>
      <c r="M63" s="1055"/>
      <c r="N63" s="1055"/>
      <c r="O63" s="1055">
        <f>IF(NOT(ISERROR(MATCH(N63,_xlfn.ANCHORARRAY(G74),0))),M76&amp;"Por favor no seleccionar los criterios de impacto",N63)</f>
        <v>0</v>
      </c>
      <c r="P63" s="887"/>
      <c r="Q63" s="1055"/>
      <c r="R63" s="1052"/>
      <c r="S63" s="226">
        <v>6</v>
      </c>
      <c r="T63" s="544"/>
      <c r="U63" s="226" t="str">
        <f t="shared" si="8"/>
        <v/>
      </c>
      <c r="V63" s="535"/>
      <c r="W63" s="535"/>
      <c r="X63" s="534" t="str">
        <f t="shared" si="9"/>
        <v/>
      </c>
      <c r="Y63" s="535"/>
      <c r="Z63" s="535"/>
      <c r="AA63" s="535"/>
      <c r="AB63" s="536" t="str">
        <f>IFERROR(IF(AND(U62="Probabilidad",U63="Probabilidad"),(AD62-(+AD62*X63)),IF(AND(U62="Impacto",U63="Probabilidad"),(AD61-(+AD61*X63)),IF(U63="Impacto",AD62,""))),"")</f>
        <v/>
      </c>
      <c r="AC63" s="537" t="str">
        <f t="shared" si="4"/>
        <v/>
      </c>
      <c r="AD63" s="538" t="str">
        <f t="shared" si="10"/>
        <v/>
      </c>
      <c r="AE63" s="537" t="str">
        <f t="shared" si="5"/>
        <v/>
      </c>
      <c r="AF63" s="538" t="str">
        <f>IFERROR(IF(AND(U62="Impacto",U63="Impacto"),(AF62-(+AF62*X63)),IF(AND(U62="Probabilidad",U63="Impacto"),(AF61-(+AF61*X63)),IF(U63="Probabilidad",AF62,""))),"")</f>
        <v/>
      </c>
      <c r="AG63" s="539" t="str">
        <f t="shared" si="11"/>
        <v/>
      </c>
      <c r="AH63" s="540"/>
      <c r="AI63" s="541"/>
      <c r="AJ63" s="226"/>
      <c r="AK63" s="542"/>
      <c r="AL63" s="542"/>
      <c r="AM63" s="541"/>
      <c r="AN63" s="543"/>
      <c r="AO63" s="552"/>
      <c r="AP63" s="555"/>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row>
    <row r="64" spans="1:71" x14ac:dyDescent="0.3">
      <c r="A64" s="888">
        <v>10</v>
      </c>
      <c r="B64" s="1068"/>
      <c r="C64" s="1068"/>
      <c r="D64" s="1056"/>
      <c r="E64" s="1056"/>
      <c r="F64" s="1056"/>
      <c r="G64" s="1059"/>
      <c r="H64" s="1056"/>
      <c r="I64" s="1056"/>
      <c r="J64" s="531"/>
      <c r="K64" s="888"/>
      <c r="L64" s="885" t="str">
        <f>IF(K64&lt;=0,"",IF(K64&lt;=2,"Muy Baja",IF(K64&lt;=24,"Baja",IF(K64&lt;=500,"Media",IF(K64&lt;=5000,"Alta","Muy Alta")))))</f>
        <v/>
      </c>
      <c r="M64" s="1053" t="str">
        <f>IF(L64="","",IF(L64="Muy Baja",0.2,IF(L64="Baja",0.4,IF(L64="Media",0.6,IF(L64="Alta",0.8,IF(L64="Muy Alta",1,))))))</f>
        <v/>
      </c>
      <c r="N64" s="1053"/>
      <c r="O64" s="1053">
        <f>IF(NOT(ISERROR(MATCH(N64,'Tabla Impacto'!$B$221:$B$223,0))),'Tabla Impacto'!$F$223&amp;"Por favor no seleccionar los criterios de impacto(Afectación Económica o presupuestal y Pérdida Reputacional)",N64)</f>
        <v>0</v>
      </c>
      <c r="P64" s="885" t="str">
        <f>IF(OR(O64='Tabla Impacto'!$C$11,O64='Tabla Impacto'!$D$11),"Leve",IF(OR(O64='Tabla Impacto'!$C$12,O64='Tabla Impacto'!$D$12),"Menor",IF(OR(O64='Tabla Impacto'!$C$13,O64='Tabla Impacto'!$D$13),"Moderado",IF(OR(O64='Tabla Impacto'!$C$14,O64='Tabla Impacto'!$D$14),"Mayor",IF(OR(O64='Tabla Impacto'!$C$15,O64='Tabla Impacto'!$D$15),"Catastrófico","")))))</f>
        <v/>
      </c>
      <c r="Q64" s="1053" t="str">
        <f>IF(P64="","",IF(P64="Leve",0.2,IF(P64="Menor",0.4,IF(P64="Moderado",0.6,IF(P64="Mayor",0.8,IF(P64="Catastrófico",1,))))))</f>
        <v/>
      </c>
      <c r="R64" s="105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6">
        <v>1</v>
      </c>
      <c r="T64" s="544"/>
      <c r="U64" s="226" t="str">
        <f t="shared" si="8"/>
        <v/>
      </c>
      <c r="V64" s="535"/>
      <c r="W64" s="535"/>
      <c r="X64" s="534" t="str">
        <f t="shared" si="9"/>
        <v/>
      </c>
      <c r="Y64" s="535"/>
      <c r="Z64" s="535"/>
      <c r="AA64" s="535"/>
      <c r="AB64" s="536" t="str">
        <f>IFERROR(IF(U64="Probabilidad",(M64-(+M64*X64)),IF(U64="Impacto",M64,"")),"")</f>
        <v/>
      </c>
      <c r="AC64" s="537" t="str">
        <f>IFERROR(IF(AB64="","",IF(AB64&lt;=0.2,"Muy Baja",IF(AB64&lt;=0.4,"Baja",IF(AB64&lt;=0.6,"Media",IF(AB64&lt;=0.8,"Alta","Muy Alta"))))),"")</f>
        <v/>
      </c>
      <c r="AD64" s="538" t="str">
        <f t="shared" si="10"/>
        <v/>
      </c>
      <c r="AE64" s="537" t="str">
        <f>IFERROR(IF(AF64="","",IF(AF64&lt;=0.2,"Leve",IF(AF64&lt;=0.4,"Menor",IF(AF64&lt;=0.6,"Moderado",IF(AF64&lt;=0.8,"Mayor","Catastrófico"))))),"")</f>
        <v/>
      </c>
      <c r="AF64" s="538" t="str">
        <f>IFERROR(IF(U64="Impacto",(Q64-(+Q64*X64)),IF(U64="Probabilidad",Q64,"")),"")</f>
        <v/>
      </c>
      <c r="AG64" s="539" t="str">
        <f t="shared" si="11"/>
        <v/>
      </c>
      <c r="AH64" s="540"/>
      <c r="AI64" s="541"/>
      <c r="AJ64" s="226"/>
      <c r="AK64" s="542"/>
      <c r="AL64" s="542"/>
      <c r="AM64" s="541"/>
      <c r="AN64" s="543"/>
      <c r="AO64" s="552"/>
      <c r="AP64" s="555"/>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row>
    <row r="65" spans="1:42" x14ac:dyDescent="0.3">
      <c r="A65" s="889"/>
      <c r="B65" s="1069"/>
      <c r="C65" s="1069"/>
      <c r="D65" s="1057"/>
      <c r="E65" s="1057"/>
      <c r="F65" s="1057"/>
      <c r="G65" s="1060"/>
      <c r="H65" s="1057"/>
      <c r="I65" s="1057"/>
      <c r="J65" s="545"/>
      <c r="K65" s="889"/>
      <c r="L65" s="886"/>
      <c r="M65" s="1054"/>
      <c r="N65" s="1054"/>
      <c r="O65" s="1054">
        <f>IF(NOT(ISERROR(MATCH(N65,_xlfn.ANCHORARRAY(G76),0))),M78&amp;"Por favor no seleccionar los criterios de impacto",N65)</f>
        <v>0</v>
      </c>
      <c r="P65" s="886"/>
      <c r="Q65" s="1054"/>
      <c r="R65" s="1051"/>
      <c r="S65" s="226">
        <v>2</v>
      </c>
      <c r="T65" s="544"/>
      <c r="U65" s="226" t="str">
        <f t="shared" si="8"/>
        <v/>
      </c>
      <c r="V65" s="535"/>
      <c r="W65" s="535"/>
      <c r="X65" s="534" t="str">
        <f t="shared" si="9"/>
        <v/>
      </c>
      <c r="Y65" s="535"/>
      <c r="Z65" s="535"/>
      <c r="AA65" s="535"/>
      <c r="AB65" s="536" t="str">
        <f>IFERROR(IF(AND(U64="Probabilidad",U65="Probabilidad"),(AD64-(+AD64*X65)),IF(U65="Probabilidad",(M64-(+M64*X65)),IF(U65="Impacto",AD64,""))),"")</f>
        <v/>
      </c>
      <c r="AC65" s="537" t="str">
        <f t="shared" si="4"/>
        <v/>
      </c>
      <c r="AD65" s="538" t="str">
        <f t="shared" si="10"/>
        <v/>
      </c>
      <c r="AE65" s="537" t="str">
        <f t="shared" si="5"/>
        <v/>
      </c>
      <c r="AF65" s="538" t="str">
        <f>IFERROR(IF(AND(U64="Impacto",U65="Impacto"),(AF64-(+AF64*X65)),IF(U65="Impacto",(Q64-(+Q64*X65)),IF(U65="Probabilidad",AF64,""))),"")</f>
        <v/>
      </c>
      <c r="AG65" s="539" t="str">
        <f t="shared" si="11"/>
        <v/>
      </c>
      <c r="AH65" s="540"/>
      <c r="AI65" s="541"/>
      <c r="AJ65" s="226"/>
      <c r="AK65" s="542"/>
      <c r="AL65" s="542"/>
      <c r="AM65" s="541"/>
      <c r="AN65" s="543"/>
      <c r="AO65" s="554"/>
      <c r="AP65" s="556"/>
    </row>
    <row r="66" spans="1:42" x14ac:dyDescent="0.3">
      <c r="A66" s="889"/>
      <c r="B66" s="1069"/>
      <c r="C66" s="1069"/>
      <c r="D66" s="1057"/>
      <c r="E66" s="1057"/>
      <c r="F66" s="1057"/>
      <c r="G66" s="1060"/>
      <c r="H66" s="1057"/>
      <c r="I66" s="1057"/>
      <c r="J66" s="545"/>
      <c r="K66" s="889"/>
      <c r="L66" s="886"/>
      <c r="M66" s="1054"/>
      <c r="N66" s="1054"/>
      <c r="O66" s="1054">
        <f>IF(NOT(ISERROR(MATCH(N66,_xlfn.ANCHORARRAY(G77),0))),M79&amp;"Por favor no seleccionar los criterios de impacto",N66)</f>
        <v>0</v>
      </c>
      <c r="P66" s="886"/>
      <c r="Q66" s="1054"/>
      <c r="R66" s="1051"/>
      <c r="S66" s="226">
        <v>3</v>
      </c>
      <c r="T66" s="553"/>
      <c r="U66" s="226" t="str">
        <f t="shared" si="8"/>
        <v/>
      </c>
      <c r="V66" s="535"/>
      <c r="W66" s="535"/>
      <c r="X66" s="534" t="str">
        <f t="shared" si="9"/>
        <v/>
      </c>
      <c r="Y66" s="535"/>
      <c r="Z66" s="535"/>
      <c r="AA66" s="535"/>
      <c r="AB66" s="536" t="str">
        <f>IFERROR(IF(AND(U65="Probabilidad",U66="Probabilidad"),(AD65-(+AD65*X66)),IF(AND(U65="Impacto",U66="Probabilidad"),(AD64-(+AD64*X66)),IF(U66="Impacto",AD65,""))),"")</f>
        <v/>
      </c>
      <c r="AC66" s="537" t="str">
        <f t="shared" si="4"/>
        <v/>
      </c>
      <c r="AD66" s="538" t="str">
        <f t="shared" si="10"/>
        <v/>
      </c>
      <c r="AE66" s="537" t="str">
        <f t="shared" si="5"/>
        <v/>
      </c>
      <c r="AF66" s="538" t="str">
        <f>IFERROR(IF(AND(U65="Impacto",U66="Impacto"),(AF65-(+AF65*X66)),IF(AND(U65="Probabilidad",U66="Impacto"),(AF64-(+AF64*X66)),IF(U66="Probabilidad",AF65,""))),"")</f>
        <v/>
      </c>
      <c r="AG66" s="539" t="str">
        <f t="shared" si="11"/>
        <v/>
      </c>
      <c r="AH66" s="540"/>
      <c r="AI66" s="541"/>
      <c r="AJ66" s="226"/>
      <c r="AK66" s="542"/>
      <c r="AL66" s="542"/>
      <c r="AM66" s="541"/>
      <c r="AN66" s="543"/>
      <c r="AO66" s="554"/>
      <c r="AP66" s="556"/>
    </row>
    <row r="67" spans="1:42" x14ac:dyDescent="0.3">
      <c r="A67" s="889"/>
      <c r="B67" s="1069"/>
      <c r="C67" s="1069"/>
      <c r="D67" s="1057"/>
      <c r="E67" s="1057"/>
      <c r="F67" s="1057"/>
      <c r="G67" s="1060"/>
      <c r="H67" s="1057"/>
      <c r="I67" s="1057"/>
      <c r="J67" s="545"/>
      <c r="K67" s="889"/>
      <c r="L67" s="886"/>
      <c r="M67" s="1054"/>
      <c r="N67" s="1054"/>
      <c r="O67" s="1054">
        <f>IF(NOT(ISERROR(MATCH(N67,_xlfn.ANCHORARRAY(G78),0))),M80&amp;"Por favor no seleccionar los criterios de impacto",N67)</f>
        <v>0</v>
      </c>
      <c r="P67" s="886"/>
      <c r="Q67" s="1054"/>
      <c r="R67" s="1051"/>
      <c r="S67" s="226">
        <v>4</v>
      </c>
      <c r="T67" s="544"/>
      <c r="U67" s="226" t="str">
        <f t="shared" si="8"/>
        <v/>
      </c>
      <c r="V67" s="535"/>
      <c r="W67" s="535"/>
      <c r="X67" s="534" t="str">
        <f t="shared" si="9"/>
        <v/>
      </c>
      <c r="Y67" s="535"/>
      <c r="Z67" s="535"/>
      <c r="AA67" s="535"/>
      <c r="AB67" s="536" t="str">
        <f>IFERROR(IF(AND(U66="Probabilidad",U67="Probabilidad"),(AD66-(+AD66*X67)),IF(AND(U66="Impacto",U67="Probabilidad"),(AD65-(+AD65*X67)),IF(U67="Impacto",AD66,""))),"")</f>
        <v/>
      </c>
      <c r="AC67" s="537" t="str">
        <f t="shared" si="4"/>
        <v/>
      </c>
      <c r="AD67" s="538" t="str">
        <f t="shared" si="10"/>
        <v/>
      </c>
      <c r="AE67" s="537" t="str">
        <f t="shared" si="5"/>
        <v/>
      </c>
      <c r="AF67" s="538" t="str">
        <f>IFERROR(IF(AND(U66="Impacto",U67="Impacto"),(AF66-(+AF66*X67)),IF(AND(U66="Probabilidad",U67="Impacto"),(AF65-(+AF65*X67)),IF(U67="Probabilidad",AF66,""))),"")</f>
        <v/>
      </c>
      <c r="AG67" s="539" t="str">
        <f t="shared" si="11"/>
        <v/>
      </c>
      <c r="AH67" s="540"/>
      <c r="AI67" s="541"/>
      <c r="AJ67" s="226"/>
      <c r="AK67" s="542"/>
      <c r="AL67" s="542"/>
      <c r="AM67" s="541"/>
      <c r="AN67" s="543"/>
      <c r="AO67" s="554"/>
      <c r="AP67" s="556"/>
    </row>
    <row r="68" spans="1:42" x14ac:dyDescent="0.3">
      <c r="A68" s="889"/>
      <c r="B68" s="1069"/>
      <c r="C68" s="1069"/>
      <c r="D68" s="1057"/>
      <c r="E68" s="1057"/>
      <c r="F68" s="1057"/>
      <c r="G68" s="1060"/>
      <c r="H68" s="1057"/>
      <c r="I68" s="1057"/>
      <c r="J68" s="545"/>
      <c r="K68" s="889"/>
      <c r="L68" s="886"/>
      <c r="M68" s="1054"/>
      <c r="N68" s="1054"/>
      <c r="O68" s="1054">
        <f>IF(NOT(ISERROR(MATCH(N68,_xlfn.ANCHORARRAY(G79),0))),M81&amp;"Por favor no seleccionar los criterios de impacto",N68)</f>
        <v>0</v>
      </c>
      <c r="P68" s="886"/>
      <c r="Q68" s="1054"/>
      <c r="R68" s="1051"/>
      <c r="S68" s="226">
        <v>5</v>
      </c>
      <c r="T68" s="544"/>
      <c r="U68" s="226" t="str">
        <f t="shared" si="8"/>
        <v/>
      </c>
      <c r="V68" s="535"/>
      <c r="W68" s="535"/>
      <c r="X68" s="534" t="str">
        <f t="shared" si="9"/>
        <v/>
      </c>
      <c r="Y68" s="535"/>
      <c r="Z68" s="535"/>
      <c r="AA68" s="535"/>
      <c r="AB68" s="536" t="str">
        <f>IFERROR(IF(AND(U67="Probabilidad",U68="Probabilidad"),(AD67-(+AD67*X68)),IF(AND(U67="Impacto",U68="Probabilidad"),(AD66-(+AD66*X68)),IF(U68="Impacto",AD67,""))),"")</f>
        <v/>
      </c>
      <c r="AC68" s="537" t="str">
        <f t="shared" si="4"/>
        <v/>
      </c>
      <c r="AD68" s="538" t="str">
        <f t="shared" si="10"/>
        <v/>
      </c>
      <c r="AE68" s="537" t="str">
        <f t="shared" si="5"/>
        <v/>
      </c>
      <c r="AF68" s="538" t="str">
        <f>IFERROR(IF(AND(U67="Impacto",U68="Impacto"),(AF67-(+AF67*X68)),IF(AND(U67="Probabilidad",U68="Impacto"),(AF66-(+AF66*X68)),IF(U68="Probabilidad",AF67,""))),"")</f>
        <v/>
      </c>
      <c r="AG68" s="539" t="str">
        <f t="shared" si="11"/>
        <v/>
      </c>
      <c r="AH68" s="540"/>
      <c r="AI68" s="541"/>
      <c r="AJ68" s="226"/>
      <c r="AK68" s="542"/>
      <c r="AL68" s="542"/>
      <c r="AM68" s="541"/>
      <c r="AN68" s="543"/>
      <c r="AO68" s="554"/>
      <c r="AP68" s="556"/>
    </row>
    <row r="69" spans="1:42" x14ac:dyDescent="0.3">
      <c r="A69" s="890"/>
      <c r="B69" s="1070"/>
      <c r="C69" s="1070"/>
      <c r="D69" s="1058"/>
      <c r="E69" s="1058"/>
      <c r="F69" s="1058"/>
      <c r="G69" s="1061"/>
      <c r="H69" s="1058"/>
      <c r="I69" s="1058"/>
      <c r="J69" s="551"/>
      <c r="K69" s="890"/>
      <c r="L69" s="887"/>
      <c r="M69" s="1055"/>
      <c r="N69" s="1055"/>
      <c r="O69" s="1055">
        <f>IF(NOT(ISERROR(MATCH(N69,_xlfn.ANCHORARRAY(G80),0))),M82&amp;"Por favor no seleccionar los criterios de impacto",N69)</f>
        <v>0</v>
      </c>
      <c r="P69" s="887"/>
      <c r="Q69" s="1055"/>
      <c r="R69" s="1052"/>
      <c r="S69" s="226">
        <v>6</v>
      </c>
      <c r="T69" s="544"/>
      <c r="U69" s="226" t="str">
        <f t="shared" si="8"/>
        <v/>
      </c>
      <c r="V69" s="535"/>
      <c r="W69" s="535"/>
      <c r="X69" s="534" t="str">
        <f t="shared" si="9"/>
        <v/>
      </c>
      <c r="Y69" s="535"/>
      <c r="Z69" s="535"/>
      <c r="AA69" s="535"/>
      <c r="AB69" s="536" t="str">
        <f>IFERROR(IF(AND(U68="Probabilidad",U69="Probabilidad"),(AD68-(+AD68*X69)),IF(AND(U68="Impacto",U69="Probabilidad"),(AD67-(+AD67*X69)),IF(U69="Impacto",AD68,""))),"")</f>
        <v/>
      </c>
      <c r="AC69" s="537" t="str">
        <f t="shared" si="4"/>
        <v/>
      </c>
      <c r="AD69" s="538" t="str">
        <f t="shared" si="10"/>
        <v/>
      </c>
      <c r="AE69" s="537" t="str">
        <f t="shared" si="5"/>
        <v/>
      </c>
      <c r="AF69" s="538" t="str">
        <f>IFERROR(IF(AND(U68="Impacto",U69="Impacto"),(AF68-(+AF68*X69)),IF(AND(U68="Probabilidad",U69="Impacto"),(AF67-(+AF67*X69)),IF(U69="Probabilidad",AF68,""))),"")</f>
        <v/>
      </c>
      <c r="AG69" s="539" t="str">
        <f t="shared" si="11"/>
        <v/>
      </c>
      <c r="AH69" s="540"/>
      <c r="AI69" s="541"/>
      <c r="AJ69" s="226"/>
      <c r="AK69" s="542"/>
      <c r="AL69" s="542"/>
      <c r="AM69" s="541"/>
      <c r="AN69" s="543"/>
      <c r="AO69" s="554"/>
      <c r="AP69" s="556"/>
    </row>
    <row r="70" spans="1:42" x14ac:dyDescent="0.3">
      <c r="A70" s="243"/>
      <c r="B70" s="337"/>
      <c r="C70" s="337"/>
      <c r="D70" s="711" t="s">
        <v>185</v>
      </c>
      <c r="E70" s="712"/>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2"/>
      <c r="AK70" s="712"/>
      <c r="AL70" s="712"/>
      <c r="AM70" s="712"/>
      <c r="AN70" s="713"/>
    </row>
    <row r="72" spans="1:42" x14ac:dyDescent="0.3">
      <c r="A72" s="219"/>
      <c r="B72" s="219"/>
      <c r="C72" s="219"/>
      <c r="D72" s="244" t="s">
        <v>186</v>
      </c>
      <c r="E72" s="219"/>
      <c r="F72" s="219"/>
      <c r="H72" s="219"/>
      <c r="I72" s="219"/>
      <c r="J72" s="219"/>
    </row>
  </sheetData>
  <sheetProtection algorithmName="SHA-512" hashValue="Lf5enMH3H/WZQFBurAlwM4lGSsRE1R3TW07tjtxlFsN0E9esmglfhX0JV5AXSjdFz7PGjs5QkgRvDrw28Ntd2g==" saltValue="1HcRRtjm9e9ObvbCwn1D0w==" spinCount="100000" sheet="1" formatCells="0" formatColumns="0" formatRows="0"/>
  <dataConsolidate link="1"/>
  <mergeCells count="222">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W15:W69</xm:sqref>
        </x14:dataValidation>
        <x14:dataValidation type="list" allowBlank="1" showInputMessage="1" showErrorMessage="1" xr:uid="{00000000-0002-0000-1200-000005000000}">
          <x14:formula1>
            <xm:f>'Hoja1 (2)'!$A$3:$A$5</xm:f>
          </x14:formula1>
          <xm:sqref>V15:V69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 type="list" allowBlank="1" showInputMessage="1" showErrorMessage="1" xr:uid="{4C7607D1-EA08-4002-AC29-F8784C06E6F2}">
          <x14:formula1>
            <xm:f>'https://mininteriorgovco.sharepoint.com/sites/GMC/Documentos compartidos/2025/RIESGOS/3. Matrices de Riesgo por Proceso/11. Gestión Tecnológica/I SEMESTRE/[GESTION TECNOLOGICA_2025 AJUSTADO-2 (4).xlsx]Hoja1 (2)'!#REF!</xm:f>
          </x14:formula1>
          <xm:sqref>V10:W14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B32" sqref="AB32:AC3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4" t="s">
        <v>187</v>
      </c>
      <c r="C2" s="714"/>
      <c r="D2" s="714"/>
      <c r="E2" s="714"/>
      <c r="F2" s="714"/>
      <c r="G2" s="714"/>
      <c r="H2" s="714"/>
      <c r="I2" s="714"/>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4"/>
      <c r="C3" s="714"/>
      <c r="D3" s="714"/>
      <c r="E3" s="714"/>
      <c r="F3" s="714"/>
      <c r="G3" s="714"/>
      <c r="H3" s="714"/>
      <c r="I3" s="714"/>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4"/>
      <c r="C4" s="714"/>
      <c r="D4" s="714"/>
      <c r="E4" s="714"/>
      <c r="F4" s="714"/>
      <c r="G4" s="714"/>
      <c r="H4" s="714"/>
      <c r="I4" s="714"/>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6" t="s">
        <v>188</v>
      </c>
      <c r="C6" s="716"/>
      <c r="D6" s="717"/>
      <c r="E6" s="718" t="s">
        <v>189</v>
      </c>
      <c r="F6" s="719"/>
      <c r="G6" s="719"/>
      <c r="H6" s="719"/>
      <c r="I6" s="720"/>
      <c r="J6" s="727" t="str">
        <f>IF(AND('Mapa final SI'!$L$10="Muy Alta",'Mapa final SI'!$P$10="Leve"),CONCATENATE("R",'Mapa final SI'!$A$10),"")</f>
        <v/>
      </c>
      <c r="K6" s="728"/>
      <c r="L6" s="728" t="str">
        <f>IF(AND('Mapa final SI'!$L$16="Muy Alta",'Mapa final SI'!$P$16="Leve"),CONCATENATE("R",'Mapa final SI'!$A$16),"")</f>
        <v/>
      </c>
      <c r="M6" s="728"/>
      <c r="N6" s="728" t="str">
        <f>IF(AND('Mapa final SI'!$L$22="Muy Alta",'Mapa final SI'!$P$22="Leve"),CONCATENATE("R",'Mapa final SI'!$A$22),"")</f>
        <v/>
      </c>
      <c r="O6" s="731"/>
      <c r="P6" s="727" t="str">
        <f>IF(AND('Mapa final SI'!$L$10="Muy Alta",'Mapa final SI'!$P$10="Menor"),CONCATENATE("R",'Mapa final SI'!$A$10),"")</f>
        <v/>
      </c>
      <c r="Q6" s="728"/>
      <c r="R6" s="728" t="str">
        <f>IF(AND('Mapa final SI'!$L$16="Muy Alta",'Mapa final SI'!$P$16="Menor"),CONCATENATE("R",'Mapa final SI'!$A$16),"")</f>
        <v/>
      </c>
      <c r="S6" s="728"/>
      <c r="T6" s="728" t="str">
        <f>IF(AND('Mapa final SI'!$L$22="Muy Alta",'Mapa final SI'!$P$22="Menor"),CONCATENATE("R",'Mapa final SI'!$A$22),"")</f>
        <v/>
      </c>
      <c r="U6" s="731"/>
      <c r="V6" s="727" t="str">
        <f>IF(AND('Mapa final SI'!$L$10="Muy Alta",'Mapa final SI'!$P$10="Moderado"),CONCATENATE("R",'Mapa final SI'!$A$10),"")</f>
        <v/>
      </c>
      <c r="W6" s="728"/>
      <c r="X6" s="728" t="str">
        <f>IF(AND('Mapa final SI'!$L$16="Muy Alta",'Mapa final SI'!$P$16="Moderado"),CONCATENATE("R",'Mapa final SI'!$A$16),"")</f>
        <v/>
      </c>
      <c r="Y6" s="728"/>
      <c r="Z6" s="728" t="str">
        <f>IF(AND('Mapa final SI'!$L$22="Muy Alta",'Mapa final SI'!$P$22="Moderado"),CONCATENATE("R",'Mapa final SI'!$A$22),"")</f>
        <v/>
      </c>
      <c r="AA6" s="731"/>
      <c r="AB6" s="727" t="str">
        <f>IF(AND('Mapa final SI'!$L$10="Muy Alta",'Mapa final SI'!$P$10="Mayor"),CONCATENATE("R",'Mapa final SI'!$A$10),"")</f>
        <v/>
      </c>
      <c r="AC6" s="728"/>
      <c r="AD6" s="728" t="str">
        <f>IF(AND('Mapa final SI'!$L$16="Muy Alta",'Mapa final SI'!$P$16="Mayor"),CONCATENATE("R",'Mapa final SI'!$A$16),"")</f>
        <v/>
      </c>
      <c r="AE6" s="728"/>
      <c r="AF6" s="728" t="str">
        <f>IF(AND('Mapa final SI'!$L$22="Muy Alta",'Mapa final SI'!$P$22="Mayor"),CONCATENATE("R",'Mapa final SI'!$A$22),"")</f>
        <v/>
      </c>
      <c r="AG6" s="731"/>
      <c r="AH6" s="733" t="str">
        <f>IF(AND('Mapa final SI'!$L$10="Muy Alta",'Mapa final SI'!$P$10="Catastrófico"),CONCATENATE("R",'Mapa final SI'!$A$10),"")</f>
        <v/>
      </c>
      <c r="AI6" s="734"/>
      <c r="AJ6" s="734" t="str">
        <f>IF(AND('Mapa final SI'!$L$16="Muy Alta",'Mapa final SI'!$P$16="Catastrófico"),CONCATENATE("R",'Mapa final SI'!$A$16),"")</f>
        <v/>
      </c>
      <c r="AK6" s="734"/>
      <c r="AL6" s="734" t="str">
        <f>IF(AND('Mapa final SI'!$L$22="Muy Alta",'Mapa final SI'!$P$22="Catastrófico"),CONCATENATE("R",'Mapa final SI'!$A$22),"")</f>
        <v/>
      </c>
      <c r="AM6" s="737"/>
      <c r="AO6" s="739" t="s">
        <v>190</v>
      </c>
      <c r="AP6" s="740"/>
      <c r="AQ6" s="740"/>
      <c r="AR6" s="740"/>
      <c r="AS6" s="740"/>
      <c r="AT6" s="7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6"/>
      <c r="C7" s="716"/>
      <c r="D7" s="717"/>
      <c r="E7" s="721"/>
      <c r="F7" s="722"/>
      <c r="G7" s="722"/>
      <c r="H7" s="722"/>
      <c r="I7" s="723"/>
      <c r="J7" s="729"/>
      <c r="K7" s="730"/>
      <c r="L7" s="730"/>
      <c r="M7" s="730"/>
      <c r="N7" s="730"/>
      <c r="O7" s="732"/>
      <c r="P7" s="729"/>
      <c r="Q7" s="730"/>
      <c r="R7" s="730"/>
      <c r="S7" s="730"/>
      <c r="T7" s="730"/>
      <c r="U7" s="732"/>
      <c r="V7" s="729"/>
      <c r="W7" s="730"/>
      <c r="X7" s="730"/>
      <c r="Y7" s="730"/>
      <c r="Z7" s="730"/>
      <c r="AA7" s="732"/>
      <c r="AB7" s="729"/>
      <c r="AC7" s="730"/>
      <c r="AD7" s="730"/>
      <c r="AE7" s="730"/>
      <c r="AF7" s="730"/>
      <c r="AG7" s="732"/>
      <c r="AH7" s="735"/>
      <c r="AI7" s="736"/>
      <c r="AJ7" s="736"/>
      <c r="AK7" s="736"/>
      <c r="AL7" s="736"/>
      <c r="AM7" s="738"/>
      <c r="AN7" s="15"/>
      <c r="AO7" s="742"/>
      <c r="AP7" s="743"/>
      <c r="AQ7" s="743"/>
      <c r="AR7" s="743"/>
      <c r="AS7" s="743"/>
      <c r="AT7" s="7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6"/>
      <c r="C8" s="716"/>
      <c r="D8" s="717"/>
      <c r="E8" s="721"/>
      <c r="F8" s="722"/>
      <c r="G8" s="722"/>
      <c r="H8" s="722"/>
      <c r="I8" s="723"/>
      <c r="J8" s="729" t="str">
        <f>IF(AND('Mapa final SI'!$L$28="Muy Alta",'Mapa final SI'!$P$28="Leve"),CONCATENATE("R",'Mapa final'!$A$28),"")</f>
        <v/>
      </c>
      <c r="K8" s="730"/>
      <c r="L8" s="730" t="str">
        <f>IF(AND('Mapa final SI'!$L$34="Muy Alta",'Mapa final SI'!$P$34="Leve"),CONCATENATE("R",'Mapa final'!$A$34),"")</f>
        <v/>
      </c>
      <c r="M8" s="730"/>
      <c r="N8" s="730" t="str">
        <f>IF(AND('Mapa final SI'!$L$40="Muy Alta",'Mapa final SI'!$P$40="Leve"),CONCATENATE("R",'Mapa final'!$A$40),"")</f>
        <v/>
      </c>
      <c r="O8" s="732"/>
      <c r="P8" s="729" t="str">
        <f>IF(AND('Mapa final SI'!$L$28="Muy Alta",'Mapa final SI'!$P$28="Menor"),CONCATENATE("R",'Mapa final'!$A$28),"")</f>
        <v/>
      </c>
      <c r="Q8" s="730"/>
      <c r="R8" s="730" t="str">
        <f>IF(AND('Mapa final SI'!$L$34="Muy Alta",'Mapa final SI'!$P$34="Menor"),CONCATENATE("R",'Mapa final'!$A$34),"")</f>
        <v/>
      </c>
      <c r="S8" s="730"/>
      <c r="T8" s="730" t="str">
        <f>IF(AND('Mapa final SI'!$L$40="Muy Alta",'Mapa final SI'!$P$40="Menor"),CONCATENATE("R",'Mapa final'!$A$40),"")</f>
        <v/>
      </c>
      <c r="U8" s="732"/>
      <c r="V8" s="729" t="str">
        <f>IF(AND('Mapa final SI'!$L$28="Muy Alta",'Mapa final SI'!$P$28="Moderado"),CONCATENATE("R",'Mapa final'!$A$28),"")</f>
        <v/>
      </c>
      <c r="W8" s="730"/>
      <c r="X8" s="730" t="str">
        <f>IF(AND('Mapa final SI'!$L$34="Muy Alta",'Mapa final SI'!$P$34="Moderado"),CONCATENATE("R",'Mapa final'!$A$34),"")</f>
        <v/>
      </c>
      <c r="Y8" s="730"/>
      <c r="Z8" s="730" t="str">
        <f>IF(AND('Mapa final SI'!$L$40="Muy Alta",'Mapa final SI'!$P$40="Moderado"),CONCATENATE("R",'Mapa final'!$A$40),"")</f>
        <v/>
      </c>
      <c r="AA8" s="732"/>
      <c r="AB8" s="729" t="str">
        <f>IF(AND('Mapa final SI'!$L$28="Muy Alta",'Mapa final SI'!$P$28="Mayor"),CONCATENATE("R",'Mapa final'!$A$28),"")</f>
        <v/>
      </c>
      <c r="AC8" s="730"/>
      <c r="AD8" s="730" t="str">
        <f>IF(AND('Mapa final SI'!$L$34="Muy Alta",'Mapa final SI'!$P$34="Mayor"),CONCATENATE("R",'Mapa final'!$A$34),"")</f>
        <v/>
      </c>
      <c r="AE8" s="730"/>
      <c r="AF8" s="730" t="str">
        <f>IF(AND('Mapa final SI'!$L$40="Muy Alta",'Mapa final SI'!$P$40="Mayor"),CONCATENATE("R",'Mapa final'!$A$40),"")</f>
        <v/>
      </c>
      <c r="AG8" s="732"/>
      <c r="AH8" s="735" t="str">
        <f>IF(AND('Mapa final SI'!$L$28="Muy Alta",'Mapa final SI'!$P$28="Catastrófico"),CONCATENATE("R",'Mapa final'!$A$28),"")</f>
        <v/>
      </c>
      <c r="AI8" s="736"/>
      <c r="AJ8" s="736" t="str">
        <f>IF(AND('Mapa final SI'!$L$34="Muy Alta",'Mapa final SI'!$P$34="Catastrófico"),CONCATENATE("R",'Mapa final'!$A$34),"")</f>
        <v/>
      </c>
      <c r="AK8" s="736"/>
      <c r="AL8" s="736" t="str">
        <f>IF(AND('Mapa final SI'!$L$40="Muy Alta",'Mapa final SI'!$P$40="Catastrófico"),CONCATENATE("R",'Mapa final'!$A$40),"")</f>
        <v/>
      </c>
      <c r="AM8" s="738"/>
      <c r="AN8" s="15"/>
      <c r="AO8" s="742"/>
      <c r="AP8" s="743"/>
      <c r="AQ8" s="743"/>
      <c r="AR8" s="743"/>
      <c r="AS8" s="743"/>
      <c r="AT8" s="7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6"/>
      <c r="C9" s="716"/>
      <c r="D9" s="717"/>
      <c r="E9" s="721"/>
      <c r="F9" s="722"/>
      <c r="G9" s="722"/>
      <c r="H9" s="722"/>
      <c r="I9" s="723"/>
      <c r="J9" s="729"/>
      <c r="K9" s="730"/>
      <c r="L9" s="730"/>
      <c r="M9" s="730"/>
      <c r="N9" s="730"/>
      <c r="O9" s="732"/>
      <c r="P9" s="729"/>
      <c r="Q9" s="730"/>
      <c r="R9" s="730"/>
      <c r="S9" s="730"/>
      <c r="T9" s="730"/>
      <c r="U9" s="732"/>
      <c r="V9" s="729"/>
      <c r="W9" s="730"/>
      <c r="X9" s="730"/>
      <c r="Y9" s="730"/>
      <c r="Z9" s="730"/>
      <c r="AA9" s="732"/>
      <c r="AB9" s="729"/>
      <c r="AC9" s="730"/>
      <c r="AD9" s="730"/>
      <c r="AE9" s="730"/>
      <c r="AF9" s="730"/>
      <c r="AG9" s="732"/>
      <c r="AH9" s="735"/>
      <c r="AI9" s="736"/>
      <c r="AJ9" s="736"/>
      <c r="AK9" s="736"/>
      <c r="AL9" s="736"/>
      <c r="AM9" s="738"/>
      <c r="AN9" s="15"/>
      <c r="AO9" s="742"/>
      <c r="AP9" s="743"/>
      <c r="AQ9" s="743"/>
      <c r="AR9" s="743"/>
      <c r="AS9" s="743"/>
      <c r="AT9" s="7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6"/>
      <c r="C10" s="716"/>
      <c r="D10" s="717"/>
      <c r="E10" s="721"/>
      <c r="F10" s="722"/>
      <c r="G10" s="722"/>
      <c r="H10" s="722"/>
      <c r="I10" s="723"/>
      <c r="J10" s="729" t="str">
        <f>IF(AND('Mapa final SI'!$L$46="Muy Alta",'Mapa final SI'!$P$46="Leve"),CONCATENATE("R",'Mapa final'!$A$46),"")</f>
        <v/>
      </c>
      <c r="K10" s="730"/>
      <c r="L10" s="730" t="str">
        <f>IF(AND('Mapa final SI'!$L$52="Muy Alta",'Mapa final SI'!$P$52="Leve"),CONCATENATE("R",'Mapa final'!$A$52),"")</f>
        <v/>
      </c>
      <c r="M10" s="730"/>
      <c r="N10" s="730" t="str">
        <f>IF(AND('Mapa final SI'!$L$58="Muy Alta",'Mapa final SI'!$P$58="Leve"),CONCATENATE("R",'Mapa final'!$A$58),"")</f>
        <v/>
      </c>
      <c r="O10" s="732"/>
      <c r="P10" s="729" t="str">
        <f>IF(AND('Mapa final SI'!$L$46="Muy Alta",'Mapa final SI'!$P$46="Menor"),CONCATENATE("R",'Mapa final'!$A$46),"")</f>
        <v/>
      </c>
      <c r="Q10" s="730"/>
      <c r="R10" s="730" t="str">
        <f>IF(AND('Mapa final SI'!$L$52="Muy Alta",'Mapa final SI'!$P$52="Menor"),CONCATENATE("R",'Mapa final'!$A$52),"")</f>
        <v/>
      </c>
      <c r="S10" s="730"/>
      <c r="T10" s="730" t="str">
        <f>IF(AND('Mapa final SI'!$L$58="Muy Alta",'Mapa final SI'!$P$58="Menor"),CONCATENATE("R",'Mapa final'!$A$58),"")</f>
        <v/>
      </c>
      <c r="U10" s="732"/>
      <c r="V10" s="729" t="str">
        <f>IF(AND('Mapa final SI'!$L$46="Muy Alta",'Mapa final SI'!$P$46="Moderado"),CONCATENATE("R",'Mapa final'!$A$46),"")</f>
        <v/>
      </c>
      <c r="W10" s="730"/>
      <c r="X10" s="730" t="str">
        <f>IF(AND('Mapa final SI'!$L$52="Muy Alta",'Mapa final SI'!$P$52="Moderado"),CONCATENATE("R",'Mapa final'!$A$52),"")</f>
        <v/>
      </c>
      <c r="Y10" s="730"/>
      <c r="Z10" s="730" t="str">
        <f>IF(AND('Mapa final SI'!$L$58="Muy Alta",'Mapa final SI'!$P$58="Moderado"),CONCATENATE("R",'Mapa final'!$A$58),"")</f>
        <v/>
      </c>
      <c r="AA10" s="732"/>
      <c r="AB10" s="729" t="str">
        <f>IF(AND('Mapa final SI'!$L$46="Muy Alta",'Mapa final SI'!$P$46="Mayor"),CONCATENATE("R",'Mapa final'!$A$46),"")</f>
        <v/>
      </c>
      <c r="AC10" s="730"/>
      <c r="AD10" s="730" t="str">
        <f>IF(AND('Mapa final SI'!$L$52="Muy Alta",'Mapa final SI'!$P$52="Mayor"),CONCATENATE("R",'Mapa final'!$A$52),"")</f>
        <v/>
      </c>
      <c r="AE10" s="730"/>
      <c r="AF10" s="730" t="str">
        <f>IF(AND('Mapa final SI'!$L$58="Muy Alta",'Mapa final SI'!$P$58="Mayor"),CONCATENATE("R",'Mapa final'!$A$58),"")</f>
        <v/>
      </c>
      <c r="AG10" s="732"/>
      <c r="AH10" s="735" t="str">
        <f>IF(AND('Mapa final SI'!$L$46="Muy Alta",'Mapa final SI'!$P$46="Catastrófico"),CONCATENATE("R",'Mapa final'!$A$46),"")</f>
        <v/>
      </c>
      <c r="AI10" s="736"/>
      <c r="AJ10" s="736" t="str">
        <f>IF(AND('Mapa final SI'!$L$52="Muy Alta",'Mapa final SI'!$P$52="Catastrófico"),CONCATENATE("R",'Mapa final'!$A$52),"")</f>
        <v/>
      </c>
      <c r="AK10" s="736"/>
      <c r="AL10" s="736" t="str">
        <f>IF(AND('Mapa final SI'!$L$58="Muy Alta",'Mapa final SI'!$P$58="Catastrófico"),CONCATENATE("R",'Mapa final'!$A$58),"")</f>
        <v/>
      </c>
      <c r="AM10" s="738"/>
      <c r="AN10" s="15"/>
      <c r="AO10" s="742"/>
      <c r="AP10" s="743"/>
      <c r="AQ10" s="743"/>
      <c r="AR10" s="743"/>
      <c r="AS10" s="743"/>
      <c r="AT10" s="7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6"/>
      <c r="C11" s="716"/>
      <c r="D11" s="717"/>
      <c r="E11" s="721"/>
      <c r="F11" s="722"/>
      <c r="G11" s="722"/>
      <c r="H11" s="722"/>
      <c r="I11" s="723"/>
      <c r="J11" s="729"/>
      <c r="K11" s="730"/>
      <c r="L11" s="730"/>
      <c r="M11" s="730"/>
      <c r="N11" s="730"/>
      <c r="O11" s="732"/>
      <c r="P11" s="729"/>
      <c r="Q11" s="730"/>
      <c r="R11" s="730"/>
      <c r="S11" s="730"/>
      <c r="T11" s="730"/>
      <c r="U11" s="732"/>
      <c r="V11" s="729"/>
      <c r="W11" s="730"/>
      <c r="X11" s="730"/>
      <c r="Y11" s="730"/>
      <c r="Z11" s="730"/>
      <c r="AA11" s="732"/>
      <c r="AB11" s="729"/>
      <c r="AC11" s="730"/>
      <c r="AD11" s="730"/>
      <c r="AE11" s="730"/>
      <c r="AF11" s="730"/>
      <c r="AG11" s="732"/>
      <c r="AH11" s="735"/>
      <c r="AI11" s="736"/>
      <c r="AJ11" s="736"/>
      <c r="AK11" s="736"/>
      <c r="AL11" s="736"/>
      <c r="AM11" s="738"/>
      <c r="AN11" s="15"/>
      <c r="AO11" s="742"/>
      <c r="AP11" s="743"/>
      <c r="AQ11" s="743"/>
      <c r="AR11" s="743"/>
      <c r="AS11" s="743"/>
      <c r="AT11" s="7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6"/>
      <c r="C12" s="716"/>
      <c r="D12" s="717"/>
      <c r="E12" s="721"/>
      <c r="F12" s="722"/>
      <c r="G12" s="722"/>
      <c r="H12" s="722"/>
      <c r="I12" s="723"/>
      <c r="J12" s="729" t="str">
        <f>IF(AND('Mapa final SI'!$L$64="Muy Alta",'Mapa final SI'!$P$64="Leve"),CONCATENATE("R",'Mapa final SI'!$A$64),"")</f>
        <v/>
      </c>
      <c r="K12" s="730"/>
      <c r="L12" s="730" t="str">
        <f>IF(AND('Mapa final SI'!$L$70="Muy Alta",'Mapa final SI'!$P$70="Leve"),CONCATENATE("R",'Mapa final SI'!$A$70),"")</f>
        <v/>
      </c>
      <c r="M12" s="730"/>
      <c r="N12" s="730" t="str">
        <f>IF(AND('Mapa final SI'!$L$76="Muy Alta",'Mapa final SI'!$P$76="Leve"),CONCATENATE("R",'Mapa final SI'!$A$76),"")</f>
        <v/>
      </c>
      <c r="O12" s="732"/>
      <c r="P12" s="729" t="str">
        <f>IF(AND('Mapa final SI'!$L$64="Muy Alta",'Mapa final SI'!$P$64="Menor"),CONCATENATE("R",'Mapa final SI'!$A$64),"")</f>
        <v/>
      </c>
      <c r="Q12" s="730"/>
      <c r="R12" s="730" t="str">
        <f>IF(AND('Mapa final SI'!$L$70="Muy Alta",'Mapa final SI'!$P$70="Menor"),CONCATENATE("R",'Mapa final SI'!$A$70),"")</f>
        <v/>
      </c>
      <c r="S12" s="730"/>
      <c r="T12" s="730" t="str">
        <f>IF(AND('Mapa final SI'!$L$76="Muy Alta",'Mapa final SI'!$P$76="Menor"),CONCATENATE("R",'Mapa final SI'!$A$76),"")</f>
        <v/>
      </c>
      <c r="U12" s="732"/>
      <c r="V12" s="729" t="str">
        <f>IF(AND('Mapa final SI'!$L$64="Muy Alta",'Mapa final SI'!$P$64="Moderado"),CONCATENATE("R",'Mapa final SI'!$A$64),"")</f>
        <v/>
      </c>
      <c r="W12" s="730"/>
      <c r="X12" s="730" t="str">
        <f>IF(AND('Mapa final SI'!$L$70="Muy Alta",'Mapa final SI'!$P$70="Moderado"),CONCATENATE("R",'Mapa final SI'!$A$70),"")</f>
        <v/>
      </c>
      <c r="Y12" s="730"/>
      <c r="Z12" s="730" t="str">
        <f>IF(AND('Mapa final SI'!$L$76="Muy Alta",'Mapa final SI'!$P$76="Moderado"),CONCATENATE("R",'Mapa final SI'!$A$76),"")</f>
        <v/>
      </c>
      <c r="AA12" s="732"/>
      <c r="AB12" s="729" t="str">
        <f>IF(AND('Mapa final SI'!$L$64="Muy Alta",'Mapa final SI'!$P$64="Mayor"),CONCATENATE("R",'Mapa final SI'!$A$64),"")</f>
        <v/>
      </c>
      <c r="AC12" s="730"/>
      <c r="AD12" s="730" t="str">
        <f>IF(AND('Mapa final SI'!$L$70="Muy Alta",'Mapa final SI'!$P$70="Mayor"),CONCATENATE("R",'Mapa final SI'!$A$70),"")</f>
        <v/>
      </c>
      <c r="AE12" s="730"/>
      <c r="AF12" s="730" t="str">
        <f>IF(AND('Mapa final SI'!$L$76="Muy Alta",'Mapa final SI'!$P$76="Mayor"),CONCATENATE("R",'Mapa final SI'!$A$76),"")</f>
        <v/>
      </c>
      <c r="AG12" s="732"/>
      <c r="AH12" s="735" t="str">
        <f>IF(AND('Mapa final SI'!$L$64="Muy Alta",'Mapa final SI'!$P$64="Catastrófico"),CONCATENATE("R",'Mapa final SI'!$A$64),"")</f>
        <v/>
      </c>
      <c r="AI12" s="736"/>
      <c r="AJ12" s="736" t="str">
        <f>IF(AND('Mapa final SI'!$L$70="Muy Alta",'Mapa final SI'!$P$70="Catastrófico"),CONCATENATE("R",'Mapa final SI'!$A$70),"")</f>
        <v/>
      </c>
      <c r="AK12" s="736"/>
      <c r="AL12" s="736" t="str">
        <f>IF(AND('Mapa final SI'!$L$76="Muy Alta",'Mapa final SI'!$P$76="Catastrófico"),CONCATENATE("R",'Mapa final SI'!$A$76),"")</f>
        <v/>
      </c>
      <c r="AM12" s="738"/>
      <c r="AN12" s="15"/>
      <c r="AO12" s="742"/>
      <c r="AP12" s="743"/>
      <c r="AQ12" s="743"/>
      <c r="AR12" s="743"/>
      <c r="AS12" s="743"/>
      <c r="AT12" s="7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6"/>
      <c r="C13" s="716"/>
      <c r="D13" s="717"/>
      <c r="E13" s="724"/>
      <c r="F13" s="725"/>
      <c r="G13" s="725"/>
      <c r="H13" s="725"/>
      <c r="I13" s="726"/>
      <c r="J13" s="729"/>
      <c r="K13" s="730"/>
      <c r="L13" s="730"/>
      <c r="M13" s="730"/>
      <c r="N13" s="730"/>
      <c r="O13" s="732"/>
      <c r="P13" s="729"/>
      <c r="Q13" s="730"/>
      <c r="R13" s="730"/>
      <c r="S13" s="730"/>
      <c r="T13" s="730"/>
      <c r="U13" s="732"/>
      <c r="V13" s="729"/>
      <c r="W13" s="730"/>
      <c r="X13" s="730"/>
      <c r="Y13" s="730"/>
      <c r="Z13" s="730"/>
      <c r="AA13" s="732"/>
      <c r="AB13" s="729"/>
      <c r="AC13" s="730"/>
      <c r="AD13" s="730"/>
      <c r="AE13" s="730"/>
      <c r="AF13" s="730"/>
      <c r="AG13" s="732"/>
      <c r="AH13" s="756"/>
      <c r="AI13" s="748"/>
      <c r="AJ13" s="748"/>
      <c r="AK13" s="748"/>
      <c r="AL13" s="748"/>
      <c r="AM13" s="749"/>
      <c r="AN13" s="15"/>
      <c r="AO13" s="745"/>
      <c r="AP13" s="746"/>
      <c r="AQ13" s="746"/>
      <c r="AR13" s="746"/>
      <c r="AS13" s="746"/>
      <c r="AT13" s="7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6"/>
      <c r="C14" s="716"/>
      <c r="D14" s="717"/>
      <c r="E14" s="718" t="s">
        <v>191</v>
      </c>
      <c r="F14" s="719"/>
      <c r="G14" s="719"/>
      <c r="H14" s="719"/>
      <c r="I14" s="719"/>
      <c r="J14" s="750" t="str">
        <f>IF(AND('Mapa final SI'!$P$10="Alta",'Mapa final SI'!$P$10="Leve"),CONCATENATE("R",'Mapa final'!$A$10),"")</f>
        <v/>
      </c>
      <c r="K14" s="751"/>
      <c r="L14" s="751" t="str">
        <f>IF(AND('Mapa final SI'!$P$16="Alta",'Mapa final SI'!$P$16="Leve"),CONCATENATE("R",'Mapa final'!$A$16),"")</f>
        <v/>
      </c>
      <c r="M14" s="751"/>
      <c r="N14" s="751" t="str">
        <f>IF(AND('Mapa final SI'!$L$22="Alta",'Mapa final SI'!$P$22="Leve"),CONCATENATE("R",'Mapa final SI'!$A$22),"")</f>
        <v/>
      </c>
      <c r="O14" s="754"/>
      <c r="P14" s="750" t="str">
        <f>IF(AND('Mapa final SI'!$L$10="Alta",'Mapa final SI'!$P$10="Menor"),CONCATENATE("R",'Mapa final SI'!$A$10),"")</f>
        <v/>
      </c>
      <c r="Q14" s="751"/>
      <c r="R14" s="751" t="str">
        <f>IF(AND('Mapa final SI'!$L$16="Alta",'Mapa final SI'!$P$16="Menor"),CONCATENATE("R",'Mapa final SI'!$A$16),"")</f>
        <v/>
      </c>
      <c r="S14" s="751"/>
      <c r="T14" s="751" t="str">
        <f>IF(AND('Mapa final SI'!$L$22="Alta",'Mapa final SI'!$P$22="Menor"),CONCATENATE("R",'Mapa final SI'!$A$22),"")</f>
        <v/>
      </c>
      <c r="U14" s="754"/>
      <c r="V14" s="727" t="str">
        <f>IF(AND('Mapa final SI'!$L$10="Alta",'Mapa final SI'!$P$10="Moderado"),CONCATENATE("R",'Mapa final SI'!$A$10),"")</f>
        <v/>
      </c>
      <c r="W14" s="728"/>
      <c r="X14" s="728" t="str">
        <f>IF(AND('Mapa final SI'!$L$16="Alta",'Mapa final SI'!$P$16="Moderado"),CONCATENATE("R",'Mapa final SI'!$A$16),"")</f>
        <v/>
      </c>
      <c r="Y14" s="728"/>
      <c r="Z14" s="728" t="str">
        <f>IF(AND('Mapa final SI'!$L$22="Alta",'Mapa final SI'!$P$22="Moderado"),CONCATENATE("R",'Mapa final SI'!$A$22),"")</f>
        <v/>
      </c>
      <c r="AA14" s="731"/>
      <c r="AB14" s="727" t="str">
        <f>IF(AND('Mapa final SI'!$L$10="Alta",'Mapa final SI'!$P$10="Mayor"),CONCATENATE("R",'Mapa final SI'!$A$10),"")</f>
        <v/>
      </c>
      <c r="AC14" s="728"/>
      <c r="AD14" s="728" t="str">
        <f>IF(AND('Mapa final SI'!$L$16="Alta",'Mapa final SI'!$P$16="Mayor"),CONCATENATE("R",'Mapa final SI'!$A$16),"")</f>
        <v/>
      </c>
      <c r="AE14" s="728"/>
      <c r="AF14" s="728" t="str">
        <f>IF(AND('Mapa final SI'!$L$22="Alta",'Mapa final SI'!$P$22="Mayor"),CONCATENATE("R",'Mapa final SI'!$A$22),"")</f>
        <v/>
      </c>
      <c r="AG14" s="731"/>
      <c r="AH14" s="733" t="str">
        <f>IF(AND('Mapa final SI'!$L$10="Alta",'Mapa final SI'!$P$10="Catastrófico"),CONCATENATE("R",'Mapa final SI'!$A$10),"")</f>
        <v/>
      </c>
      <c r="AI14" s="734"/>
      <c r="AJ14" s="734" t="str">
        <f>IF(AND('Mapa final SI'!$L$16="Alta",'Mapa final SI'!$P$16="Catastrófico"),CONCATENATE("R",'Mapa final SI'!$A$16),"")</f>
        <v/>
      </c>
      <c r="AK14" s="734"/>
      <c r="AL14" s="734" t="str">
        <f>IF(AND('Mapa final SI'!$L$22="Alta",'Mapa final SI'!$P$22="Catastrófico"),CONCATENATE("R",'Mapa final SI'!$A$22),"")</f>
        <v/>
      </c>
      <c r="AM14" s="737"/>
      <c r="AN14" s="15"/>
      <c r="AO14" s="757" t="s">
        <v>192</v>
      </c>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6"/>
      <c r="C15" s="716"/>
      <c r="D15" s="717"/>
      <c r="E15" s="721"/>
      <c r="F15" s="722"/>
      <c r="G15" s="722"/>
      <c r="H15" s="722"/>
      <c r="I15" s="722"/>
      <c r="J15" s="752"/>
      <c r="K15" s="753"/>
      <c r="L15" s="753"/>
      <c r="M15" s="753"/>
      <c r="N15" s="753"/>
      <c r="O15" s="755"/>
      <c r="P15" s="752"/>
      <c r="Q15" s="753"/>
      <c r="R15" s="753"/>
      <c r="S15" s="753"/>
      <c r="T15" s="753"/>
      <c r="U15" s="755"/>
      <c r="V15" s="729"/>
      <c r="W15" s="730"/>
      <c r="X15" s="730"/>
      <c r="Y15" s="730"/>
      <c r="Z15" s="730"/>
      <c r="AA15" s="732"/>
      <c r="AB15" s="729"/>
      <c r="AC15" s="730"/>
      <c r="AD15" s="730"/>
      <c r="AE15" s="730"/>
      <c r="AF15" s="730"/>
      <c r="AG15" s="732"/>
      <c r="AH15" s="735"/>
      <c r="AI15" s="736"/>
      <c r="AJ15" s="736"/>
      <c r="AK15" s="736"/>
      <c r="AL15" s="736"/>
      <c r="AM15" s="738"/>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6"/>
      <c r="C16" s="716"/>
      <c r="D16" s="717"/>
      <c r="E16" s="721"/>
      <c r="F16" s="722"/>
      <c r="G16" s="722"/>
      <c r="H16" s="722"/>
      <c r="I16" s="722"/>
      <c r="J16" s="752" t="str">
        <f>IF(AND('Mapa final SI'!$L$28="Alta",'Mapa final SI'!$P$28="Leve"),CONCATENATE("R",'Mapa final SI'!$A$28),"")</f>
        <v/>
      </c>
      <c r="K16" s="753"/>
      <c r="L16" s="753" t="str">
        <f>IF(AND('Mapa final SI'!$L$34="Alta",'Mapa final SI'!$P$34="Leve"),CONCATENATE("R",'Mapa final SI'!$A$34),"")</f>
        <v/>
      </c>
      <c r="M16" s="753"/>
      <c r="N16" s="753" t="str">
        <f>IF(AND('Mapa final SI'!$L$40="Alta",'Mapa final SI'!$P$40="Leve"),CONCATENATE("R",'Mapa final SI'!$A$40),"")</f>
        <v/>
      </c>
      <c r="O16" s="755"/>
      <c r="P16" s="752" t="str">
        <f>IF(AND('Mapa final SI'!$L$28="Alta",'Mapa final SI'!$P$28="Menor"),CONCATENATE("R",'Mapa final SI'!$A$28),"")</f>
        <v/>
      </c>
      <c r="Q16" s="753"/>
      <c r="R16" s="753" t="str">
        <f>IF(AND('Mapa final SI'!$L$34="Alta",'Mapa final SI'!$P$34="Menor"),CONCATENATE("R",'Mapa final SI'!$A$34),"")</f>
        <v/>
      </c>
      <c r="S16" s="753"/>
      <c r="T16" s="753" t="str">
        <f>IF(AND('Mapa final SI'!$L$40="Alta",'Mapa final SI'!$P$40="Menor"),CONCATENATE("R",'Mapa final SI'!$A$40),"")</f>
        <v/>
      </c>
      <c r="U16" s="755"/>
      <c r="V16" s="729" t="str">
        <f>IF(AND('Mapa final SI'!$L$28="Alta",'Mapa final SI'!$P$28="Moderado"),CONCATENATE("R",'Mapa final SI'!$A$28),"")</f>
        <v/>
      </c>
      <c r="W16" s="730"/>
      <c r="X16" s="730" t="str">
        <f>IF(AND('Mapa final SI'!$L$34="Alta",'Mapa final SI'!$P$34="Moderado"),CONCATENATE("R",'Mapa final SI'!$A$34),"")</f>
        <v/>
      </c>
      <c r="Y16" s="730"/>
      <c r="Z16" s="730" t="str">
        <f>IF(AND('Mapa final SI'!$L$40="Alta",'Mapa final SI'!$P$40="Moderado"),CONCATENATE("R",'Mapa final SI'!$A$40),"")</f>
        <v/>
      </c>
      <c r="AA16" s="732"/>
      <c r="AB16" s="729" t="str">
        <f>IF(AND('Mapa final SI'!$L$28="Alta",'Mapa final SI'!$P$28="Mayor"),CONCATENATE("R",'Mapa final SI'!$A$28),"")</f>
        <v/>
      </c>
      <c r="AC16" s="730"/>
      <c r="AD16" s="730" t="str">
        <f>IF(AND('Mapa final SI'!$L$34="Alta",'Mapa final SI'!$P$34="Mayor"),CONCATENATE("R",'Mapa final SI'!$A$34),"")</f>
        <v/>
      </c>
      <c r="AE16" s="730"/>
      <c r="AF16" s="730" t="str">
        <f>IF(AND('Mapa final SI'!$L$40="Alta",'Mapa final SI'!$P$40="Mayor"),CONCATENATE("R",'Mapa final SI'!$A$40),"")</f>
        <v/>
      </c>
      <c r="AG16" s="732"/>
      <c r="AH16" s="735" t="str">
        <f>IF(AND('Mapa final SI'!$L$28="Alta",'Mapa final SI'!$P$28="Catastrófico"),CONCATENATE("R",'Mapa final SI'!$A$28),"")</f>
        <v/>
      </c>
      <c r="AI16" s="736"/>
      <c r="AJ16" s="736" t="str">
        <f>IF(AND('Mapa final SI'!$L$34="Alta",'Mapa final SI'!$P$34="Catastrófico"),CONCATENATE("R",'Mapa final SI'!$A$34),"")</f>
        <v/>
      </c>
      <c r="AK16" s="736"/>
      <c r="AL16" s="736" t="str">
        <f>IF(AND('Mapa final SI'!$L$40="Alta",'Mapa final SI'!$P$40="Catastrófico"),CONCATENATE("R",'Mapa final SI'!$A$40),"")</f>
        <v/>
      </c>
      <c r="AM16" s="738"/>
      <c r="AN16" s="15"/>
      <c r="AO16" s="760"/>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6"/>
      <c r="C17" s="716"/>
      <c r="D17" s="717"/>
      <c r="E17" s="721"/>
      <c r="F17" s="722"/>
      <c r="G17" s="722"/>
      <c r="H17" s="722"/>
      <c r="I17" s="722"/>
      <c r="J17" s="752"/>
      <c r="K17" s="753"/>
      <c r="L17" s="753"/>
      <c r="M17" s="753"/>
      <c r="N17" s="753"/>
      <c r="O17" s="755"/>
      <c r="P17" s="752"/>
      <c r="Q17" s="753"/>
      <c r="R17" s="753"/>
      <c r="S17" s="753"/>
      <c r="T17" s="753"/>
      <c r="U17" s="755"/>
      <c r="V17" s="729"/>
      <c r="W17" s="730"/>
      <c r="X17" s="730"/>
      <c r="Y17" s="730"/>
      <c r="Z17" s="730"/>
      <c r="AA17" s="732"/>
      <c r="AB17" s="729"/>
      <c r="AC17" s="730"/>
      <c r="AD17" s="730"/>
      <c r="AE17" s="730"/>
      <c r="AF17" s="730"/>
      <c r="AG17" s="732"/>
      <c r="AH17" s="735"/>
      <c r="AI17" s="736"/>
      <c r="AJ17" s="736"/>
      <c r="AK17" s="736"/>
      <c r="AL17" s="736"/>
      <c r="AM17" s="738"/>
      <c r="AN17" s="15"/>
      <c r="AO17" s="760"/>
      <c r="AP17" s="761"/>
      <c r="AQ17" s="761"/>
      <c r="AR17" s="761"/>
      <c r="AS17" s="761"/>
      <c r="AT17" s="7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6"/>
      <c r="C18" s="716"/>
      <c r="D18" s="717"/>
      <c r="E18" s="721"/>
      <c r="F18" s="722"/>
      <c r="G18" s="722"/>
      <c r="H18" s="722"/>
      <c r="I18" s="722"/>
      <c r="J18" s="752" t="str">
        <f>IF(AND('Mapa final SI'!$L$46="Alta",'Mapa final SI'!$P$46="Leve"),CONCATENATE("R",'Mapa final SI'!$A$46),"")</f>
        <v/>
      </c>
      <c r="K18" s="753"/>
      <c r="L18" s="753" t="str">
        <f>IF(AND('Mapa final SI'!$L$52="Alta",'Mapa final SI'!$P$52="Leve"),CONCATENATE("R",'Mapa final SI'!$A$52),"")</f>
        <v/>
      </c>
      <c r="M18" s="753"/>
      <c r="N18" s="753" t="str">
        <f>IF(AND('Mapa final SI'!$L$58="Alta",'Mapa final SI'!$P$58="Leve"),CONCATENATE("R",'Mapa final SI'!$A$58),"")</f>
        <v/>
      </c>
      <c r="O18" s="755"/>
      <c r="P18" s="752" t="str">
        <f>IF(AND('Mapa final SI'!$L$46="Alta",'Mapa final SI'!$P$46="Menor"),CONCATENATE("R",'Mapa final SI'!$A$46),"")</f>
        <v/>
      </c>
      <c r="Q18" s="753"/>
      <c r="R18" s="753" t="str">
        <f>IF(AND('Mapa final SI'!$L$52="Alta",'Mapa final SI'!$P$52="Menor"),CONCATENATE("R",'Mapa final SI'!$A$52),"")</f>
        <v/>
      </c>
      <c r="S18" s="753"/>
      <c r="T18" s="753" t="str">
        <f>IF(AND('Mapa final SI'!$L$58="Alta",'Mapa final SI'!$P$58="Menor"),CONCATENATE("R",'Mapa final SI'!$A$58),"")</f>
        <v/>
      </c>
      <c r="U18" s="755"/>
      <c r="V18" s="729" t="str">
        <f>IF(AND('Mapa final SI'!$L$46="Alta",'Mapa final SI'!$P$46="Moderado"),CONCATENATE("R",'Mapa final SI'!$A$46),"")</f>
        <v/>
      </c>
      <c r="W18" s="730"/>
      <c r="X18" s="730" t="str">
        <f>IF(AND('Mapa final SI'!$L$52="Alta",'Mapa final SI'!$P$52="Moderado"),CONCATENATE("R",'Mapa final SI'!$A$52),"")</f>
        <v/>
      </c>
      <c r="Y18" s="730"/>
      <c r="Z18" s="730" t="str">
        <f>IF(AND('Mapa final SI'!$L$58="Alta",'Mapa final SI'!$P$58="Moderado"),CONCATENATE("R",'Mapa final SI'!$A$58),"")</f>
        <v/>
      </c>
      <c r="AA18" s="732"/>
      <c r="AB18" s="729" t="str">
        <f>IF(AND('Mapa final SI'!$L$46="Alta",'Mapa final SI'!$P$46="Mayor"),CONCATENATE("R",'Mapa final SI'!$A$46),"")</f>
        <v/>
      </c>
      <c r="AC18" s="730"/>
      <c r="AD18" s="730" t="str">
        <f>IF(AND('Mapa final SI'!$L$52="Alta",'Mapa final SI'!$P$52="Mayor"),CONCATENATE("R",'Mapa final SI'!$A$52),"")</f>
        <v/>
      </c>
      <c r="AE18" s="730"/>
      <c r="AF18" s="730" t="str">
        <f>IF(AND('Mapa final SI'!$L$58="Alta",'Mapa final SI'!$P$58="Mayor"),CONCATENATE("R",'Mapa final SI'!$A$58),"")</f>
        <v/>
      </c>
      <c r="AG18" s="732"/>
      <c r="AH18" s="735" t="str">
        <f>IF(AND('Mapa final SI'!$L$46="Alta",'Mapa final SI'!$P$46="Catastrófico"),CONCATENATE("R",'Mapa final SI'!$A$46),"")</f>
        <v/>
      </c>
      <c r="AI18" s="736"/>
      <c r="AJ18" s="736" t="str">
        <f>IF(AND('Mapa final SI'!$L$52="Alta",'Mapa final SI'!$P$52="Catastrófico"),CONCATENATE("R",'Mapa final SI'!$A$52),"")</f>
        <v/>
      </c>
      <c r="AK18" s="736"/>
      <c r="AL18" s="736" t="str">
        <f>IF(AND('Mapa final SI'!$L$58="Alta",'Mapa final SI'!$P$58="Catastrófico"),CONCATENATE("R",'Mapa final SI'!$A$58),"")</f>
        <v/>
      </c>
      <c r="AM18" s="738"/>
      <c r="AN18" s="15"/>
      <c r="AO18" s="760"/>
      <c r="AP18" s="761"/>
      <c r="AQ18" s="761"/>
      <c r="AR18" s="761"/>
      <c r="AS18" s="761"/>
      <c r="AT18" s="7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6"/>
      <c r="C19" s="716"/>
      <c r="D19" s="717"/>
      <c r="E19" s="721"/>
      <c r="F19" s="722"/>
      <c r="G19" s="722"/>
      <c r="H19" s="722"/>
      <c r="I19" s="722"/>
      <c r="J19" s="752"/>
      <c r="K19" s="753"/>
      <c r="L19" s="753"/>
      <c r="M19" s="753"/>
      <c r="N19" s="753"/>
      <c r="O19" s="755"/>
      <c r="P19" s="752"/>
      <c r="Q19" s="753"/>
      <c r="R19" s="753"/>
      <c r="S19" s="753"/>
      <c r="T19" s="753"/>
      <c r="U19" s="755"/>
      <c r="V19" s="729"/>
      <c r="W19" s="730"/>
      <c r="X19" s="730"/>
      <c r="Y19" s="730"/>
      <c r="Z19" s="730"/>
      <c r="AA19" s="732"/>
      <c r="AB19" s="729"/>
      <c r="AC19" s="730"/>
      <c r="AD19" s="730"/>
      <c r="AE19" s="730"/>
      <c r="AF19" s="730"/>
      <c r="AG19" s="732"/>
      <c r="AH19" s="735"/>
      <c r="AI19" s="736"/>
      <c r="AJ19" s="736"/>
      <c r="AK19" s="736"/>
      <c r="AL19" s="736"/>
      <c r="AM19" s="738"/>
      <c r="AN19" s="15"/>
      <c r="AO19" s="760"/>
      <c r="AP19" s="761"/>
      <c r="AQ19" s="761"/>
      <c r="AR19" s="761"/>
      <c r="AS19" s="761"/>
      <c r="AT19" s="7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6"/>
      <c r="C20" s="716"/>
      <c r="D20" s="717"/>
      <c r="E20" s="721"/>
      <c r="F20" s="722"/>
      <c r="G20" s="722"/>
      <c r="H20" s="722"/>
      <c r="I20" s="722"/>
      <c r="J20" s="752" t="str">
        <f>IF(AND('Mapa final SI'!$L$64="Alta",'Mapa final SI'!$P$64="Leve"),CONCATENATE("R",'Mapa final SI'!$A$64),"")</f>
        <v/>
      </c>
      <c r="K20" s="753"/>
      <c r="L20" s="753" t="str">
        <f>IF(AND('Mapa final SI'!$L$70="Alta",'Mapa final SI'!$P$70="Leve"),CONCATENATE("R",'Mapa final SI'!$A$70),"")</f>
        <v/>
      </c>
      <c r="M20" s="753"/>
      <c r="N20" s="753" t="str">
        <f>IF(AND('Mapa final SI'!$L$76="Alta",'Mapa final SI'!$P$76="Leve"),CONCATENATE("R",'Mapa final SI'!$A$76),"")</f>
        <v/>
      </c>
      <c r="O20" s="755"/>
      <c r="P20" s="752" t="str">
        <f>IF(AND('Mapa final SI'!$L$64="Alta",'Mapa final SI'!$P$64="Menor"),CONCATENATE("R",'Mapa final SI'!$A$64),"")</f>
        <v/>
      </c>
      <c r="Q20" s="753"/>
      <c r="R20" s="753" t="str">
        <f>IF(AND('Mapa final SI'!$L$70="Alta",'Mapa final SI'!$P$70="Menor"),CONCATENATE("R",'Mapa final SI'!$A$70),"")</f>
        <v/>
      </c>
      <c r="S20" s="753"/>
      <c r="T20" s="753" t="str">
        <f>IF(AND('Mapa final SI'!$L$76="Alta",'Mapa final SI'!$P$76="Menor"),CONCATENATE("R",'Mapa final SI'!$A$76),"")</f>
        <v/>
      </c>
      <c r="U20" s="755"/>
      <c r="V20" s="729" t="str">
        <f>IF(AND('Mapa final SI'!$L$64="Alta",'Mapa final SI'!$P$64="Moderado"),CONCATENATE("R",'Mapa final SI'!$A$64),"")</f>
        <v/>
      </c>
      <c r="W20" s="730"/>
      <c r="X20" s="730" t="str">
        <f>IF(AND('Mapa final SI'!$L$70="Alta",'Mapa final SI'!$P$70="Moderado"),CONCATENATE("R",'Mapa final SI'!$A$70),"")</f>
        <v/>
      </c>
      <c r="Y20" s="730"/>
      <c r="Z20" s="730" t="str">
        <f>IF(AND('Mapa final SI'!$L$76="Alta",'Mapa final SI'!$P$76="Moderado"),CONCATENATE("R",'Mapa final SI'!$A$76),"")</f>
        <v/>
      </c>
      <c r="AA20" s="732"/>
      <c r="AB20" s="729" t="str">
        <f>IF(AND('Mapa final SI'!$L$64="Alta",'Mapa final SI'!$P$64="Mayor"),CONCATENATE("R",'Mapa final SI'!$A$64),"")</f>
        <v/>
      </c>
      <c r="AC20" s="730"/>
      <c r="AD20" s="730" t="str">
        <f>IF(AND('Mapa final SI'!$L$70="Alta",'Mapa final SI'!$P$70="Mayor"),CONCATENATE("R",'Mapa final SI'!$A$70),"")</f>
        <v/>
      </c>
      <c r="AE20" s="730"/>
      <c r="AF20" s="730" t="str">
        <f>IF(AND('Mapa final SI'!$L$76="Alta",'Mapa final SI'!$P$76="Mayor"),CONCATENATE("R",'Mapa final SI'!$A$76),"")</f>
        <v/>
      </c>
      <c r="AG20" s="732"/>
      <c r="AH20" s="735" t="str">
        <f>IF(AND('Mapa final SI'!$L$64="Alta",'Mapa final SI'!$P$64="Catastrófico"),CONCATENATE("R",'Mapa final SI'!$A$64),"")</f>
        <v/>
      </c>
      <c r="AI20" s="736"/>
      <c r="AJ20" s="736" t="str">
        <f>IF(AND('Mapa final SI'!$L$70="Alta",'Mapa final SI'!$P$70="Catastrófico"),CONCATENATE("R",'Mapa final SI'!$A$70),"")</f>
        <v/>
      </c>
      <c r="AK20" s="736"/>
      <c r="AL20" s="736" t="str">
        <f>IF(AND('Mapa final SI'!$L$76="Alta",'Mapa final SI'!$P$76="Catastrófico"),CONCATENATE("R",'Mapa final SI'!$A$76),"")</f>
        <v/>
      </c>
      <c r="AM20" s="738"/>
      <c r="AN20" s="15"/>
      <c r="AO20" s="760"/>
      <c r="AP20" s="761"/>
      <c r="AQ20" s="761"/>
      <c r="AR20" s="761"/>
      <c r="AS20" s="761"/>
      <c r="AT20" s="7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6"/>
      <c r="C21" s="716"/>
      <c r="D21" s="717"/>
      <c r="E21" s="724"/>
      <c r="F21" s="725"/>
      <c r="G21" s="725"/>
      <c r="H21" s="725"/>
      <c r="I21" s="725"/>
      <c r="J21" s="769"/>
      <c r="K21" s="770"/>
      <c r="L21" s="770"/>
      <c r="M21" s="770"/>
      <c r="N21" s="770"/>
      <c r="O21" s="771"/>
      <c r="P21" s="769"/>
      <c r="Q21" s="770"/>
      <c r="R21" s="770"/>
      <c r="S21" s="770"/>
      <c r="T21" s="770"/>
      <c r="U21" s="771"/>
      <c r="V21" s="766"/>
      <c r="W21" s="767"/>
      <c r="X21" s="767"/>
      <c r="Y21" s="767"/>
      <c r="Z21" s="767"/>
      <c r="AA21" s="768"/>
      <c r="AB21" s="766"/>
      <c r="AC21" s="767"/>
      <c r="AD21" s="767"/>
      <c r="AE21" s="767"/>
      <c r="AF21" s="767"/>
      <c r="AG21" s="768"/>
      <c r="AH21" s="756"/>
      <c r="AI21" s="748"/>
      <c r="AJ21" s="748"/>
      <c r="AK21" s="748"/>
      <c r="AL21" s="748"/>
      <c r="AM21" s="749"/>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6"/>
      <c r="C22" s="716"/>
      <c r="D22" s="717"/>
      <c r="E22" s="718" t="s">
        <v>193</v>
      </c>
      <c r="F22" s="719"/>
      <c r="G22" s="719"/>
      <c r="H22" s="719"/>
      <c r="I22" s="720"/>
      <c r="J22" s="750" t="str">
        <f>IF(AND('Mapa final SI'!$L$10="Media",'Mapa final SI'!$P$10="Leve"),CONCATENATE("R",'Mapa final SI'!$A$10),"")</f>
        <v>R1</v>
      </c>
      <c r="K22" s="751"/>
      <c r="L22" s="751" t="str">
        <f>IF(AND('Mapa final SI'!$L$16="Media",'Mapa final SI'!$P$16="Leve"),CONCATENATE("R",'Mapa final SI'!$A$16),"")</f>
        <v/>
      </c>
      <c r="M22" s="751"/>
      <c r="N22" s="751" t="str">
        <f>IF(AND('Mapa final SI'!$L$22="Media",'Mapa final SI'!$P$22="Leve"),CONCATENATE("R",'Mapa final SI'!$A$22),"")</f>
        <v/>
      </c>
      <c r="O22" s="754"/>
      <c r="P22" s="750" t="str">
        <f>IF(AND('Mapa final SI'!$L$10="Media",'Mapa final SI'!$P$10="Menor"),CONCATENATE("R",'Mapa final SI'!$A$10),"")</f>
        <v/>
      </c>
      <c r="Q22" s="751"/>
      <c r="R22" s="751" t="str">
        <f>IF(AND('Mapa final SI'!$L$16="Media",'Mapa final SI'!$P$16="Menor"),CONCATENATE("R",'Mapa final SI'!$A$16),"")</f>
        <v/>
      </c>
      <c r="S22" s="751"/>
      <c r="T22" s="751" t="str">
        <f>IF(AND('Mapa final SI'!$L$22="Media",'Mapa final SI'!$P$22="Menor"),CONCATENATE("R",'Mapa final SI'!$A$22),"")</f>
        <v/>
      </c>
      <c r="U22" s="754"/>
      <c r="V22" s="750" t="str">
        <f>IF(AND('Mapa final SI'!$L$10="Media",'Mapa final SI'!$P$10="Moderado"),CONCATENATE("R",'Mapa final SI'!$A$10),"")</f>
        <v/>
      </c>
      <c r="W22" s="751"/>
      <c r="X22" s="751" t="str">
        <f>IF(AND('Mapa final SI'!$L$16="Media",'Mapa final SI'!$P$16="Moderado"),CONCATENATE("R",'Mapa final SI'!$A$16),"")</f>
        <v/>
      </c>
      <c r="Y22" s="751"/>
      <c r="Z22" s="751" t="str">
        <f>IF(AND('Mapa final SI'!$L$22="Media",'Mapa final SI'!$P$22="Moderado"),CONCATENATE("R",'Mapa final SI'!$A$22),"")</f>
        <v/>
      </c>
      <c r="AA22" s="754"/>
      <c r="AB22" s="727" t="str">
        <f>IF(AND('Mapa final SI'!$L$10="Media",'Mapa final SI'!$P$10="Mayor"),CONCATENATE("R",'Mapa final SI'!$A$10),"")</f>
        <v/>
      </c>
      <c r="AC22" s="728"/>
      <c r="AD22" s="728" t="str">
        <f>IF(AND('Mapa final SI'!$L$16="Media",'Mapa final SI'!$P$16="Mayor"),CONCATENATE("R",'Mapa final SI'!$A$16),"")</f>
        <v/>
      </c>
      <c r="AE22" s="728"/>
      <c r="AF22" s="728" t="str">
        <f>IF(AND('Mapa final SI'!$L$22="Media",'Mapa final SI'!$P$22="Mayor"),CONCATENATE("R",'Mapa final SI'!$A$22),"")</f>
        <v/>
      </c>
      <c r="AG22" s="731"/>
      <c r="AH22" s="733" t="str">
        <f>IF(AND('Mapa final SI'!$L$10="Media",'Mapa final SI'!$P$10="Catastrófico"),CONCATENATE("R",'Mapa final SI'!$A$10),"")</f>
        <v/>
      </c>
      <c r="AI22" s="734"/>
      <c r="AJ22" s="734" t="str">
        <f>IF(AND('Mapa final SI'!$L$16="Media",'Mapa final SI'!$P$16="Catastrófico"),CONCATENATE("R",'Mapa final SI'!$A$16),"")</f>
        <v/>
      </c>
      <c r="AK22" s="734"/>
      <c r="AL22" s="734" t="str">
        <f>IF(AND('Mapa final SI'!$L$22="Media",'Mapa final SI'!$P$22="Catastrófico"),CONCATENATE("R",'Mapa final SI'!$A$22),"")</f>
        <v/>
      </c>
      <c r="AM22" s="737"/>
      <c r="AN22" s="15"/>
      <c r="AO22" s="772" t="s">
        <v>194</v>
      </c>
      <c r="AP22" s="773"/>
      <c r="AQ22" s="773"/>
      <c r="AR22" s="773"/>
      <c r="AS22" s="773"/>
      <c r="AT22" s="7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6"/>
      <c r="C23" s="716"/>
      <c r="D23" s="717"/>
      <c r="E23" s="721"/>
      <c r="F23" s="722"/>
      <c r="G23" s="722"/>
      <c r="H23" s="722"/>
      <c r="I23" s="723"/>
      <c r="J23" s="752"/>
      <c r="K23" s="753"/>
      <c r="L23" s="753"/>
      <c r="M23" s="753"/>
      <c r="N23" s="753"/>
      <c r="O23" s="755"/>
      <c r="P23" s="752"/>
      <c r="Q23" s="753"/>
      <c r="R23" s="753"/>
      <c r="S23" s="753"/>
      <c r="T23" s="753"/>
      <c r="U23" s="755"/>
      <c r="V23" s="752"/>
      <c r="W23" s="753"/>
      <c r="X23" s="753"/>
      <c r="Y23" s="753"/>
      <c r="Z23" s="753"/>
      <c r="AA23" s="755"/>
      <c r="AB23" s="729"/>
      <c r="AC23" s="730"/>
      <c r="AD23" s="730"/>
      <c r="AE23" s="730"/>
      <c r="AF23" s="730"/>
      <c r="AG23" s="732"/>
      <c r="AH23" s="735"/>
      <c r="AI23" s="736"/>
      <c r="AJ23" s="736"/>
      <c r="AK23" s="736"/>
      <c r="AL23" s="736"/>
      <c r="AM23" s="738"/>
      <c r="AN23" s="15"/>
      <c r="AO23" s="775"/>
      <c r="AP23" s="776"/>
      <c r="AQ23" s="776"/>
      <c r="AR23" s="776"/>
      <c r="AS23" s="776"/>
      <c r="AT23" s="7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6"/>
      <c r="C24" s="716"/>
      <c r="D24" s="717"/>
      <c r="E24" s="721"/>
      <c r="F24" s="722"/>
      <c r="G24" s="722"/>
      <c r="H24" s="722"/>
      <c r="I24" s="723"/>
      <c r="J24" s="752" t="str">
        <f>IF(AND('Mapa final SI'!$L$28="Media",'Mapa final SI'!$P$28="Leve"),CONCATENATE("R",'Mapa final SI'!$A$28),"")</f>
        <v/>
      </c>
      <c r="K24" s="753"/>
      <c r="L24" s="753" t="str">
        <f>IF(AND('Mapa final SI'!$L$34="Media",'Mapa final SI'!$P$34="Leve"),CONCATENATE("R",'Mapa final SI'!$A$34),"")</f>
        <v/>
      </c>
      <c r="M24" s="753"/>
      <c r="N24" s="753" t="str">
        <f>IF(AND('Mapa final SI'!$L$40="Media",'Mapa final SI'!$P$40="Leve"),CONCATENATE("R",'Mapa final SI'!$A$40),"")</f>
        <v/>
      </c>
      <c r="O24" s="755"/>
      <c r="P24" s="752" t="str">
        <f>IF(AND('Mapa final SI'!$L$28="Media",'Mapa final SI'!$P$28="Menor"),CONCATENATE("R",'Mapa final SI'!$A$28),"")</f>
        <v/>
      </c>
      <c r="Q24" s="753"/>
      <c r="R24" s="753" t="str">
        <f>IF(AND('Mapa final SI'!$L$34="Media",'Mapa final SI'!$P$34="Menor"),CONCATENATE("R",'Mapa final SI'!$A$34),"")</f>
        <v/>
      </c>
      <c r="S24" s="753"/>
      <c r="T24" s="753" t="str">
        <f>IF(AND('Mapa final SI'!$L$40="Media",'Mapa final SI'!$P$40="Menor"),CONCATENATE("R",'Mapa final SI'!$A$40),"")</f>
        <v/>
      </c>
      <c r="U24" s="755"/>
      <c r="V24" s="752" t="str">
        <f>IF(AND('Mapa final SI'!$L$28="Media",'Mapa final SI'!$P$28="Moderado"),CONCATENATE("R",'Mapa final SI'!$A$28),"")</f>
        <v/>
      </c>
      <c r="W24" s="753"/>
      <c r="X24" s="753" t="str">
        <f>IF(AND('Mapa final SI'!$L$34="Media",'Mapa final SI'!$P$34="Moderado"),CONCATENATE("R",'Mapa final SI'!$A$34),"")</f>
        <v/>
      </c>
      <c r="Y24" s="753"/>
      <c r="Z24" s="753" t="str">
        <f>IF(AND('Mapa final SI'!$L$40="Media",'Mapa final SI'!$P$40="Moderado"),CONCATENATE("R",'Mapa final SI'!$A$40),"")</f>
        <v/>
      </c>
      <c r="AA24" s="755"/>
      <c r="AB24" s="729" t="str">
        <f>IF(AND('Mapa final SI'!$L$28="Media",'Mapa final SI'!$P$28="Mayor"),CONCATENATE("R",'Mapa final SI'!$A$28),"")</f>
        <v/>
      </c>
      <c r="AC24" s="730"/>
      <c r="AD24" s="730" t="str">
        <f>IF(AND('Mapa final SI'!$L$34="Media",'Mapa final SI'!$P$34="Mayor"),CONCATENATE("R",'Mapa final SI'!$A$34),"")</f>
        <v/>
      </c>
      <c r="AE24" s="730"/>
      <c r="AF24" s="730" t="str">
        <f>IF(AND('Mapa final SI'!$L$40="Media",'Mapa final SI'!$P$40="Mayor"),CONCATENATE("R",'Mapa final SI'!$A$40),"")</f>
        <v/>
      </c>
      <c r="AG24" s="732"/>
      <c r="AH24" s="735" t="str">
        <f>IF(AND('Mapa final SI'!$L$28="Media",'Mapa final SI'!$P$28="Catastrófico"),CONCATENATE("R",'Mapa final SI'!$A$28),"")</f>
        <v/>
      </c>
      <c r="AI24" s="736"/>
      <c r="AJ24" s="736" t="str">
        <f>IF(AND('Mapa final SI'!$L$34="Media",'Mapa final SI'!$P$34="Catastrófico"),CONCATENATE("R",'Mapa final SI'!$A$34),"")</f>
        <v/>
      </c>
      <c r="AK24" s="736"/>
      <c r="AL24" s="736" t="str">
        <f>IF(AND('Mapa final SI'!$L$40="Media",'Mapa final SI'!$P$40="Catastrófico"),CONCATENATE("R",'Mapa final SI'!$A$40),"")</f>
        <v/>
      </c>
      <c r="AM24" s="738"/>
      <c r="AN24" s="15"/>
      <c r="AO24" s="775"/>
      <c r="AP24" s="776"/>
      <c r="AQ24" s="776"/>
      <c r="AR24" s="776"/>
      <c r="AS24" s="776"/>
      <c r="AT24" s="7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6"/>
      <c r="C25" s="716"/>
      <c r="D25" s="717"/>
      <c r="E25" s="721"/>
      <c r="F25" s="722"/>
      <c r="G25" s="722"/>
      <c r="H25" s="722"/>
      <c r="I25" s="723"/>
      <c r="J25" s="752"/>
      <c r="K25" s="753"/>
      <c r="L25" s="753"/>
      <c r="M25" s="753"/>
      <c r="N25" s="753"/>
      <c r="O25" s="755"/>
      <c r="P25" s="752"/>
      <c r="Q25" s="753"/>
      <c r="R25" s="753"/>
      <c r="S25" s="753"/>
      <c r="T25" s="753"/>
      <c r="U25" s="755"/>
      <c r="V25" s="752"/>
      <c r="W25" s="753"/>
      <c r="X25" s="753"/>
      <c r="Y25" s="753"/>
      <c r="Z25" s="753"/>
      <c r="AA25" s="755"/>
      <c r="AB25" s="729"/>
      <c r="AC25" s="730"/>
      <c r="AD25" s="730"/>
      <c r="AE25" s="730"/>
      <c r="AF25" s="730"/>
      <c r="AG25" s="732"/>
      <c r="AH25" s="735"/>
      <c r="AI25" s="736"/>
      <c r="AJ25" s="736"/>
      <c r="AK25" s="736"/>
      <c r="AL25" s="736"/>
      <c r="AM25" s="738"/>
      <c r="AN25" s="15"/>
      <c r="AO25" s="775"/>
      <c r="AP25" s="776"/>
      <c r="AQ25" s="776"/>
      <c r="AR25" s="776"/>
      <c r="AS25" s="776"/>
      <c r="AT25" s="7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6"/>
      <c r="C26" s="716"/>
      <c r="D26" s="717"/>
      <c r="E26" s="721"/>
      <c r="F26" s="722"/>
      <c r="G26" s="722"/>
      <c r="H26" s="722"/>
      <c r="I26" s="723"/>
      <c r="J26" s="752" t="str">
        <f>IF(AND('Mapa final SI'!$L$46="Media",'Mapa final SI'!$P$46="Leve"),CONCATENATE("R",'Mapa final SI'!$A$46),"")</f>
        <v/>
      </c>
      <c r="K26" s="753"/>
      <c r="L26" s="753" t="str">
        <f>IF(AND('Mapa final SI'!$L$52="Media",'Mapa final SI'!$P$52="Leve"),CONCATENATE("R",'Mapa final SI'!$A$52),"")</f>
        <v/>
      </c>
      <c r="M26" s="753"/>
      <c r="N26" s="753" t="str">
        <f>IF(AND('Mapa final SI'!$L$58="Media",'Mapa final SI'!$P$58="Leve"),CONCATENATE("R",'Mapa final SI'!$A$58),"")</f>
        <v/>
      </c>
      <c r="O26" s="755"/>
      <c r="P26" s="752" t="str">
        <f>IF(AND('Mapa final SI'!$L$46="Media",'Mapa final SI'!$P$46="Menor"),CONCATENATE("R",'Mapa final SI'!$A$46),"")</f>
        <v/>
      </c>
      <c r="Q26" s="753"/>
      <c r="R26" s="753" t="str">
        <f>IF(AND('Mapa final SI'!$L$52="Media",'Mapa final SI'!$P$52="Menor"),CONCATENATE("R",'Mapa final SI'!$A$52),"")</f>
        <v/>
      </c>
      <c r="S26" s="753"/>
      <c r="T26" s="753" t="str">
        <f>IF(AND('Mapa final SI'!$L$58="Media",'Mapa final SI'!$P$58="Menor"),CONCATENATE("R",'Mapa final SI'!$A$58),"")</f>
        <v/>
      </c>
      <c r="U26" s="755"/>
      <c r="V26" s="752" t="str">
        <f>IF(AND('Mapa final SI'!$L$46="Media",'Mapa final SI'!$P$46="Moderado"),CONCATENATE("R",'Mapa final SI'!$A$46),"")</f>
        <v/>
      </c>
      <c r="W26" s="753"/>
      <c r="X26" s="753" t="str">
        <f>IF(AND('Mapa final SI'!$L$52="Media",'Mapa final SI'!$P$52="Moderado"),CONCATENATE("R",'Mapa final SI'!$A$52),"")</f>
        <v/>
      </c>
      <c r="Y26" s="753"/>
      <c r="Z26" s="753" t="str">
        <f>IF(AND('Mapa final SI'!$L$58="Media",'Mapa final SI'!$P$58="Moderado"),CONCATENATE("R",'Mapa final SI'!$A$58),"")</f>
        <v/>
      </c>
      <c r="AA26" s="755"/>
      <c r="AB26" s="729" t="str">
        <f>IF(AND('Mapa final SI'!$L$46="Media",'Mapa final SI'!$P$46="Mayor"),CONCATENATE("R",'Mapa final SI'!$A$46),"")</f>
        <v/>
      </c>
      <c r="AC26" s="730"/>
      <c r="AD26" s="730" t="str">
        <f>IF(AND('Mapa final SI'!$L$52="Media",'Mapa final SI'!$P$52="Mayor"),CONCATENATE("R",'Mapa final SI'!$A$52),"")</f>
        <v/>
      </c>
      <c r="AE26" s="730"/>
      <c r="AF26" s="730" t="str">
        <f>IF(AND('Mapa final SI'!$L$58="Media",'Mapa final SI'!$P$58="Mayor"),CONCATENATE("R",'Mapa final SI'!$A$58),"")</f>
        <v/>
      </c>
      <c r="AG26" s="732"/>
      <c r="AH26" s="735" t="str">
        <f>IF(AND('Mapa final SI'!$L$46="Media",'Mapa final SI'!$P$46="Catastrófico"),CONCATENATE("R",'Mapa final SI'!$A$46),"")</f>
        <v/>
      </c>
      <c r="AI26" s="736"/>
      <c r="AJ26" s="736" t="str">
        <f>IF(AND('Mapa final SI'!$L$52="Media",'Mapa final SI'!$P$52="Catastrófico"),CONCATENATE("R",'Mapa final SI'!$A$52),"")</f>
        <v/>
      </c>
      <c r="AK26" s="736"/>
      <c r="AL26" s="736" t="str">
        <f>IF(AND('Mapa final SI'!$L$58="Media",'Mapa final SI'!$P$58="Catastrófico"),CONCATENATE("R",'Mapa final SI'!$A$58),"")</f>
        <v/>
      </c>
      <c r="AM26" s="738"/>
      <c r="AN26" s="15"/>
      <c r="AO26" s="775"/>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6"/>
      <c r="C27" s="716"/>
      <c r="D27" s="717"/>
      <c r="E27" s="721"/>
      <c r="F27" s="722"/>
      <c r="G27" s="722"/>
      <c r="H27" s="722"/>
      <c r="I27" s="723"/>
      <c r="J27" s="752"/>
      <c r="K27" s="753"/>
      <c r="L27" s="753"/>
      <c r="M27" s="753"/>
      <c r="N27" s="753"/>
      <c r="O27" s="755"/>
      <c r="P27" s="752"/>
      <c r="Q27" s="753"/>
      <c r="R27" s="753"/>
      <c r="S27" s="753"/>
      <c r="T27" s="753"/>
      <c r="U27" s="755"/>
      <c r="V27" s="752"/>
      <c r="W27" s="753"/>
      <c r="X27" s="753"/>
      <c r="Y27" s="753"/>
      <c r="Z27" s="753"/>
      <c r="AA27" s="755"/>
      <c r="AB27" s="729"/>
      <c r="AC27" s="730"/>
      <c r="AD27" s="730"/>
      <c r="AE27" s="730"/>
      <c r="AF27" s="730"/>
      <c r="AG27" s="732"/>
      <c r="AH27" s="735"/>
      <c r="AI27" s="736"/>
      <c r="AJ27" s="736"/>
      <c r="AK27" s="736"/>
      <c r="AL27" s="736"/>
      <c r="AM27" s="738"/>
      <c r="AN27" s="15"/>
      <c r="AO27" s="775"/>
      <c r="AP27" s="776"/>
      <c r="AQ27" s="776"/>
      <c r="AR27" s="776"/>
      <c r="AS27" s="776"/>
      <c r="AT27" s="7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6"/>
      <c r="C28" s="716"/>
      <c r="D28" s="717"/>
      <c r="E28" s="721"/>
      <c r="F28" s="722"/>
      <c r="G28" s="722"/>
      <c r="H28" s="722"/>
      <c r="I28" s="723"/>
      <c r="J28" s="752" t="str">
        <f>IF(AND('Mapa final SI'!$L$64="Media",'Mapa final SI'!$P$64="Leve"),CONCATENATE("R",'Mapa final SI'!$A$64),"")</f>
        <v/>
      </c>
      <c r="K28" s="753"/>
      <c r="L28" s="753" t="str">
        <f>IF(AND('Mapa final SI'!$L$70="Media",'Mapa final SI'!$P$70="Leve"),CONCATENATE("R",'Mapa final SI'!$A$70),"")</f>
        <v/>
      </c>
      <c r="M28" s="753"/>
      <c r="N28" s="753" t="str">
        <f>IF(AND('Mapa final SI'!$L$76="Media",'Mapa final SI'!$P$76="Leve"),CONCATENATE("R",'Mapa final SI'!$A$76),"")</f>
        <v/>
      </c>
      <c r="O28" s="755"/>
      <c r="P28" s="752" t="str">
        <f>IF(AND('Mapa final SI'!$L$64="Media",'Mapa final SI'!$P$64="Menor"),CONCATENATE("R",'Mapa final SI'!$A$64),"")</f>
        <v/>
      </c>
      <c r="Q28" s="753"/>
      <c r="R28" s="753" t="str">
        <f>IF(AND('Mapa final SI'!$L$70="Media",'Mapa final SI'!$P$70="Menor"),CONCATENATE("R",'Mapa final SI'!$A$70),"")</f>
        <v/>
      </c>
      <c r="S28" s="753"/>
      <c r="T28" s="753" t="str">
        <f>IF(AND('Mapa final SI'!$L$76="Media",'Mapa final SI'!$P$76="Menor"),CONCATENATE("R",'Mapa final SI'!$A$76),"")</f>
        <v/>
      </c>
      <c r="U28" s="755"/>
      <c r="V28" s="752" t="str">
        <f>IF(AND('Mapa final SI'!$L$64="Media",'Mapa final SI'!$P$64="Moderado"),CONCATENATE("R",'Mapa final SI'!$A$64),"")</f>
        <v/>
      </c>
      <c r="W28" s="753"/>
      <c r="X28" s="753" t="str">
        <f>IF(AND('Mapa final SI'!$L$70="Media",'Mapa final SI'!$P$70="Moderado"),CONCATENATE("R",'Mapa final SI'!$A$70),"")</f>
        <v/>
      </c>
      <c r="Y28" s="753"/>
      <c r="Z28" s="753" t="str">
        <f>IF(AND('Mapa final SI'!$L$76="Media",'Mapa final SI'!$P$76="Moderado"),CONCATENATE("R",'Mapa final SI'!$A$76),"")</f>
        <v/>
      </c>
      <c r="AA28" s="755"/>
      <c r="AB28" s="729" t="str">
        <f>IF(AND('Mapa final SI'!$L$64="Media",'Mapa final SI'!$P$64="Mayor"),CONCATENATE("R",'Mapa final SI'!$A$64),"")</f>
        <v/>
      </c>
      <c r="AC28" s="730"/>
      <c r="AD28" s="730" t="str">
        <f>IF(AND('Mapa final SI'!$L$70="Media",'Mapa final SI'!$P$70="Mayor"),CONCATENATE("R",'Mapa final SI'!$A$70),"")</f>
        <v/>
      </c>
      <c r="AE28" s="730"/>
      <c r="AF28" s="730" t="str">
        <f>IF(AND('Mapa final SI'!$L$76="Media",'Mapa final SI'!$P$76="Mayor"),CONCATENATE("R",'Mapa final SI'!$A$76),"")</f>
        <v/>
      </c>
      <c r="AG28" s="732"/>
      <c r="AH28" s="735" t="str">
        <f>IF(AND('Mapa final SI'!$L$64="Media",'Mapa final SI'!$P$64="Catastrófico"),CONCATENATE("R",'Mapa final SI'!$A$64),"")</f>
        <v/>
      </c>
      <c r="AI28" s="736"/>
      <c r="AJ28" s="736" t="str">
        <f>IF(AND('Mapa final SI'!$L$70="Media",'Mapa final SI'!$P$70="Catastrófico"),CONCATENATE("R",'Mapa final SI'!$A$70),"")</f>
        <v/>
      </c>
      <c r="AK28" s="736"/>
      <c r="AL28" s="736" t="str">
        <f>IF(AND('Mapa final SI'!$L$76="Media",'Mapa final SI'!$P$76="Catastrófico"),CONCATENATE("R",'Mapa final SI'!$A$76),"")</f>
        <v/>
      </c>
      <c r="AM28" s="738"/>
      <c r="AN28" s="15"/>
      <c r="AO28" s="775"/>
      <c r="AP28" s="776"/>
      <c r="AQ28" s="776"/>
      <c r="AR28" s="776"/>
      <c r="AS28" s="776"/>
      <c r="AT28" s="7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6"/>
      <c r="C29" s="716"/>
      <c r="D29" s="717"/>
      <c r="E29" s="724"/>
      <c r="F29" s="725"/>
      <c r="G29" s="725"/>
      <c r="H29" s="725"/>
      <c r="I29" s="726"/>
      <c r="J29" s="752"/>
      <c r="K29" s="753"/>
      <c r="L29" s="753"/>
      <c r="M29" s="753"/>
      <c r="N29" s="753"/>
      <c r="O29" s="755"/>
      <c r="P29" s="769"/>
      <c r="Q29" s="770"/>
      <c r="R29" s="770"/>
      <c r="S29" s="770"/>
      <c r="T29" s="770"/>
      <c r="U29" s="771"/>
      <c r="V29" s="769"/>
      <c r="W29" s="770"/>
      <c r="X29" s="770"/>
      <c r="Y29" s="770"/>
      <c r="Z29" s="770"/>
      <c r="AA29" s="771"/>
      <c r="AB29" s="766"/>
      <c r="AC29" s="767"/>
      <c r="AD29" s="767"/>
      <c r="AE29" s="767"/>
      <c r="AF29" s="767"/>
      <c r="AG29" s="768"/>
      <c r="AH29" s="756"/>
      <c r="AI29" s="748"/>
      <c r="AJ29" s="748"/>
      <c r="AK29" s="748"/>
      <c r="AL29" s="748"/>
      <c r="AM29" s="749"/>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6"/>
      <c r="C30" s="716"/>
      <c r="D30" s="717"/>
      <c r="E30" s="718" t="s">
        <v>195</v>
      </c>
      <c r="F30" s="719"/>
      <c r="G30" s="719"/>
      <c r="H30" s="719"/>
      <c r="I30" s="719"/>
      <c r="J30" s="781" t="str">
        <f>IF(AND('Mapa final'!$L$10="Baja",'Mapa final'!$P$10="Leve"),CONCATENATE("R",'Mapa final'!$A$10),"")</f>
        <v/>
      </c>
      <c r="K30" s="782"/>
      <c r="L30" s="782" t="str">
        <f>IF(AND('Mapa final SI'!$L$16="Baja",'Mapa final SI'!$P$16="Leve"),CONCATENATE("R",'Mapa final SI'!$A$16),"")</f>
        <v/>
      </c>
      <c r="M30" s="782"/>
      <c r="N30" s="782" t="str">
        <f>IF(AND('Mapa final SI'!$L$22="Baja",'Mapa final SI'!$P$22="Leve"),CONCATENATE("R",'Mapa final SI'!$A$22),"")</f>
        <v/>
      </c>
      <c r="O30" s="785"/>
      <c r="P30" s="751" t="str">
        <f>IF(AND('Mapa final SI'!$L$10="Baja",'Mapa final SI'!$P$10="Menor"),CONCATENATE("R",'Mapa final SI'!$A$10),"")</f>
        <v/>
      </c>
      <c r="Q30" s="751"/>
      <c r="R30" s="751" t="str">
        <f>IF(AND('Mapa final SI'!$L$16="Baja",'Mapa final SI'!$P$16="Menor"),CONCATENATE("R",'Mapa final SI'!$A$16),"")</f>
        <v/>
      </c>
      <c r="S30" s="751"/>
      <c r="T30" s="751" t="str">
        <f>IF(AND('Mapa final SI'!$L$22="Baja",'Mapa final SI'!$P$22="Menor"),CONCATENATE("R",'Mapa final SI'!$A$22),"")</f>
        <v/>
      </c>
      <c r="U30" s="754"/>
      <c r="V30" s="750" t="str">
        <f>IF(AND('Mapa final SI'!$L$10="Baja",'Mapa final SI'!$P$10="Moderado"),CONCATENATE("R",'Mapa final SI'!$A$10),"")</f>
        <v/>
      </c>
      <c r="W30" s="751"/>
      <c r="X30" s="751" t="str">
        <f>IF(AND('Mapa final SI'!$L$16="Baja",'Mapa final SI'!$P$16="Moderado"),CONCATENATE("R",'Mapa final SI'!$A$16),"")</f>
        <v/>
      </c>
      <c r="Y30" s="751"/>
      <c r="Z30" s="751" t="str">
        <f>IF(AND('Mapa final SI'!$L$22="Baja",'Mapa final SI'!$P$22="Moderado"),CONCATENATE("R",'Mapa final SI'!$A$22),"")</f>
        <v/>
      </c>
      <c r="AA30" s="754"/>
      <c r="AB30" s="727" t="str">
        <f>IF(AND('Mapa final SI'!$L$10="Baja",'Mapa final SI'!$P$10="Mayor"),CONCATENATE("R",'Mapa final SI'!$A$10),"")</f>
        <v/>
      </c>
      <c r="AC30" s="728"/>
      <c r="AD30" s="728" t="str">
        <f>IF(AND('Mapa final SI'!$L$16="Baja",'Mapa final SI'!$P$16="Mayor"),CONCATENATE("R",'Mapa final SI'!$A$16),"")</f>
        <v/>
      </c>
      <c r="AE30" s="728"/>
      <c r="AF30" s="728" t="str">
        <f>IF(AND('Mapa final SI'!$L$22="Baja",'Mapa final SI'!$P$22="Mayor"),CONCATENATE("R",'Mapa final SI'!$A$22),"")</f>
        <v/>
      </c>
      <c r="AG30" s="731"/>
      <c r="AH30" s="733" t="str">
        <f>IF(AND('Mapa final SI'!$L$10="Baja",'Mapa final SI'!$P$10="Catastrófico"),CONCATENATE("R",'Mapa final SI'!$A$10),"")</f>
        <v/>
      </c>
      <c r="AI30" s="734"/>
      <c r="AJ30" s="734" t="str">
        <f>IF(AND('Mapa final SI'!$L$16="Baja",'Mapa final SI'!$P$16="Catastrófico"),CONCATENATE("R",'Mapa final SI'!$A$16),"")</f>
        <v/>
      </c>
      <c r="AK30" s="734"/>
      <c r="AL30" s="734" t="str">
        <f>IF(AND('Mapa final SI'!$L$22="Baja",'Mapa final SI'!$P$22="Catastrófico"),CONCATENATE("R",'Mapa final SI'!$A$22),"")</f>
        <v/>
      </c>
      <c r="AM30" s="737"/>
      <c r="AN30" s="15"/>
      <c r="AO30" s="787" t="s">
        <v>196</v>
      </c>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6"/>
      <c r="C31" s="716"/>
      <c r="D31" s="717"/>
      <c r="E31" s="721"/>
      <c r="F31" s="722"/>
      <c r="G31" s="722"/>
      <c r="H31" s="722"/>
      <c r="I31" s="722"/>
      <c r="J31" s="783"/>
      <c r="K31" s="784"/>
      <c r="L31" s="784"/>
      <c r="M31" s="784"/>
      <c r="N31" s="784"/>
      <c r="O31" s="786"/>
      <c r="P31" s="753"/>
      <c r="Q31" s="753"/>
      <c r="R31" s="753"/>
      <c r="S31" s="753"/>
      <c r="T31" s="753"/>
      <c r="U31" s="755"/>
      <c r="V31" s="752"/>
      <c r="W31" s="753"/>
      <c r="X31" s="753"/>
      <c r="Y31" s="753"/>
      <c r="Z31" s="753"/>
      <c r="AA31" s="755"/>
      <c r="AB31" s="729"/>
      <c r="AC31" s="730"/>
      <c r="AD31" s="730"/>
      <c r="AE31" s="730"/>
      <c r="AF31" s="730"/>
      <c r="AG31" s="732"/>
      <c r="AH31" s="735"/>
      <c r="AI31" s="736"/>
      <c r="AJ31" s="736"/>
      <c r="AK31" s="736"/>
      <c r="AL31" s="736"/>
      <c r="AM31" s="738"/>
      <c r="AN31" s="15"/>
      <c r="AO31" s="790"/>
      <c r="AP31" s="791"/>
      <c r="AQ31" s="791"/>
      <c r="AR31" s="791"/>
      <c r="AS31" s="791"/>
      <c r="AT31" s="7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6"/>
      <c r="C32" s="716"/>
      <c r="D32" s="717"/>
      <c r="E32" s="721"/>
      <c r="F32" s="722"/>
      <c r="G32" s="722"/>
      <c r="H32" s="722"/>
      <c r="I32" s="722"/>
      <c r="J32" s="783" t="str">
        <f>IF(AND('Mapa final SI'!$L$28="Baja",'Mapa final SI'!$P$28="Leve"),CONCATENATE("R",'Mapa final SI'!$A$28),"")</f>
        <v/>
      </c>
      <c r="K32" s="784"/>
      <c r="L32" s="784" t="str">
        <f>IF(AND('Mapa final SI'!$L$34="Baja",'Mapa final SI'!$P$34="Leve"),CONCATENATE("R",'Mapa final SI'!$A$34),"")</f>
        <v/>
      </c>
      <c r="M32" s="784"/>
      <c r="N32" s="784" t="str">
        <f>IF(AND('Mapa final SI'!$L$40="Baja",'Mapa final SI'!$P$40="Leve"),CONCATENATE("R",'Mapa final SI'!$A$40),"")</f>
        <v/>
      </c>
      <c r="O32" s="786"/>
      <c r="P32" s="753" t="str">
        <f>IF(AND('Mapa final SI'!$L$28="Baja",'Mapa final SI'!$P$28="Menor"),CONCATENATE("R",'Mapa final SI'!$A$28),"")</f>
        <v/>
      </c>
      <c r="Q32" s="753"/>
      <c r="R32" s="753" t="str">
        <f>IF(AND('Mapa final SI'!$L$34="Baja",'Mapa final SI'!$P$34="Menor"),CONCATENATE("R",'Mapa final SI'!$A$34),"")</f>
        <v/>
      </c>
      <c r="S32" s="753"/>
      <c r="T32" s="753" t="str">
        <f>IF(AND('Mapa final SI'!$L$40="Baja",'Mapa final SI'!$P$40="Menor"),CONCATENATE("R",'Mapa final SI'!$A$40),"")</f>
        <v/>
      </c>
      <c r="U32" s="755"/>
      <c r="V32" s="752" t="str">
        <f>IF(AND('Mapa final SI'!$L$28="Baja",'Mapa final SI'!$P$28="Moderado"),CONCATENATE("R",'Mapa final SI'!$A$28),"")</f>
        <v/>
      </c>
      <c r="W32" s="753"/>
      <c r="X32" s="753" t="str">
        <f>IF(AND('Mapa final SI'!$L$34="Baja",'Mapa final SI'!$P$34="Moderado"),CONCATENATE("R",'Mapa final SI'!$A$34),"")</f>
        <v/>
      </c>
      <c r="Y32" s="753"/>
      <c r="Z32" s="753" t="str">
        <f>IF(AND('Mapa final SI'!$L$40="Baja",'Mapa final SI'!$P$40="Moderado"),CONCATENATE("R",'Mapa final SI'!$A$40),"")</f>
        <v/>
      </c>
      <c r="AA32" s="755"/>
      <c r="AB32" s="729" t="str">
        <f>IF(AND('Mapa final SI'!$L$28="Baja",'Mapa final SI'!$P$28="Mayor"),CONCATENATE("R",'Mapa final SI'!$A$28),"")</f>
        <v/>
      </c>
      <c r="AC32" s="730"/>
      <c r="AD32" s="730" t="str">
        <f>IF(AND('Mapa final SI'!$L$34="Baja",'Mapa final SI'!$P$34="Mayor"),CONCATENATE("R",'Mapa final SI'!$A$34),"")</f>
        <v/>
      </c>
      <c r="AE32" s="730"/>
      <c r="AF32" s="730" t="str">
        <f>IF(AND('Mapa final SI'!$L$40="Baja",'Mapa final SI'!$P$40="Mayor"),CONCATENATE("R",'Mapa final SI'!$A$40),"")</f>
        <v/>
      </c>
      <c r="AG32" s="732"/>
      <c r="AH32" s="735" t="str">
        <f>IF(AND('Mapa final SI'!$L$28="Baja",'Mapa final SI'!$P$28="Catastrófico"),CONCATENATE("R",'Mapa final SI'!$A$28),"")</f>
        <v/>
      </c>
      <c r="AI32" s="736"/>
      <c r="AJ32" s="736" t="str">
        <f>IF(AND('Mapa final SI'!$L$34="Baja",'Mapa final SI'!$P$34="Catastrófico"),CONCATENATE("R",'Mapa final SI'!$A$34),"")</f>
        <v/>
      </c>
      <c r="AK32" s="736"/>
      <c r="AL32" s="736" t="str">
        <f>IF(AND('Mapa final SI'!$L$40="Baja",'Mapa final SI'!$P$40="Catastrófico"),CONCATENATE("R",'Mapa final SI'!$A$40),"")</f>
        <v/>
      </c>
      <c r="AM32" s="738"/>
      <c r="AN32" s="15"/>
      <c r="AO32" s="790"/>
      <c r="AP32" s="791"/>
      <c r="AQ32" s="791"/>
      <c r="AR32" s="791"/>
      <c r="AS32" s="791"/>
      <c r="AT32" s="7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6"/>
      <c r="C33" s="716"/>
      <c r="D33" s="717"/>
      <c r="E33" s="721"/>
      <c r="F33" s="722"/>
      <c r="G33" s="722"/>
      <c r="H33" s="722"/>
      <c r="I33" s="722"/>
      <c r="J33" s="783"/>
      <c r="K33" s="784"/>
      <c r="L33" s="784"/>
      <c r="M33" s="784"/>
      <c r="N33" s="784"/>
      <c r="O33" s="786"/>
      <c r="P33" s="753"/>
      <c r="Q33" s="753"/>
      <c r="R33" s="753"/>
      <c r="S33" s="753"/>
      <c r="T33" s="753"/>
      <c r="U33" s="755"/>
      <c r="V33" s="752"/>
      <c r="W33" s="753"/>
      <c r="X33" s="753"/>
      <c r="Y33" s="753"/>
      <c r="Z33" s="753"/>
      <c r="AA33" s="755"/>
      <c r="AB33" s="729"/>
      <c r="AC33" s="730"/>
      <c r="AD33" s="730"/>
      <c r="AE33" s="730"/>
      <c r="AF33" s="730"/>
      <c r="AG33" s="732"/>
      <c r="AH33" s="735"/>
      <c r="AI33" s="736"/>
      <c r="AJ33" s="736"/>
      <c r="AK33" s="736"/>
      <c r="AL33" s="736"/>
      <c r="AM33" s="738"/>
      <c r="AN33" s="15"/>
      <c r="AO33" s="790"/>
      <c r="AP33" s="791"/>
      <c r="AQ33" s="791"/>
      <c r="AR33" s="791"/>
      <c r="AS33" s="791"/>
      <c r="AT33" s="7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6"/>
      <c r="C34" s="716"/>
      <c r="D34" s="717"/>
      <c r="E34" s="721"/>
      <c r="F34" s="722"/>
      <c r="G34" s="722"/>
      <c r="H34" s="722"/>
      <c r="I34" s="722"/>
      <c r="J34" s="783" t="str">
        <f>IF(AND('Mapa final SI'!$L$46="Baja",'Mapa final SI'!$P$46="Leve"),CONCATENATE("R",'Mapa final SI'!$A$46),"")</f>
        <v/>
      </c>
      <c r="K34" s="784"/>
      <c r="L34" s="784" t="str">
        <f>IF(AND('Mapa final SI'!$L$52="Baja",'Mapa final SI'!$P$52="Leve"),CONCATENATE("R",'Mapa final SI'!$A$52),"")</f>
        <v/>
      </c>
      <c r="M34" s="784"/>
      <c r="N34" s="784" t="str">
        <f>IF(AND('Mapa final SI'!$L$58="Baja",'Mapa final SI'!$P$58="Leve"),CONCATENATE("R",'Mapa final SI'!$A$58),"")</f>
        <v/>
      </c>
      <c r="O34" s="786"/>
      <c r="P34" s="753" t="str">
        <f>IF(AND('Mapa final SI'!$L$46="Baja",'Mapa final SI'!$P$46="Menor"),CONCATENATE("R",'Mapa final SI'!$A$46),"")</f>
        <v/>
      </c>
      <c r="Q34" s="753"/>
      <c r="R34" s="753" t="str">
        <f>IF(AND('Mapa final SI'!$L$52="Baja",'Mapa final SI'!$P$52="Menor"),CONCATENATE("R",'Mapa final SI'!$A$52),"")</f>
        <v/>
      </c>
      <c r="S34" s="753"/>
      <c r="T34" s="753" t="str">
        <f>IF(AND('Mapa final SI'!$L$58="Baja",'Mapa final SI'!$P$58="Menor"),CONCATENATE("R",'Mapa final SI'!$A$58),"")</f>
        <v/>
      </c>
      <c r="U34" s="755"/>
      <c r="V34" s="752" t="str">
        <f>IF(AND('Mapa final SI'!$L$46="Baja",'Mapa final SI'!$P$46="Moderado"),CONCATENATE("R",'Mapa final SI'!$A$46),"")</f>
        <v/>
      </c>
      <c r="W34" s="753"/>
      <c r="X34" s="753" t="str">
        <f>IF(AND('Mapa final SI'!$L$52="Baja",'Mapa final SI'!$P$52="Moderado"),CONCATENATE("R",'Mapa final SI'!$A$52),"")</f>
        <v/>
      </c>
      <c r="Y34" s="753"/>
      <c r="Z34" s="753" t="str">
        <f>IF(AND('Mapa final SI'!$L$58="Baja",'Mapa final SI'!$P$58="Moderado"),CONCATENATE("R",'Mapa final SI'!$A$58),"")</f>
        <v/>
      </c>
      <c r="AA34" s="755"/>
      <c r="AB34" s="729" t="str">
        <f>IF(AND('Mapa final SI'!$L$46="Baja",'Mapa final SI'!$P$46="Mayor"),CONCATENATE("R",'Mapa final SI'!$A$46),"")</f>
        <v/>
      </c>
      <c r="AC34" s="730"/>
      <c r="AD34" s="730" t="str">
        <f>IF(AND('Mapa final SI'!$L$52="Baja",'Mapa final SI'!$P$52="Mayor"),CONCATENATE("R",'Mapa final SI'!$A$52),"")</f>
        <v/>
      </c>
      <c r="AE34" s="730"/>
      <c r="AF34" s="730" t="str">
        <f>IF(AND('Mapa final SI'!$L$58="Baja",'Mapa final SI'!$P$58="Mayor"),CONCATENATE("R",'Mapa final SI'!$A$58),"")</f>
        <v/>
      </c>
      <c r="AG34" s="732"/>
      <c r="AH34" s="735" t="str">
        <f>IF(AND('Mapa final SI'!$L$46="Baja",'Mapa final SI'!$P$46="Catastrófico"),CONCATENATE("R",'Mapa final SI'!$A$46),"")</f>
        <v/>
      </c>
      <c r="AI34" s="736"/>
      <c r="AJ34" s="736" t="str">
        <f>IF(AND('Mapa final SI'!$L$52="Baja",'Mapa final SI'!$P$52="Catastrófico"),CONCATENATE("R",'Mapa final SI'!$A$52),"")</f>
        <v/>
      </c>
      <c r="AK34" s="736"/>
      <c r="AL34" s="736" t="str">
        <f>IF(AND('Mapa final SI'!$L$58="Baja",'Mapa final SI'!$P$58="Catastrófico"),CONCATENATE("R",'Mapa final SI'!$A$58),"")</f>
        <v/>
      </c>
      <c r="AM34" s="738"/>
      <c r="AN34" s="15"/>
      <c r="AO34" s="790"/>
      <c r="AP34" s="791"/>
      <c r="AQ34" s="791"/>
      <c r="AR34" s="791"/>
      <c r="AS34" s="791"/>
      <c r="AT34" s="7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6"/>
      <c r="C35" s="716"/>
      <c r="D35" s="717"/>
      <c r="E35" s="721"/>
      <c r="F35" s="722"/>
      <c r="G35" s="722"/>
      <c r="H35" s="722"/>
      <c r="I35" s="722"/>
      <c r="J35" s="783"/>
      <c r="K35" s="784"/>
      <c r="L35" s="784"/>
      <c r="M35" s="784"/>
      <c r="N35" s="784"/>
      <c r="O35" s="786"/>
      <c r="P35" s="753"/>
      <c r="Q35" s="753"/>
      <c r="R35" s="753"/>
      <c r="S35" s="753"/>
      <c r="T35" s="753"/>
      <c r="U35" s="755"/>
      <c r="V35" s="752"/>
      <c r="W35" s="753"/>
      <c r="X35" s="753"/>
      <c r="Y35" s="753"/>
      <c r="Z35" s="753"/>
      <c r="AA35" s="755"/>
      <c r="AB35" s="729"/>
      <c r="AC35" s="730"/>
      <c r="AD35" s="730"/>
      <c r="AE35" s="730"/>
      <c r="AF35" s="730"/>
      <c r="AG35" s="732"/>
      <c r="AH35" s="735"/>
      <c r="AI35" s="736"/>
      <c r="AJ35" s="736"/>
      <c r="AK35" s="736"/>
      <c r="AL35" s="736"/>
      <c r="AM35" s="738"/>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6"/>
      <c r="C36" s="716"/>
      <c r="D36" s="717"/>
      <c r="E36" s="721"/>
      <c r="F36" s="722"/>
      <c r="G36" s="722"/>
      <c r="H36" s="722"/>
      <c r="I36" s="722"/>
      <c r="J36" s="783" t="str">
        <f>IF(AND('Mapa final SI'!$L$64="Baja",'Mapa final SI'!$P$64="Leve"),CONCATENATE("R",'Mapa final SI'!$A$64),"")</f>
        <v/>
      </c>
      <c r="K36" s="784"/>
      <c r="L36" s="784" t="str">
        <f>IF(AND('Mapa final SI'!$L$70="Baja",'Mapa final SI'!$P$70="Leve"),CONCATENATE("R",'Mapa final SI'!$A$70),"")</f>
        <v/>
      </c>
      <c r="M36" s="784"/>
      <c r="N36" s="784" t="str">
        <f>IF(AND('Mapa final SI'!$L$76="Baja",'Mapa final SI'!$P$76="Leve"),CONCATENATE("R",'Mapa final SI'!$A$76),"")</f>
        <v/>
      </c>
      <c r="O36" s="786"/>
      <c r="P36" s="753" t="str">
        <f>IF(AND('Mapa final SI'!$L$64="Baja",'Mapa final SI'!$P$64="Menor"),CONCATENATE("R",'Mapa final SI'!$A$64),"")</f>
        <v/>
      </c>
      <c r="Q36" s="753"/>
      <c r="R36" s="753" t="str">
        <f>IF(AND('Mapa final SI'!$L$70="Baja",'Mapa final SI'!$P$70="Menor"),CONCATENATE("R",'Mapa final SI'!$A$70),"")</f>
        <v/>
      </c>
      <c r="S36" s="753"/>
      <c r="T36" s="753" t="str">
        <f>IF(AND('Mapa final SI'!$L$76="Baja",'Mapa final SI'!$P$76="Menor"),CONCATENATE("R",'Mapa final SI'!$A$76),"")</f>
        <v/>
      </c>
      <c r="U36" s="755"/>
      <c r="V36" s="752" t="str">
        <f>IF(AND('Mapa final SI'!$L$64="Baja",'Mapa final SI'!$P$64="Moderado"),CONCATENATE("R",'Mapa final SI'!$A$64),"")</f>
        <v/>
      </c>
      <c r="W36" s="753"/>
      <c r="X36" s="753" t="str">
        <f>IF(AND('Mapa final SI'!$L$70="Baja",'Mapa final SI'!$P$70="Moderado"),CONCATENATE("R",'Mapa final SI'!$A$70),"")</f>
        <v/>
      </c>
      <c r="Y36" s="753"/>
      <c r="Z36" s="753" t="str">
        <f>IF(AND('Mapa final SI'!$L$76="Baja",'Mapa final SI'!$P$76="Moderado"),CONCATENATE("R",'Mapa final SI'!$A$76),"")</f>
        <v/>
      </c>
      <c r="AA36" s="755"/>
      <c r="AB36" s="729" t="str">
        <f>IF(AND('Mapa final SI'!$L$64="Baja",'Mapa final SI'!$P$64="Mayor"),CONCATENATE("R",'Mapa final SI'!$A$64),"")</f>
        <v/>
      </c>
      <c r="AC36" s="730"/>
      <c r="AD36" s="730" t="str">
        <f>IF(AND('Mapa final SI'!$L$70="Baja",'Mapa final SI'!$P$70="Mayor"),CONCATENATE("R",'Mapa final SI'!$A$70),"")</f>
        <v/>
      </c>
      <c r="AE36" s="730"/>
      <c r="AF36" s="730" t="str">
        <f>IF(AND('Mapa final SI'!$L$76="Baja",'Mapa final SI'!$P$76="Mayor"),CONCATENATE("R",'Mapa final SI'!$A$76),"")</f>
        <v/>
      </c>
      <c r="AG36" s="732"/>
      <c r="AH36" s="735" t="str">
        <f>IF(AND('Mapa final SI'!$L$64="Baja",'Mapa final SI'!$P$64="Catastrófico"),CONCATENATE("R",'Mapa final SI'!$A$64),"")</f>
        <v/>
      </c>
      <c r="AI36" s="736"/>
      <c r="AJ36" s="736" t="str">
        <f>IF(AND('Mapa final SI'!$L$70="Baja",'Mapa final SI'!$P$70="Catastrófico"),CONCATENATE("R",'Mapa final SI'!$A$70),"")</f>
        <v/>
      </c>
      <c r="AK36" s="736"/>
      <c r="AL36" s="736" t="str">
        <f>IF(AND('Mapa final SI'!$L$76="Baja",'Mapa final SI'!$P$76="Catastrófico"),CONCATENATE("R",'Mapa final SI'!$A$76),"")</f>
        <v/>
      </c>
      <c r="AM36" s="738"/>
      <c r="AN36" s="15"/>
      <c r="AO36" s="790"/>
      <c r="AP36" s="791"/>
      <c r="AQ36" s="791"/>
      <c r="AR36" s="791"/>
      <c r="AS36" s="791"/>
      <c r="AT36" s="7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6"/>
      <c r="C37" s="716"/>
      <c r="D37" s="717"/>
      <c r="E37" s="724"/>
      <c r="F37" s="725"/>
      <c r="G37" s="725"/>
      <c r="H37" s="725"/>
      <c r="I37" s="725"/>
      <c r="J37" s="796"/>
      <c r="K37" s="797"/>
      <c r="L37" s="797"/>
      <c r="M37" s="797"/>
      <c r="N37" s="797"/>
      <c r="O37" s="798"/>
      <c r="P37" s="770"/>
      <c r="Q37" s="770"/>
      <c r="R37" s="770"/>
      <c r="S37" s="770"/>
      <c r="T37" s="770"/>
      <c r="U37" s="771"/>
      <c r="V37" s="769"/>
      <c r="W37" s="770"/>
      <c r="X37" s="770"/>
      <c r="Y37" s="770"/>
      <c r="Z37" s="770"/>
      <c r="AA37" s="771"/>
      <c r="AB37" s="766"/>
      <c r="AC37" s="767"/>
      <c r="AD37" s="767"/>
      <c r="AE37" s="767"/>
      <c r="AF37" s="767"/>
      <c r="AG37" s="768"/>
      <c r="AH37" s="756"/>
      <c r="AI37" s="748"/>
      <c r="AJ37" s="748"/>
      <c r="AK37" s="748"/>
      <c r="AL37" s="748"/>
      <c r="AM37" s="749"/>
      <c r="AN37" s="15"/>
      <c r="AO37" s="793"/>
      <c r="AP37" s="794"/>
      <c r="AQ37" s="794"/>
      <c r="AR37" s="794"/>
      <c r="AS37" s="794"/>
      <c r="AT37" s="7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6"/>
      <c r="C38" s="716"/>
      <c r="D38" s="717"/>
      <c r="E38" s="718" t="s">
        <v>197</v>
      </c>
      <c r="F38" s="719"/>
      <c r="G38" s="719"/>
      <c r="H38" s="719"/>
      <c r="I38" s="720"/>
      <c r="J38" s="781" t="str">
        <f>IF(AND('Mapa final SI'!$L$10="Muy Baja",'Mapa final SI'!$P$10="Leve"),CONCATENATE("R",'Mapa final SI'!$A$10),"")</f>
        <v/>
      </c>
      <c r="K38" s="782"/>
      <c r="L38" s="782" t="str">
        <f>IF(AND('Mapa final SI'!$L$16="Muy Baja",'Mapa final SI'!$P$16="Leve"),CONCATENATE("R",'Mapa final SI'!$A$16),"")</f>
        <v/>
      </c>
      <c r="M38" s="782"/>
      <c r="N38" s="782" t="str">
        <f>IF(AND('Mapa final SI'!$L$22="Muy Baja",'Mapa final SI'!$P$22="Leve"),CONCATENATE("R",'Mapa final SI'!$A$22),"")</f>
        <v/>
      </c>
      <c r="O38" s="785"/>
      <c r="P38" s="781" t="str">
        <f>IF(AND('Mapa final SI'!$L$10="Muy Baja",'Mapa final SI'!$P$10="Menor"),CONCATENATE("R",'Mapa final SI'!$A$10),"")</f>
        <v/>
      </c>
      <c r="Q38" s="782"/>
      <c r="R38" s="782" t="str">
        <f>IF(AND('Mapa final SI'!$L$16="Muy Baja",'Mapa final SI'!$P$16="Menor"),CONCATENATE("R",'Mapa final SI'!$A$16),"")</f>
        <v/>
      </c>
      <c r="S38" s="782"/>
      <c r="T38" s="782" t="str">
        <f>IF(AND('Mapa final SI'!$L$22="Muy Baja",'Mapa final SI'!$P$22="Menor"),CONCATENATE("R",'Mapa final SI'!$A$22),"")</f>
        <v/>
      </c>
      <c r="U38" s="785"/>
      <c r="V38" s="750" t="str">
        <f>IF(AND('Mapa final SI'!$L$10="Muy Baja",'Mapa final SI'!$P$10="Moderado"),CONCATENATE("R",'Mapa final SI'!$A$10),"")</f>
        <v/>
      </c>
      <c r="W38" s="751"/>
      <c r="X38" s="751" t="str">
        <f>IF(AND('Mapa final SI'!$L$16="Muy Baja",'Mapa final SI'!$P$16="Moderado"),CONCATENATE("R",'Mapa final SI'!$A$16),"")</f>
        <v/>
      </c>
      <c r="Y38" s="751"/>
      <c r="Z38" s="751" t="str">
        <f>IF(AND('Mapa final SI'!$L$22="Muy Baja",'Mapa final SI'!$P$22="Moderado"),CONCATENATE("R",'Mapa final SI'!$A$22),"")</f>
        <v/>
      </c>
      <c r="AA38" s="754"/>
      <c r="AB38" s="727" t="str">
        <f>IF(AND('Mapa final SI'!$L$10="Muy Baja",'Mapa final SI'!$P$10="Mayor"),CONCATENATE("R",'Mapa final SI'!$A$10),"")</f>
        <v/>
      </c>
      <c r="AC38" s="728"/>
      <c r="AD38" s="728" t="str">
        <f>IF(AND('Mapa final SI'!$L$16="Muy Baja",'Mapa final SI'!$P$16="Mayor"),CONCATENATE("R",'Mapa final SI'!$A$16),"")</f>
        <v/>
      </c>
      <c r="AE38" s="728"/>
      <c r="AF38" s="728" t="str">
        <f>IF(AND('Mapa final SI'!$L$22="Muy Baja",'Mapa final SI'!$P$22="Mayor"),CONCATENATE("R",'Mapa final SI'!$A$22),"")</f>
        <v/>
      </c>
      <c r="AG38" s="731"/>
      <c r="AH38" s="733" t="str">
        <f>IF(AND('Mapa final SI'!$L$10="Muy Baja",'Mapa final SI'!$P$10="Catastrófico"),CONCATENATE("R",'Mapa final SI'!$A$10),"")</f>
        <v/>
      </c>
      <c r="AI38" s="734"/>
      <c r="AJ38" s="734" t="str">
        <f>IF(AND('Mapa final SI'!$L$16="Muy Baja",'Mapa final SI'!$P$16="Catastrófico"),CONCATENATE("R",'Mapa final SI'!$A$16),"")</f>
        <v/>
      </c>
      <c r="AK38" s="734"/>
      <c r="AL38" s="734" t="str">
        <f>IF(AND('Mapa final SI'!$L$22="Muy Baja",'Mapa final SI'!$P$22="Catastrófico"),CONCATENATE("R",'Mapa final SI'!$A$22),"")</f>
        <v/>
      </c>
      <c r="AM38" s="7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6"/>
      <c r="C39" s="716"/>
      <c r="D39" s="717"/>
      <c r="E39" s="721"/>
      <c r="F39" s="722"/>
      <c r="G39" s="722"/>
      <c r="H39" s="722"/>
      <c r="I39" s="723"/>
      <c r="J39" s="783"/>
      <c r="K39" s="784"/>
      <c r="L39" s="784"/>
      <c r="M39" s="784"/>
      <c r="N39" s="784"/>
      <c r="O39" s="786"/>
      <c r="P39" s="783"/>
      <c r="Q39" s="784"/>
      <c r="R39" s="784"/>
      <c r="S39" s="784"/>
      <c r="T39" s="784"/>
      <c r="U39" s="786"/>
      <c r="V39" s="752"/>
      <c r="W39" s="753"/>
      <c r="X39" s="753"/>
      <c r="Y39" s="753"/>
      <c r="Z39" s="753"/>
      <c r="AA39" s="755"/>
      <c r="AB39" s="729"/>
      <c r="AC39" s="730"/>
      <c r="AD39" s="730"/>
      <c r="AE39" s="730"/>
      <c r="AF39" s="730"/>
      <c r="AG39" s="732"/>
      <c r="AH39" s="735"/>
      <c r="AI39" s="736"/>
      <c r="AJ39" s="736"/>
      <c r="AK39" s="736"/>
      <c r="AL39" s="736"/>
      <c r="AM39" s="7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6"/>
      <c r="C40" s="716"/>
      <c r="D40" s="717"/>
      <c r="E40" s="721"/>
      <c r="F40" s="722"/>
      <c r="G40" s="722"/>
      <c r="H40" s="722"/>
      <c r="I40" s="723"/>
      <c r="J40" s="783" t="str">
        <f>IF(AND('Mapa final SI'!$L$28="Muy Baja",'Mapa final SI'!$P$28="Leve"),CONCATENATE("R",'Mapa final SI'!$A$28),"")</f>
        <v/>
      </c>
      <c r="K40" s="784"/>
      <c r="L40" s="784" t="str">
        <f>IF(AND('Mapa final SI'!$L$34="Muy Baja",'Mapa final SI'!$P$34="Leve"),CONCATENATE("R",'Mapa final SI'!$A$34),"")</f>
        <v/>
      </c>
      <c r="M40" s="784"/>
      <c r="N40" s="784" t="str">
        <f>IF(AND('Mapa final SI'!$L$40="Muy Baja",'Mapa final SI'!$P$40="Leve"),CONCATENATE("R",'Mapa final SI'!$A$40),"")</f>
        <v/>
      </c>
      <c r="O40" s="786"/>
      <c r="P40" s="783" t="str">
        <f>IF(AND('Mapa final SI'!$L$28="Muy Baja",'Mapa final SI'!$P$28="Menor"),CONCATENATE("R",'Mapa final SI'!$A$28),"")</f>
        <v/>
      </c>
      <c r="Q40" s="784"/>
      <c r="R40" s="784" t="str">
        <f>IF(AND('Mapa final SI'!$L$34="Muy Baja",'Mapa final SI'!$P$34="Menor"),CONCATENATE("R",'Mapa final SI'!$A$34),"")</f>
        <v/>
      </c>
      <c r="S40" s="784"/>
      <c r="T40" s="784" t="str">
        <f>IF(AND('Mapa final SI'!$L$40="Muy Baja",'Mapa final SI'!$P$40="Menor"),CONCATENATE("R",'Mapa final SI'!$A$40),"")</f>
        <v/>
      </c>
      <c r="U40" s="786"/>
      <c r="V40" s="752" t="str">
        <f>IF(AND('Mapa final SI'!$L$28="Muy Baja",'Mapa final SI'!$P$28="Moderado"),CONCATENATE("R",'Mapa final SI'!$A$28),"")</f>
        <v/>
      </c>
      <c r="W40" s="753"/>
      <c r="X40" s="753" t="str">
        <f>IF(AND('Mapa final SI'!$L$34="Muy Baja",'Mapa final SI'!$P$34="Moderado"),CONCATENATE("R",'Mapa final SI'!$A$34),"")</f>
        <v/>
      </c>
      <c r="Y40" s="753"/>
      <c r="Z40" s="753" t="str">
        <f>IF(AND('Mapa final SI'!$L$40="Muy Baja",'Mapa final SI'!$P$40="Moderado"),CONCATENATE("R",'Mapa final SI'!$A$40),"")</f>
        <v/>
      </c>
      <c r="AA40" s="755"/>
      <c r="AB40" s="729" t="str">
        <f>IF(AND('Mapa final SI'!$L$28="Muy Baja",'Mapa final SI'!$P$28="Mayor"),CONCATENATE("R",'Mapa final SI'!$A$28),"")</f>
        <v/>
      </c>
      <c r="AC40" s="730"/>
      <c r="AD40" s="730" t="str">
        <f>IF(AND('Mapa final SI'!$L$34="Muy Baja",'Mapa final SI'!$P$34="Mayor"),CONCATENATE("R",'Mapa final SI'!$A$34),"")</f>
        <v/>
      </c>
      <c r="AE40" s="730"/>
      <c r="AF40" s="730" t="str">
        <f>IF(AND('Mapa final SI'!$L$40="Muy Baja",'Mapa final SI'!$P$40="Mayor"),CONCATENATE("R",'Mapa final SI'!$A$40),"")</f>
        <v/>
      </c>
      <c r="AG40" s="732"/>
      <c r="AH40" s="735" t="str">
        <f>IF(AND('Mapa final SI'!$L$28="Muy Baja",'Mapa final SI'!$P$28="Catastrófico"),CONCATENATE("R",'Mapa final SI'!$A$28),"")</f>
        <v/>
      </c>
      <c r="AI40" s="736"/>
      <c r="AJ40" s="736" t="str">
        <f>IF(AND('Mapa final SI'!$L$34="Muy Baja",'Mapa final SI'!$P$34="Catastrófico"),CONCATENATE("R",'Mapa final SI'!$A$34),"")</f>
        <v/>
      </c>
      <c r="AK40" s="736"/>
      <c r="AL40" s="736" t="str">
        <f>IF(AND('Mapa final SI'!$L$40="Muy Baja",'Mapa final SI'!$P$40="Catastrófico"),CONCATENATE("R",'Mapa final SI'!$A$40),"")</f>
        <v/>
      </c>
      <c r="AM40" s="7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6"/>
      <c r="C41" s="716"/>
      <c r="D41" s="717"/>
      <c r="E41" s="721"/>
      <c r="F41" s="722"/>
      <c r="G41" s="722"/>
      <c r="H41" s="722"/>
      <c r="I41" s="723"/>
      <c r="J41" s="783"/>
      <c r="K41" s="784"/>
      <c r="L41" s="784"/>
      <c r="M41" s="784"/>
      <c r="N41" s="784"/>
      <c r="O41" s="786"/>
      <c r="P41" s="783"/>
      <c r="Q41" s="784"/>
      <c r="R41" s="784"/>
      <c r="S41" s="784"/>
      <c r="T41" s="784"/>
      <c r="U41" s="786"/>
      <c r="V41" s="752"/>
      <c r="W41" s="753"/>
      <c r="X41" s="753"/>
      <c r="Y41" s="753"/>
      <c r="Z41" s="753"/>
      <c r="AA41" s="755"/>
      <c r="AB41" s="729"/>
      <c r="AC41" s="730"/>
      <c r="AD41" s="730"/>
      <c r="AE41" s="730"/>
      <c r="AF41" s="730"/>
      <c r="AG41" s="732"/>
      <c r="AH41" s="735"/>
      <c r="AI41" s="736"/>
      <c r="AJ41" s="736"/>
      <c r="AK41" s="736"/>
      <c r="AL41" s="736"/>
      <c r="AM41" s="7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6"/>
      <c r="C42" s="716"/>
      <c r="D42" s="717"/>
      <c r="E42" s="721"/>
      <c r="F42" s="722"/>
      <c r="G42" s="722"/>
      <c r="H42" s="722"/>
      <c r="I42" s="723"/>
      <c r="J42" s="783" t="str">
        <f>IF(AND('Mapa final SI'!$L$46="Muy Baja",'Mapa final SI'!$P$46="Leve"),CONCATENATE("R",'Mapa final SI'!$A$46),"")</f>
        <v/>
      </c>
      <c r="K42" s="784"/>
      <c r="L42" s="784" t="str">
        <f>IF(AND('Mapa final SI'!$L$52="Muy Baja",'Mapa final SI'!$P$52="Leve"),CONCATENATE("R",'Mapa final SI'!$A$52),"")</f>
        <v/>
      </c>
      <c r="M42" s="784"/>
      <c r="N42" s="784" t="str">
        <f>IF(AND('Mapa final SI'!$L$58="Muy Baja",'Mapa final SI'!$P$58="Leve"),CONCATENATE("R",'Mapa final SI'!$A$58),"")</f>
        <v/>
      </c>
      <c r="O42" s="786"/>
      <c r="P42" s="783" t="str">
        <f>IF(AND('Mapa final SI'!$L$46="Muy Baja",'Mapa final SI'!$P$46="Menor"),CONCATENATE("R",'Mapa final SI'!$A$46),"")</f>
        <v/>
      </c>
      <c r="Q42" s="784"/>
      <c r="R42" s="784" t="str">
        <f>IF(AND('Mapa final SI'!$L$52="Muy Baja",'Mapa final SI'!$P$52="Menor"),CONCATENATE("R",'Mapa final SI'!$A$52),"")</f>
        <v/>
      </c>
      <c r="S42" s="784"/>
      <c r="T42" s="784" t="str">
        <f>IF(AND('Mapa final SI'!$L$58="Muy Baja",'Mapa final SI'!$P$58="Menor"),CONCATENATE("R",'Mapa final SI'!$A$58),"")</f>
        <v/>
      </c>
      <c r="U42" s="786"/>
      <c r="V42" s="752" t="str">
        <f>IF(AND('Mapa final SI'!$L$46="Muy Baja",'Mapa final SI'!$P$46="Moderado"),CONCATENATE("R",'Mapa final SI'!$A$46),"")</f>
        <v/>
      </c>
      <c r="W42" s="753"/>
      <c r="X42" s="753" t="str">
        <f>IF(AND('Mapa final SI'!$L$52="Muy Baja",'Mapa final SI'!$P$52="Moderado"),CONCATENATE("R",'Mapa final SI'!$A$52),"")</f>
        <v/>
      </c>
      <c r="Y42" s="753"/>
      <c r="Z42" s="753" t="str">
        <f>IF(AND('Mapa final SI'!$L$58="Muy Baja",'Mapa final SI'!$P$58="Moderado"),CONCATENATE("R",'Mapa final SI'!$A$58),"")</f>
        <v/>
      </c>
      <c r="AA42" s="755"/>
      <c r="AB42" s="729" t="str">
        <f>IF(AND('Mapa final SI'!$L$46="Muy Baja",'Mapa final SI'!$P$46="Mayor"),CONCATENATE("R",'Mapa final SI'!$A$46),"")</f>
        <v/>
      </c>
      <c r="AC42" s="730"/>
      <c r="AD42" s="730" t="str">
        <f>IF(AND('Mapa final SI'!$L$52="Muy Baja",'Mapa final SI'!$P$52="Mayor"),CONCATENATE("R",'Mapa final SI'!$A$52),"")</f>
        <v/>
      </c>
      <c r="AE42" s="730"/>
      <c r="AF42" s="730" t="str">
        <f>IF(AND('Mapa final SI'!$L$58="Muy Baja",'Mapa final SI'!$P$58="Mayor"),CONCATENATE("R",'Mapa final SI'!$A$58),"")</f>
        <v/>
      </c>
      <c r="AG42" s="732"/>
      <c r="AH42" s="735" t="str">
        <f>IF(AND('Mapa final SI'!$L$46="Muy Baja",'Mapa final SI'!$P$46="Catastrófico"),CONCATENATE("R",'Mapa final SI'!$A$46),"")</f>
        <v/>
      </c>
      <c r="AI42" s="736"/>
      <c r="AJ42" s="736" t="str">
        <f>IF(AND('Mapa final SI'!$L$52="Muy Baja",'Mapa final SI'!$P$52="Catastrófico"),CONCATENATE("R",'Mapa final SI'!$A$52),"")</f>
        <v/>
      </c>
      <c r="AK42" s="736"/>
      <c r="AL42" s="736" t="str">
        <f>IF(AND('Mapa final SI'!$L$58="Muy Baja",'Mapa final SI'!$P$58="Catastrófico"),CONCATENATE("R",'Mapa final SI'!$A$58),"")</f>
        <v/>
      </c>
      <c r="AM42" s="7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6"/>
      <c r="C43" s="716"/>
      <c r="D43" s="717"/>
      <c r="E43" s="721"/>
      <c r="F43" s="722"/>
      <c r="G43" s="722"/>
      <c r="H43" s="722"/>
      <c r="I43" s="723"/>
      <c r="J43" s="783"/>
      <c r="K43" s="784"/>
      <c r="L43" s="784"/>
      <c r="M43" s="784"/>
      <c r="N43" s="784"/>
      <c r="O43" s="786"/>
      <c r="P43" s="783"/>
      <c r="Q43" s="784"/>
      <c r="R43" s="784"/>
      <c r="S43" s="784"/>
      <c r="T43" s="784"/>
      <c r="U43" s="786"/>
      <c r="V43" s="752"/>
      <c r="W43" s="753"/>
      <c r="X43" s="753"/>
      <c r="Y43" s="753"/>
      <c r="Z43" s="753"/>
      <c r="AA43" s="755"/>
      <c r="AB43" s="729"/>
      <c r="AC43" s="730"/>
      <c r="AD43" s="730"/>
      <c r="AE43" s="730"/>
      <c r="AF43" s="730"/>
      <c r="AG43" s="732"/>
      <c r="AH43" s="735"/>
      <c r="AI43" s="736"/>
      <c r="AJ43" s="736"/>
      <c r="AK43" s="736"/>
      <c r="AL43" s="736"/>
      <c r="AM43" s="7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6"/>
      <c r="C44" s="716"/>
      <c r="D44" s="717"/>
      <c r="E44" s="721"/>
      <c r="F44" s="722"/>
      <c r="G44" s="722"/>
      <c r="H44" s="722"/>
      <c r="I44" s="723"/>
      <c r="J44" s="783" t="str">
        <f>IF(AND('Mapa final SI'!$L$64="Muy Baja",'Mapa final SI'!$P$64="Leve"),CONCATENATE("R",'Mapa final SI'!$A$64),"")</f>
        <v/>
      </c>
      <c r="K44" s="784"/>
      <c r="L44" s="784" t="str">
        <f>IF(AND('Mapa final SI'!$L$70="Muy Baja",'Mapa final SI'!$P$70="Leve"),CONCATENATE("R",'Mapa final SI'!$A$70),"")</f>
        <v/>
      </c>
      <c r="M44" s="784"/>
      <c r="N44" s="784" t="str">
        <f>IF(AND('Mapa final SI'!$L$76="Muy Baja",'Mapa final SI'!$P$76="Leve"),CONCATENATE("R",'Mapa final SI'!$A$76),"")</f>
        <v/>
      </c>
      <c r="O44" s="786"/>
      <c r="P44" s="783" t="str">
        <f>IF(AND('Mapa final SI'!$L$64="Muy Baja",'Mapa final SI'!$P$64="Menor"),CONCATENATE("R",'Mapa final SI'!$A$64),"")</f>
        <v/>
      </c>
      <c r="Q44" s="784"/>
      <c r="R44" s="784" t="str">
        <f>IF(AND('Mapa final SI'!$L$70="Muy Baja",'Mapa final SI'!$P$70="Menor"),CONCATENATE("R",'Mapa final SI'!$A$70),"")</f>
        <v/>
      </c>
      <c r="S44" s="784"/>
      <c r="T44" s="784" t="str">
        <f>IF(AND('Mapa final SI'!$L$76="Muy Baja",'Mapa final SI'!$P$76="Menor"),CONCATENATE("R",'Mapa final SI'!$A$76),"")</f>
        <v/>
      </c>
      <c r="U44" s="786"/>
      <c r="V44" s="752" t="str">
        <f>IF(AND('Mapa final SI'!$L$64="Muy Baja",'Mapa final SI'!$P$64="Moderado"),CONCATENATE("R",'Mapa final SI'!$A$64),"")</f>
        <v/>
      </c>
      <c r="W44" s="753"/>
      <c r="X44" s="753" t="str">
        <f>IF(AND('Mapa final SI'!$L$70="Muy Baja",'Mapa final SI'!$P$70="Moderado"),CONCATENATE("R",'Mapa final SI'!$A$70),"")</f>
        <v/>
      </c>
      <c r="Y44" s="753"/>
      <c r="Z44" s="753" t="str">
        <f>IF(AND('Mapa final SI'!$L$76="Muy Baja",'Mapa final SI'!$P$76="Moderado"),CONCATENATE("R",'Mapa final SI'!$A$76),"")</f>
        <v/>
      </c>
      <c r="AA44" s="755"/>
      <c r="AB44" s="729" t="str">
        <f>IF(AND('Mapa final SI'!$L$64="Muy Baja",'Mapa final SI'!$P$64="Mayor"),CONCATENATE("R",'Mapa final SI'!$A$64),"")</f>
        <v/>
      </c>
      <c r="AC44" s="730"/>
      <c r="AD44" s="730" t="str">
        <f>IF(AND('Mapa final SI'!$L$70="Muy Baja",'Mapa final SI'!$P$70="Mayor"),CONCATENATE("R",'Mapa final SI'!$A$70),"")</f>
        <v/>
      </c>
      <c r="AE44" s="730"/>
      <c r="AF44" s="730" t="str">
        <f>IF(AND('Mapa final SI'!$L$76="Muy Baja",'Mapa final SI'!$P$76="Mayor"),CONCATENATE("R",'Mapa final SI'!$A$76),"")</f>
        <v/>
      </c>
      <c r="AG44" s="732"/>
      <c r="AH44" s="735" t="str">
        <f>IF(AND('Mapa final SI'!$L$64="Muy Baja",'Mapa final SI'!$P$64="Catastrófico"),CONCATENATE("R",'Mapa final SI'!$A$64),"")</f>
        <v/>
      </c>
      <c r="AI44" s="736"/>
      <c r="AJ44" s="736" t="str">
        <f>IF(AND('Mapa final SI'!$L$70="Muy Baja",'Mapa final SI'!$P$70="Catastrófico"),CONCATENATE("R",'Mapa final SI'!$A$70),"")</f>
        <v/>
      </c>
      <c r="AK44" s="736"/>
      <c r="AL44" s="736" t="str">
        <f>IF(AND('Mapa final'!$L$76="Muy Baja",'Mapa final'!$P$76="Catastrófico"),CONCATENATE("R",'Mapa final'!$A$76),"")</f>
        <v/>
      </c>
      <c r="AM44" s="7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6"/>
      <c r="C45" s="716"/>
      <c r="D45" s="717"/>
      <c r="E45" s="724"/>
      <c r="F45" s="725"/>
      <c r="G45" s="725"/>
      <c r="H45" s="725"/>
      <c r="I45" s="726"/>
      <c r="J45" s="796"/>
      <c r="K45" s="797"/>
      <c r="L45" s="797"/>
      <c r="M45" s="797"/>
      <c r="N45" s="797"/>
      <c r="O45" s="798"/>
      <c r="P45" s="796"/>
      <c r="Q45" s="797"/>
      <c r="R45" s="797"/>
      <c r="S45" s="797"/>
      <c r="T45" s="797"/>
      <c r="U45" s="798"/>
      <c r="V45" s="769"/>
      <c r="W45" s="770"/>
      <c r="X45" s="770"/>
      <c r="Y45" s="770"/>
      <c r="Z45" s="770"/>
      <c r="AA45" s="771"/>
      <c r="AB45" s="766"/>
      <c r="AC45" s="767"/>
      <c r="AD45" s="767"/>
      <c r="AE45" s="767"/>
      <c r="AF45" s="767"/>
      <c r="AG45" s="768"/>
      <c r="AH45" s="756"/>
      <c r="AI45" s="748"/>
      <c r="AJ45" s="748"/>
      <c r="AK45" s="748"/>
      <c r="AL45" s="748"/>
      <c r="AM45" s="7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18" t="s">
        <v>198</v>
      </c>
      <c r="K46" s="719"/>
      <c r="L46" s="719"/>
      <c r="M46" s="719"/>
      <c r="N46" s="719"/>
      <c r="O46" s="720"/>
      <c r="P46" s="718" t="s">
        <v>199</v>
      </c>
      <c r="Q46" s="719"/>
      <c r="R46" s="719"/>
      <c r="S46" s="719"/>
      <c r="T46" s="719"/>
      <c r="U46" s="720"/>
      <c r="V46" s="718" t="s">
        <v>200</v>
      </c>
      <c r="W46" s="719"/>
      <c r="X46" s="719"/>
      <c r="Y46" s="719"/>
      <c r="Z46" s="719"/>
      <c r="AA46" s="720"/>
      <c r="AB46" s="718" t="s">
        <v>201</v>
      </c>
      <c r="AC46" s="799"/>
      <c r="AD46" s="719"/>
      <c r="AE46" s="719"/>
      <c r="AF46" s="719"/>
      <c r="AG46" s="720"/>
      <c r="AH46" s="718" t="s">
        <v>202</v>
      </c>
      <c r="AI46" s="719"/>
      <c r="AJ46" s="719"/>
      <c r="AK46" s="719"/>
      <c r="AL46" s="719"/>
      <c r="AM46" s="7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21"/>
      <c r="K47" s="722"/>
      <c r="L47" s="722"/>
      <c r="M47" s="722"/>
      <c r="N47" s="722"/>
      <c r="O47" s="723"/>
      <c r="P47" s="721"/>
      <c r="Q47" s="722"/>
      <c r="R47" s="722"/>
      <c r="S47" s="722"/>
      <c r="T47" s="722"/>
      <c r="U47" s="723"/>
      <c r="V47" s="721"/>
      <c r="W47" s="722"/>
      <c r="X47" s="722"/>
      <c r="Y47" s="722"/>
      <c r="Z47" s="722"/>
      <c r="AA47" s="723"/>
      <c r="AB47" s="721"/>
      <c r="AC47" s="722"/>
      <c r="AD47" s="722"/>
      <c r="AE47" s="722"/>
      <c r="AF47" s="722"/>
      <c r="AG47" s="723"/>
      <c r="AH47" s="721"/>
      <c r="AI47" s="722"/>
      <c r="AJ47" s="722"/>
      <c r="AK47" s="722"/>
      <c r="AL47" s="722"/>
      <c r="AM47" s="7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21"/>
      <c r="K48" s="722"/>
      <c r="L48" s="722"/>
      <c r="M48" s="722"/>
      <c r="N48" s="722"/>
      <c r="O48" s="723"/>
      <c r="P48" s="721"/>
      <c r="Q48" s="722"/>
      <c r="R48" s="722"/>
      <c r="S48" s="722"/>
      <c r="T48" s="722"/>
      <c r="U48" s="723"/>
      <c r="V48" s="721"/>
      <c r="W48" s="722"/>
      <c r="X48" s="722"/>
      <c r="Y48" s="722"/>
      <c r="Z48" s="722"/>
      <c r="AA48" s="723"/>
      <c r="AB48" s="721"/>
      <c r="AC48" s="722"/>
      <c r="AD48" s="722"/>
      <c r="AE48" s="722"/>
      <c r="AF48" s="722"/>
      <c r="AG48" s="723"/>
      <c r="AH48" s="721"/>
      <c r="AI48" s="722"/>
      <c r="AJ48" s="722"/>
      <c r="AK48" s="722"/>
      <c r="AL48" s="722"/>
      <c r="AM48" s="7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21"/>
      <c r="K49" s="722"/>
      <c r="L49" s="722"/>
      <c r="M49" s="722"/>
      <c r="N49" s="722"/>
      <c r="O49" s="723"/>
      <c r="P49" s="721"/>
      <c r="Q49" s="722"/>
      <c r="R49" s="722"/>
      <c r="S49" s="722"/>
      <c r="T49" s="722"/>
      <c r="U49" s="723"/>
      <c r="V49" s="721"/>
      <c r="W49" s="722"/>
      <c r="X49" s="722"/>
      <c r="Y49" s="722"/>
      <c r="Z49" s="722"/>
      <c r="AA49" s="723"/>
      <c r="AB49" s="721"/>
      <c r="AC49" s="722"/>
      <c r="AD49" s="722"/>
      <c r="AE49" s="722"/>
      <c r="AF49" s="722"/>
      <c r="AG49" s="723"/>
      <c r="AH49" s="721"/>
      <c r="AI49" s="722"/>
      <c r="AJ49" s="722"/>
      <c r="AK49" s="722"/>
      <c r="AL49" s="722"/>
      <c r="AM49" s="7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21"/>
      <c r="K50" s="722"/>
      <c r="L50" s="722"/>
      <c r="M50" s="722"/>
      <c r="N50" s="722"/>
      <c r="O50" s="723"/>
      <c r="P50" s="721"/>
      <c r="Q50" s="722"/>
      <c r="R50" s="722"/>
      <c r="S50" s="722"/>
      <c r="T50" s="722"/>
      <c r="U50" s="723"/>
      <c r="V50" s="721"/>
      <c r="W50" s="722"/>
      <c r="X50" s="722"/>
      <c r="Y50" s="722"/>
      <c r="Z50" s="722"/>
      <c r="AA50" s="723"/>
      <c r="AB50" s="721"/>
      <c r="AC50" s="722"/>
      <c r="AD50" s="722"/>
      <c r="AE50" s="722"/>
      <c r="AF50" s="722"/>
      <c r="AG50" s="723"/>
      <c r="AH50" s="721"/>
      <c r="AI50" s="722"/>
      <c r="AJ50" s="722"/>
      <c r="AK50" s="722"/>
      <c r="AL50" s="722"/>
      <c r="AM50" s="7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24"/>
      <c r="K51" s="725"/>
      <c r="L51" s="725"/>
      <c r="M51" s="725"/>
      <c r="N51" s="725"/>
      <c r="O51" s="726"/>
      <c r="P51" s="724"/>
      <c r="Q51" s="725"/>
      <c r="R51" s="725"/>
      <c r="S51" s="725"/>
      <c r="T51" s="725"/>
      <c r="U51" s="726"/>
      <c r="V51" s="724"/>
      <c r="W51" s="725"/>
      <c r="X51" s="725"/>
      <c r="Y51" s="725"/>
      <c r="Z51" s="725"/>
      <c r="AA51" s="726"/>
      <c r="AB51" s="724"/>
      <c r="AC51" s="725"/>
      <c r="AD51" s="725"/>
      <c r="AE51" s="725"/>
      <c r="AF51" s="725"/>
      <c r="AG51" s="726"/>
      <c r="AH51" s="724"/>
      <c r="AI51" s="725"/>
      <c r="AJ51" s="725"/>
      <c r="AK51" s="725"/>
      <c r="AL51" s="725"/>
      <c r="AM51" s="7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2" zoomScale="50" zoomScaleNormal="50" workbookViewId="0">
      <selection activeCell="AB32" sqref="AB3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00" t="s">
        <v>203</v>
      </c>
      <c r="C2" s="801"/>
      <c r="D2" s="801"/>
      <c r="E2" s="801"/>
      <c r="F2" s="801"/>
      <c r="G2" s="801"/>
      <c r="H2" s="801"/>
      <c r="I2" s="801"/>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01"/>
      <c r="C3" s="801"/>
      <c r="D3" s="801"/>
      <c r="E3" s="801"/>
      <c r="F3" s="801"/>
      <c r="G3" s="801"/>
      <c r="H3" s="801"/>
      <c r="I3" s="801"/>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01"/>
      <c r="C4" s="801"/>
      <c r="D4" s="801"/>
      <c r="E4" s="801"/>
      <c r="F4" s="801"/>
      <c r="G4" s="801"/>
      <c r="H4" s="801"/>
      <c r="I4" s="801"/>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6" t="s">
        <v>188</v>
      </c>
      <c r="C6" s="716"/>
      <c r="D6" s="717"/>
      <c r="E6" s="802" t="s">
        <v>189</v>
      </c>
      <c r="F6" s="803"/>
      <c r="G6" s="803"/>
      <c r="H6" s="803"/>
      <c r="I6" s="804"/>
      <c r="J6" s="248" t="str">
        <f>IF(AND('Mapa final SI'!$AC$10="Muy Alta",'Mapa final SI'!$AE$10="Leve"),CONCATENATE("R1C",'Mapa final SI'!$S$10),"")</f>
        <v/>
      </c>
      <c r="K6" s="249" t="str">
        <f>IF(AND('Mapa final SI'!$AC$11="Muy Alta",'Mapa final SI'!$AE$11="Leve"),CONCATENATE("R1C",'Mapa final SI'!$S$11),"")</f>
        <v/>
      </c>
      <c r="L6" s="249" t="str">
        <f>IF(AND('Mapa final SI'!$AC$12="Muy Alta",'Mapa final SI'!$AE$12="Leve"),CONCATENATE("R1C",'Mapa final SI'!$S$12),"")</f>
        <v/>
      </c>
      <c r="M6" s="249" t="str">
        <f>IF(AND('Mapa final'!$AC$13="Muy Alta",'Mapa final'!$AE$13="Leve"),CONCATENATE("R1C",'Mapa final'!$S$13),"")</f>
        <v/>
      </c>
      <c r="N6" s="249" t="str">
        <f>IF(AND('Mapa final'!$AC$14="Muy Alta",'Mapa final'!$AE$14="Leve"),CONCATENATE("R1C",'Mapa final'!$S$14),"")</f>
        <v/>
      </c>
      <c r="O6" s="250" t="str">
        <f>IF(AND('Mapa final'!$AC$15="Muy Alta",'Mapa final'!$AE$15="Leve"),CONCATENATE("R1C",'Mapa final'!$S$15),"")</f>
        <v/>
      </c>
      <c r="P6" s="248" t="str">
        <f>IF(AND('Mapa final'!$AC$10="Muy Alta",'Mapa final'!$AE$10="Menor"),CONCATENATE("R1C",'Mapa final'!$S$10),"")</f>
        <v/>
      </c>
      <c r="Q6" s="249" t="str">
        <f>IF(AND('Mapa final'!$AC$11="Muy Alta",'Mapa final'!$AE$11="Menor"),CONCATENATE("R1C",'Mapa final'!$S$11),"")</f>
        <v/>
      </c>
      <c r="R6" s="249" t="str">
        <f>IF(AND('Mapa final'!$AC$12="Muy Alta",'Mapa final'!$AE$12="Menor"),CONCATENATE("R1C",'Mapa final'!$S$12),"")</f>
        <v/>
      </c>
      <c r="S6" s="249" t="str">
        <f>IF(AND('Mapa final'!$AC$13="Muy Alta",'Mapa final'!$AE$13="Menor"),CONCATENATE("R1C",'Mapa final'!$S$13),"")</f>
        <v/>
      </c>
      <c r="T6" s="249" t="str">
        <f>IF(AND('Mapa final'!$AC$14="Muy Alta",'Mapa final'!$AE$14="Menor"),CONCATENATE("R1C",'Mapa final'!$S$14),"")</f>
        <v/>
      </c>
      <c r="U6" s="250" t="str">
        <f>IF(AND('Mapa final'!$AC$15="Muy Alta",'Mapa final'!$AE$15="Menor"),CONCATENATE("R1C",'Mapa final'!$S$15),"")</f>
        <v/>
      </c>
      <c r="V6" s="248" t="str">
        <f>IF(AND('Mapa final'!$AC$10="Muy Alta",'Mapa final'!$AE$10="Moderado"),CONCATENATE("R1C",'Mapa final'!$S$10),"")</f>
        <v/>
      </c>
      <c r="W6" s="249" t="str">
        <f>IF(AND('Mapa final'!$AC$11="Muy Alta",'Mapa final'!$AE$11="Moderado"),CONCATENATE("R1C",'Mapa final'!$S$11),"")</f>
        <v/>
      </c>
      <c r="X6" s="249" t="str">
        <f>IF(AND('Mapa final'!$AC$12="Muy Alta",'Mapa final'!$AE$12="Moderado"),CONCATENATE("R1C",'Mapa final'!$S$12),"")</f>
        <v/>
      </c>
      <c r="Y6" s="249" t="str">
        <f>IF(AND('Mapa final'!$AC$13="Muy Alta",'Mapa final'!$AE$13="Moderado"),CONCATENATE("R1C",'Mapa final'!$S$13),"")</f>
        <v/>
      </c>
      <c r="Z6" s="249" t="str">
        <f>IF(AND('Mapa final'!$AC$14="Muy Alta",'Mapa final'!$AE$14="Moderado"),CONCATENATE("R1C",'Mapa final'!$S$14),"")</f>
        <v/>
      </c>
      <c r="AA6" s="250" t="str">
        <f>IF(AND('Mapa final'!$AC$15="Muy Alta",'Mapa final'!$AE$15="Moderado"),CONCATENATE("R1C",'Mapa final'!$S$15),"")</f>
        <v/>
      </c>
      <c r="AB6" s="248" t="str">
        <f>IF(AND('Mapa final SI'!$AC$10="Muy Alta",'Mapa final SI'!$AE$10="Mayor"),CONCATENATE("R1C",'Mapa final SI'!$S$10),"")</f>
        <v/>
      </c>
      <c r="AC6" s="249" t="str">
        <f>IF(AND('Mapa final'!$AC$11="Muy Alta",'Mapa final'!$AE$11="Mayor"),CONCATENATE("R1C",'Mapa final'!$S$11),"")</f>
        <v/>
      </c>
      <c r="AD6" s="249" t="str">
        <f>IF(AND('Mapa final'!$AC$12="Muy Alta",'Mapa final'!$AE$12="Mayor"),CONCATENATE("R1C",'Mapa final'!$S$12),"")</f>
        <v/>
      </c>
      <c r="AE6" s="249" t="str">
        <f>IF(AND('Mapa final'!$AC$13="Muy Alta",'Mapa final'!$AE$13="Mayor"),CONCATENATE("R1C",'Mapa final'!$S$13),"")</f>
        <v/>
      </c>
      <c r="AF6" s="249" t="str">
        <f>IF(AND('Mapa final'!$AC$14="Muy Alta",'Mapa final'!$AE$14="Mayor"),CONCATENATE("R1C",'Mapa final'!$S$14),"")</f>
        <v/>
      </c>
      <c r="AG6" s="250" t="str">
        <f>IF(AND('Mapa final'!$AC$15="Muy Alta",'Mapa final'!$AE$15="Mayor"),CONCATENATE("R1C",'Mapa final'!$S$15),"")</f>
        <v/>
      </c>
      <c r="AH6" s="251" t="str">
        <f>IF(AND('Mapa final'!$AC$10="Muy Alta",'Mapa final'!$AE$10="Catastrófico"),CONCATENATE("R1C",'Mapa final'!$S$10),"")</f>
        <v/>
      </c>
      <c r="AI6" s="252" t="str">
        <f>IF(AND('Mapa final'!$AC$11="Muy Alta",'Mapa final'!$AE$11="Catastrófico"),CONCATENATE("R1C",'Mapa final'!$S$11),"")</f>
        <v/>
      </c>
      <c r="AJ6" s="252" t="str">
        <f>IF(AND('Mapa final'!$AC$12="Muy Alta",'Mapa final'!$AE$12="Catastrófico"),CONCATENATE("R1C",'Mapa final'!$S$12),"")</f>
        <v/>
      </c>
      <c r="AK6" s="252" t="str">
        <f>IF(AND('Mapa final'!$AC$13="Muy Alta",'Mapa final'!$AE$13="Catastrófico"),CONCATENATE("R1C",'Mapa final'!$S$13),"")</f>
        <v/>
      </c>
      <c r="AL6" s="252" t="str">
        <f>IF(AND('Mapa final'!$AC$14="Muy Alta",'Mapa final'!$AE$14="Catastrófico"),CONCATENATE("R1C",'Mapa final'!$S$14),"")</f>
        <v/>
      </c>
      <c r="AM6" s="253" t="str">
        <f>IF(AND('Mapa final'!$AC$15="Muy Alta",'Mapa final'!$AE$15="Catastrófico"),CONCATENATE("R1C",'Mapa final'!$S$15),"")</f>
        <v/>
      </c>
      <c r="AN6" s="15"/>
      <c r="AO6" s="811" t="s">
        <v>190</v>
      </c>
      <c r="AP6" s="812"/>
      <c r="AQ6" s="812"/>
      <c r="AR6" s="812"/>
      <c r="AS6" s="812"/>
      <c r="AT6" s="8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6"/>
      <c r="C7" s="716"/>
      <c r="D7" s="717"/>
      <c r="E7" s="805"/>
      <c r="F7" s="806"/>
      <c r="G7" s="806"/>
      <c r="H7" s="806"/>
      <c r="I7" s="807"/>
      <c r="J7" s="254" t="str">
        <f>IF(AND('Mapa final SI'!$AC$16="Muy Alta",'Mapa final SI'!$AE$16="Leve"),CONCATENATE("R2C",'Mapa final SI'!$S$16),"")</f>
        <v/>
      </c>
      <c r="K7" s="255" t="str">
        <f>IF(AND('Mapa final SI'!$AC$17="Muy Alta",'Mapa final SI'!$AE$17="Leve"),CONCATENATE("R2C",'Mapa final SI'!$S$17),"")</f>
        <v/>
      </c>
      <c r="L7" s="255" t="str">
        <f>IF(AND('Mapa final SI'!$AC$18="Muy Alta",'Mapa final SI'!$AE$18="Leve"),CONCATENATE("R2C",'Mapa final SI'!$S$18),"")</f>
        <v/>
      </c>
      <c r="M7" s="255" t="str">
        <f>IF(AND('Mapa final SI'!$AC$19="Muy Alta",'Mapa final SI'!$AE$19="Leve"),CONCATENATE("R2C",'Mapa final SI'!$S$19),"")</f>
        <v/>
      </c>
      <c r="N7" s="255" t="str">
        <f>IF(AND('Mapa final SI'!$AC$20="Muy Alta",'Mapa final SI'!$AE$20="Leve"),CONCATENATE("R2C",'Mapa final SI'!$S$20),"")</f>
        <v/>
      </c>
      <c r="O7" s="256" t="str">
        <f>IF(AND('Mapa final SI'!$AC$21="Muy Alta",'Mapa final SI'!$AE$21="Leve"),CONCATENATE("R2C",'Mapa final SI'!$S$21),"")</f>
        <v/>
      </c>
      <c r="P7" s="254" t="str">
        <f>IF(AND('Mapa final SI'!$AC$16="Muy Alta",'Mapa final SI'!$AE$16="Menor"),CONCATENATE("R2C",'Mapa final SI'!$S$16),"")</f>
        <v/>
      </c>
      <c r="Q7" s="255" t="str">
        <f>IF(AND('Mapa final SI'!$AC$17="Muy Alta",'Mapa final SI'!$AE$17="Menor"),CONCATENATE("R2C",'Mapa final SI'!$S$17),"")</f>
        <v/>
      </c>
      <c r="R7" s="255" t="str">
        <f>IF(AND('Mapa final SI'!$AC$18="Muy Alta",'Mapa final SI'!$AE$18="Menor"),CONCATENATE("R2C",'Mapa final SI'!$S$18),"")</f>
        <v/>
      </c>
      <c r="S7" s="255" t="str">
        <f>IF(AND('Mapa final SI'!$AC$19="Muy Alta",'Mapa final SI'!$AE$19="Menor"),CONCATENATE("R2C",'Mapa final SI'!$S$19),"")</f>
        <v/>
      </c>
      <c r="T7" s="255" t="str">
        <f>IF(AND('Mapa final SI'!$AC$20="Muy Alta",'Mapa final SI'!$AE$20="Menor"),CONCATENATE("R2C",'Mapa final SI'!$S$20),"")</f>
        <v/>
      </c>
      <c r="U7" s="256" t="str">
        <f>IF(AND('Mapa final SI'!$AC$21="Muy Alta",'Mapa final SI'!$AE$21="Menor"),CONCATENATE("R2C",'Mapa final SI'!$S$21),"")</f>
        <v/>
      </c>
      <c r="V7" s="254" t="str">
        <f>IF(AND('Mapa final SI'!$AC$16="Muy Alta",'Mapa final SI'!$AE$16="Moderado"),CONCATENATE("R2C",'Mapa final SI'!$S$16),"")</f>
        <v/>
      </c>
      <c r="W7" s="255" t="str">
        <f>IF(AND('Mapa final SI'!$AC$17="Muy Alta",'Mapa final SI'!$AE$17="Moderado"),CONCATENATE("R2C",'Mapa final SI'!$S$17),"")</f>
        <v/>
      </c>
      <c r="X7" s="255" t="str">
        <f>IF(AND('Mapa final SI'!$AC$18="Muy Alta",'Mapa final SI'!$AE$18="Moderado"),CONCATENATE("R2C",'Mapa final SI'!$S$18),"")</f>
        <v/>
      </c>
      <c r="Y7" s="255" t="str">
        <f>IF(AND('Mapa final SI'!$AC$19="Muy Alta",'Mapa final SI'!$AE$19="Moderado"),CONCATENATE("R2C",'Mapa final SI'!$S$19),"")</f>
        <v/>
      </c>
      <c r="Z7" s="255" t="str">
        <f>IF(AND('Mapa final SI'!$AC$20="Muy Alta",'Mapa final SI'!$AE$20="Moderado"),CONCATENATE("R2C",'Mapa final SI'!$S$20),"")</f>
        <v/>
      </c>
      <c r="AA7" s="256" t="str">
        <f>IF(AND('Mapa final SI'!$AC$21="Muy Alta",'Mapa final SI'!$AE$21="Moderado"),CONCATENATE("R2C",'Mapa final SI'!$S$21),"")</f>
        <v/>
      </c>
      <c r="AB7" s="254" t="str">
        <f>IF(AND('Mapa final SI'!$AC$16="Muy Alta",'Mapa final SI'!$AE$16="Mayor"),CONCATENATE("R2C",'Mapa final SI'!$S$16),"")</f>
        <v/>
      </c>
      <c r="AC7" s="255" t="str">
        <f>IF(AND('Mapa final SI'!$AC$17="Muy Alta",'Mapa final SI'!$AE$17="Mayor"),CONCATENATE("R2C",'Mapa final SI'!$S$17),"")</f>
        <v/>
      </c>
      <c r="AD7" s="255" t="str">
        <f>IF(AND('Mapa final SI'!$AC$18="Muy Alta",'Mapa final SI'!$AE$18="Mayor"),CONCATENATE("R2C",'Mapa final SI'!$S$18),"")</f>
        <v/>
      </c>
      <c r="AE7" s="255" t="str">
        <f>IF(AND('Mapa final SI'!$AC$19="Muy Alta",'Mapa final SI'!$AE$19="Mayor"),CONCATENATE("R2C",'Mapa final SI'!$S$19),"")</f>
        <v/>
      </c>
      <c r="AF7" s="255" t="str">
        <f>IF(AND('Mapa final SI'!$AC$20="Muy Alta",'Mapa final SI'!$AE$20="Mayor"),CONCATENATE("R2C",'Mapa final SI'!$S$20),"")</f>
        <v/>
      </c>
      <c r="AG7" s="256" t="str">
        <f>IF(AND('Mapa final SI'!$AC$21="Muy Alta",'Mapa final SI'!$AE$21="Mayor"),CONCATENATE("R2C",'Mapa final SI'!$S$21),"")</f>
        <v/>
      </c>
      <c r="AH7" s="257" t="str">
        <f>IF(AND('Mapa final SI'!$AC$16="Muy Alta",'Mapa final SI'!$AE$16="Catastrófico"),CONCATENATE("R2C",'Mapa final SI'!$S$16),"")</f>
        <v/>
      </c>
      <c r="AI7" s="258" t="str">
        <f>IF(AND('Mapa final SI'!$AC$17="Muy Alta",'Mapa final SI'!$AE$17="Catastrófico"),CONCATENATE("R2C",'Mapa final SI'!$S$17),"")</f>
        <v/>
      </c>
      <c r="AJ7" s="258" t="str">
        <f>IF(AND('Mapa final SI'!$AC$18="Muy Alta",'Mapa final SI'!$AE$18="Catastrófico"),CONCATENATE("R2C",'Mapa final SI'!$S$18),"")</f>
        <v/>
      </c>
      <c r="AK7" s="258" t="str">
        <f>IF(AND('Mapa final SI'!$AC$19="Muy Alta",'Mapa final SI'!$AE$19="Catastrófico"),CONCATENATE("R2C",'Mapa final SI'!$S$19),"")</f>
        <v/>
      </c>
      <c r="AL7" s="258" t="str">
        <f>IF(AND('Mapa final SI'!$AC$20="Muy Alta",'Mapa final SI'!$AE$20="Catastrófico"),CONCATENATE("R2C",'Mapa final SI'!$S$20),"")</f>
        <v/>
      </c>
      <c r="AM7" s="259" t="str">
        <f>IF(AND('Mapa final SI'!$AC$21="Muy Alta",'Mapa final SI'!$AE$21="Catastrófico"),CONCATENATE("R2C",'Mapa final SI'!$S$21),"")</f>
        <v/>
      </c>
      <c r="AN7" s="15"/>
      <c r="AO7" s="814"/>
      <c r="AP7" s="815"/>
      <c r="AQ7" s="815"/>
      <c r="AR7" s="815"/>
      <c r="AS7" s="815"/>
      <c r="AT7" s="8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6"/>
      <c r="C8" s="716"/>
      <c r="D8" s="717"/>
      <c r="E8" s="805"/>
      <c r="F8" s="806"/>
      <c r="G8" s="806"/>
      <c r="H8" s="806"/>
      <c r="I8" s="807"/>
      <c r="J8" s="254" t="str">
        <f>IF(AND('Mapa final SI'!$AC$22="Muy Alta",'Mapa final SI'!$AE$22="Leve"),CONCATENATE("R3C",'Mapa final SI'!$S$22),"")</f>
        <v/>
      </c>
      <c r="K8" s="255" t="str">
        <f>IF(AND('Mapa final SI'!$AC$23="Muy Alta",'Mapa final SI'!$AE$23="Leve"),CONCATENATE("R3C",'Mapa final SI'!$S$23),"")</f>
        <v/>
      </c>
      <c r="L8" s="255" t="str">
        <f>IF(AND('Mapa final SI'!$AC$24="Muy Alta",'Mapa final SI'!$AE$24="Leve"),CONCATENATE("R3C",'Mapa final SI'!$S$24),"")</f>
        <v/>
      </c>
      <c r="M8" s="255" t="str">
        <f>IF(AND('Mapa final SI'!$AC$25="Muy Alta",'Mapa final SI'!$AE$25="Leve"),CONCATENATE("R3C",'Mapa final SI'!$S$25),"")</f>
        <v/>
      </c>
      <c r="N8" s="255" t="str">
        <f>IF(AND('Mapa final SI'!$AC$26="Muy Alta",'Mapa final SI'!$AE$26="Leve"),CONCATENATE("R3C",'Mapa final SI'!$S$26),"")</f>
        <v/>
      </c>
      <c r="O8" s="256" t="str">
        <f>IF(AND('Mapa final SI'!$AC$27="Muy Alta",'Mapa final SI'!$AE$27="Leve"),CONCATENATE("R3C",'Mapa final SI'!$S$27),"")</f>
        <v/>
      </c>
      <c r="P8" s="254" t="str">
        <f>IF(AND('Mapa final SI'!$AC$22="Muy Alta",'Mapa final SI'!$AE$22="Menor"),CONCATENATE("R3C",'Mapa final SI'!$S$22),"")</f>
        <v/>
      </c>
      <c r="Q8" s="255" t="str">
        <f>IF(AND('Mapa final SI'!$AC$23="Muy Alta",'Mapa final SI'!$AE$23="Menor"),CONCATENATE("R3C",'Mapa final SI'!$S$23),"")</f>
        <v/>
      </c>
      <c r="R8" s="255" t="str">
        <f>IF(AND('Mapa final SI'!$AC$24="Muy Alta",'Mapa final SI'!$AE$24="Menor"),CONCATENATE("R3C",'Mapa final SI'!$S$24),"")</f>
        <v/>
      </c>
      <c r="S8" s="255" t="str">
        <f>IF(AND('Mapa final SI'!$AC$25="Muy Alta",'Mapa final SI'!$AE$25="Menor"),CONCATENATE("R3C",'Mapa final SI'!$S$25),"")</f>
        <v/>
      </c>
      <c r="T8" s="255" t="str">
        <f>IF(AND('Mapa final SI'!$AC$26="Muy Alta",'Mapa final SI'!$AE$26="Menor"),CONCATENATE("R3C",'Mapa final SI'!$S$26),"")</f>
        <v/>
      </c>
      <c r="U8" s="256" t="str">
        <f>IF(AND('Mapa final SI'!$AC$27="Muy Alta",'Mapa final SI'!$AE$27="Menor"),CONCATENATE("R3C",'Mapa final SI'!$S$27),"")</f>
        <v/>
      </c>
      <c r="V8" s="254" t="str">
        <f>IF(AND('Mapa final SI'!$AC$22="Muy Alta",'Mapa final SI'!$AE$22="Moderado"),CONCATENATE("R3C",'Mapa final SI'!$S$22),"")</f>
        <v/>
      </c>
      <c r="W8" s="255" t="str">
        <f>IF(AND('Mapa final SI'!$AC$23="Muy Alta",'Mapa final SI'!$AE$23="Moderado"),CONCATENATE("R3C",'Mapa final SI'!$S$23),"")</f>
        <v/>
      </c>
      <c r="X8" s="255" t="str">
        <f>IF(AND('Mapa final SI'!$AC$24="Muy Alta",'Mapa final SI'!$AE$24="Moderado"),CONCATENATE("R3C",'Mapa final SI'!$S$24),"")</f>
        <v/>
      </c>
      <c r="Y8" s="255" t="str">
        <f>IF(AND('Mapa final SI'!$AC$25="Muy Alta",'Mapa final SI'!$AE$25="Moderado"),CONCATENATE("R3C",'Mapa final SI'!$S$25),"")</f>
        <v/>
      </c>
      <c r="Z8" s="255" t="str">
        <f>IF(AND('Mapa final SI'!$AC$26="Muy Alta",'Mapa final SI'!$AE$26="Moderado"),CONCATENATE("R3C",'Mapa final SI'!$S$26),"")</f>
        <v/>
      </c>
      <c r="AA8" s="256" t="str">
        <f>IF(AND('Mapa final SI'!$AC$27="Muy Alta",'Mapa final SI'!$AE$27="Moderado"),CONCATENATE("R3C",'Mapa final SI'!$S$27),"")</f>
        <v/>
      </c>
      <c r="AB8" s="254" t="str">
        <f>IF(AND('Mapa final SI'!$AC$22="Muy Alta",'Mapa final SI'!$AE$22="Mayor"),CONCATENATE("R3C",'Mapa final SI'!$S$22),"")</f>
        <v/>
      </c>
      <c r="AC8" s="255" t="str">
        <f>IF(AND('Mapa final SI'!$AC$23="Muy Alta",'Mapa final SI'!$AE$23="Mayor"),CONCATENATE("R3C",'Mapa final SI'!$S$23),"")</f>
        <v/>
      </c>
      <c r="AD8" s="255" t="str">
        <f>IF(AND('Mapa final SI'!$AC$24="Muy Alta",'Mapa final SI'!$AE$24="Mayor"),CONCATENATE("R3C",'Mapa final SI'!$S$24),"")</f>
        <v/>
      </c>
      <c r="AE8" s="255" t="str">
        <f>IF(AND('Mapa final SI'!$AC$25="Muy Alta",'Mapa final SI'!$AE$25="Mayor"),CONCATENATE("R3C",'Mapa final SI'!$S$25),"")</f>
        <v/>
      </c>
      <c r="AF8" s="255" t="str">
        <f>IF(AND('Mapa final SI'!$AC$26="Muy Alta",'Mapa final SI'!$AE$26="Mayor"),CONCATENATE("R3C",'Mapa final SI'!$S$26),"")</f>
        <v/>
      </c>
      <c r="AG8" s="256" t="str">
        <f>IF(AND('Mapa final SI'!$AC$27="Muy Alta",'Mapa final SI'!$AE$27="Mayor"),CONCATENATE("R3C",'Mapa final SI'!$S$27),"")</f>
        <v/>
      </c>
      <c r="AH8" s="257" t="str">
        <f>IF(AND('Mapa final SI'!$AC$22="Muy Alta",'Mapa final SI'!$AE$22="Catastrófico"),CONCATENATE("R3C",'Mapa final SI'!$S$22),"")</f>
        <v/>
      </c>
      <c r="AI8" s="258" t="str">
        <f>IF(AND('Mapa final SI'!$AC$23="Muy Alta",'Mapa final SI'!$AE$23="Catastrófico"),CONCATENATE("R3C",'Mapa final SI'!$S$23),"")</f>
        <v/>
      </c>
      <c r="AJ8" s="258" t="str">
        <f>IF(AND('Mapa final SI'!$AC$24="Muy Alta",'Mapa final SI'!$AE$24="Catastrófico"),CONCATENATE("R3C",'Mapa final SI'!$S$24),"")</f>
        <v/>
      </c>
      <c r="AK8" s="258" t="str">
        <f>IF(AND('Mapa final SI'!$AC$25="Muy Alta",'Mapa final SI'!$AE$25="Catastrófico"),CONCATENATE("R3C",'Mapa final SI'!$S$25),"")</f>
        <v/>
      </c>
      <c r="AL8" s="258" t="str">
        <f>IF(AND('Mapa final SI'!$AC$26="Muy Alta",'Mapa final SI'!$AE$26="Catastrófico"),CONCATENATE("R3C",'Mapa final SI'!$S$26),"")</f>
        <v/>
      </c>
      <c r="AM8" s="259" t="str">
        <f>IF(AND('Mapa final SI'!$AC$27="Muy Alta",'Mapa final SI'!$AE$27="Catastrófico"),CONCATENATE("R3C",'Mapa final SI'!$S$27),"")</f>
        <v/>
      </c>
      <c r="AN8" s="15"/>
      <c r="AO8" s="814"/>
      <c r="AP8" s="815"/>
      <c r="AQ8" s="815"/>
      <c r="AR8" s="815"/>
      <c r="AS8" s="815"/>
      <c r="AT8" s="8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6"/>
      <c r="C9" s="716"/>
      <c r="D9" s="717"/>
      <c r="E9" s="805"/>
      <c r="F9" s="806"/>
      <c r="G9" s="806"/>
      <c r="H9" s="806"/>
      <c r="I9" s="807"/>
      <c r="J9" s="254" t="str">
        <f>IF(AND('Mapa final SI'!$AC$28="Muy Alta",'Mapa final SI'!$AE$28="Leve"),CONCATENATE("R4C",'Mapa final SI'!$S$28),"")</f>
        <v/>
      </c>
      <c r="K9" s="255" t="str">
        <f>IF(AND('Mapa final SI'!$AC$29="Muy Alta",'Mapa final SI'!$AE$29="Leve"),CONCATENATE("R4C",'Mapa final SI'!$S$29),"")</f>
        <v/>
      </c>
      <c r="L9" s="255" t="str">
        <f>IF(AND('Mapa final SI'!$AC$30="Muy Alta",'Mapa final SI'!$AE$30="Leve"),CONCATENATE("R4C",'Mapa final SI'!$S$30),"")</f>
        <v/>
      </c>
      <c r="M9" s="255" t="str">
        <f>IF(AND('Mapa final SI'!$AC$31="Muy Alta",'Mapa final SI'!$AE$31="Leve"),CONCATENATE("R4C",'Mapa final SI'!$S$31),"")</f>
        <v/>
      </c>
      <c r="N9" s="255" t="str">
        <f>IF(AND('Mapa final SI'!$AC$32="Muy Alta",'Mapa final SI'!$AE$32="Leve"),CONCATENATE("R4C",'Mapa final SI'!$S$32),"")</f>
        <v/>
      </c>
      <c r="O9" s="256" t="str">
        <f>IF(AND('Mapa final SI'!$AC$33="Muy Alta",'Mapa final SI'!$AE$33="Leve"),CONCATENATE("R4C",'Mapa final SI'!$S$33),"")</f>
        <v/>
      </c>
      <c r="P9" s="254" t="str">
        <f>IF(AND('Mapa final'!$AC$28="Muy Alta",'Mapa final'!$AE$28="Menor"),CONCATENATE("R4C",'Mapa final'!$S$28),"")</f>
        <v/>
      </c>
      <c r="Q9" s="255" t="str">
        <f>IF(AND('Mapa final SI'!$AC$29="Muy Alta",'Mapa final SI'!$AE$29="Menor"),CONCATENATE("R4C",'Mapa final SI'!$S$29),"")</f>
        <v/>
      </c>
      <c r="R9" s="255" t="str">
        <f>IF(AND('Mapa final SI'!$AC$30="Muy Alta",'Mapa final SI'!$AE$30="Menor"),CONCATENATE("R4C",'Mapa final SI'!$S$30),"")</f>
        <v/>
      </c>
      <c r="S9" s="255" t="str">
        <f>IF(AND('Mapa final SI'!$AC$31="Muy Alta",'Mapa final SI'!$AE$31="Menor"),CONCATENATE("R4C",'Mapa final SI'!$S$31),"")</f>
        <v/>
      </c>
      <c r="T9" s="255" t="str">
        <f>IF(AND('Mapa final SI'!$AC$32="Muy Alta",'Mapa final SI'!$AE$32="Menor"),CONCATENATE("R4C",'Mapa final SI'!$S$32),"")</f>
        <v/>
      </c>
      <c r="U9" s="256" t="str">
        <f>IF(AND('Mapa final SI'!$AC$33="Muy Alta",'Mapa final SI'!$AE$33="Menor"),CONCATENATE("R4C",'Mapa final SI'!$S$33),"")</f>
        <v/>
      </c>
      <c r="V9" s="254" t="str">
        <f>IF(AND('Mapa final SI'!$AC$28="Muy Alta",'Mapa final SI'!$AE$28="Moderado"),CONCATENATE("R4C",'Mapa final SI'!$S$28),"")</f>
        <v/>
      </c>
      <c r="W9" s="255" t="str">
        <f>IF(AND('Mapa final SI'!$AC$29="Muy Alta",'Mapa final SI'!$AE$29="Moderado"),CONCATENATE("R4C",'Mapa final SI'!$S$29),"")</f>
        <v/>
      </c>
      <c r="X9" s="255" t="str">
        <f>IF(AND('Mapa final SI'!$AC$30="Muy Alta",'Mapa final SI'!$AE$30="Moderado"),CONCATENATE("R4C",'Mapa final SI'!$S$30),"")</f>
        <v/>
      </c>
      <c r="Y9" s="255" t="str">
        <f>IF(AND('Mapa final SI'!$AC$31="Muy Alta",'Mapa final SI'!$AE$31="Moderado"),CONCATENATE("R4C",'Mapa final SI'!$S$31),"")</f>
        <v/>
      </c>
      <c r="Z9" s="255" t="str">
        <f>IF(AND('Mapa final SI'!$AC$32="Muy Alta",'Mapa final SI'!$AE$32="Moderado"),CONCATENATE("R4C",'Mapa final SI'!$S$32),"")</f>
        <v/>
      </c>
      <c r="AA9" s="256" t="str">
        <f>IF(AND('Mapa final SI'!$AC$33="Muy Alta",'Mapa final SI'!$AE$33="Moderado"),CONCATENATE("R4C",'Mapa final SI'!$S$33),"")</f>
        <v/>
      </c>
      <c r="AB9" s="254" t="str">
        <f>IF(AND('Mapa final SI'!$AC$28="Muy Alta",'Mapa final SI'!$AE$28="Mayor"),CONCATENATE("R4C",'Mapa final SI'!$S$28),"")</f>
        <v/>
      </c>
      <c r="AC9" s="255" t="str">
        <f>IF(AND('Mapa final SI'!$AC$29="Muy Alta",'Mapa final SI'!$AE$29="Mayor"),CONCATENATE("R4C",'Mapa final SI'!$S$29),"")</f>
        <v/>
      </c>
      <c r="AD9" s="255" t="str">
        <f>IF(AND('Mapa final SI'!$AC$30="Muy Alta",'Mapa final SI'!$AE$30="Mayor"),CONCATENATE("R4C",'Mapa final SI'!$S$30),"")</f>
        <v/>
      </c>
      <c r="AE9" s="255" t="str">
        <f>IF(AND('Mapa final SI'!$AC$31="Muy Alta",'Mapa final SI'!$AE$31="Mayor"),CONCATENATE("R4C",'Mapa final SI'!$S$31),"")</f>
        <v/>
      </c>
      <c r="AF9" s="255" t="str">
        <f>IF(AND('Mapa final SI'!$AC$32="Muy Alta",'Mapa final SI'!$AE$32="Mayor"),CONCATENATE("R4C",'Mapa final SI'!$S$32),"")</f>
        <v/>
      </c>
      <c r="AG9" s="256" t="str">
        <f>IF(AND('Mapa final SI'!$AC$33="Muy Alta",'Mapa final SI'!$AE$33="Mayor"),CONCATENATE("R4C",'Mapa final SI'!$S$33),"")</f>
        <v/>
      </c>
      <c r="AH9" s="257" t="str">
        <f>IF(AND('Mapa final SI'!$AC$28="Muy Alta",'Mapa final SI'!$AE$28="Catastrófico"),CONCATENATE("R4C",'Mapa final SI'!$S$28),"")</f>
        <v/>
      </c>
      <c r="AI9" s="258" t="str">
        <f>IF(AND('Mapa final SI'!$AC$29="Muy Alta",'Mapa final SI'!$AE$29="Catastrófico"),CONCATENATE("R4C",'Mapa final SI'!$S$29),"")</f>
        <v/>
      </c>
      <c r="AJ9" s="258" t="str">
        <f>IF(AND('Mapa final SI'!$AC$30="Muy Alta",'Mapa final SI'!$AE$30="Catastrófico"),CONCATENATE("R4C",'Mapa final SI'!$S$30),"")</f>
        <v/>
      </c>
      <c r="AK9" s="258" t="str">
        <f>IF(AND('Mapa final SI'!$AC$31="Muy Alta",'Mapa final SI'!$AE$31="Catastrófico"),CONCATENATE("R4C",'Mapa final SI'!$S$31),"")</f>
        <v/>
      </c>
      <c r="AL9" s="258" t="str">
        <f>IF(AND('Mapa final SI'!$AC$32="Muy Alta",'Mapa final SI'!$AE$32="Catastrófico"),CONCATENATE("R4C",'Mapa final SI'!$S$32),"")</f>
        <v/>
      </c>
      <c r="AM9" s="259" t="str">
        <f>IF(AND('Mapa final SI'!$AC$33="Muy Alta",'Mapa final SI'!$AE$33="Catastrófico"),CONCATENATE("R4C",'Mapa final SI'!$S$33),"")</f>
        <v/>
      </c>
      <c r="AN9" s="15"/>
      <c r="AO9" s="814"/>
      <c r="AP9" s="815"/>
      <c r="AQ9" s="815"/>
      <c r="AR9" s="815"/>
      <c r="AS9" s="815"/>
      <c r="AT9" s="8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6"/>
      <c r="C10" s="716"/>
      <c r="D10" s="717"/>
      <c r="E10" s="805"/>
      <c r="F10" s="806"/>
      <c r="G10" s="806"/>
      <c r="H10" s="806"/>
      <c r="I10" s="807"/>
      <c r="J10" s="254" t="str">
        <f>IF(AND('Mapa final SI'!$AC$34="Muy Alta",'Mapa final SI'!$AE$34="Leve"),CONCATENATE("R5C",'Mapa final SI'!$S$34),"")</f>
        <v/>
      </c>
      <c r="K10" s="255" t="str">
        <f>IF(AND('Mapa final SI'!$AC$35="Muy Alta",'Mapa final SI'!$AE$35="Leve"),CONCATENATE("R5C",'Mapa final SI'!$S$35),"")</f>
        <v/>
      </c>
      <c r="L10" s="255" t="str">
        <f>IF(AND('Mapa final SI'!$AC$36="Muy Alta",'Mapa final SI'!$AE$36="Leve"),CONCATENATE("R5C",'Mapa final SI'!$S$36),"")</f>
        <v/>
      </c>
      <c r="M10" s="255" t="str">
        <f>IF(AND('Mapa final SI'!$AC$37="Muy Alta",'Mapa final SI'!$AE$37="Leve"),CONCATENATE("R5C",'Mapa final SI'!$S$37),"")</f>
        <v/>
      </c>
      <c r="N10" s="255" t="str">
        <f>IF(AND('Mapa final SI'!$AC$38="Muy Alta",'Mapa final SI'!$AE$38="Leve"),CONCATENATE("R5C",'Mapa final SI'!$S$38),"")</f>
        <v/>
      </c>
      <c r="O10" s="256" t="str">
        <f>IF(AND('Mapa final SI'!$AC$39="Muy Alta",'Mapa final SI'!$AE$39="Leve"),CONCATENATE("R5C",'Mapa final SI'!$S$39),"")</f>
        <v/>
      </c>
      <c r="P10" s="254" t="str">
        <f>IF(AND('Mapa final SI'!$AC$34="Muy Alta",'Mapa final SI'!$AE$34="Menor"),CONCATENATE("R5C",'Mapa final SI'!$S$34),"")</f>
        <v/>
      </c>
      <c r="Q10" s="255" t="str">
        <f>IF(AND('Mapa final SI'!$AC$35="Muy Alta",'Mapa final SI'!$AE$35="Menor"),CONCATENATE("R5C",'Mapa final SI'!$S$35),"")</f>
        <v/>
      </c>
      <c r="R10" s="255" t="str">
        <f>IF(AND('Mapa final SI'!$AC$36="Muy Alta",'Mapa final SI'!$AE$36="Menor"),CONCATENATE("R5C",'Mapa final SI'!$S$36),"")</f>
        <v/>
      </c>
      <c r="S10" s="255" t="str">
        <f>IF(AND('Mapa final SI'!$AC$37="Muy Alta",'Mapa final SI'!$AE$37="Menor"),CONCATENATE("R5C",'Mapa final SI'!$S$37),"")</f>
        <v/>
      </c>
      <c r="T10" s="255" t="str">
        <f>IF(AND('Mapa final SI'!$AC$38="Muy Alta",'Mapa final SI'!$AE$38="Menor"),CONCATENATE("R5C",'Mapa final SI'!$S$38),"")</f>
        <v/>
      </c>
      <c r="U10" s="256" t="str">
        <f>IF(AND('Mapa final SI'!$AC$39="Muy Alta",'Mapa final SI'!$AE$39="Menor"),CONCATENATE("R5C",'Mapa final SI'!$S$39),"")</f>
        <v/>
      </c>
      <c r="V10" s="254" t="str">
        <f>IF(AND('Mapa final SI'!$AC$34="Muy Alta",'Mapa final SI'!$AE$34="Moderado"),CONCATENATE("R5C",'Mapa final SI'!$S$34),"")</f>
        <v/>
      </c>
      <c r="W10" s="255" t="str">
        <f>IF(AND('Mapa final SI'!$AC$35="Muy Alta",'Mapa final SI'!$AE$35="Moderado"),CONCATENATE("R5C",'Mapa final SI'!$S$35),"")</f>
        <v/>
      </c>
      <c r="X10" s="255" t="str">
        <f>IF(AND('Mapa final SI'!$AC$36="Muy Alta",'Mapa final SI'!$AE$36="Moderado"),CONCATENATE("R5C",'Mapa final SI'!$S$36),"")</f>
        <v/>
      </c>
      <c r="Y10" s="255" t="str">
        <f>IF(AND('Mapa final SI'!$AC$37="Muy Alta",'Mapa final SI'!$AE$37="Moderado"),CONCATENATE("R5C",'Mapa final SI'!$S$37),"")</f>
        <v/>
      </c>
      <c r="Z10" s="255" t="str">
        <f>IF(AND('Mapa final SI'!$AC$38="Muy Alta",'Mapa final SI'!$AE$38="Moderado"),CONCATENATE("R5C",'Mapa final SI'!$S$38),"")</f>
        <v/>
      </c>
      <c r="AA10" s="256" t="str">
        <f>IF(AND('Mapa final SI'!$AC$39="Muy Alta",'Mapa final SI'!$AE$39="Moderado"),CONCATENATE("R5C",'Mapa final SI'!$S$39),"")</f>
        <v/>
      </c>
      <c r="AB10" s="254" t="str">
        <f>IF(AND('Mapa final SI'!$AC$34="Muy Alta",'Mapa final SI'!$AE$34="Mayor"),CONCATENATE("R5C",'Mapa final SI'!$S$34),"")</f>
        <v/>
      </c>
      <c r="AC10" s="255" t="str">
        <f>IF(AND('Mapa final SI'!$AC$35="Muy Alta",'Mapa final SI'!$AE$35="Mayor"),CONCATENATE("R5C",'Mapa final SI'!$S$35),"")</f>
        <v/>
      </c>
      <c r="AD10" s="255" t="str">
        <f>IF(AND('Mapa final SI'!$AC$36="Muy Alta",'Mapa final SI'!$AE$36="Mayor"),CONCATENATE("R5C",'Mapa final SI'!$S$36),"")</f>
        <v/>
      </c>
      <c r="AE10" s="255" t="str">
        <f>IF(AND('Mapa final SI'!$AC$37="Muy Alta",'Mapa final SI'!$AE$37="Mayor"),CONCATENATE("R5C",'Mapa final SI'!$S$37),"")</f>
        <v/>
      </c>
      <c r="AF10" s="255" t="str">
        <f>IF(AND('Mapa final SI'!$AC$38="Muy Alta",'Mapa final SI'!$AE$38="Mayor"),CONCATENATE("R5C",'Mapa final SI'!$S$38),"")</f>
        <v/>
      </c>
      <c r="AG10" s="256" t="str">
        <f>IF(AND('Mapa final SI'!$AC$39="Muy Alta",'Mapa final SI'!$AE$39="Mayor"),CONCATENATE("R5C",'Mapa final SI'!$S$39),"")</f>
        <v/>
      </c>
      <c r="AH10" s="257" t="str">
        <f>IF(AND('Mapa final SI'!$AC$34="Muy Alta",'Mapa final SI'!$AE$34="Catastrófico"),CONCATENATE("R5C",'Mapa final SI'!$S$34),"")</f>
        <v/>
      </c>
      <c r="AI10" s="258" t="str">
        <f>IF(AND('Mapa final SI'!$AC$35="Muy Alta",'Mapa final SI'!$AE$35="Catastrófico"),CONCATENATE("R5C",'Mapa final SI'!$S$35),"")</f>
        <v/>
      </c>
      <c r="AJ10" s="258" t="str">
        <f>IF(AND('Mapa final SI'!$AC$36="Muy Alta",'Mapa final SI'!$AE$36="Catastrófico"),CONCATENATE("R5C",'Mapa final SI'!$S$36),"")</f>
        <v/>
      </c>
      <c r="AK10" s="258" t="str">
        <f>IF(AND('Mapa final SI'!$AC$37="Muy Alta",'Mapa final SI'!$AE$37="Catastrófico"),CONCATENATE("R5C",'Mapa final SI'!$S$37),"")</f>
        <v/>
      </c>
      <c r="AL10" s="258" t="str">
        <f>IF(AND('Mapa final SI'!$AC$38="Muy Alta",'Mapa final SI'!$AE$38="Catastrófico"),CONCATENATE("R5C",'Mapa final SI'!$S$38),"")</f>
        <v/>
      </c>
      <c r="AM10" s="259" t="str">
        <f>IF(AND('Mapa final SI'!$AC$39="Muy Alta",'Mapa final SI'!$AE$39="Catastrófico"),CONCATENATE("R5C",'Mapa final SI'!$S$39),"")</f>
        <v/>
      </c>
      <c r="AN10" s="15"/>
      <c r="AO10" s="814"/>
      <c r="AP10" s="815"/>
      <c r="AQ10" s="815"/>
      <c r="AR10" s="815"/>
      <c r="AS10" s="815"/>
      <c r="AT10" s="8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6"/>
      <c r="C11" s="716"/>
      <c r="D11" s="717"/>
      <c r="E11" s="805"/>
      <c r="F11" s="806"/>
      <c r="G11" s="806"/>
      <c r="H11" s="806"/>
      <c r="I11" s="807"/>
      <c r="J11" s="254" t="str">
        <f>IF(AND('Mapa final SI'!$AC$40="Muy Alta",'Mapa final SI'!$AE$40="Leve"),CONCATENATE("R6C",'Mapa final SI'!$S$40),"")</f>
        <v/>
      </c>
      <c r="K11" s="255" t="str">
        <f>IF(AND('Mapa final SI'!$AC$41="Muy Alta",'Mapa final SI'!$AE$41="Leve"),CONCATENATE("R6C",'Mapa final SI'!$S$41),"")</f>
        <v/>
      </c>
      <c r="L11" s="255" t="str">
        <f>IF(AND('Mapa final SI'!$AC$42="Muy Alta",'Mapa final SI'!$AE$42="Leve"),CONCATENATE("R6C",'Mapa final SI'!$S$42),"")</f>
        <v/>
      </c>
      <c r="M11" s="255" t="str">
        <f>IF(AND('Mapa final SI'!$AC$43="Muy Alta",'Mapa final SI'!$AE$43="Leve"),CONCATENATE("R6C",'Mapa final SI'!$S$43),"")</f>
        <v/>
      </c>
      <c r="N11" s="255" t="str">
        <f>IF(AND('Mapa final SI'!$AC$44="Muy Alta",'Mapa final SI'!$AE$44="Leve"),CONCATENATE("R6C",'Mapa final SI'!$S$44),"")</f>
        <v/>
      </c>
      <c r="O11" s="256" t="str">
        <f>IF(AND('Mapa final SI'!$AC$45="Muy Alta",'Mapa final SI'!$AE$45="Leve"),CONCATENATE("R6C",'Mapa final SI'!$S$45),"")</f>
        <v/>
      </c>
      <c r="P11" s="254" t="str">
        <f>IF(AND('Mapa final SI'!$AC$40="Muy Alta",'Mapa final SI'!$AE$40="Menor"),CONCATENATE("R6C",'Mapa final SI'!$S$40),"")</f>
        <v/>
      </c>
      <c r="Q11" s="255" t="str">
        <f>IF(AND('Mapa final SI'!$AC$41="Muy Alta",'Mapa final SI'!$AE$41="Menor"),CONCATENATE("R6C",'Mapa final SI'!$S$41),"")</f>
        <v/>
      </c>
      <c r="R11" s="255" t="str">
        <f>IF(AND('Mapa final SI'!$AC$42="Muy Alta",'Mapa final SI'!$AE$42="Menor"),CONCATENATE("R6C",'Mapa final SI'!$S$42),"")</f>
        <v/>
      </c>
      <c r="S11" s="255" t="str">
        <f>IF(AND('Mapa final SI'!$AC$43="Muy Alta",'Mapa final SI'!$AE$43="Menor"),CONCATENATE("R6C",'Mapa final SI'!$S$43),"")</f>
        <v/>
      </c>
      <c r="T11" s="255" t="str">
        <f>IF(AND('Mapa final SI'!$AC$44="Muy Alta",'Mapa final SI'!$AE$44="Menor"),CONCATENATE("R6C",'Mapa final SI'!$S$44),"")</f>
        <v/>
      </c>
      <c r="U11" s="256" t="str">
        <f>IF(AND('Mapa final SI'!$AC$45="Muy Alta",'Mapa final SI'!$AE$45="Menor"),CONCATENATE("R6C",'Mapa final SI'!$S$45),"")</f>
        <v/>
      </c>
      <c r="V11" s="254" t="str">
        <f>IF(AND('Mapa final SI'!$AC$40="Muy Alta",'Mapa final SI'!$AE$40="Moderado"),CONCATENATE("R6C",'Mapa final SI'!$S$40),"")</f>
        <v/>
      </c>
      <c r="W11" s="255" t="str">
        <f>IF(AND('Mapa final SI'!$AC$41="Muy Alta",'Mapa final SI'!$AE$41="Moderado"),CONCATENATE("R6C",'Mapa final SI'!$S$41),"")</f>
        <v/>
      </c>
      <c r="X11" s="255" t="str">
        <f>IF(AND('Mapa final SI'!$AC$42="Muy Alta",'Mapa final SI'!$AE$42="Moderado"),CONCATENATE("R6C",'Mapa final SI'!$S$42),"")</f>
        <v/>
      </c>
      <c r="Y11" s="255" t="str">
        <f>IF(AND('Mapa final SI'!$AC$43="Muy Alta",'Mapa final SI'!$AE$43="Moderado"),CONCATENATE("R6C",'Mapa final SI'!$S$43),"")</f>
        <v/>
      </c>
      <c r="Z11" s="255" t="str">
        <f>IF(AND('Mapa final SI'!$AC$44="Muy Alta",'Mapa final SI'!$AE$44="Moderado"),CONCATENATE("R6C",'Mapa final SI'!$S$44),"")</f>
        <v/>
      </c>
      <c r="AA11" s="256" t="str">
        <f>IF(AND('Mapa final SI'!$AC$45="Muy Alta",'Mapa final SI'!$AE$45="Moderado"),CONCATENATE("R6C",'Mapa final SI'!$S$45),"")</f>
        <v/>
      </c>
      <c r="AB11" s="254" t="str">
        <f>IF(AND('Mapa final SI'!$AC$40="Muy Alta",'Mapa final SI'!$AE$40="Mayor"),CONCATENATE("R6C",'Mapa final SI'!$S$40),"")</f>
        <v/>
      </c>
      <c r="AC11" s="255" t="str">
        <f>IF(AND('Mapa final SI'!$AC$41="Muy Alta",'Mapa final SI'!$AE$41="Mayor"),CONCATENATE("R6C",'Mapa final SI'!$S$41),"")</f>
        <v/>
      </c>
      <c r="AD11" s="255" t="str">
        <f>IF(AND('Mapa final SI'!$AC$42="Muy Alta",'Mapa final SI'!$AE$42="Mayor"),CONCATENATE("R6C",'Mapa final SI'!$S$42),"")</f>
        <v/>
      </c>
      <c r="AE11" s="255" t="str">
        <f>IF(AND('Mapa final SI'!$AC$43="Muy Alta",'Mapa final SI'!$AE$43="Mayor"),CONCATENATE("R6C",'Mapa final SI'!$S$43),"")</f>
        <v/>
      </c>
      <c r="AF11" s="255" t="str">
        <f>IF(AND('Mapa final SI'!$AC$44="Muy Alta",'Mapa final SI'!$AE$44="Mayor"),CONCATENATE("R6C",'Mapa final SI'!$S$44),"")</f>
        <v/>
      </c>
      <c r="AG11" s="256" t="str">
        <f>IF(AND('Mapa final SI'!$AC$45="Muy Alta",'Mapa final SI'!$AE$45="Mayor"),CONCATENATE("R6C",'Mapa final SI'!$S$45),"")</f>
        <v/>
      </c>
      <c r="AH11" s="257" t="str">
        <f>IF(AND('Mapa final SI'!$AC$40="Muy Alta",'Mapa final SI'!$AE$40="Catastrófico"),CONCATENATE("R6C",'Mapa final SI'!$S$40),"")</f>
        <v/>
      </c>
      <c r="AI11" s="258" t="str">
        <f>IF(AND('Mapa final SI'!$AC$41="Muy Alta",'Mapa final SI'!$AE$41="Catastrófico"),CONCATENATE("R6C",'Mapa final SI'!$S$41),"")</f>
        <v/>
      </c>
      <c r="AJ11" s="258" t="str">
        <f>IF(AND('Mapa final SI'!$AC$42="Muy Alta",'Mapa final SI'!$AE$42="Catastrófico"),CONCATENATE("R6C",'Mapa final SI'!$S$42),"")</f>
        <v/>
      </c>
      <c r="AK11" s="258" t="str">
        <f>IF(AND('Mapa final SI'!$AC$43="Muy Alta",'Mapa final SI'!$AE$43="Catastrófico"),CONCATENATE("R6C",'Mapa final SI'!$S$43),"")</f>
        <v/>
      </c>
      <c r="AL11" s="258" t="str">
        <f>IF(AND('Mapa final SI'!$AC$44="Muy Alta",'Mapa final SI'!$AE$44="Catastrófico"),CONCATENATE("R6C",'Mapa final SI'!$S$44),"")</f>
        <v/>
      </c>
      <c r="AM11" s="259" t="str">
        <f>IF(AND('Mapa final SI'!$AC$45="Muy Alta",'Mapa final SI'!$AE$45="Catastrófico"),CONCATENATE("R6C",'Mapa final SI'!$S$45),"")</f>
        <v/>
      </c>
      <c r="AN11" s="15"/>
      <c r="AO11" s="814"/>
      <c r="AP11" s="815"/>
      <c r="AQ11" s="815"/>
      <c r="AR11" s="815"/>
      <c r="AS11" s="815"/>
      <c r="AT11" s="8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6"/>
      <c r="C12" s="716"/>
      <c r="D12" s="717"/>
      <c r="E12" s="805"/>
      <c r="F12" s="806"/>
      <c r="G12" s="806"/>
      <c r="H12" s="806"/>
      <c r="I12" s="807"/>
      <c r="J12" s="254" t="str">
        <f>IF(AND('Mapa final SI'!$AC$46="Muy Alta",'Mapa final SI'!$AE$46="Leve"),CONCATENATE("R7C",'Mapa final SI'!$S$46),"")</f>
        <v/>
      </c>
      <c r="K12" s="255" t="str">
        <f>IF(AND('Mapa final SI'!$AC$47="Muy Alta",'Mapa final SI'!$AE$47="Leve"),CONCATENATE("R7C",'Mapa final SI'!$S$47),"")</f>
        <v/>
      </c>
      <c r="L12" s="255" t="str">
        <f>IF(AND('Mapa final SI'!$AC$48="Muy Alta",'Mapa final SI'!$AE$48="Leve"),CONCATENATE("R7C",'Mapa final SI'!$S$48),"")</f>
        <v/>
      </c>
      <c r="M12" s="255" t="str">
        <f>IF(AND('Mapa final SI'!$AC$49="Muy Alta",'Mapa final SI'!$AE$49="Leve"),CONCATENATE("R7C",'Mapa final SI'!$S$49),"")</f>
        <v/>
      </c>
      <c r="N12" s="255" t="str">
        <f>IF(AND('Mapa final SI'!$AC$50="Muy Alta",'Mapa final SI'!$AE$50="Leve"),CONCATENATE("R7C",'Mapa final SI'!$S$50),"")</f>
        <v/>
      </c>
      <c r="O12" s="256" t="str">
        <f>IF(AND('Mapa final SI'!$AC$51="Muy Alta",'Mapa final SI'!$AE$51="Leve"),CONCATENATE("R7C",'Mapa final SI'!$S$51),"")</f>
        <v/>
      </c>
      <c r="P12" s="254" t="str">
        <f>IF(AND('Mapa final SI'!$AC$46="Muy Alta",'Mapa final SI'!$AE$46="Menor"),CONCATENATE("R7C",'Mapa final SI'!$S$46),"")</f>
        <v/>
      </c>
      <c r="Q12" s="255" t="str">
        <f>IF(AND('Mapa final SI'!$AC$47="Muy Alta",'Mapa final SI'!$AE$47="Menor"),CONCATENATE("R7C",'Mapa final SI'!$S$47),"")</f>
        <v/>
      </c>
      <c r="R12" s="255" t="str">
        <f>IF(AND('Mapa final SI'!$AC$48="Muy Alta",'Mapa final SI'!$AE$48="Menor"),CONCATENATE("R7C",'Mapa final SI'!$S$48),"")</f>
        <v/>
      </c>
      <c r="S12" s="255" t="str">
        <f>IF(AND('Mapa final SI'!$AC$49="Muy Alta",'Mapa final SI'!$AE$49="Menor"),CONCATENATE("R7C",'Mapa final SI'!$S$49),"")</f>
        <v/>
      </c>
      <c r="T12" s="255" t="str">
        <f>IF(AND('Mapa final SI'!$AC$50="Muy Alta",'Mapa final SI'!$AE$50="Menor"),CONCATENATE("R7C",'Mapa final SI'!$S$50),"")</f>
        <v/>
      </c>
      <c r="U12" s="256" t="str">
        <f>IF(AND('Mapa final SI'!$AC$51="Muy Alta",'Mapa final SI'!$AE$51="Menor"),CONCATENATE("R7C",'Mapa final SI'!$S$51),"")</f>
        <v/>
      </c>
      <c r="V12" s="254" t="str">
        <f>IF(AND('Mapa final SI'!$AC$46="Muy Alta",'Mapa final SI'!$AE$46="Moderado"),CONCATENATE("R7C",'Mapa final SI'!$S$46),"")</f>
        <v/>
      </c>
      <c r="W12" s="255" t="str">
        <f>IF(AND('Mapa final SI'!$AC$47="Muy Alta",'Mapa final SI'!$AE$47="Moderado"),CONCATENATE("R7C",'Mapa final SI'!$S$47),"")</f>
        <v/>
      </c>
      <c r="X12" s="255" t="str">
        <f>IF(AND('Mapa final SI'!$AC$48="Muy Alta",'Mapa final SI'!$AE$48="Moderado"),CONCATENATE("R7C",'Mapa final SI'!$S$48),"")</f>
        <v/>
      </c>
      <c r="Y12" s="255" t="str">
        <f>IF(AND('Mapa final SI'!$AC$49="Muy Alta",'Mapa final SI'!$AE$49="Moderado"),CONCATENATE("R7C",'Mapa final SI'!$S$49),"")</f>
        <v/>
      </c>
      <c r="Z12" s="255" t="str">
        <f>IF(AND('Mapa final SI'!$AC$50="Muy Alta",'Mapa final SI'!$AE$50="Moderado"),CONCATENATE("R7C",'Mapa final SI'!$S$50),"")</f>
        <v/>
      </c>
      <c r="AA12" s="256" t="str">
        <f>IF(AND('Mapa final SI'!$AC$51="Muy Alta",'Mapa final SI'!$AE$51="Moderado"),CONCATENATE("R7C",'Mapa final SI'!$S$51),"")</f>
        <v/>
      </c>
      <c r="AB12" s="254" t="str">
        <f>IF(AND('Mapa final SI'!$AC$46="Muy Alta",'Mapa final SI'!$AE$46="Mayor"),CONCATENATE("R7C",'Mapa final SI'!$S$46),"")</f>
        <v/>
      </c>
      <c r="AC12" s="255" t="str">
        <f>IF(AND('Mapa final SI'!$AC$47="Muy Alta",'Mapa final SI'!$AE$47="Mayor"),CONCATENATE("R7C",'Mapa final SI'!$S$47),"")</f>
        <v/>
      </c>
      <c r="AD12" s="255" t="str">
        <f>IF(AND('Mapa final SI'!$AC$48="Muy Alta",'Mapa final SI'!$AE$48="Mayor"),CONCATENATE("R7C",'Mapa final SI'!$S$48),"")</f>
        <v/>
      </c>
      <c r="AE12" s="255" t="str">
        <f>IF(AND('Mapa final SI'!$AC$49="Muy Alta",'Mapa final SI'!$AE$49="Mayor"),CONCATENATE("R7C",'Mapa final SI'!$S$49),"")</f>
        <v/>
      </c>
      <c r="AF12" s="255" t="str">
        <f>IF(AND('Mapa final SI'!$AC$50="Muy Alta",'Mapa final SI'!$AE$50="Mayor"),CONCATENATE("R7C",'Mapa final SI'!$S$50),"")</f>
        <v/>
      </c>
      <c r="AG12" s="256" t="str">
        <f>IF(AND('Mapa final SI'!$AC$51="Muy Alta",'Mapa final SI'!$AE$51="Mayor"),CONCATENATE("R7C",'Mapa final SI'!$S$51),"")</f>
        <v/>
      </c>
      <c r="AH12" s="257" t="str">
        <f>IF(AND('Mapa final SI'!$AC$46="Muy Alta",'Mapa final SI'!$AE$46="Catastrófico"),CONCATENATE("R7C",'Mapa final SI'!$S$46),"")</f>
        <v/>
      </c>
      <c r="AI12" s="258" t="str">
        <f>IF(AND('Mapa final SI'!$AC$47="Muy Alta",'Mapa final SI'!$AE$47="Catastrófico"),CONCATENATE("R7C",'Mapa final SI'!$S$47),"")</f>
        <v/>
      </c>
      <c r="AJ12" s="258" t="str">
        <f>IF(AND('Mapa final SI'!$AC$48="Muy Alta",'Mapa final SI'!$AE$48="Catastrófico"),CONCATENATE("R7C",'Mapa final SI'!$S$48),"")</f>
        <v/>
      </c>
      <c r="AK12" s="258" t="str">
        <f>IF(AND('Mapa final SI'!$AC$49="Muy Alta",'Mapa final SI'!$AE$49="Catastrófico"),CONCATENATE("R7C",'Mapa final SI'!$S$49),"")</f>
        <v/>
      </c>
      <c r="AL12" s="258" t="str">
        <f>IF(AND('Mapa final SI'!$AC$50="Muy Alta",'Mapa final SI'!$AE$50="Catastrófico"),CONCATENATE("R7C",'Mapa final SI'!$S$50),"")</f>
        <v/>
      </c>
      <c r="AM12" s="259" t="str">
        <f>IF(AND('Mapa final SI'!$AC$51="Muy Alta",'Mapa final SI'!$AE$51="Catastrófico"),CONCATENATE("R7C",'Mapa final SI'!$S$51),"")</f>
        <v/>
      </c>
      <c r="AN12" s="15"/>
      <c r="AO12" s="814"/>
      <c r="AP12" s="815"/>
      <c r="AQ12" s="815"/>
      <c r="AR12" s="815"/>
      <c r="AS12" s="815"/>
      <c r="AT12" s="8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6"/>
      <c r="C13" s="716"/>
      <c r="D13" s="717"/>
      <c r="E13" s="805"/>
      <c r="F13" s="806"/>
      <c r="G13" s="806"/>
      <c r="H13" s="806"/>
      <c r="I13" s="807"/>
      <c r="J13" s="254" t="str">
        <f>IF(AND('Mapa final SI'!$AC$52="Muy Alta",'Mapa final SI'!$AE$52="Leve"),CONCATENATE("R8C",'Mapa final SI'!$S$52),"")</f>
        <v/>
      </c>
      <c r="K13" s="255" t="str">
        <f>IF(AND('Mapa final SI'!$AC$53="Muy Alta",'Mapa final SI'!$AE$53="Leve"),CONCATENATE("R8C",'Mapa final SI'!$S$53),"")</f>
        <v/>
      </c>
      <c r="L13" s="255" t="str">
        <f>IF(AND('Mapa final SI'!$AC$54="Muy Alta",'Mapa final SI'!$AE$54="Leve"),CONCATENATE("R8C",'Mapa final SI'!$S$54),"")</f>
        <v/>
      </c>
      <c r="M13" s="255" t="str">
        <f>IF(AND('Mapa final SI'!$AC$55="Muy Alta",'Mapa final SI'!$AE$55="Leve"),CONCATENATE("R8C",'Mapa final SI'!$S$55),"")</f>
        <v/>
      </c>
      <c r="N13" s="255" t="str">
        <f>IF(AND('Mapa final SI'!$AC$56="Muy Alta",'Mapa final SI'!$AE$56="Leve"),CONCATENATE("R8C",'Mapa final SI'!$S$56),"")</f>
        <v/>
      </c>
      <c r="O13" s="256" t="str">
        <f>IF(AND('Mapa final SI'!$AC$57="Muy Alta",'Mapa final SI'!$AE$57="Leve"),CONCATENATE("R8C",'Mapa final SI'!$S$57),"")</f>
        <v/>
      </c>
      <c r="P13" s="254" t="str">
        <f>IF(AND('Mapa final SI'!$AC$52="Muy Alta",'Mapa final SI'!$AE$52="Menor"),CONCATENATE("R8C",'Mapa final SI'!$S$52),"")</f>
        <v/>
      </c>
      <c r="Q13" s="255" t="str">
        <f>IF(AND('Mapa final SI'!$AC$53="Muy Alta",'Mapa final SI'!$AE$53="Menor"),CONCATENATE("R8C",'Mapa final SI'!$S$53),"")</f>
        <v/>
      </c>
      <c r="R13" s="255" t="str">
        <f>IF(AND('Mapa final SI'!$AC$54="Muy Alta",'Mapa final SI'!$AE$54="Menor"),CONCATENATE("R8C",'Mapa final SI'!$S$54),"")</f>
        <v/>
      </c>
      <c r="S13" s="255" t="str">
        <f>IF(AND('Mapa final SI'!$AC$55="Muy Alta",'Mapa final SI'!$AE$55="Menor"),CONCATENATE("R8C",'Mapa final SI'!$S$55),"")</f>
        <v/>
      </c>
      <c r="T13" s="255" t="str">
        <f>IF(AND('Mapa final SI'!$AC$56="Muy Alta",'Mapa final SI'!$AE$56="Menor"),CONCATENATE("R8C",'Mapa final SI'!$S$56),"")</f>
        <v/>
      </c>
      <c r="U13" s="256" t="str">
        <f>IF(AND('Mapa final SI'!$AC$57="Muy Alta",'Mapa final SI'!$AE$57="Menor"),CONCATENATE("R8C",'Mapa final SI'!$S$57),"")</f>
        <v/>
      </c>
      <c r="V13" s="254" t="str">
        <f>IF(AND('Mapa final SI'!$AC$52="Muy Alta",'Mapa final SI'!$AE$52="Moderado"),CONCATENATE("R8C",'Mapa final SI'!$S$52),"")</f>
        <v/>
      </c>
      <c r="W13" s="255" t="str">
        <f>IF(AND('Mapa final SI'!$AC$53="Muy Alta",'Mapa final SI'!$AE$53="Moderado"),CONCATENATE("R8C",'Mapa final SI'!$S$53),"")</f>
        <v/>
      </c>
      <c r="X13" s="255" t="str">
        <f>IF(AND('Mapa final SI'!$AC$54="Muy Alta",'Mapa final SI'!$AE$54="Moderado"),CONCATENATE("R8C",'Mapa final SI'!$S$54),"")</f>
        <v/>
      </c>
      <c r="Y13" s="255" t="str">
        <f>IF(AND('Mapa final SI'!$AC$55="Muy Alta",'Mapa final SI'!$AE$55="Moderado"),CONCATENATE("R8C",'Mapa final SI'!$S$55),"")</f>
        <v/>
      </c>
      <c r="Z13" s="255" t="str">
        <f>IF(AND('Mapa final SI'!$AC$56="Muy Alta",'Mapa final SI'!$AE$56="Moderado"),CONCATENATE("R8C",'Mapa final SI'!$S$56),"")</f>
        <v/>
      </c>
      <c r="AA13" s="256" t="str">
        <f>IF(AND('Mapa final SI'!$AC$57="Muy Alta",'Mapa final SI'!$AE$57="Moderado"),CONCATENATE("R8C",'Mapa final SI'!$S$57),"")</f>
        <v/>
      </c>
      <c r="AB13" s="254" t="str">
        <f>IF(AND('Mapa final SI'!$AC$52="Muy Alta",'Mapa final SI'!$AE$52="Mayor"),CONCATENATE("R8C",'Mapa final SI'!$S$52),"")</f>
        <v/>
      </c>
      <c r="AC13" s="255" t="str">
        <f>IF(AND('Mapa final SI'!$AC$53="Muy Alta",'Mapa final SI'!$AE$53="Mayor"),CONCATENATE("R8C",'Mapa final SI'!$S$53),"")</f>
        <v/>
      </c>
      <c r="AD13" s="255" t="str">
        <f>IF(AND('Mapa final SI'!$AC$54="Muy Alta",'Mapa final SI'!$AE$54="Mayor"),CONCATENATE("R8C",'Mapa final SI'!$S$54),"")</f>
        <v/>
      </c>
      <c r="AE13" s="255" t="str">
        <f>IF(AND('Mapa final SI'!$AC$55="Muy Alta",'Mapa final SI'!$AE$55="Mayor"),CONCATENATE("R8C",'Mapa final SI'!$S$55),"")</f>
        <v/>
      </c>
      <c r="AF13" s="255" t="str">
        <f>IF(AND('Mapa final SI'!$AC$56="Muy Alta",'Mapa final SI'!$AE$56="Mayor"),CONCATENATE("R8C",'Mapa final SI'!$S$56),"")</f>
        <v/>
      </c>
      <c r="AG13" s="256" t="str">
        <f>IF(AND('Mapa final SI'!$AC$57="Muy Alta",'Mapa final SI'!$AE$57="Mayor"),CONCATENATE("R8C",'Mapa final SI'!$S$57),"")</f>
        <v/>
      </c>
      <c r="AH13" s="257" t="str">
        <f>IF(AND('Mapa final SI'!$AC$52="Muy Alta",'Mapa final SI'!$AE$52="Catastrófico"),CONCATENATE("R8C",'Mapa final SI'!$S$52),"")</f>
        <v/>
      </c>
      <c r="AI13" s="258" t="str">
        <f>IF(AND('Mapa final SI'!$AC$53="Muy Alta",'Mapa final SI'!$AE$53="Catastrófico"),CONCATENATE("R8C",'Mapa final SI'!$S$53),"")</f>
        <v/>
      </c>
      <c r="AJ13" s="258" t="str">
        <f>IF(AND('Mapa final SI'!$AC$54="Muy Alta",'Mapa final SI'!$AE$54="Catastrófico"),CONCATENATE("R8C",'Mapa final SI'!$S$54),"")</f>
        <v/>
      </c>
      <c r="AK13" s="258" t="str">
        <f>IF(AND('Mapa final SI'!$AC$55="Muy Alta",'Mapa final SI'!$AE$55="Catastrófico"),CONCATENATE("R8C",'Mapa final SI'!$S$55),"")</f>
        <v/>
      </c>
      <c r="AL13" s="258" t="str">
        <f>IF(AND('Mapa final SI'!$AC$56="Muy Alta",'Mapa final SI'!$AE$56="Catastrófico"),CONCATENATE("R8C",'Mapa final SI'!$S$56),"")</f>
        <v/>
      </c>
      <c r="AM13" s="259" t="str">
        <f>IF(AND('Mapa final SI'!$AC$57="Muy Alta",'Mapa final SI'!$AE$57="Catastrófico"),CONCATENATE("R8C",'Mapa final SI'!$S$57),"")</f>
        <v/>
      </c>
      <c r="AN13" s="15"/>
      <c r="AO13" s="814"/>
      <c r="AP13" s="815"/>
      <c r="AQ13" s="815"/>
      <c r="AR13" s="815"/>
      <c r="AS13" s="815"/>
      <c r="AT13" s="8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6"/>
      <c r="C14" s="716"/>
      <c r="D14" s="717"/>
      <c r="E14" s="805"/>
      <c r="F14" s="806"/>
      <c r="G14" s="806"/>
      <c r="H14" s="806"/>
      <c r="I14" s="807"/>
      <c r="J14" s="254" t="str">
        <f>IF(AND('Mapa final SI'!$AC$58="Muy Alta",'Mapa final SI'!$AE$58="Leve"),CONCATENATE("R9C",'Mapa final SI'!$S$58),"")</f>
        <v/>
      </c>
      <c r="K14" s="255" t="str">
        <f>IF(AND('Mapa final SI'!$AC$59="Muy Alta",'Mapa final SI'!$AE$59="Leve"),CONCATENATE("R9C",'Mapa final SI'!$S$59),"")</f>
        <v/>
      </c>
      <c r="L14" s="255" t="str">
        <f>IF(AND('Mapa final SI'!$AC$60="Muy Alta",'Mapa final SI'!$AE$60="Leve"),CONCATENATE("R9C",'Mapa final SI'!$S$60),"")</f>
        <v/>
      </c>
      <c r="M14" s="255" t="str">
        <f>IF(AND('Mapa final SI'!$AC$61="Muy Alta",'Mapa final SI'!$AE$61="Leve"),CONCATENATE("R9C",'Mapa final SI'!$S$61),"")</f>
        <v/>
      </c>
      <c r="N14" s="255" t="str">
        <f>IF(AND('Mapa final SI'!$AC$62="Muy Alta",'Mapa final SI'!$AE$62="Leve"),CONCATENATE("R9C",'Mapa final SI'!$S$62),"")</f>
        <v/>
      </c>
      <c r="O14" s="256" t="str">
        <f>IF(AND('Mapa final SI'!$AC$63="Muy Alta",'Mapa final SI'!$AE$63="Leve"),CONCATENATE("R9C",'Mapa final SI'!$S$63),"")</f>
        <v/>
      </c>
      <c r="P14" s="254" t="str">
        <f>IF(AND('Mapa final SI'!$AC$58="Muy Alta",'Mapa final SI'!$AE$58="Menor"),CONCATENATE("R9C",'Mapa final SI'!$S$58),"")</f>
        <v/>
      </c>
      <c r="Q14" s="255" t="str">
        <f>IF(AND('Mapa final SI'!$AC$59="Muy Alta",'Mapa final SI'!$AE$59="Menor"),CONCATENATE("R9C",'Mapa final SI'!$S$59),"")</f>
        <v/>
      </c>
      <c r="R14" s="255" t="str">
        <f>IF(AND('Mapa final SI'!$AC$60="Muy Alta",'Mapa final SI'!$AE$60="Menor"),CONCATENATE("R9C",'Mapa final SI'!$S$60),"")</f>
        <v/>
      </c>
      <c r="S14" s="255" t="str">
        <f>IF(AND('Mapa final SI'!$AC$61="Muy Alta",'Mapa final SI'!$AE$61="Menor"),CONCATENATE("R9C",'Mapa final SI'!$S$61),"")</f>
        <v/>
      </c>
      <c r="T14" s="255" t="str">
        <f>IF(AND('Mapa final SI'!$AC$62="Muy Alta",'Mapa final SI'!$AE$62="Menor"),CONCATENATE("R9C",'Mapa final SI'!$S$62),"")</f>
        <v/>
      </c>
      <c r="U14" s="256" t="str">
        <f>IF(AND('Mapa final SI'!$AC$63="Muy Alta",'Mapa final SI'!$AE$63="Menor"),CONCATENATE("R9C",'Mapa final SI'!$S$63),"")</f>
        <v/>
      </c>
      <c r="V14" s="254" t="str">
        <f>IF(AND('Mapa final SI'!$AC$58="Muy Alta",'Mapa final SI'!$AE$58="Moderado"),CONCATENATE("R9C",'Mapa final SI'!$S$58),"")</f>
        <v/>
      </c>
      <c r="W14" s="255" t="str">
        <f>IF(AND('Mapa final SI'!$AC$59="Muy Alta",'Mapa final SI'!$AE$59="Moderado"),CONCATENATE("R9C",'Mapa final SI'!$S$59),"")</f>
        <v/>
      </c>
      <c r="X14" s="255" t="str">
        <f>IF(AND('Mapa final SI'!$AC$60="Muy Alta",'Mapa final SI'!$AE$60="Moderado"),CONCATENATE("R9C",'Mapa final SI'!$S$60),"")</f>
        <v/>
      </c>
      <c r="Y14" s="255" t="str">
        <f>IF(AND('Mapa final SI'!$AC$61="Muy Alta",'Mapa final SI'!$AE$61="Moderado"),CONCATENATE("R9C",'Mapa final SI'!$S$61),"")</f>
        <v/>
      </c>
      <c r="Z14" s="255" t="str">
        <f>IF(AND('Mapa final SI'!$AC$62="Muy Alta",'Mapa final SI'!$AE$62="Moderado"),CONCATENATE("R9C",'Mapa final SI'!$S$62),"")</f>
        <v/>
      </c>
      <c r="AA14" s="256" t="str">
        <f>IF(AND('Mapa final SI'!$AC$63="Muy Alta",'Mapa final SI'!$AE$63="Moderado"),CONCATENATE("R9C",'Mapa final SI'!$S$63),"")</f>
        <v/>
      </c>
      <c r="AB14" s="254" t="str">
        <f>IF(AND('Mapa final SI'!$AC$58="Muy Alta",'Mapa final SI'!$AE$58="Mayor"),CONCATENATE("R9C",'Mapa final SI'!$S$58),"")</f>
        <v/>
      </c>
      <c r="AC14" s="255" t="str">
        <f>IF(AND('Mapa final SI'!$AC$59="Muy Alta",'Mapa final SI'!$AE$59="Mayor"),CONCATENATE("R9C",'Mapa final SI'!$S$59),"")</f>
        <v/>
      </c>
      <c r="AD14" s="255" t="str">
        <f>IF(AND('Mapa final SI'!$AC$60="Muy Alta",'Mapa final SI'!$AE$60="Mayor"),CONCATENATE("R9C",'Mapa final SI'!$S$60),"")</f>
        <v/>
      </c>
      <c r="AE14" s="255" t="str">
        <f>IF(AND('Mapa final SI'!$AC$61="Muy Alta",'Mapa final SI'!$AE$61="Mayor"),CONCATENATE("R9C",'Mapa final SI'!$S$61),"")</f>
        <v/>
      </c>
      <c r="AF14" s="255" t="str">
        <f>IF(AND('Mapa final SI'!$AC$62="Muy Alta",'Mapa final SI'!$AE$62="Mayor"),CONCATENATE("R9C",'Mapa final SI'!$S$62),"")</f>
        <v/>
      </c>
      <c r="AG14" s="256" t="str">
        <f>IF(AND('Mapa final SI'!$AC$63="Muy Alta",'Mapa final SI'!$AE$63="Mayor"),CONCATENATE("R9C",'Mapa final SI'!$S$63),"")</f>
        <v/>
      </c>
      <c r="AH14" s="257" t="str">
        <f>IF(AND('Mapa final SI'!$AC$58="Muy Alta",'Mapa final SI'!$AE$58="Catastrófico"),CONCATENATE("R9C",'Mapa final SI'!$S$58),"")</f>
        <v/>
      </c>
      <c r="AI14" s="258" t="str">
        <f>IF(AND('Mapa final SI'!$AC$59="Muy Alta",'Mapa final SI'!$AE$59="Catastrófico"),CONCATENATE("R9C",'Mapa final SI'!$S$59),"")</f>
        <v/>
      </c>
      <c r="AJ14" s="258" t="str">
        <f>IF(AND('Mapa final SI'!$AC$60="Muy Alta",'Mapa final SI'!$AE$60="Catastrófico"),CONCATENATE("R9C",'Mapa final SI'!$S$60),"")</f>
        <v/>
      </c>
      <c r="AK14" s="258" t="str">
        <f>IF(AND('Mapa final SI'!$AC$61="Muy Alta",'Mapa final SI'!$AE$61="Catastrófico"),CONCATENATE("R9C",'Mapa final SI'!$S$61),"")</f>
        <v/>
      </c>
      <c r="AL14" s="258" t="str">
        <f>IF(AND('Mapa final SI'!$AC$62="Muy Alta",'Mapa final SI'!$AE$62="Catastrófico"),CONCATENATE("R9C",'Mapa final SI'!$S$62),"")</f>
        <v/>
      </c>
      <c r="AM14" s="259" t="str">
        <f>IF(AND('Mapa final SI'!$AC$63="Muy Alta",'Mapa final SI'!$AE$63="Catastrófico"),CONCATENATE("R9C",'Mapa final SI'!$S$63),"")</f>
        <v/>
      </c>
      <c r="AN14" s="15"/>
      <c r="AO14" s="814"/>
      <c r="AP14" s="815"/>
      <c r="AQ14" s="815"/>
      <c r="AR14" s="815"/>
      <c r="AS14" s="815"/>
      <c r="AT14" s="8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6"/>
      <c r="C15" s="716"/>
      <c r="D15" s="717"/>
      <c r="E15" s="808"/>
      <c r="F15" s="809"/>
      <c r="G15" s="809"/>
      <c r="H15" s="809"/>
      <c r="I15" s="810"/>
      <c r="J15" s="260" t="str">
        <f>IF(AND('Mapa final SI'!$AC$64="Muy Alta",'Mapa final SI'!$AE$64="Leve"),CONCATENATE("R10C",'Mapa final SI'!$S$64),"")</f>
        <v/>
      </c>
      <c r="K15" s="261" t="str">
        <f>IF(AND('Mapa final SI'!$AC$65="Muy Alta",'Mapa final SI'!$AE$65="Leve"),CONCATENATE("R10C",'Mapa final SI'!$S$65),"")</f>
        <v/>
      </c>
      <c r="L15" s="261" t="str">
        <f>IF(AND('Mapa final SI'!$AC$66="Muy Alta",'Mapa final SI'!$AE$66="Leve"),CONCATENATE("R10C",'Mapa final SI'!$S$66),"")</f>
        <v/>
      </c>
      <c r="M15" s="261" t="str">
        <f>IF(AND('Mapa final SI'!$AC$67="Muy Alta",'Mapa final SI'!$AE$67="Leve"),CONCATENATE("R10C",'Mapa final SI'!$S$67),"")</f>
        <v/>
      </c>
      <c r="N15" s="261" t="str">
        <f>IF(AND('Mapa final SI'!$AC$68="Muy Alta",'Mapa final SI'!$AE$68="Leve"),CONCATENATE("R10C",'Mapa final SI'!$S$68),"")</f>
        <v/>
      </c>
      <c r="O15" s="262" t="str">
        <f>IF(AND('Mapa final SI'!$AC$69="Muy Alta",'Mapa final SI'!$AE$69="Leve"),CONCATENATE("R10C",'Mapa final SI'!$S$69),"")</f>
        <v/>
      </c>
      <c r="P15" s="254" t="str">
        <f>IF(AND('Mapa final SI'!$AC$64="Muy Alta",'Mapa final SI'!$AE$64="Menor"),CONCATENATE("R10C",'Mapa final SI'!$S$64),"")</f>
        <v/>
      </c>
      <c r="Q15" s="255" t="str">
        <f>IF(AND('Mapa final SI'!$AC$65="Muy Alta",'Mapa final SI'!$AE$65="Menor"),CONCATENATE("R10C",'Mapa final SI'!$S$65),"")</f>
        <v/>
      </c>
      <c r="R15" s="255" t="str">
        <f>IF(AND('Mapa final SI'!$AC$66="Muy Alta",'Mapa final SI'!$AE$66="Menor"),CONCATENATE("R10C",'Mapa final SI'!$S$66),"")</f>
        <v/>
      </c>
      <c r="S15" s="255" t="str">
        <f>IF(AND('Mapa final SI'!$AC$67="Muy Alta",'Mapa final SI'!$AE$67="Menor"),CONCATENATE("R10C",'Mapa final SI'!$S$67),"")</f>
        <v/>
      </c>
      <c r="T15" s="255" t="str">
        <f>IF(AND('Mapa final SI'!$AC$68="Muy Alta",'Mapa final SI'!$AE$68="Menor"),CONCATENATE("R10C",'Mapa final SI'!$S$68),"")</f>
        <v/>
      </c>
      <c r="U15" s="256" t="str">
        <f>IF(AND('Mapa final SI'!$AC$69="Muy Alta",'Mapa final SI'!$AE$69="Menor"),CONCATENATE("R10C",'Mapa final SI'!$S$69),"")</f>
        <v/>
      </c>
      <c r="V15" s="260" t="str">
        <f>IF(AND('Mapa final SI'!$AC$64="Muy Alta",'Mapa final SI'!$AE$64="Moderado"),CONCATENATE("R10C",'Mapa final SI'!$S$64),"")</f>
        <v/>
      </c>
      <c r="W15" s="261" t="str">
        <f>IF(AND('Mapa final SI'!$AC$65="Muy Alta",'Mapa final SI'!$AE$65="Moderado"),CONCATENATE("R10C",'Mapa final SI'!$S$65),"")</f>
        <v/>
      </c>
      <c r="X15" s="261" t="str">
        <f>IF(AND('Mapa final SI'!$AC$66="Muy Alta",'Mapa final SI'!$AE$66="Moderado"),CONCATENATE("R10C",'Mapa final SI'!$S$66),"")</f>
        <v/>
      </c>
      <c r="Y15" s="261" t="str">
        <f>IF(AND('Mapa final SI'!$AC$67="Muy Alta",'Mapa final SI'!$AE$67="Moderado"),CONCATENATE("R10C",'Mapa final SI'!$S$67),"")</f>
        <v/>
      </c>
      <c r="Z15" s="261" t="str">
        <f>IF(AND('Mapa final SI'!$AC$68="Muy Alta",'Mapa final SI'!$AE$68="Moderado"),CONCATENATE("R10C",'Mapa final SI'!$S$68),"")</f>
        <v/>
      </c>
      <c r="AA15" s="262" t="str">
        <f>IF(AND('Mapa final SI'!$AC$69="Muy Alta",'Mapa final SI'!$AE$69="Moderado"),CONCATENATE("R10C",'Mapa final SI'!$S$69),"")</f>
        <v/>
      </c>
      <c r="AB15" s="254" t="str">
        <f>IF(AND('Mapa final SI'!$AC$64="Muy Alta",'Mapa final SI'!$AE$64="Mayor"),CONCATENATE("R10C",'Mapa final SI'!$S$64),"")</f>
        <v/>
      </c>
      <c r="AC15" s="255" t="str">
        <f>IF(AND('Mapa final SI'!$AC$65="Muy Alta",'Mapa final SI'!$AE$65="Mayor"),CONCATENATE("R10C",'Mapa final SI'!$S$65),"")</f>
        <v/>
      </c>
      <c r="AD15" s="255" t="str">
        <f>IF(AND('Mapa final SI'!$AC$66="Muy Alta",'Mapa final SI'!$AE$66="Mayor"),CONCATENATE("R10C",'Mapa final SI'!$S$66),"")</f>
        <v/>
      </c>
      <c r="AE15" s="255" t="str">
        <f>IF(AND('Mapa final SI'!$AC$67="Muy Alta",'Mapa final SI'!$AE$67="Mayor"),CONCATENATE("R10C",'Mapa final SI'!$S$67),"")</f>
        <v/>
      </c>
      <c r="AF15" s="255" t="str">
        <f>IF(AND('Mapa final SI'!$AC$68="Muy Alta",'Mapa final SI'!$AE$68="Mayor"),CONCATENATE("R10C",'Mapa final SI'!$S$68),"")</f>
        <v/>
      </c>
      <c r="AG15" s="256" t="str">
        <f>IF(AND('Mapa final SI'!$AC$69="Muy Alta",'Mapa final SI'!$AE$69="Mayor"),CONCATENATE("R10C",'Mapa final SI'!$S$69),"")</f>
        <v/>
      </c>
      <c r="AH15" s="263" t="str">
        <f>IF(AND('Mapa final SI'!$AC$64="Muy Alta",'Mapa final SI'!$AE$64="Catastrófico"),CONCATENATE("R10C",'Mapa final SI'!$S$64),"")</f>
        <v/>
      </c>
      <c r="AI15" s="264" t="str">
        <f>IF(AND('Mapa final SI'!$AC$65="Muy Alta",'Mapa final SI'!$AE$65="Catastrófico"),CONCATENATE("R10C",'Mapa final SI'!$S$65),"")</f>
        <v/>
      </c>
      <c r="AJ15" s="264" t="str">
        <f>IF(AND('Mapa final SI'!$AC$66="Muy Alta",'Mapa final SI'!$AE$66="Catastrófico"),CONCATENATE("R10C",'Mapa final SI'!$S$66),"")</f>
        <v/>
      </c>
      <c r="AK15" s="264" t="str">
        <f>IF(AND('Mapa final SI'!$AC$67="Muy Alta",'Mapa final SI'!$AE$67="Catastrófico"),CONCATENATE("R10C",'Mapa final SI'!$S$67),"")</f>
        <v/>
      </c>
      <c r="AL15" s="264" t="str">
        <f>IF(AND('Mapa final SI'!$AC$68="Muy Alta",'Mapa final SI'!$AE$68="Catastrófico"),CONCATENATE("R10C",'Mapa final SI'!$S$68),"")</f>
        <v/>
      </c>
      <c r="AM15" s="265" t="str">
        <f>IF(AND('Mapa final SI'!$AC$69="Muy Alta",'Mapa final SI'!$AE$69="Catastrófico"),CONCATENATE("R10C",'Mapa final SI'!$S$69),"")</f>
        <v/>
      </c>
      <c r="AN15" s="15"/>
      <c r="AO15" s="817"/>
      <c r="AP15" s="818"/>
      <c r="AQ15" s="818"/>
      <c r="AR15" s="818"/>
      <c r="AS15" s="818"/>
      <c r="AT15" s="8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6"/>
      <c r="C16" s="716"/>
      <c r="D16" s="717"/>
      <c r="E16" s="802" t="s">
        <v>191</v>
      </c>
      <c r="F16" s="803"/>
      <c r="G16" s="803"/>
      <c r="H16" s="803"/>
      <c r="I16" s="803"/>
      <c r="J16" s="266" t="str">
        <f>IF(AND('Mapa final SI'!$AC$10="Alta",'Mapa final SI'!$AE$10="Leve"),CONCATENATE("R1C",'Mapa final SI'!$S$10),"")</f>
        <v/>
      </c>
      <c r="K16" s="267" t="str">
        <f>IF(AND('Mapa final SI'!$AC$11="Alta",'Mapa final SI'!$AE$11="Leve"),CONCATENATE("R1C",'Mapa final SI'!$S$11),"")</f>
        <v/>
      </c>
      <c r="L16" s="267" t="str">
        <f>IF(AND('Mapa final SI'!$AC$12="Alta",'Mapa final SI'!$AE$12="Leve"),CONCATENATE("R1C",'Mapa final SI'!$S$12),"")</f>
        <v/>
      </c>
      <c r="M16" s="267" t="str">
        <f>IF(AND('Mapa final SI'!$AC$13="Alta",'Mapa final SI'!$AE$13="Leve"),CONCATENATE("R1C",'Mapa final SI'!$S$13),"")</f>
        <v/>
      </c>
      <c r="N16" s="267" t="str">
        <f>IF(AND('Mapa final SI'!$AC$14="Alta",'Mapa final SI'!$AE$14="Leve"),CONCATENATE("R1C",'Mapa final SI'!$S$14),"")</f>
        <v/>
      </c>
      <c r="O16" s="268" t="str">
        <f>IF(AND('Mapa final SI'!$AC$15="Alta",'Mapa final SI'!$AE$15="Leve"),CONCATENATE("R1C",'Mapa final SI'!$S$15),"")</f>
        <v/>
      </c>
      <c r="P16" s="266" t="str">
        <f>IF(AND('Mapa final SI'!$AC$10="Alta",'Mapa final SI'!$AE$10="Menor"),CONCATENATE("R1C",'Mapa final SI'!$S$10),"")</f>
        <v/>
      </c>
      <c r="Q16" s="267" t="str">
        <f>IF(AND('Mapa final SI'!$AC$11="Alta",'Mapa final SI'!$AE$11="Menor"),CONCATENATE("R1C",'Mapa final SI'!$S$11),"")</f>
        <v/>
      </c>
      <c r="R16" s="267" t="str">
        <f>IF(AND('Mapa final SI'!$AC$12="Alta",'Mapa final SI'!$AE$12="Menor"),CONCATENATE("R1C",'Mapa final SI'!$S$12),"")</f>
        <v/>
      </c>
      <c r="S16" s="267" t="str">
        <f>IF(AND('Mapa final SI'!$AC$13="Alta",'Mapa final SI'!$AE$13="Menor"),CONCATENATE("R1C",'Mapa final SI'!$S$13),"")</f>
        <v/>
      </c>
      <c r="T16" s="267" t="str">
        <f>IF(AND('Mapa final SI'!$AC$14="Alta",'Mapa final SI'!$AE$14="Menor"),CONCATENATE("R1C",'Mapa final SI'!$S$14),"")</f>
        <v/>
      </c>
      <c r="U16" s="268" t="str">
        <f>IF(AND('Mapa final SI'!$AC$15="Alta",'Mapa final SI'!$AE$15="Menor"),CONCATENATE("R1C",'Mapa final SI'!$S$15),"")</f>
        <v/>
      </c>
      <c r="V16" s="248" t="str">
        <f>IF(AND('Mapa final SI'!$AC$10="Alta",'Mapa final SI'!$AE$10="Moderado"),CONCATENATE("R1C",'Mapa final SI'!$S$10),"")</f>
        <v/>
      </c>
      <c r="W16" s="249" t="str">
        <f>IF(AND('Mapa final SI'!$AC$11="Alta",'Mapa final SI'!$AE$11="Moderado"),CONCATENATE("R1C",'Mapa final SI'!$S$11),"")</f>
        <v/>
      </c>
      <c r="X16" s="249" t="str">
        <f>IF(AND('Mapa final SI'!$AC$12="Alta",'Mapa final SI'!$AE$12="Moderado"),CONCATENATE("R1C",'Mapa final SI'!$S$12),"")</f>
        <v/>
      </c>
      <c r="Y16" s="249" t="str">
        <f>IF(AND('Mapa final SI'!$AC$13="Alta",'Mapa final SI'!$AE$13="Moderado"),CONCATENATE("R1C",'Mapa final SI'!$S$13),"")</f>
        <v/>
      </c>
      <c r="Z16" s="249" t="str">
        <f>IF(AND('Mapa final SI'!$AC$14="Alta",'Mapa final SI'!$AE$14="Moderado"),CONCATENATE("R1C",'Mapa final SI'!$S$14),"")</f>
        <v/>
      </c>
      <c r="AA16" s="250" t="str">
        <f>IF(AND('Mapa final SI'!$AC$15="Alta",'Mapa final SI'!$AE$15="Moderado"),CONCATENATE("R1C",'Mapa final SI'!$S$15),"")</f>
        <v/>
      </c>
      <c r="AB16" s="248" t="str">
        <f>IF(AND('Mapa final SI'!$AC$10="Alta",'Mapa final SI'!$AE$10="Mayor"),CONCATENATE("R1C",'Mapa final SI'!$S$10),"")</f>
        <v/>
      </c>
      <c r="AC16" s="249" t="str">
        <f>IF(AND('Mapa final SI'!$AC$11="Alta",'Mapa final SI'!$AE$11="Mayor"),CONCATENATE("R1C",'Mapa final SI'!$S$11),"")</f>
        <v/>
      </c>
      <c r="AD16" s="249" t="str">
        <f>IF(AND('Mapa final SI'!$AC$12="Alta",'Mapa final SI'!$AE$12="Mayor"),CONCATENATE("R1C",'Mapa final SI'!$S$12),"")</f>
        <v/>
      </c>
      <c r="AE16" s="249" t="str">
        <f>IF(AND('Mapa final SI'!$AC$13="Alta",'Mapa final SI'!$AE$13="Mayor"),CONCATENATE("R1C",'Mapa final SI'!$S$13),"")</f>
        <v/>
      </c>
      <c r="AF16" s="249" t="str">
        <f>IF(AND('Mapa final SI'!$AC$14="Alta",'Mapa final SI'!$AE$14="Mayor"),CONCATENATE("R1C",'Mapa final SI'!$S$14),"")</f>
        <v/>
      </c>
      <c r="AG16" s="250" t="str">
        <f>IF(AND('Mapa final SI'!$AC$15="Alta",'Mapa final SI'!$AE$15="Mayor"),CONCATENATE("R1C",'Mapa final SI'!$S$15),"")</f>
        <v/>
      </c>
      <c r="AH16" s="251" t="str">
        <f>IF(AND('Mapa final SI'!$AC$10="Alta",'Mapa final SI'!$AE$10="Catastrófico"),CONCATENATE("R1C",'Mapa final SI'!$S$10),"")</f>
        <v/>
      </c>
      <c r="AI16" s="252" t="str">
        <f>IF(AND('Mapa final SI'!$AC$11="Alta",'Mapa final SI'!$AE$11="Catastrófico"),CONCATENATE("R1C",'Mapa final SI'!$S$11),"")</f>
        <v/>
      </c>
      <c r="AJ16" s="252" t="str">
        <f>IF(AND('Mapa final SI'!$AC$12="Alta",'Mapa final SI'!$AE$12="Catastrófico"),CONCATENATE("R1C",'Mapa final SI'!$S$12),"")</f>
        <v/>
      </c>
      <c r="AK16" s="252" t="str">
        <f>IF(AND('Mapa final SI'!$AC$13="Alta",'Mapa final SI'!$AE$13="Catastrófico"),CONCATENATE("R1C",'Mapa final SI'!$S$13),"")</f>
        <v/>
      </c>
      <c r="AL16" s="252" t="str">
        <f>IF(AND('Mapa final SI'!$AC$14="Alta",'Mapa final SI'!$AE$14="Catastrófico"),CONCATENATE("R1C",'Mapa final SI'!$S$14),"")</f>
        <v/>
      </c>
      <c r="AM16" s="253" t="str">
        <f>IF(AND('Mapa final SI'!$AC$15="Alta",'Mapa final SI'!$AE$15="Catastrófico"),CONCATENATE("R1C",'Mapa final SI'!$S$15),"")</f>
        <v/>
      </c>
      <c r="AN16" s="15"/>
      <c r="AO16" s="821" t="s">
        <v>192</v>
      </c>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6"/>
      <c r="C17" s="716"/>
      <c r="D17" s="717"/>
      <c r="E17" s="820"/>
      <c r="F17" s="806"/>
      <c r="G17" s="806"/>
      <c r="H17" s="806"/>
      <c r="I17" s="806"/>
      <c r="J17" s="269" t="str">
        <f>IF(AND('Mapa final SI'!$AC$16="Alta",'Mapa final SI'!$AE$16="Leve"),CONCATENATE("R2C",'Mapa final SI'!$S$16),"")</f>
        <v/>
      </c>
      <c r="K17" s="270" t="str">
        <f>IF(AND('Mapa final SI'!$AC$17="Alta",'Mapa final SI'!$AE$17="Leve"),CONCATENATE("R2C",'Mapa final SI'!$S$17),"")</f>
        <v/>
      </c>
      <c r="L17" s="270" t="str">
        <f>IF(AND('Mapa final SI'!$AC$18="Alta",'Mapa final SI'!$AE$18="Leve"),CONCATENATE("R2C",'Mapa final SI'!$S$18),"")</f>
        <v/>
      </c>
      <c r="M17" s="270" t="str">
        <f>IF(AND('Mapa final SI'!$AC$19="Alta",'Mapa final SI'!$AE$19="Leve"),CONCATENATE("R2C",'Mapa final SI'!$S$19),"")</f>
        <v/>
      </c>
      <c r="N17" s="270" t="str">
        <f>IF(AND('Mapa final SI'!$AC$20="Alta",'Mapa final SI'!$AE$20="Leve"),CONCATENATE("R2C",'Mapa final SI'!$S$20),"")</f>
        <v/>
      </c>
      <c r="O17" s="271" t="str">
        <f>IF(AND('Mapa final SI'!$AC$21="Alta",'Mapa final SI'!$AE$21="Leve"),CONCATENATE("R2C",'Mapa final SI'!$S$21),"")</f>
        <v/>
      </c>
      <c r="P17" s="269" t="str">
        <f>IF(AND('Mapa final SI'!$AC$16="Alta",'Mapa final SI'!$AE$16="Menor"),CONCATENATE("R2C",'Mapa final SI'!$S$16),"")</f>
        <v/>
      </c>
      <c r="Q17" s="270" t="str">
        <f>IF(AND('Mapa final SI'!$AC$17="Alta",'Mapa final SI'!$AE$17="Menor"),CONCATENATE("R2C",'Mapa final SI'!$S$17),"")</f>
        <v/>
      </c>
      <c r="R17" s="270" t="str">
        <f>IF(AND('Mapa final SI'!$AC$18="Alta",'Mapa final SI'!$AE$18="Menor"),CONCATENATE("R2C",'Mapa final SI'!$S$18),"")</f>
        <v/>
      </c>
      <c r="S17" s="270" t="str">
        <f>IF(AND('Mapa final SI'!$AC$19="Alta",'Mapa final SI'!$AE$19="Menor"),CONCATENATE("R2C",'Mapa final SI'!$S$19),"")</f>
        <v/>
      </c>
      <c r="T17" s="270" t="str">
        <f>IF(AND('Mapa final SI'!$AC$20="Alta",'Mapa final SI'!$AE$20="Menor"),CONCATENATE("R2C",'Mapa final SI'!$S$20),"")</f>
        <v/>
      </c>
      <c r="U17" s="271" t="str">
        <f>IF(AND('Mapa final SI'!$AC$21="Alta",'Mapa final SI'!$AE$21="Menor"),CONCATENATE("R2C",'Mapa final SI'!$S$21),"")</f>
        <v/>
      </c>
      <c r="V17" s="254" t="str">
        <f>IF(AND('Mapa final SI'!$AC$16="Alta",'Mapa final SI'!$AE$16="Moderado"),CONCATENATE("R2C",'Mapa final SI'!$S$16),"")</f>
        <v/>
      </c>
      <c r="W17" s="255" t="str">
        <f>IF(AND('Mapa final SI'!$AC$17="Alta",'Mapa final SI'!$AE$17="Moderado"),CONCATENATE("R2C",'Mapa final SI'!$S$17),"")</f>
        <v/>
      </c>
      <c r="X17" s="255" t="str">
        <f>IF(AND('Mapa final SI'!$AC$18="Alta",'Mapa final SI'!$AE$18="Moderado"),CONCATENATE("R2C",'Mapa final SI'!$S$18),"")</f>
        <v/>
      </c>
      <c r="Y17" s="255" t="str">
        <f>IF(AND('Mapa final SI'!$AC$19="Alta",'Mapa final SI'!$AE$19="Moderado"),CONCATENATE("R2C",'Mapa final SI'!$S$19),"")</f>
        <v/>
      </c>
      <c r="Z17" s="255" t="str">
        <f>IF(AND('Mapa final SI'!$AC$20="Alta",'Mapa final SI'!$AE$20="Moderado"),CONCATENATE("R2C",'Mapa final SI'!$S$20),"")</f>
        <v/>
      </c>
      <c r="AA17" s="256" t="str">
        <f>IF(AND('Mapa final SI'!$AC$21="Alta",'Mapa final SI'!$AE$21="Moderado"),CONCATENATE("R2C",'Mapa final SI'!$S$21),"")</f>
        <v/>
      </c>
      <c r="AB17" s="254" t="str">
        <f>IF(AND('Mapa final SI'!$AC$16="Alta",'Mapa final SI'!$AE$16="Mayor"),CONCATENATE("R2C",'Mapa final SI'!$S$16),"")</f>
        <v/>
      </c>
      <c r="AC17" s="255" t="str">
        <f>IF(AND('Mapa final SI'!$AC$17="Alta",'Mapa final SI'!$AE$17="Mayor"),CONCATENATE("R2C",'Mapa final SI'!$S$17),"")</f>
        <v/>
      </c>
      <c r="AD17" s="255" t="str">
        <f>IF(AND('Mapa final SI'!$AC$18="Alta",'Mapa final SI'!$AE$18="Mayor"),CONCATENATE("R2C",'Mapa final SI'!$S$18),"")</f>
        <v/>
      </c>
      <c r="AE17" s="255" t="str">
        <f>IF(AND('Mapa final SI'!$AC$19="Alta",'Mapa final SI'!$AE$19="Mayor"),CONCATENATE("R2C",'Mapa final SI'!$S$19),"")</f>
        <v/>
      </c>
      <c r="AF17" s="255" t="str">
        <f>IF(AND('Mapa final SI'!$AC$20="Alta",'Mapa final SI'!$AE$20="Mayor"),CONCATENATE("R2C",'Mapa final SI'!$S$20),"")</f>
        <v/>
      </c>
      <c r="AG17" s="256" t="str">
        <f>IF(AND('Mapa final SI'!$AC$21="Alta",'Mapa final SI'!$AE$21="Mayor"),CONCATENATE("R2C",'Mapa final SI'!$S$21),"")</f>
        <v/>
      </c>
      <c r="AH17" s="257" t="str">
        <f>IF(AND('Mapa final SI'!$AC$16="Alta",'Mapa final SI'!$AE$16="Catastrófico"),CONCATENATE("R2C",'Mapa final SI'!$S$16),"")</f>
        <v/>
      </c>
      <c r="AI17" s="258" t="str">
        <f>IF(AND('Mapa final SI'!$AC$17="Alta",'Mapa final SI'!$AE$17="Catastrófico"),CONCATENATE("R2C",'Mapa final SI'!$S$17),"")</f>
        <v/>
      </c>
      <c r="AJ17" s="258" t="str">
        <f>IF(AND('Mapa final SI'!$AC$18="Alta",'Mapa final SI'!$AE$18="Catastrófico"),CONCATENATE("R2C",'Mapa final SI'!$S$18),"")</f>
        <v/>
      </c>
      <c r="AK17" s="258" t="str">
        <f>IF(AND('Mapa final SI'!$AC$19="Alta",'Mapa final SI'!$AE$19="Catastrófico"),CONCATENATE("R2C",'Mapa final SI'!$S$19),"")</f>
        <v/>
      </c>
      <c r="AL17" s="258" t="str">
        <f>IF(AND('Mapa final SI'!$AC$20="Alta",'Mapa final SI'!$AE$20="Catastrófico"),CONCATENATE("R2C",'Mapa final SI'!$S$20),"")</f>
        <v/>
      </c>
      <c r="AM17" s="259" t="str">
        <f>IF(AND('Mapa final SI'!$AC$21="Alta",'Mapa final SI'!$AE$21="Catastrófico"),CONCATENATE("R2C",'Mapa final SI'!$S$21),"")</f>
        <v/>
      </c>
      <c r="AN17" s="15"/>
      <c r="AO17" s="824"/>
      <c r="AP17" s="825"/>
      <c r="AQ17" s="825"/>
      <c r="AR17" s="825"/>
      <c r="AS17" s="825"/>
      <c r="AT17" s="8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6"/>
      <c r="C18" s="716"/>
      <c r="D18" s="717"/>
      <c r="E18" s="805"/>
      <c r="F18" s="806"/>
      <c r="G18" s="806"/>
      <c r="H18" s="806"/>
      <c r="I18" s="806"/>
      <c r="J18" s="269" t="str">
        <f>IF(AND('Mapa final SI'!$AC$22="Alta",'Mapa final SI'!$AE$22="Leve"),CONCATENATE("R3C",'Mapa final SI'!$S$22),"")</f>
        <v/>
      </c>
      <c r="K18" s="270" t="str">
        <f>IF(AND('Mapa final SI'!$AC$23="Alta",'Mapa final SI'!$AE$23="Leve"),CONCATENATE("R3C",'Mapa final SI'!$S$23),"")</f>
        <v/>
      </c>
      <c r="L18" s="270" t="str">
        <f>IF(AND('Mapa final SI'!$AC$24="Alta",'Mapa final SI'!$AE$24="Leve"),CONCATENATE("R3C",'Mapa final SI'!$S$24),"")</f>
        <v/>
      </c>
      <c r="M18" s="270" t="str">
        <f>IF(AND('Mapa final SI'!$AC$25="Alta",'Mapa final SI'!$AE$25="Leve"),CONCATENATE("R3C",'Mapa final SI'!$S$25),"")</f>
        <v/>
      </c>
      <c r="N18" s="270" t="str">
        <f>IF(AND('Mapa final SI'!$AC$26="Alta",'Mapa final SI'!$AE$26="Leve"),CONCATENATE("R3C",'Mapa final SI'!$S$26),"")</f>
        <v/>
      </c>
      <c r="O18" s="271" t="str">
        <f>IF(AND('Mapa final SI'!$AC$27="Alta",'Mapa final SI'!$AE$27="Leve"),CONCATENATE("R3C",'Mapa final SI'!$S$27),"")</f>
        <v/>
      </c>
      <c r="P18" s="269" t="str">
        <f>IF(AND('Mapa final SI'!$AC$22="Alta",'Mapa final SI'!$AE$22="Menor"),CONCATENATE("R3C",'Mapa final SI'!$S$22),"")</f>
        <v/>
      </c>
      <c r="Q18" s="270" t="str">
        <f>IF(AND('Mapa final SI'!$AC$23="Alta",'Mapa final SI'!$AE$23="Menor"),CONCATENATE("R3C",'Mapa final SI'!$S$23),"")</f>
        <v/>
      </c>
      <c r="R18" s="270" t="str">
        <f>IF(AND('Mapa final SI'!$AC$24="Alta",'Mapa final SI'!$AE$24="Menor"),CONCATENATE("R3C",'Mapa final SI'!$S$24),"")</f>
        <v/>
      </c>
      <c r="S18" s="270" t="str">
        <f>IF(AND('Mapa final SI'!$AC$25="Alta",'Mapa final SI'!$AE$25="Menor"),CONCATENATE("R3C",'Mapa final SI'!$S$25),"")</f>
        <v/>
      </c>
      <c r="T18" s="270" t="str">
        <f>IF(AND('Mapa final SI'!$AC$26="Alta",'Mapa final SI'!$AE$26="Menor"),CONCATENATE("R3C",'Mapa final SI'!$S$26),"")</f>
        <v/>
      </c>
      <c r="U18" s="271" t="str">
        <f>IF(AND('Mapa final SI'!$AC$27="Alta",'Mapa final SI'!$AE$27="Menor"),CONCATENATE("R3C",'Mapa final SI'!$S$27),"")</f>
        <v/>
      </c>
      <c r="V18" s="254" t="str">
        <f>IF(AND('Mapa final SI'!$AC$22="Alta",'Mapa final SI'!$AE$22="Moderado"),CONCATENATE("R3C",'Mapa final SI'!$S$22),"")</f>
        <v/>
      </c>
      <c r="W18" s="255" t="str">
        <f>IF(AND('Mapa final SI'!$AC$23="Alta",'Mapa final SI'!$AE$23="Moderado"),CONCATENATE("R3C",'Mapa final SI'!$S$23),"")</f>
        <v/>
      </c>
      <c r="X18" s="255" t="str">
        <f>IF(AND('Mapa final SI'!$AC$24="Alta",'Mapa final SI'!$AE$24="Moderado"),CONCATENATE("R3C",'Mapa final SI'!$S$24),"")</f>
        <v/>
      </c>
      <c r="Y18" s="255" t="str">
        <f>IF(AND('Mapa final SI'!$AC$25="Alta",'Mapa final SI'!$AE$25="Moderado"),CONCATENATE("R3C",'Mapa final SI'!$S$25),"")</f>
        <v/>
      </c>
      <c r="Z18" s="255" t="str">
        <f>IF(AND('Mapa final SI'!$AC$26="Alta",'Mapa final SI'!$AE$26="Moderado"),CONCATENATE("R3C",'Mapa final SI'!$S$26),"")</f>
        <v/>
      </c>
      <c r="AA18" s="256" t="str">
        <f>IF(AND('Mapa final SI'!$AC$27="Alta",'Mapa final SI'!$AE$27="Moderado"),CONCATENATE("R3C",'Mapa final SI'!$S$27),"")</f>
        <v/>
      </c>
      <c r="AB18" s="254" t="str">
        <f>IF(AND('Mapa final SI'!$AC$22="Alta",'Mapa final SI'!$AE$22="Mayor"),CONCATENATE("R3C",'Mapa final SI'!$S$22),"")</f>
        <v/>
      </c>
      <c r="AC18" s="255" t="str">
        <f>IF(AND('Mapa final SI'!$AC$23="Alta",'Mapa final SI'!$AE$23="Mayor"),CONCATENATE("R3C",'Mapa final SI'!$S$23),"")</f>
        <v/>
      </c>
      <c r="AD18" s="255" t="str">
        <f>IF(AND('Mapa final SI'!$AC$24="Alta",'Mapa final SI'!$AE$24="Mayor"),CONCATENATE("R3C",'Mapa final SI'!$S$24),"")</f>
        <v/>
      </c>
      <c r="AE18" s="255" t="str">
        <f>IF(AND('Mapa final SI'!$AC$25="Alta",'Mapa final SI'!$AE$25="Mayor"),CONCATENATE("R3C",'Mapa final SI'!$S$25),"")</f>
        <v/>
      </c>
      <c r="AF18" s="255" t="str">
        <f>IF(AND('Mapa final SI'!$AC$26="Alta",'Mapa final SI'!$AE$26="Mayor"),CONCATENATE("R3C",'Mapa final SI'!$S$26),"")</f>
        <v/>
      </c>
      <c r="AG18" s="256" t="str">
        <f>IF(AND('Mapa final SI'!$AC$27="Alta",'Mapa final SI'!$AE$27="Mayor"),CONCATENATE("R3C",'Mapa final SI'!$S$27),"")</f>
        <v/>
      </c>
      <c r="AH18" s="257" t="str">
        <f>IF(AND('Mapa final SI'!$AC$22="Alta",'Mapa final SI'!$AE$22="Catastrófico"),CONCATENATE("R3C",'Mapa final SI'!$S$22),"")</f>
        <v/>
      </c>
      <c r="AI18" s="258" t="str">
        <f>IF(AND('Mapa final SI'!$AC$23="Alta",'Mapa final SI'!$AE$23="Catastrófico"),CONCATENATE("R3C",'Mapa final SI'!$S$23),"")</f>
        <v/>
      </c>
      <c r="AJ18" s="258" t="str">
        <f>IF(AND('Mapa final SI'!$AC$24="Alta",'Mapa final SI'!$AE$24="Catastrófico"),CONCATENATE("R3C",'Mapa final SI'!$S$24),"")</f>
        <v/>
      </c>
      <c r="AK18" s="258" t="str">
        <f>IF(AND('Mapa final SI'!$AC$25="Alta",'Mapa final SI'!$AE$25="Catastrófico"),CONCATENATE("R3C",'Mapa final SI'!$S$25),"")</f>
        <v/>
      </c>
      <c r="AL18" s="258" t="str">
        <f>IF(AND('Mapa final SI'!$AC$26="Alta",'Mapa final SI'!$AE$26="Catastrófico"),CONCATENATE("R3C",'Mapa final SI'!$S$26),"")</f>
        <v/>
      </c>
      <c r="AM18" s="259" t="str">
        <f>IF(AND('Mapa final SI'!$AC$27="Alta",'Mapa final SI'!$AE$27="Catastrófico"),CONCATENATE("R3C",'Mapa final SI'!$S$27),"")</f>
        <v/>
      </c>
      <c r="AN18" s="15"/>
      <c r="AO18" s="824"/>
      <c r="AP18" s="825"/>
      <c r="AQ18" s="825"/>
      <c r="AR18" s="825"/>
      <c r="AS18" s="825"/>
      <c r="AT18" s="8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6"/>
      <c r="C19" s="716"/>
      <c r="D19" s="717"/>
      <c r="E19" s="805"/>
      <c r="F19" s="806"/>
      <c r="G19" s="806"/>
      <c r="H19" s="806"/>
      <c r="I19" s="806"/>
      <c r="J19" s="269" t="str">
        <f>IF(AND('Mapa final SI'!$AC$28="Alta",'Mapa final SI'!$AE$28="Leve"),CONCATENATE("R4C",'Mapa final SI'!$S$28),"")</f>
        <v/>
      </c>
      <c r="K19" s="270" t="str">
        <f>IF(AND('Mapa final SI'!$AC$29="Alta",'Mapa final SI'!$AE$29="Leve"),CONCATENATE("R4C",'Mapa final SI'!$S$29),"")</f>
        <v/>
      </c>
      <c r="L19" s="270" t="str">
        <f>IF(AND('Mapa final SI'!$AC$30="Alta",'Mapa final SI'!$AE$30="Leve"),CONCATENATE("R4C",'Mapa final SI'!$S$30),"")</f>
        <v/>
      </c>
      <c r="M19" s="270" t="str">
        <f>IF(AND('Mapa final SI'!$AC$31="Alta",'Mapa final SI'!$AE$31="Leve"),CONCATENATE("R4C",'Mapa final SI'!$S$31),"")</f>
        <v/>
      </c>
      <c r="N19" s="270" t="str">
        <f>IF(AND('Mapa final SI'!$AC$32="Alta",'Mapa final SI'!$AE$32="Leve"),CONCATENATE("R4C",'Mapa final SI'!$S$32),"")</f>
        <v/>
      </c>
      <c r="O19" s="271" t="str">
        <f>IF(AND('Mapa final SI'!$AC$33="Alta",'Mapa final SI'!$AE$33="Leve"),CONCATENATE("R4C",'Mapa final SI'!$S$33),"")</f>
        <v/>
      </c>
      <c r="P19" s="269" t="str">
        <f>IF(AND('Mapa final SI'!$AC$28="Alta",'Mapa final SI'!$AE$28="Menor"),CONCATENATE("R4C",'Mapa final SI'!$S$28),"")</f>
        <v/>
      </c>
      <c r="Q19" s="270" t="str">
        <f>IF(AND('Mapa final SI'!$AC$29="Alta",'Mapa final SI'!$AE$29="Menor"),CONCATENATE("R4C",'Mapa final SI'!$S$29),"")</f>
        <v/>
      </c>
      <c r="R19" s="270" t="str">
        <f>IF(AND('Mapa final SI'!$AC$30="Alta",'Mapa final SI'!$AE$30="Menor"),CONCATENATE("R4C",'Mapa final SI'!$S$30),"")</f>
        <v/>
      </c>
      <c r="S19" s="270" t="str">
        <f>IF(AND('Mapa final SI'!$AC$31="Alta",'Mapa final SI'!$AE$31="Menor"),CONCATENATE("R4C",'Mapa final SI'!$S$31),"")</f>
        <v/>
      </c>
      <c r="T19" s="270" t="str">
        <f>IF(AND('Mapa final SI'!$AC$32="Alta",'Mapa final SI'!$AE$32="Menor"),CONCATENATE("R4C",'Mapa final SI'!$S$32),"")</f>
        <v/>
      </c>
      <c r="U19" s="271" t="str">
        <f>IF(AND('Mapa final SI'!$AC$33="Alta",'Mapa final SI'!$AE$33="Menor"),CONCATENATE("R4C",'Mapa final SI'!$S$33),"")</f>
        <v/>
      </c>
      <c r="V19" s="254" t="str">
        <f>IF(AND('Mapa final SI'!$AC$28="Alta",'Mapa final SI'!$AE$28="Moderado"),CONCATENATE("R4C",'Mapa final SI'!$S$28),"")</f>
        <v/>
      </c>
      <c r="W19" s="255" t="str">
        <f>IF(AND('Mapa final SI'!$AC$29="Alta",'Mapa final SI'!$AE$29="Moderado"),CONCATENATE("R4C",'Mapa final SI'!$S$29),"")</f>
        <v/>
      </c>
      <c r="X19" s="255" t="str">
        <f>IF(AND('Mapa final SI'!$AC$30="Alta",'Mapa final SI'!$AE$30="Moderado"),CONCATENATE("R4C",'Mapa final SI'!$S$30),"")</f>
        <v/>
      </c>
      <c r="Y19" s="255" t="str">
        <f>IF(AND('Mapa final SI'!$AC$31="Alta",'Mapa final SI'!$AE$31="Moderado"),CONCATENATE("R4C",'Mapa final SI'!$S$31),"")</f>
        <v/>
      </c>
      <c r="Z19" s="255" t="str">
        <f>IF(AND('Mapa final SI'!$AC$32="Alta",'Mapa final SI'!$AE$32="Moderado"),CONCATENATE("R4C",'Mapa final SI'!$S$32),"")</f>
        <v/>
      </c>
      <c r="AA19" s="256" t="str">
        <f>IF(AND('Mapa final SI'!$AC$33="Alta",'Mapa final SI'!$AE$33="Moderado"),CONCATENATE("R4C",'Mapa final SI'!$S$33),"")</f>
        <v/>
      </c>
      <c r="AB19" s="254" t="str">
        <f>IF(AND('Mapa final SI'!$AC$28="Alta",'Mapa final SI'!$AE$28="Mayor"),CONCATENATE("R4C",'Mapa final SI'!$S$28),"")</f>
        <v/>
      </c>
      <c r="AC19" s="255" t="str">
        <f>IF(AND('Mapa final SI'!$AC$29="Alta",'Mapa final SI'!$AE$29="Mayor"),CONCATENATE("R4C",'Mapa final SI'!$S$29),"")</f>
        <v/>
      </c>
      <c r="AD19" s="255" t="str">
        <f>IF(AND('Mapa final SI'!$AC$30="Alta",'Mapa final SI'!$AE$30="Mayor"),CONCATENATE("R4C",'Mapa final SI'!$S$30),"")</f>
        <v/>
      </c>
      <c r="AE19" s="255" t="str">
        <f>IF(AND('Mapa final SI'!$AC$31="Alta",'Mapa final SI'!$AE$31="Mayor"),CONCATENATE("R4C",'Mapa final SI'!$S$31),"")</f>
        <v/>
      </c>
      <c r="AF19" s="255" t="str">
        <f>IF(AND('Mapa final SI'!$AC$32="Alta",'Mapa final SI'!$AE$32="Mayor"),CONCATENATE("R4C",'Mapa final SI'!$S$32),"")</f>
        <v/>
      </c>
      <c r="AG19" s="256" t="str">
        <f>IF(AND('Mapa final SI'!$AC$33="Alta",'Mapa final SI'!$AE$33="Mayor"),CONCATENATE("R4C",'Mapa final SI'!$S$33),"")</f>
        <v/>
      </c>
      <c r="AH19" s="257" t="str">
        <f>IF(AND('Mapa final SI'!$AC$28="Alta",'Mapa final SI'!$AE$28="Catastrófico"),CONCATENATE("R4C",'Mapa final SI'!$S$28),"")</f>
        <v/>
      </c>
      <c r="AI19" s="258" t="str">
        <f>IF(AND('Mapa final SI'!$AC$29="Alta",'Mapa final SI'!$AE$29="Catastrófico"),CONCATENATE("R4C",'Mapa final SI'!$S$29),"")</f>
        <v/>
      </c>
      <c r="AJ19" s="258" t="str">
        <f>IF(AND('Mapa final SI'!$AC$30="Alta",'Mapa final SI'!$AE$30="Catastrófico"),CONCATENATE("R4C",'Mapa final SI'!$S$30),"")</f>
        <v/>
      </c>
      <c r="AK19" s="258" t="str">
        <f>IF(AND('Mapa final SI'!$AC$31="Alta",'Mapa final SI'!$AE$31="Catastrófico"),CONCATENATE("R4C",'Mapa final SI'!$S$31),"")</f>
        <v/>
      </c>
      <c r="AL19" s="258" t="str">
        <f>IF(AND('Mapa final SI'!$AC$32="Alta",'Mapa final SI'!$AE$32="Catastrófico"),CONCATENATE("R4C",'Mapa final SI'!$S$32),"")</f>
        <v/>
      </c>
      <c r="AM19" s="259" t="str">
        <f>IF(AND('Mapa final SI'!$AC$33="Alta",'Mapa final SI'!$AE$33="Catastrófico"),CONCATENATE("R4C",'Mapa final SI'!$S$33),"")</f>
        <v/>
      </c>
      <c r="AN19" s="15"/>
      <c r="AO19" s="824"/>
      <c r="AP19" s="825"/>
      <c r="AQ19" s="825"/>
      <c r="AR19" s="825"/>
      <c r="AS19" s="825"/>
      <c r="AT19" s="8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6"/>
      <c r="C20" s="716"/>
      <c r="D20" s="717"/>
      <c r="E20" s="805"/>
      <c r="F20" s="806"/>
      <c r="G20" s="806"/>
      <c r="H20" s="806"/>
      <c r="I20" s="806"/>
      <c r="J20" s="269" t="str">
        <f>IF(AND('Mapa final SI'!$AC$34="Alta",'Mapa final SI'!$AE$34="Leve"),CONCATENATE("R5C",'Mapa final SI'!$S$34),"")</f>
        <v/>
      </c>
      <c r="K20" s="270" t="str">
        <f>IF(AND('Mapa final SI'!$AC$35="Alta",'Mapa final SI'!$AE$35="Leve"),CONCATENATE("R5C",'Mapa final SI'!$S$35),"")</f>
        <v/>
      </c>
      <c r="L20" s="270" t="str">
        <f>IF(AND('Mapa final SI'!$AC$36="Alta",'Mapa final SI'!$AE$36="Leve"),CONCATENATE("R5C",'Mapa final SI'!$S$36),"")</f>
        <v/>
      </c>
      <c r="M20" s="270" t="str">
        <f>IF(AND('Mapa final SI'!$AC$37="Alta",'Mapa final SI'!$AE$37="Leve"),CONCATENATE("R5C",'Mapa final SI'!$S$37),"")</f>
        <v/>
      </c>
      <c r="N20" s="270" t="str">
        <f>IF(AND('Mapa final SI'!$AC$38="Alta",'Mapa final SI'!$AE$38="Leve"),CONCATENATE("R5C",'Mapa final SI'!$S$38),"")</f>
        <v/>
      </c>
      <c r="O20" s="271" t="str">
        <f>IF(AND('Mapa final SI'!$AC$39="Alta",'Mapa final SI'!$AE$39="Leve"),CONCATENATE("R5C",'Mapa final SI'!$S$39),"")</f>
        <v/>
      </c>
      <c r="P20" s="269" t="str">
        <f>IF(AND('Mapa final SI'!$AC$34="Alta",'Mapa final SI'!$AE$34="Menor"),CONCATENATE("R5C",'Mapa final SI'!$S$34),"")</f>
        <v/>
      </c>
      <c r="Q20" s="270" t="str">
        <f>IF(AND('Mapa final SI'!$AC$35="Alta",'Mapa final SI'!$AE$35="Menor"),CONCATENATE("R5C",'Mapa final SI'!$S$35),"")</f>
        <v/>
      </c>
      <c r="R20" s="270" t="str">
        <f>IF(AND('Mapa final SI'!$AC$36="Alta",'Mapa final SI'!$AE$36="Menor"),CONCATENATE("R5C",'Mapa final SI'!$S$36),"")</f>
        <v/>
      </c>
      <c r="S20" s="270" t="str">
        <f>IF(AND('Mapa final SI'!$AC$37="Alta",'Mapa final SI'!$AE$37="Menor"),CONCATENATE("R5C",'Mapa final SI'!$S$37),"")</f>
        <v/>
      </c>
      <c r="T20" s="270" t="str">
        <f>IF(AND('Mapa final SI'!$AC$38="Alta",'Mapa final SI'!$AE$38="Menor"),CONCATENATE("R5C",'Mapa final SI'!$S$38),"")</f>
        <v/>
      </c>
      <c r="U20" s="271" t="str">
        <f>IF(AND('Mapa final SI'!$AC$39="Alta",'Mapa final SI'!$AE$39="Menor"),CONCATENATE("R5C",'Mapa final SI'!$S$39),"")</f>
        <v/>
      </c>
      <c r="V20" s="254" t="str">
        <f>IF(AND('Mapa final SI'!$AC$34="Alta",'Mapa final SI'!$AE$34="Moderado"),CONCATENATE("R5C",'Mapa final SI'!$S$34),"")</f>
        <v/>
      </c>
      <c r="W20" s="255" t="str">
        <f>IF(AND('Mapa final SI'!$AC$35="Alta",'Mapa final SI'!$AE$35="Moderado"),CONCATENATE("R5C",'Mapa final SI'!$S$35),"")</f>
        <v/>
      </c>
      <c r="X20" s="255" t="str">
        <f>IF(AND('Mapa final SI'!$AC$36="Alta",'Mapa final SI'!$AE$36="Moderado"),CONCATENATE("R5C",'Mapa final SI'!$S$36),"")</f>
        <v/>
      </c>
      <c r="Y20" s="255" t="str">
        <f>IF(AND('Mapa final SI'!$AC$37="Alta",'Mapa final SI'!$AE$37="Moderado"),CONCATENATE("R5C",'Mapa final SI'!$S$37),"")</f>
        <v/>
      </c>
      <c r="Z20" s="255" t="str">
        <f>IF(AND('Mapa final SI'!$AC$38="Alta",'Mapa final SI'!$AE$38="Moderado"),CONCATENATE("R5C",'Mapa final SI'!$S$38),"")</f>
        <v/>
      </c>
      <c r="AA20" s="256" t="str">
        <f>IF(AND('Mapa final SI'!$AC$39="Alta",'Mapa final SI'!$AE$39="Moderado"),CONCATENATE("R5C",'Mapa final SI'!$S$39),"")</f>
        <v/>
      </c>
      <c r="AB20" s="254" t="str">
        <f>IF(AND('Mapa final SI'!$AC$34="Alta",'Mapa final SI'!$AE$34="Mayor"),CONCATENATE("R5C",'Mapa final SI'!$S$34),"")</f>
        <v/>
      </c>
      <c r="AC20" s="255" t="str">
        <f>IF(AND('Mapa final SI'!$AC$35="Alta",'Mapa final SI'!$AE$35="Mayor"),CONCATENATE("R5C",'Mapa final SI'!$S$35),"")</f>
        <v/>
      </c>
      <c r="AD20" s="255" t="str">
        <f>IF(AND('Mapa final SI'!$AC$36="Alta",'Mapa final SI'!$AE$36="Mayor"),CONCATENATE("R5C",'Mapa final SI'!$S$36),"")</f>
        <v/>
      </c>
      <c r="AE20" s="255" t="str">
        <f>IF(AND('Mapa final SI'!$AC$37="Alta",'Mapa final SI'!$AE$37="Mayor"),CONCATENATE("R5C",'Mapa final SI'!$S$37),"")</f>
        <v/>
      </c>
      <c r="AF20" s="255" t="str">
        <f>IF(AND('Mapa final SI'!$AC$38="Alta",'Mapa final SI'!$AE$38="Mayor"),CONCATENATE("R5C",'Mapa final SI'!$S$38),"")</f>
        <v/>
      </c>
      <c r="AG20" s="256" t="str">
        <f>IF(AND('Mapa final SI'!$AC$39="Alta",'Mapa final SI'!$AE$39="Mayor"),CONCATENATE("R5C",'Mapa final SI'!$S$39),"")</f>
        <v/>
      </c>
      <c r="AH20" s="257" t="str">
        <f>IF(AND('Mapa final SI'!$AC$34="Alta",'Mapa final SI'!$AE$34="Catastrófico"),CONCATENATE("R5C",'Mapa final SI'!$S$34),"")</f>
        <v/>
      </c>
      <c r="AI20" s="258" t="str">
        <f>IF(AND('Mapa final SI'!$AC$35="Alta",'Mapa final SI'!$AE$35="Catastrófico"),CONCATENATE("R5C",'Mapa final SI'!$S$35),"")</f>
        <v/>
      </c>
      <c r="AJ20" s="258" t="str">
        <f>IF(AND('Mapa final SI'!$AC$36="Alta",'Mapa final SI'!$AE$36="Catastrófico"),CONCATENATE("R5C",'Mapa final SI'!$S$36),"")</f>
        <v/>
      </c>
      <c r="AK20" s="258" t="str">
        <f>IF(AND('Mapa final SI'!$AC$37="Alta",'Mapa final SI'!$AE$37="Catastrófico"),CONCATENATE("R5C",'Mapa final SI'!$S$37),"")</f>
        <v/>
      </c>
      <c r="AL20" s="258" t="str">
        <f>IF(AND('Mapa final SI'!$AC$38="Alta",'Mapa final SI'!$AE$38="Catastrófico"),CONCATENATE("R5C",'Mapa final SI'!$S$38),"")</f>
        <v/>
      </c>
      <c r="AM20" s="259" t="str">
        <f>IF(AND('Mapa final SI'!$AC$39="Alta",'Mapa final SI'!$AE$39="Catastrófico"),CONCATENATE("R5C",'Mapa final SI'!$S$39),"")</f>
        <v/>
      </c>
      <c r="AN20" s="15"/>
      <c r="AO20" s="824"/>
      <c r="AP20" s="825"/>
      <c r="AQ20" s="825"/>
      <c r="AR20" s="825"/>
      <c r="AS20" s="825"/>
      <c r="AT20" s="8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6"/>
      <c r="C21" s="716"/>
      <c r="D21" s="717"/>
      <c r="E21" s="805"/>
      <c r="F21" s="806"/>
      <c r="G21" s="806"/>
      <c r="H21" s="806"/>
      <c r="I21" s="806"/>
      <c r="J21" s="269" t="str">
        <f>IF(AND('Mapa final SI'!$AC$40="Alta",'Mapa final SI'!$AE$40="Leve"),CONCATENATE("R6C",'Mapa final SI'!$S$40),"")</f>
        <v/>
      </c>
      <c r="K21" s="270" t="str">
        <f>IF(AND('Mapa final SI'!$AC$41="Alta",'Mapa final SI'!$AE$41="Leve"),CONCATENATE("R6C",'Mapa final SI'!$S$41),"")</f>
        <v/>
      </c>
      <c r="L21" s="270" t="str">
        <f>IF(AND('Mapa final SI'!$AC$42="Alta",'Mapa final SI'!$AE$42="Leve"),CONCATENATE("R6C",'Mapa final SI'!$S$42),"")</f>
        <v/>
      </c>
      <c r="M21" s="270" t="str">
        <f>IF(AND('Mapa final SI'!$AC$43="Alta",'Mapa final SI'!$AE$43="Leve"),CONCATENATE("R6C",'Mapa final SI'!$S$43),"")</f>
        <v/>
      </c>
      <c r="N21" s="270" t="str">
        <f>IF(AND('Mapa final SI'!$AC$44="Alta",'Mapa final SI'!$AE$44="Leve"),CONCATENATE("R6C",'Mapa final SI'!$S$44),"")</f>
        <v/>
      </c>
      <c r="O21" s="271" t="str">
        <f>IF(AND('Mapa final SI'!$AC$45="Alta",'Mapa final SI'!$AE$45="Leve"),CONCATENATE("R6C",'Mapa final SI'!$S$45),"")</f>
        <v/>
      </c>
      <c r="P21" s="269" t="str">
        <f>IF(AND('Mapa final SI'!$AC$40="Alta",'Mapa final SI'!$AE$40="Menor"),CONCATENATE("R6C",'Mapa final SI'!$S$40),"")</f>
        <v/>
      </c>
      <c r="Q21" s="270" t="str">
        <f>IF(AND('Mapa final SI'!$AC$41="Alta",'Mapa final SI'!$AE$41="Menor"),CONCATENATE("R6C",'Mapa final SI'!$S$41),"")</f>
        <v/>
      </c>
      <c r="R21" s="270" t="str">
        <f>IF(AND('Mapa final SI'!$AC$42="Alta",'Mapa final SI'!$AE$42="Menor"),CONCATENATE("R6C",'Mapa final SI'!$S$42),"")</f>
        <v/>
      </c>
      <c r="S21" s="270" t="str">
        <f>IF(AND('Mapa final SI'!$AC$43="Alta",'Mapa final SI'!$AE$43="Menor"),CONCATENATE("R6C",'Mapa final SI'!$S$43),"")</f>
        <v/>
      </c>
      <c r="T21" s="270" t="str">
        <f>IF(AND('Mapa final SI'!$AC$44="Alta",'Mapa final SI'!$AE$44="Menor"),CONCATENATE("R6C",'Mapa final SI'!$S$44),"")</f>
        <v/>
      </c>
      <c r="U21" s="271" t="str">
        <f>IF(AND('Mapa final SI'!$AC$45="Alta",'Mapa final SI'!$AE$45="Menor"),CONCATENATE("R6C",'Mapa final SI'!$S$45),"")</f>
        <v/>
      </c>
      <c r="V21" s="254" t="str">
        <f>IF(AND('Mapa final SI'!$AC$40="Alta",'Mapa final SI'!$AE$40="Moderado"),CONCATENATE("R6C",'Mapa final SI'!$S$40),"")</f>
        <v/>
      </c>
      <c r="W21" s="255" t="str">
        <f>IF(AND('Mapa final SI'!$AC$41="Alta",'Mapa final SI'!$AE$41="Moderado"),CONCATENATE("R6C",'Mapa final SI'!$S$41),"")</f>
        <v/>
      </c>
      <c r="X21" s="255" t="str">
        <f>IF(AND('Mapa final SI'!$AC$42="Alta",'Mapa final SI'!$AE$42="Moderado"),CONCATENATE("R6C",'Mapa final SI'!$S$42),"")</f>
        <v/>
      </c>
      <c r="Y21" s="255" t="str">
        <f>IF(AND('Mapa final SI'!$AC$43="Alta",'Mapa final SI'!$AE$43="Moderado"),CONCATENATE("R6C",'Mapa final SI'!$S$43),"")</f>
        <v/>
      </c>
      <c r="Z21" s="255" t="str">
        <f>IF(AND('Mapa final SI'!$AC$44="Alta",'Mapa final SI'!$AE$44="Moderado"),CONCATENATE("R6C",'Mapa final SI'!$S$44),"")</f>
        <v/>
      </c>
      <c r="AA21" s="256" t="str">
        <f>IF(AND('Mapa final SI'!$AC$45="Alta",'Mapa final SI'!$AE$45="Moderado"),CONCATENATE("R6C",'Mapa final SI'!$S$45),"")</f>
        <v/>
      </c>
      <c r="AB21" s="254" t="str">
        <f>IF(AND('Mapa final SI'!$AC$40="Alta",'Mapa final SI'!$AE$40="Mayor"),CONCATENATE("R6C",'Mapa final SI'!$S$40),"")</f>
        <v/>
      </c>
      <c r="AC21" s="255" t="str">
        <f>IF(AND('Mapa final SI'!$AC$41="Alta",'Mapa final SI'!$AE$41="Mayor"),CONCATENATE("R6C",'Mapa final SI'!$S$41),"")</f>
        <v/>
      </c>
      <c r="AD21" s="255" t="str">
        <f>IF(AND('Mapa final SI'!$AC$42="Alta",'Mapa final SI'!$AE$42="Mayor"),CONCATENATE("R6C",'Mapa final SI'!$S$42),"")</f>
        <v/>
      </c>
      <c r="AE21" s="255" t="str">
        <f>IF(AND('Mapa final SI'!$AC$43="Alta",'Mapa final SI'!$AE$43="Mayor"),CONCATENATE("R6C",'Mapa final SI'!$S$43),"")</f>
        <v/>
      </c>
      <c r="AF21" s="255" t="str">
        <f>IF(AND('Mapa final SI'!$AC$44="Alta",'Mapa final SI'!$AE$44="Mayor"),CONCATENATE("R6C",'Mapa final SI'!$S$44),"")</f>
        <v/>
      </c>
      <c r="AG21" s="256" t="str">
        <f>IF(AND('Mapa final SI'!$AC$45="Alta",'Mapa final SI'!$AE$45="Mayor"),CONCATENATE("R6C",'Mapa final SI'!$S$45),"")</f>
        <v/>
      </c>
      <c r="AH21" s="257" t="str">
        <f>IF(AND('Mapa final SI'!$AC$40="Alta",'Mapa final SI'!$AE$40="Catastrófico"),CONCATENATE("R6C",'Mapa final SI'!$S$40),"")</f>
        <v/>
      </c>
      <c r="AI21" s="258" t="str">
        <f>IF(AND('Mapa final SI'!$AC$41="Alta",'Mapa final SI'!$AE$41="Catastrófico"),CONCATENATE("R6C",'Mapa final SI'!$S$41),"")</f>
        <v/>
      </c>
      <c r="AJ21" s="258" t="str">
        <f>IF(AND('Mapa final SI'!$AC$42="Alta",'Mapa final SI'!$AE$42="Catastrófico"),CONCATENATE("R6C",'Mapa final SI'!$S$42),"")</f>
        <v/>
      </c>
      <c r="AK21" s="258" t="str">
        <f>IF(AND('Mapa final SI'!$AC$43="Alta",'Mapa final SI'!$AE$43="Catastrófico"),CONCATENATE("R6C",'Mapa final SI'!$S$43),"")</f>
        <v/>
      </c>
      <c r="AL21" s="258" t="str">
        <f>IF(AND('Mapa final SI'!$AC$44="Alta",'Mapa final SI'!$AE$44="Catastrófico"),CONCATENATE("R6C",'Mapa final SI'!$S$44),"")</f>
        <v/>
      </c>
      <c r="AM21" s="259" t="str">
        <f>IF(AND('Mapa final SI'!$AC$45="Alta",'Mapa final SI'!$AE$45="Catastrófico"),CONCATENATE("R6C",'Mapa final SI'!$S$45),"")</f>
        <v/>
      </c>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6"/>
      <c r="C22" s="716"/>
      <c r="D22" s="717"/>
      <c r="E22" s="805"/>
      <c r="F22" s="806"/>
      <c r="G22" s="806"/>
      <c r="H22" s="806"/>
      <c r="I22" s="806"/>
      <c r="J22" s="269" t="str">
        <f>IF(AND('Mapa final SI'!$AC$46="Alta",'Mapa final SI'!$AE$46="Leve"),CONCATENATE("R7C",'Mapa final SI'!$S$46),"")</f>
        <v/>
      </c>
      <c r="K22" s="270" t="str">
        <f>IF(AND('Mapa final SI'!$AC$47="Alta",'Mapa final SI'!$AE$47="Leve"),CONCATENATE("R7C",'Mapa final SI'!$S$47),"")</f>
        <v/>
      </c>
      <c r="L22" s="270" t="str">
        <f>IF(AND('Mapa final SI'!$AC$48="Alta",'Mapa final SI'!$AE$48="Leve"),CONCATENATE("R7C",'Mapa final SI'!$S$48),"")</f>
        <v/>
      </c>
      <c r="M22" s="270" t="str">
        <f>IF(AND('Mapa final SI'!$AC$49="Alta",'Mapa final SI'!$AE$49="Leve"),CONCATENATE("R7C",'Mapa final SI'!$S$49),"")</f>
        <v/>
      </c>
      <c r="N22" s="270" t="str">
        <f>IF(AND('Mapa final SI'!$AC$50="Alta",'Mapa final SI'!$AE$50="Leve"),CONCATENATE("R7C",'Mapa final SI'!$S$50),"")</f>
        <v/>
      </c>
      <c r="O22" s="271" t="str">
        <f>IF(AND('Mapa final SI'!$AC$51="Alta",'Mapa final SI'!$AE$51="Leve"),CONCATENATE("R7C",'Mapa final SI'!$S$51),"")</f>
        <v/>
      </c>
      <c r="P22" s="269" t="str">
        <f>IF(AND('Mapa final SI'!$AC$46="Alta",'Mapa final SI'!$AE$46="Menor"),CONCATENATE("R7C",'Mapa final SI'!$S$46),"")</f>
        <v/>
      </c>
      <c r="Q22" s="270" t="str">
        <f>IF(AND('Mapa final SI'!$AC$47="Alta",'Mapa final SI'!$AE$47="Menor"),CONCATENATE("R7C",'Mapa final SI'!$S$47),"")</f>
        <v/>
      </c>
      <c r="R22" s="270" t="str">
        <f>IF(AND('Mapa final SI'!$AC$48="Alta",'Mapa final SI'!$AE$48="Menor"),CONCATENATE("R7C",'Mapa final SI'!$S$48),"")</f>
        <v/>
      </c>
      <c r="S22" s="270" t="str">
        <f>IF(AND('Mapa final SI'!$AC$49="Alta",'Mapa final SI'!$AE$49="Menor"),CONCATENATE("R7C",'Mapa final SI'!$S$49),"")</f>
        <v/>
      </c>
      <c r="T22" s="270" t="str">
        <f>IF(AND('Mapa final SI'!$AC$50="Alta",'Mapa final SI'!$AE$50="Menor"),CONCATENATE("R7C",'Mapa final SI'!$S$50),"")</f>
        <v/>
      </c>
      <c r="U22" s="271" t="str">
        <f>IF(AND('Mapa final SI'!$AC$51="Alta",'Mapa final SI'!$AE$51="Menor"),CONCATENATE("R7C",'Mapa final SI'!$S$51),"")</f>
        <v/>
      </c>
      <c r="V22" s="254" t="str">
        <f>IF(AND('Mapa final SI'!$AC$46="Alta",'Mapa final SI'!$AE$46="Moderado"),CONCATENATE("R7C",'Mapa final SI'!$S$46),"")</f>
        <v/>
      </c>
      <c r="W22" s="255" t="str">
        <f>IF(AND('Mapa final SI'!$AC$47="Alta",'Mapa final SI'!$AE$47="Moderado"),CONCATENATE("R7C",'Mapa final SI'!$S$47),"")</f>
        <v/>
      </c>
      <c r="X22" s="255" t="str">
        <f>IF(AND('Mapa final SI'!$AC$48="Alta",'Mapa final SI'!$AE$48="Moderado"),CONCATENATE("R7C",'Mapa final SI'!$S$48),"")</f>
        <v/>
      </c>
      <c r="Y22" s="255" t="str">
        <f>IF(AND('Mapa final SI'!$AC$49="Alta",'Mapa final SI'!$AE$49="Moderado"),CONCATENATE("R7C",'Mapa final SI'!$S$49),"")</f>
        <v/>
      </c>
      <c r="Z22" s="255" t="str">
        <f>IF(AND('Mapa final SI'!$AC$50="Alta",'Mapa final SI'!$AE$50="Moderado"),CONCATENATE("R7C",'Mapa final SI'!$S$50),"")</f>
        <v/>
      </c>
      <c r="AA22" s="256" t="str">
        <f>IF(AND('Mapa final SI'!$AC$51="Alta",'Mapa final SI'!$AE$51="Moderado"),CONCATENATE("R7C",'Mapa final SI'!$S$51),"")</f>
        <v/>
      </c>
      <c r="AB22" s="254" t="str">
        <f>IF(AND('Mapa final SI'!$AC$46="Alta",'Mapa final SI'!$AE$46="Mayor"),CONCATENATE("R7C",'Mapa final SI'!$S$46),"")</f>
        <v/>
      </c>
      <c r="AC22" s="255" t="str">
        <f>IF(AND('Mapa final SI'!$AC$47="Alta",'Mapa final SI'!$AE$47="Mayor"),CONCATENATE("R7C",'Mapa final SI'!$S$47),"")</f>
        <v/>
      </c>
      <c r="AD22" s="255" t="str">
        <f>IF(AND('Mapa final SI'!$AC$48="Alta",'Mapa final SI'!$AE$48="Mayor"),CONCATENATE("R7C",'Mapa final SI'!$S$48),"")</f>
        <v/>
      </c>
      <c r="AE22" s="255" t="str">
        <f>IF(AND('Mapa final SI'!$AC$49="Alta",'Mapa final SI'!$AE$49="Mayor"),CONCATENATE("R7C",'Mapa final SI'!$S$49),"")</f>
        <v/>
      </c>
      <c r="AF22" s="255" t="str">
        <f>IF(AND('Mapa final SI'!$AC$50="Alta",'Mapa final SI'!$AE$50="Mayor"),CONCATENATE("R7C",'Mapa final SI'!$S$50),"")</f>
        <v/>
      </c>
      <c r="AG22" s="256" t="str">
        <f>IF(AND('Mapa final SI'!$AC$51="Alta",'Mapa final SI'!$AE$51="Mayor"),CONCATENATE("R7C",'Mapa final SI'!$S$51),"")</f>
        <v/>
      </c>
      <c r="AH22" s="257" t="str">
        <f>IF(AND('Mapa final SI'!$AC$46="Alta",'Mapa final SI'!$AE$46="Catastrófico"),CONCATENATE("R7C",'Mapa final SI'!$S$46),"")</f>
        <v/>
      </c>
      <c r="AI22" s="258" t="str">
        <f>IF(AND('Mapa final SI'!$AC$47="Alta",'Mapa final SI'!$AE$47="Catastrófico"),CONCATENATE("R7C",'Mapa final SI'!$S$47),"")</f>
        <v/>
      </c>
      <c r="AJ22" s="258" t="str">
        <f>IF(AND('Mapa final SI'!$AC$48="Alta",'Mapa final SI'!$AE$48="Catastrófico"),CONCATENATE("R7C",'Mapa final SI'!$S$48),"")</f>
        <v/>
      </c>
      <c r="AK22" s="258" t="str">
        <f>IF(AND('Mapa final SI'!$AC$49="Alta",'Mapa final SI'!$AE$49="Catastrófico"),CONCATENATE("R7C",'Mapa final SI'!$S$49),"")</f>
        <v/>
      </c>
      <c r="AL22" s="258" t="str">
        <f>IF(AND('Mapa final SI'!$AC$50="Alta",'Mapa final SI'!$AE$50="Catastrófico"),CONCATENATE("R7C",'Mapa final SI'!$S$50),"")</f>
        <v/>
      </c>
      <c r="AM22" s="259" t="str">
        <f>IF(AND('Mapa final SI'!$AC$51="Alta",'Mapa final SI'!$AE$51="Catastrófico"),CONCATENATE("R7C",'Mapa final SI'!$S$51),"")</f>
        <v/>
      </c>
      <c r="AN22" s="15"/>
      <c r="AO22" s="824"/>
      <c r="AP22" s="825"/>
      <c r="AQ22" s="825"/>
      <c r="AR22" s="825"/>
      <c r="AS22" s="825"/>
      <c r="AT22" s="8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6"/>
      <c r="C23" s="716"/>
      <c r="D23" s="717"/>
      <c r="E23" s="805"/>
      <c r="F23" s="806"/>
      <c r="G23" s="806"/>
      <c r="H23" s="806"/>
      <c r="I23" s="806"/>
      <c r="J23" s="269" t="str">
        <f>IF(AND('Mapa final SI'!$AC$52="Alta",'Mapa final SI'!$AE$52="Leve"),CONCATENATE("R8C",'Mapa final SI'!$S$52),"")</f>
        <v/>
      </c>
      <c r="K23" s="270" t="str">
        <f>IF(AND('Mapa final SI'!$AC$53="Alta",'Mapa final SI'!$AE$53="Leve"),CONCATENATE("R8C",'Mapa final SI'!$S$53),"")</f>
        <v/>
      </c>
      <c r="L23" s="270" t="str">
        <f>IF(AND('Mapa final SI'!$AC$54="Alta",'Mapa final SI'!$AE$54="Leve"),CONCATENATE("R8C",'Mapa final SI'!$S$54),"")</f>
        <v/>
      </c>
      <c r="M23" s="270" t="str">
        <f>IF(AND('Mapa final SI'!$AC$55="Alta",'Mapa final SI'!$AE$55="Leve"),CONCATENATE("R8C",'Mapa final SI'!$S$55),"")</f>
        <v/>
      </c>
      <c r="N23" s="270" t="str">
        <f>IF(AND('Mapa final SI'!$AC$56="Alta",'Mapa final SI'!$AE$56="Leve"),CONCATENATE("R8C",'Mapa final SI'!$S$56),"")</f>
        <v/>
      </c>
      <c r="O23" s="271" t="str">
        <f>IF(AND('Mapa final SI'!$AC$57="Alta",'Mapa final SI'!$AE$57="Leve"),CONCATENATE("R8C",'Mapa final SI'!$S$57),"")</f>
        <v/>
      </c>
      <c r="P23" s="269" t="str">
        <f>IF(AND('Mapa final SI'!$AC$52="Alta",'Mapa final SI'!$AE$52="Menor"),CONCATENATE("R8C",'Mapa final SI'!$S$52),"")</f>
        <v/>
      </c>
      <c r="Q23" s="270" t="str">
        <f>IF(AND('Mapa final SI'!$AC$53="Alta",'Mapa final SI'!$AE$53="Menor"),CONCATENATE("R8C",'Mapa final SI'!$S$53),"")</f>
        <v/>
      </c>
      <c r="R23" s="270" t="str">
        <f>IF(AND('Mapa final SI'!$AC$54="Alta",'Mapa final SI'!$AE$54="Menor"),CONCATENATE("R8C",'Mapa final SI'!$S$54),"")</f>
        <v/>
      </c>
      <c r="S23" s="270" t="str">
        <f>IF(AND('Mapa final SI'!$AC$55="Alta",'Mapa final SI'!$AE$55="Menor"),CONCATENATE("R8C",'Mapa final SI'!$S$55),"")</f>
        <v/>
      </c>
      <c r="T23" s="270" t="str">
        <f>IF(AND('Mapa final SI'!$AC$56="Alta",'Mapa final SI'!$AE$56="Menor"),CONCATENATE("R8C",'Mapa final SI'!$S$56),"")</f>
        <v/>
      </c>
      <c r="U23" s="271" t="str">
        <f>IF(AND('Mapa final SI'!$AC$57="Alta",'Mapa final SI'!$AE$57="Menor"),CONCATENATE("R8C",'Mapa final SI'!$S$57),"")</f>
        <v/>
      </c>
      <c r="V23" s="254" t="str">
        <f>IF(AND('Mapa final SI'!$AC$52="Alta",'Mapa final SI'!$AE$52="Moderado"),CONCATENATE("R8C",'Mapa final SI'!$S$52),"")</f>
        <v/>
      </c>
      <c r="W23" s="255" t="str">
        <f>IF(AND('Mapa final SI'!$AC$53="Alta",'Mapa final SI'!$AE$53="Moderado"),CONCATENATE("R8C",'Mapa final SI'!$S$53),"")</f>
        <v/>
      </c>
      <c r="X23" s="255" t="str">
        <f>IF(AND('Mapa final SI'!$AC$54="Alta",'Mapa final SI'!$AE$54="Moderado"),CONCATENATE("R8C",'Mapa final SI'!$S$54),"")</f>
        <v/>
      </c>
      <c r="Y23" s="255" t="str">
        <f>IF(AND('Mapa final SI'!$AC$55="Alta",'Mapa final SI'!$AE$55="Moderado"),CONCATENATE("R8C",'Mapa final SI'!$S$55),"")</f>
        <v/>
      </c>
      <c r="Z23" s="255" t="str">
        <f>IF(AND('Mapa final SI'!$AC$56="Alta",'Mapa final SI'!$AE$56="Moderado"),CONCATENATE("R8C",'Mapa final SI'!$S$56),"")</f>
        <v/>
      </c>
      <c r="AA23" s="256" t="str">
        <f>IF(AND('Mapa final SI'!$AC$57="Alta",'Mapa final SI'!$AE$57="Moderado"),CONCATENATE("R8C",'Mapa final SI'!$S$57),"")</f>
        <v/>
      </c>
      <c r="AB23" s="254" t="str">
        <f>IF(AND('Mapa final SI'!$AC$52="Alta",'Mapa final SI'!$AE$52="Mayor"),CONCATENATE("R8C",'Mapa final SI'!$S$52),"")</f>
        <v/>
      </c>
      <c r="AC23" s="255" t="str">
        <f>IF(AND('Mapa final SI'!$AC$53="Alta",'Mapa final SI'!$AE$53="Mayor"),CONCATENATE("R8C",'Mapa final SI'!$S$53),"")</f>
        <v/>
      </c>
      <c r="AD23" s="255" t="str">
        <f>IF(AND('Mapa final SI'!$AC$54="Alta",'Mapa final SI'!$AE$54="Mayor"),CONCATENATE("R8C",'Mapa final SI'!$S$54),"")</f>
        <v/>
      </c>
      <c r="AE23" s="255" t="str">
        <f>IF(AND('Mapa final SI'!$AC$55="Alta",'Mapa final SI'!$AE$55="Mayor"),CONCATENATE("R8C",'Mapa final SI'!$S$55),"")</f>
        <v/>
      </c>
      <c r="AF23" s="255" t="str">
        <f>IF(AND('Mapa final SI'!$AC$56="Alta",'Mapa final SI'!$AE$56="Mayor"),CONCATENATE("R8C",'Mapa final SI'!$S$56),"")</f>
        <v/>
      </c>
      <c r="AG23" s="256" t="str">
        <f>IF(AND('Mapa final SI'!$AC$57="Alta",'Mapa final SI'!$AE$57="Mayor"),CONCATENATE("R8C",'Mapa final SI'!$S$57),"")</f>
        <v/>
      </c>
      <c r="AH23" s="257" t="str">
        <f>IF(AND('Mapa final SI'!$AC$52="Alta",'Mapa final SI'!$AE$52="Catastrófico"),CONCATENATE("R8C",'Mapa final SI'!$S$52),"")</f>
        <v/>
      </c>
      <c r="AI23" s="258" t="str">
        <f>IF(AND('Mapa final SI'!$AC$53="Alta",'Mapa final SI'!$AE$53="Catastrófico"),CONCATENATE("R8C",'Mapa final SI'!$S$53),"")</f>
        <v/>
      </c>
      <c r="AJ23" s="258" t="str">
        <f>IF(AND('Mapa final SI'!$AC$54="Alta",'Mapa final SI'!$AE$54="Catastrófico"),CONCATENATE("R8C",'Mapa final SI'!$S$54),"")</f>
        <v/>
      </c>
      <c r="AK23" s="258" t="str">
        <f>IF(AND('Mapa final SI'!$AC$55="Alta",'Mapa final SI'!$AE$55="Catastrófico"),CONCATENATE("R8C",'Mapa final SI'!$S$55),"")</f>
        <v/>
      </c>
      <c r="AL23" s="258" t="str">
        <f>IF(AND('Mapa final SI'!$AC$56="Alta",'Mapa final SI'!$AE$56="Catastrófico"),CONCATENATE("R8C",'Mapa final SI'!$S$56),"")</f>
        <v/>
      </c>
      <c r="AM23" s="259" t="str">
        <f>IF(AND('Mapa final SI'!$AC$57="Alta",'Mapa final SI'!$AE$57="Catastrófico"),CONCATENATE("R8C",'Mapa final SI'!$S$57),"")</f>
        <v/>
      </c>
      <c r="AN23" s="15"/>
      <c r="AO23" s="824"/>
      <c r="AP23" s="825"/>
      <c r="AQ23" s="825"/>
      <c r="AR23" s="825"/>
      <c r="AS23" s="825"/>
      <c r="AT23" s="8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6"/>
      <c r="C24" s="716"/>
      <c r="D24" s="717"/>
      <c r="E24" s="805"/>
      <c r="F24" s="806"/>
      <c r="G24" s="806"/>
      <c r="H24" s="806"/>
      <c r="I24" s="806"/>
      <c r="J24" s="269" t="str">
        <f>IF(AND('Mapa final SI'!$AC$58="Alta",'Mapa final SI'!$AE$58="Leve"),CONCATENATE("R9C",'Mapa final SI'!$S$58),"")</f>
        <v/>
      </c>
      <c r="K24" s="270" t="str">
        <f>IF(AND('Mapa final SI'!$AC$59="Alta",'Mapa final SI'!$AE$59="Leve"),CONCATENATE("R9C",'Mapa final SI'!$S$59),"")</f>
        <v/>
      </c>
      <c r="L24" s="270" t="str">
        <f>IF(AND('Mapa final SI'!$AC$60="Alta",'Mapa final SI'!$AE$60="Leve"),CONCATENATE("R9C",'Mapa final SI'!$S$60),"")</f>
        <v/>
      </c>
      <c r="M24" s="270" t="str">
        <f>IF(AND('Mapa final SI'!$AC$61="Alta",'Mapa final SI'!$AE$61="Leve"),CONCATENATE("R9C",'Mapa final SI'!$S$61),"")</f>
        <v/>
      </c>
      <c r="N24" s="270" t="str">
        <f>IF(AND('Mapa final SI'!$AC$62="Alta",'Mapa final SI'!$AE$62="Leve"),CONCATENATE("R9C",'Mapa final SI'!$S$62),"")</f>
        <v/>
      </c>
      <c r="O24" s="271" t="str">
        <f>IF(AND('Mapa final SI'!$AC$63="Alta",'Mapa final SI'!$AE$63="Leve"),CONCATENATE("R9C",'Mapa final SI'!$S$63),"")</f>
        <v/>
      </c>
      <c r="P24" s="269" t="str">
        <f>IF(AND('Mapa final SI'!$AC$58="Alta",'Mapa final SI'!$AE$58="Menor"),CONCATENATE("R9C",'Mapa final SI'!$S$58),"")</f>
        <v/>
      </c>
      <c r="Q24" s="270" t="str">
        <f>IF(AND('Mapa final SI'!$AC$59="Alta",'Mapa final SI'!$AE$59="Menor"),CONCATENATE("R9C",'Mapa final SI'!$S$59),"")</f>
        <v/>
      </c>
      <c r="R24" s="270" t="str">
        <f>IF(AND('Mapa final SI'!$AC$60="Alta",'Mapa final SI'!$AE$60="Menor"),CONCATENATE("R9C",'Mapa final SI'!$S$60),"")</f>
        <v/>
      </c>
      <c r="S24" s="270" t="str">
        <f>IF(AND('Mapa final SI'!$AC$61="Alta",'Mapa final SI'!$AE$61="Menor"),CONCATENATE("R9C",'Mapa final SI'!$S$61),"")</f>
        <v/>
      </c>
      <c r="T24" s="270" t="str">
        <f>IF(AND('Mapa final SI'!$AC$62="Alta",'Mapa final SI'!$AE$62="Menor"),CONCATENATE("R9C",'Mapa final SI'!$S$62),"")</f>
        <v/>
      </c>
      <c r="U24" s="271" t="str">
        <f>IF(AND('Mapa final SI'!$AC$63="Alta",'Mapa final SI'!$AE$63="Menor"),CONCATENATE("R9C",'Mapa final SI'!$S$63),"")</f>
        <v/>
      </c>
      <c r="V24" s="254" t="str">
        <f>IF(AND('Mapa final SI'!$AC$58="Alta",'Mapa final SI'!$AE$58="Moderado"),CONCATENATE("R9C",'Mapa final SI'!$S$58),"")</f>
        <v/>
      </c>
      <c r="W24" s="255" t="str">
        <f>IF(AND('Mapa final SI'!$AC$59="Alta",'Mapa final SI'!$AE$59="Moderado"),CONCATENATE("R9C",'Mapa final SI'!$S$59),"")</f>
        <v/>
      </c>
      <c r="X24" s="255" t="str">
        <f>IF(AND('Mapa final SI'!$AC$60="Alta",'Mapa final SI'!$AE$60="Moderado"),CONCATENATE("R9C",'Mapa final SI'!$S$60),"")</f>
        <v/>
      </c>
      <c r="Y24" s="255" t="str">
        <f>IF(AND('Mapa final SI'!$AC$61="Alta",'Mapa final SI'!$AE$61="Moderado"),CONCATENATE("R9C",'Mapa final SI'!$S$61),"")</f>
        <v/>
      </c>
      <c r="Z24" s="255" t="str">
        <f>IF(AND('Mapa final SI'!$AC$62="Alta",'Mapa final SI'!$AE$62="Moderado"),CONCATENATE("R9C",'Mapa final SI'!$S$62),"")</f>
        <v/>
      </c>
      <c r="AA24" s="256" t="str">
        <f>IF(AND('Mapa final SI'!$AC$63="Alta",'Mapa final SI'!$AE$63="Moderado"),CONCATENATE("R9C",'Mapa final SI'!$S$63),"")</f>
        <v/>
      </c>
      <c r="AB24" s="254" t="str">
        <f>IF(AND('Mapa final SI'!$AC$58="Alta",'Mapa final SI'!$AE$58="Mayor"),CONCATENATE("R9C",'Mapa final SI'!$S$58),"")</f>
        <v/>
      </c>
      <c r="AC24" s="255" t="str">
        <f>IF(AND('Mapa final SI'!$AC$59="Alta",'Mapa final SI'!$AE$59="Mayor"),CONCATENATE("R9C",'Mapa final SI'!$S$59),"")</f>
        <v/>
      </c>
      <c r="AD24" s="255" t="str">
        <f>IF(AND('Mapa final SI'!$AC$60="Alta",'Mapa final SI'!$AE$60="Mayor"),CONCATENATE("R9C",'Mapa final SI'!$S$60),"")</f>
        <v/>
      </c>
      <c r="AE24" s="255" t="str">
        <f>IF(AND('Mapa final SI'!$AC$61="Alta",'Mapa final SI'!$AE$61="Mayor"),CONCATENATE("R9C",'Mapa final SI'!$S$61),"")</f>
        <v/>
      </c>
      <c r="AF24" s="255" t="str">
        <f>IF(AND('Mapa final SI'!$AC$62="Alta",'Mapa final SI'!$AE$62="Mayor"),CONCATENATE("R9C",'Mapa final SI'!$S$62),"")</f>
        <v/>
      </c>
      <c r="AG24" s="256" t="str">
        <f>IF(AND('Mapa final SI'!$AC$63="Alta",'Mapa final SI'!$AE$63="Mayor"),CONCATENATE("R9C",'Mapa final SI'!$S$63),"")</f>
        <v/>
      </c>
      <c r="AH24" s="257" t="str">
        <f>IF(AND('Mapa final SI'!$AC$58="Alta",'Mapa final SI'!$AE$58="Catastrófico"),CONCATENATE("R9C",'Mapa final SI'!$S$58),"")</f>
        <v/>
      </c>
      <c r="AI24" s="258" t="str">
        <f>IF(AND('Mapa final SI'!$AC$59="Alta",'Mapa final SI'!$AE$59="Catastrófico"),CONCATENATE("R9C",'Mapa final SI'!$S$59),"")</f>
        <v/>
      </c>
      <c r="AJ24" s="258" t="str">
        <f>IF(AND('Mapa final SI'!$AC$60="Alta",'Mapa final SI'!$AE$60="Catastrófico"),CONCATENATE("R9C",'Mapa final SI'!$S$60),"")</f>
        <v/>
      </c>
      <c r="AK24" s="258" t="str">
        <f>IF(AND('Mapa final SI'!$AC$61="Alta",'Mapa final SI'!$AE$61="Catastrófico"),CONCATENATE("R9C",'Mapa final SI'!$S$61),"")</f>
        <v/>
      </c>
      <c r="AL24" s="258" t="str">
        <f>IF(AND('Mapa final SI'!$AC$62="Alta",'Mapa final SI'!$AE$62="Catastrófico"),CONCATENATE("R9C",'Mapa final SI'!$S$62),"")</f>
        <v/>
      </c>
      <c r="AM24" s="259" t="str">
        <f>IF(AND('Mapa final SI'!$AC$63="Alta",'Mapa final SI'!$AE$63="Catastrófico"),CONCATENATE("R9C",'Mapa final SI'!$S$63),"")</f>
        <v/>
      </c>
      <c r="AN24" s="15"/>
      <c r="AO24" s="824"/>
      <c r="AP24" s="825"/>
      <c r="AQ24" s="825"/>
      <c r="AR24" s="825"/>
      <c r="AS24" s="825"/>
      <c r="AT24" s="8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6"/>
      <c r="C25" s="716"/>
      <c r="D25" s="717"/>
      <c r="E25" s="808"/>
      <c r="F25" s="809"/>
      <c r="G25" s="809"/>
      <c r="H25" s="809"/>
      <c r="I25" s="809"/>
      <c r="J25" s="272" t="str">
        <f>IF(AND('Mapa final SI'!$AC$64="Alta",'Mapa final SI'!$AE$64="Leve"),CONCATENATE("R10C",'Mapa final SI'!$S$64),"")</f>
        <v/>
      </c>
      <c r="K25" s="273" t="str">
        <f>IF(AND('Mapa final SI'!$AC$65="Alta",'Mapa final SI'!$AE$65="Leve"),CONCATENATE("R10C",'Mapa final SI'!$S$65),"")</f>
        <v/>
      </c>
      <c r="L25" s="273" t="str">
        <f>IF(AND('Mapa final SI'!$AC$66="Alta",'Mapa final SI'!$AE$66="Leve"),CONCATENATE("R10C",'Mapa final SI'!$S$66),"")</f>
        <v/>
      </c>
      <c r="M25" s="273" t="str">
        <f>IF(AND('Mapa final SI'!$AC$67="Alta",'Mapa final SI'!$AE$67="Leve"),CONCATENATE("R10C",'Mapa final SI'!$S$67),"")</f>
        <v/>
      </c>
      <c r="N25" s="273" t="str">
        <f>IF(AND('Mapa final SI'!$AC$68="Alta",'Mapa final SI'!$AE$68="Leve"),CONCATENATE("R10C",'Mapa final SI'!$S$68),"")</f>
        <v/>
      </c>
      <c r="O25" s="274" t="str">
        <f>IF(AND('Mapa final SI'!$AC$69="Alta",'Mapa final SI'!$AE$69="Leve"),CONCATENATE("R10C",'Mapa final SI'!$S$69),"")</f>
        <v/>
      </c>
      <c r="P25" s="272" t="str">
        <f>IF(AND('Mapa final SI'!$AC$64="Alta",'Mapa final SI'!$AE$64="Menor"),CONCATENATE("R10C",'Mapa final SI'!$S$64),"")</f>
        <v/>
      </c>
      <c r="Q25" s="273" t="str">
        <f>IF(AND('Mapa final SI'!$AC$65="Alta",'Mapa final SI'!$AE$65="Menor"),CONCATENATE("R10C",'Mapa final SI'!$S$65),"")</f>
        <v/>
      </c>
      <c r="R25" s="273" t="str">
        <f>IF(AND('Mapa final SI'!$AC$66="Alta",'Mapa final SI'!$AE$66="Menor"),CONCATENATE("R10C",'Mapa final SI'!$S$66),"")</f>
        <v/>
      </c>
      <c r="S25" s="273" t="str">
        <f>IF(AND('Mapa final SI'!$AC$67="Alta",'Mapa final SI'!$AE$67="Menor"),CONCATENATE("R10C",'Mapa final SI'!$S$67),"")</f>
        <v/>
      </c>
      <c r="T25" s="273" t="str">
        <f>IF(AND('Mapa final SI'!$AC$68="Alta",'Mapa final SI'!$AE$68="Menor"),CONCATENATE("R10C",'Mapa final SI'!$S$68),"")</f>
        <v/>
      </c>
      <c r="U25" s="274" t="str">
        <f>IF(AND('Mapa final SI'!$AC$69="Alta",'Mapa final SI'!$AE$69="Menor"),CONCATENATE("R10C",'Mapa final SI'!$S$69),"")</f>
        <v/>
      </c>
      <c r="V25" s="260" t="str">
        <f>IF(AND('Mapa final SI'!$AC$64="Alta",'Mapa final SI'!$AE$64="Moderado"),CONCATENATE("R10C",'Mapa final SI'!$S$64),"")</f>
        <v/>
      </c>
      <c r="W25" s="261" t="str">
        <f>IF(AND('Mapa final SI'!$AC$65="Alta",'Mapa final SI'!$AE$65="Moderado"),CONCATENATE("R10C",'Mapa final SI'!$S$65),"")</f>
        <v/>
      </c>
      <c r="X25" s="261" t="str">
        <f>IF(AND('Mapa final SI'!$AC$66="Alta",'Mapa final SI'!$AE$66="Moderado"),CONCATENATE("R10C",'Mapa final SI'!$S$66),"")</f>
        <v/>
      </c>
      <c r="Y25" s="261" t="str">
        <f>IF(AND('Mapa final SI'!$AC$67="Alta",'Mapa final SI'!$AE$67="Moderado"),CONCATENATE("R10C",'Mapa final SI'!$S$67),"")</f>
        <v/>
      </c>
      <c r="Z25" s="261" t="str">
        <f>IF(AND('Mapa final SI'!$AC$68="Alta",'Mapa final SI'!$AE$68="Moderado"),CONCATENATE("R10C",'Mapa final SI'!$S$68),"")</f>
        <v/>
      </c>
      <c r="AA25" s="262" t="str">
        <f>IF(AND('Mapa final SI'!$AC$69="Alta",'Mapa final SI'!$AE$69="Moderado"),CONCATENATE("R10C",'Mapa final SI'!$S$69),"")</f>
        <v/>
      </c>
      <c r="AB25" s="260" t="str">
        <f>IF(AND('Mapa final SI'!$AC$64="Alta",'Mapa final SI'!$AE$64="Mayor"),CONCATENATE("R10C",'Mapa final SI'!$S$64),"")</f>
        <v/>
      </c>
      <c r="AC25" s="261" t="str">
        <f>IF(AND('Mapa final SI'!$AC$65="Alta",'Mapa final SI'!$AE$65="Mayor"),CONCATENATE("R10C",'Mapa final SI'!$S$65),"")</f>
        <v/>
      </c>
      <c r="AD25" s="261" t="str">
        <f>IF(AND('Mapa final SI'!$AC$66="Alta",'Mapa final SI'!$AE$66="Mayor"),CONCATENATE("R10C",'Mapa final SI'!$S$66),"")</f>
        <v/>
      </c>
      <c r="AE25" s="261" t="str">
        <f>IF(AND('Mapa final SI'!$AC$67="Alta",'Mapa final SI'!$AE$67="Mayor"),CONCATENATE("R10C",'Mapa final SI'!$S$67),"")</f>
        <v/>
      </c>
      <c r="AF25" s="261" t="str">
        <f>IF(AND('Mapa final SI'!$AC$68="Alta",'Mapa final SI'!$AE$68="Mayor"),CONCATENATE("R10C",'Mapa final SI'!$S$68),"")</f>
        <v/>
      </c>
      <c r="AG25" s="262" t="str">
        <f>IF(AND('Mapa final SI'!$AC$69="Alta",'Mapa final SI'!$AE$69="Mayor"),CONCATENATE("R10C",'Mapa final SI'!$S$69),"")</f>
        <v/>
      </c>
      <c r="AH25" s="263" t="str">
        <f>IF(AND('Mapa final SI'!$AC$64="Alta",'Mapa final SI'!$AE$64="Catastrófico"),CONCATENATE("R10C",'Mapa final SI'!$S$64),"")</f>
        <v/>
      </c>
      <c r="AI25" s="264" t="str">
        <f>IF(AND('Mapa final SI'!$AC$65="Alta",'Mapa final SI'!$AE$65="Catastrófico"),CONCATENATE("R10C",'Mapa final SI'!$S$65),"")</f>
        <v/>
      </c>
      <c r="AJ25" s="264" t="str">
        <f>IF(AND('Mapa final SI'!$AC$66="Alta",'Mapa final SI'!$AE$66="Catastrófico"),CONCATENATE("R10C",'Mapa final SI'!$S$66),"")</f>
        <v/>
      </c>
      <c r="AK25" s="264" t="str">
        <f>IF(AND('Mapa final SI'!$AC$67="Alta",'Mapa final SI'!$AE$67="Catastrófico"),CONCATENATE("R10C",'Mapa final SI'!$S$67),"")</f>
        <v/>
      </c>
      <c r="AL25" s="264" t="str">
        <f>IF(AND('Mapa final SI'!$AC$68="Alta",'Mapa final SI'!$AE$68="Catastrófico"),CONCATENATE("R10C",'Mapa final SI'!$S$68),"")</f>
        <v/>
      </c>
      <c r="AM25" s="265" t="str">
        <f>IF(AND('Mapa final SI'!$AC$69="Alta",'Mapa final SI'!$AE$69="Catastrófico"),CONCATENATE("R10C",'Mapa final SI'!$S$69),"")</f>
        <v/>
      </c>
      <c r="AN25" s="15"/>
      <c r="AO25" s="827"/>
      <c r="AP25" s="828"/>
      <c r="AQ25" s="828"/>
      <c r="AR25" s="828"/>
      <c r="AS25" s="828"/>
      <c r="AT25" s="8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6"/>
      <c r="C26" s="716"/>
      <c r="D26" s="717"/>
      <c r="E26" s="802" t="s">
        <v>193</v>
      </c>
      <c r="F26" s="803"/>
      <c r="G26" s="803"/>
      <c r="H26" s="803"/>
      <c r="I26" s="804"/>
      <c r="J26" s="266" t="str">
        <f>IF(AND('Mapa final SI'!$AC$10="Media",'Mapa final SI'!$AE$10="Leve"),CONCATENATE("R1C",'Mapa final SI'!$S$10),"")</f>
        <v/>
      </c>
      <c r="K26" s="267" t="str">
        <f>IF(AND('Mapa final SI'!$AC$11="Media",'Mapa final SI'!$AE$11="Leve"),CONCATENATE("R1C",'Mapa final SI'!$S$11),"")</f>
        <v/>
      </c>
      <c r="L26" s="267" t="str">
        <f>IF(AND('Mapa final SI'!$AC$12="Media",'Mapa final SI'!$AE$12="Leve"),CONCATENATE("R1C",'Mapa final SI'!$S$12),"")</f>
        <v/>
      </c>
      <c r="M26" s="267" t="str">
        <f>IF(AND('Mapa final SI'!$AC$13="Media",'Mapa final SI'!$AE$13="Leve"),CONCATENATE("R1C",'Mapa final SI'!$S$13),"")</f>
        <v/>
      </c>
      <c r="N26" s="267" t="str">
        <f>IF(AND('Mapa final SI'!$AC$14="Media",'Mapa final SI'!$AE$14="Leve"),CONCATENATE("R1C",'Mapa final SI'!$S$14),"")</f>
        <v/>
      </c>
      <c r="O26" s="268" t="str">
        <f>IF(AND('Mapa final SI'!$AC$15="Media",'Mapa final SI'!$AE$15="Leve"),CONCATENATE("R1C",'Mapa final SI'!$S$15),"")</f>
        <v/>
      </c>
      <c r="P26" s="266" t="str">
        <f>IF(AND('Mapa final SI'!$AC$10="Media",'Mapa final SI'!$AE$10="Menor"),CONCATENATE("R1C",'Mapa final SI'!$S$10),"")</f>
        <v/>
      </c>
      <c r="Q26" s="267" t="str">
        <f>IF(AND('Mapa final SI'!$AC$11="Media",'Mapa final SI'!$AE$11="Menor"),CONCATENATE("R1C",'Mapa final SI'!$S$11),"")</f>
        <v/>
      </c>
      <c r="R26" s="267" t="str">
        <f>IF(AND('Mapa final SI'!$AC$12="Media",'Mapa final SI'!$AE$12="Menor"),CONCATENATE("R1C",'Mapa final SI'!$S$12),"")</f>
        <v/>
      </c>
      <c r="S26" s="267" t="str">
        <f>IF(AND('Mapa final SI'!$AC$13="Media",'Mapa final SI'!$AE$13="Menor"),CONCATENATE("R1C",'Mapa final SI'!$S$13),"")</f>
        <v/>
      </c>
      <c r="T26" s="267" t="str">
        <f>IF(AND('Mapa final SI'!$AC$14="Media",'Mapa final SI'!$AE$14="Menor"),CONCATENATE("R1C",'Mapa final SI'!$S$14),"")</f>
        <v/>
      </c>
      <c r="U26" s="268" t="str">
        <f>IF(AND('Mapa final SI'!$AC$15="Media",'Mapa final SI'!$AE$15="Menor"),CONCATENATE("R1C",'Mapa final SI'!$S$15),"")</f>
        <v/>
      </c>
      <c r="V26" s="266" t="str">
        <f>IF(AND('Mapa final SI'!$AC$10="Media",'Mapa final SI'!$AE$10="Moderado"),CONCATENATE("R1C",'Mapa final SI'!$S$10),"")</f>
        <v/>
      </c>
      <c r="W26" s="267" t="str">
        <f>IF(AND('Mapa final SI'!$AC$11="Media",'Mapa final SI'!$AE$11="Moderado"),CONCATENATE("R1C",'Mapa final SI'!$S$11),"")</f>
        <v/>
      </c>
      <c r="X26" s="267" t="str">
        <f>IF(AND('Mapa final SI'!$AC$12="Media",'Mapa final SI'!$AE$12="Moderado"),CONCATENATE("R1C",'Mapa final SI'!$S$12),"")</f>
        <v/>
      </c>
      <c r="Y26" s="267" t="str">
        <f>IF(AND('Mapa final SI'!$AC$13="Media",'Mapa final SI'!$AE$13="Moderado"),CONCATENATE("R1C",'Mapa final SI'!$S$13),"")</f>
        <v/>
      </c>
      <c r="Z26" s="267" t="str">
        <f>IF(AND('Mapa final SI'!$AC$14="Media",'Mapa final SI'!$AE$14="Moderado"),CONCATENATE("R1C",'Mapa final SI'!$S$14),"")</f>
        <v/>
      </c>
      <c r="AA26" s="268" t="str">
        <f>IF(AND('Mapa final SI'!$AC$15="Media",'Mapa final SI'!$AE$15="Moderado"),CONCATENATE("R1C",'Mapa final SI'!$S$15),"")</f>
        <v/>
      </c>
      <c r="AB26" s="248" t="str">
        <f>IF(AND('Mapa final SI'!$AC$10="Media",'Mapa final SI'!$AE$10="Mayor"),CONCATENATE("R1C",'Mapa final SI'!$S$10),"")</f>
        <v/>
      </c>
      <c r="AC26" s="249" t="str">
        <f>IF(AND('Mapa final SI'!$AC$11="Media",'Mapa final SI'!$AE$11="Mayor"),CONCATENATE("R1C",'Mapa final SI'!$S$11),"")</f>
        <v/>
      </c>
      <c r="AD26" s="249" t="str">
        <f>IF(AND('Mapa final SI'!$AC$12="Media",'Mapa final SI'!$AE$12="Mayor"),CONCATENATE("R1C",'Mapa final SI'!$S$12),"")</f>
        <v/>
      </c>
      <c r="AE26" s="249" t="str">
        <f>IF(AND('Mapa final SI'!$AC$13="Media",'Mapa final SI'!$AE$13="Mayor"),CONCATENATE("R1C",'Mapa final SI'!$S$13),"")</f>
        <v/>
      </c>
      <c r="AF26" s="249" t="str">
        <f>IF(AND('Mapa final SI'!$AC$14="Media",'Mapa final SI'!$AE$14="Mayor"),CONCATENATE("R1C",'Mapa final SI'!$S$14),"")</f>
        <v/>
      </c>
      <c r="AG26" s="250" t="str">
        <f>IF(AND('Mapa final SI'!$AC$15="Media",'Mapa final SI'!$AE$15="Mayor"),CONCATENATE("R1C",'Mapa final SI'!$S$15),"")</f>
        <v/>
      </c>
      <c r="AH26" s="251" t="str">
        <f>IF(AND('Mapa final SI'!$AC$10="Media",'Mapa final SI'!$AE$10="Catastrófico"),CONCATENATE("R1C",'Mapa final SI'!$S$10),"")</f>
        <v/>
      </c>
      <c r="AI26" s="252" t="str">
        <f>IF(AND('Mapa final SI'!$AC$11="Media",'Mapa final SI'!$AE$11="Catastrófico"),CONCATENATE("R1C",'Mapa final SI'!$S$11),"")</f>
        <v/>
      </c>
      <c r="AJ26" s="252" t="str">
        <f>IF(AND('Mapa final SI'!$AC$12="Media",'Mapa final SI'!$AE$12="Catastrófico"),CONCATENATE("R1C",'Mapa final SI'!$S$12),"")</f>
        <v/>
      </c>
      <c r="AK26" s="252" t="str">
        <f>IF(AND('Mapa final SI'!$AC$13="Media",'Mapa final SI'!$AE$13="Catastrófico"),CONCATENATE("R1C",'Mapa final SI'!$S$13),"")</f>
        <v/>
      </c>
      <c r="AL26" s="252" t="str">
        <f>IF(AND('Mapa final SI'!$AC$14="Media",'Mapa final SI'!$AE$14="Catastrófico"),CONCATENATE("R1C",'Mapa final SI'!$S$14),"")</f>
        <v/>
      </c>
      <c r="AM26" s="253" t="str">
        <f>IF(AND('Mapa final SI'!$AC$15="Media",'Mapa final SI'!$AE$15="Catastrófico"),CONCATENATE("R1C",'Mapa final SI'!$S$15),"")</f>
        <v/>
      </c>
      <c r="AN26" s="15"/>
      <c r="AO26" s="830" t="s">
        <v>194</v>
      </c>
      <c r="AP26" s="831"/>
      <c r="AQ26" s="831"/>
      <c r="AR26" s="831"/>
      <c r="AS26" s="831"/>
      <c r="AT26" s="8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6"/>
      <c r="C27" s="716"/>
      <c r="D27" s="717"/>
      <c r="E27" s="820"/>
      <c r="F27" s="806"/>
      <c r="G27" s="806"/>
      <c r="H27" s="806"/>
      <c r="I27" s="807"/>
      <c r="J27" s="269" t="str">
        <f>IF(AND('Mapa final SI'!$AC$16="Media",'Mapa final SI'!$AE$16="Leve"),CONCATENATE("R2C",'Mapa final SI'!$S$16),"")</f>
        <v/>
      </c>
      <c r="K27" s="270" t="str">
        <f>IF(AND('Mapa final SI'!$AC$17="Media",'Mapa final SI'!$AE$17="Leve"),CONCATENATE("R2C",'Mapa final SI'!$S$17),"")</f>
        <v/>
      </c>
      <c r="L27" s="270" t="str">
        <f>IF(AND('Mapa final SI'!$AC$18="Media",'Mapa final SI'!$AE$18="Leve"),CONCATENATE("R2C",'Mapa final SI'!$S$18),"")</f>
        <v/>
      </c>
      <c r="M27" s="270" t="str">
        <f>IF(AND('Mapa final SI'!$AC$19="Media",'Mapa final SI'!$AE$19="Leve"),CONCATENATE("R2C",'Mapa final SI'!$S$19),"")</f>
        <v/>
      </c>
      <c r="N27" s="270" t="str">
        <f>IF(AND('Mapa final SI'!$AC$20="Media",'Mapa final SI'!$AE$20="Leve"),CONCATENATE("R2C",'Mapa final SI'!$S$20),"")</f>
        <v/>
      </c>
      <c r="O27" s="271" t="str">
        <f>IF(AND('Mapa final SI'!$AC$21="Media",'Mapa final SI'!$AE$21="Leve"),CONCATENATE("R2C",'Mapa final SI'!$S$21),"")</f>
        <v/>
      </c>
      <c r="P27" s="269" t="str">
        <f>IF(AND('Mapa final SI'!$AC$16="Media",'Mapa final SI'!$AE$16="Menor"),CONCATENATE("R2C",'Mapa final SI'!$S$16),"")</f>
        <v/>
      </c>
      <c r="Q27" s="270" t="str">
        <f>IF(AND('Mapa final SI'!$AC$17="Media",'Mapa final SI'!$AE$17="Menor"),CONCATENATE("R2C",'Mapa final SI'!$S$17),"")</f>
        <v/>
      </c>
      <c r="R27" s="270" t="str">
        <f>IF(AND('Mapa final SI'!$AC$18="Media",'Mapa final SI'!$AE$18="Menor"),CONCATENATE("R2C",'Mapa final SI'!$S$18),"")</f>
        <v/>
      </c>
      <c r="S27" s="270" t="str">
        <f>IF(AND('Mapa final SI'!$AC$19="Media",'Mapa final SI'!$AE$19="Menor"),CONCATENATE("R2C",'Mapa final SI'!$S$19),"")</f>
        <v/>
      </c>
      <c r="T27" s="270" t="str">
        <f>IF(AND('Mapa final SI'!$AC$20="Media",'Mapa final SI'!$AE$20="Menor"),CONCATENATE("R2C",'Mapa final SI'!$S$20),"")</f>
        <v/>
      </c>
      <c r="U27" s="271" t="str">
        <f>IF(AND('Mapa final SI'!$AC$21="Media",'Mapa final SI'!$AE$21="Menor"),CONCATENATE("R2C",'Mapa final SI'!$S$21),"")</f>
        <v/>
      </c>
      <c r="V27" s="269" t="str">
        <f>IF(AND('Mapa final SI'!$AC$16="Media",'Mapa final SI'!$AE$16="Moderado"),CONCATENATE("R2C",'Mapa final SI'!$S$16),"")</f>
        <v/>
      </c>
      <c r="W27" s="270" t="str">
        <f>IF(AND('Mapa final SI'!$AC$17="Media",'Mapa final SI'!$AE$17="Moderado"),CONCATENATE("R2C",'Mapa final SI'!$S$17),"")</f>
        <v/>
      </c>
      <c r="X27" s="270" t="str">
        <f>IF(AND('Mapa final SI'!$AC$18="Media",'Mapa final SI'!$AE$18="Moderado"),CONCATENATE("R2C",'Mapa final SI'!$S$18),"")</f>
        <v/>
      </c>
      <c r="Y27" s="270" t="str">
        <f>IF(AND('Mapa final SI'!$AC$19="Media",'Mapa final SI'!$AE$19="Moderado"),CONCATENATE("R2C",'Mapa final SI'!$S$19),"")</f>
        <v/>
      </c>
      <c r="Z27" s="270" t="str">
        <f>IF(AND('Mapa final SI'!$AC$20="Media",'Mapa final SI'!$AE$20="Moderado"),CONCATENATE("R2C",'Mapa final SI'!$S$20),"")</f>
        <v/>
      </c>
      <c r="AA27" s="271" t="str">
        <f>IF(AND('Mapa final SI'!$AC$21="Media",'Mapa final SI'!$AE$21="Moderado"),CONCATENATE("R2C",'Mapa final SI'!$S$21),"")</f>
        <v/>
      </c>
      <c r="AB27" s="254" t="str">
        <f>IF(AND('Mapa final SI'!$AC$16="Media",'Mapa final SI'!$AE$16="Mayor"),CONCATENATE("R2C",'Mapa final SI'!$S$16),"")</f>
        <v/>
      </c>
      <c r="AC27" s="255" t="str">
        <f>IF(AND('Mapa final SI'!$AC$17="Media",'Mapa final SI'!$AE$17="Mayor"),CONCATENATE("R2C",'Mapa final SI'!$S$17),"")</f>
        <v/>
      </c>
      <c r="AD27" s="255" t="str">
        <f>IF(AND('Mapa final SI'!$AC$18="Media",'Mapa final SI'!$AE$18="Mayor"),CONCATENATE("R2C",'Mapa final SI'!$S$18),"")</f>
        <v/>
      </c>
      <c r="AE27" s="255" t="str">
        <f>IF(AND('Mapa final SI'!$AC$19="Media",'Mapa final SI'!$AE$19="Mayor"),CONCATENATE("R2C",'Mapa final SI'!$S$19),"")</f>
        <v/>
      </c>
      <c r="AF27" s="255" t="str">
        <f>IF(AND('Mapa final SI'!$AC$20="Media",'Mapa final SI'!$AE$20="Mayor"),CONCATENATE("R2C",'Mapa final SI'!$S$20),"")</f>
        <v/>
      </c>
      <c r="AG27" s="256" t="str">
        <f>IF(AND('Mapa final SI'!$AC$21="Media",'Mapa final SI'!$AE$21="Mayor"),CONCATENATE("R2C",'Mapa final SI'!$S$21),"")</f>
        <v/>
      </c>
      <c r="AH27" s="257" t="str">
        <f>IF(AND('Mapa final SI'!$AC$16="Media",'Mapa final SI'!$AE$16="Catastrófico"),CONCATENATE("R2C",'Mapa final SI'!$S$16),"")</f>
        <v/>
      </c>
      <c r="AI27" s="258" t="str">
        <f>IF(AND('Mapa final SI'!$AC$17="Media",'Mapa final SI'!$AE$17="Catastrófico"),CONCATENATE("R2C",'Mapa final SI'!$S$17),"")</f>
        <v/>
      </c>
      <c r="AJ27" s="258" t="str">
        <f>IF(AND('Mapa final SI'!$AC$18="Media",'Mapa final SI'!$AE$18="Catastrófico"),CONCATENATE("R2C",'Mapa final SI'!$S$18),"")</f>
        <v/>
      </c>
      <c r="AK27" s="258" t="str">
        <f>IF(AND('Mapa final SI'!$AC$19="Media",'Mapa final SI'!$AE$19="Catastrófico"),CONCATENATE("R2C",'Mapa final SI'!$S$19),"")</f>
        <v/>
      </c>
      <c r="AL27" s="258" t="str">
        <f>IF(AND('Mapa final SI'!$AC$20="Media",'Mapa final SI'!$AE$20="Catastrófico"),CONCATENATE("R2C",'Mapa final SI'!$S$20),"")</f>
        <v/>
      </c>
      <c r="AM27" s="259" t="str">
        <f>IF(AND('Mapa final SI'!$AC$21="Media",'Mapa final SI'!$AE$21="Catastrófico"),CONCATENATE("R2C",'Mapa final SI'!$S$21),"")</f>
        <v/>
      </c>
      <c r="AN27" s="15"/>
      <c r="AO27" s="833"/>
      <c r="AP27" s="834"/>
      <c r="AQ27" s="834"/>
      <c r="AR27" s="834"/>
      <c r="AS27" s="834"/>
      <c r="AT27" s="8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6"/>
      <c r="C28" s="716"/>
      <c r="D28" s="717"/>
      <c r="E28" s="805"/>
      <c r="F28" s="806"/>
      <c r="G28" s="806"/>
      <c r="H28" s="806"/>
      <c r="I28" s="807"/>
      <c r="J28" s="269" t="str">
        <f>IF(AND('Mapa final SI'!$AC$22="Media",'Mapa final SI'!$AE$22="Leve"),CONCATENATE("R3C",'Mapa final SI'!$S$22),"")</f>
        <v/>
      </c>
      <c r="K28" s="270" t="str">
        <f>IF(AND('Mapa final SI'!$AC$23="Media",'Mapa final SI'!$AE$23="Leve"),CONCATENATE("R3C",'Mapa final SI'!$S$23),"")</f>
        <v/>
      </c>
      <c r="L28" s="270" t="str">
        <f>IF(AND('Mapa final SI'!$AC$24="Media",'Mapa final SI'!$AE$24="Leve"),CONCATENATE("R3C",'Mapa final SI'!$S$24),"")</f>
        <v/>
      </c>
      <c r="M28" s="270" t="str">
        <f>IF(AND('Mapa final SI'!$AC$25="Media",'Mapa final SI'!$AE$25="Leve"),CONCATENATE("R3C",'Mapa final SI'!$S$25),"")</f>
        <v/>
      </c>
      <c r="N28" s="270" t="str">
        <f>IF(AND('Mapa final SI'!$AC$26="Media",'Mapa final SI'!$AE$26="Leve"),CONCATENATE("R3C",'Mapa final SI'!$S$26),"")</f>
        <v/>
      </c>
      <c r="O28" s="271" t="str">
        <f>IF(AND('Mapa final SI'!$AC$27="Media",'Mapa final SI'!$AE$27="Leve"),CONCATENATE("R3C",'Mapa final SI'!$S$27),"")</f>
        <v/>
      </c>
      <c r="P28" s="269" t="str">
        <f>IF(AND('Mapa final SI'!$AC$22="Media",'Mapa final SI'!$AE$22="Menor"),CONCATENATE("R3C",'Mapa final SI'!$S$22),"")</f>
        <v/>
      </c>
      <c r="Q28" s="270" t="str">
        <f>IF(AND('Mapa final SI'!$AC$23="Media",'Mapa final SI'!$AE$23="Menor"),CONCATENATE("R3C",'Mapa final SI'!$S$23),"")</f>
        <v/>
      </c>
      <c r="R28" s="270" t="str">
        <f>IF(AND('Mapa final SI'!$AC$24="Media",'Mapa final SI'!$AE$24="Menor"),CONCATENATE("R3C",'Mapa final SI'!$S$24),"")</f>
        <v/>
      </c>
      <c r="S28" s="270" t="str">
        <f>IF(AND('Mapa final SI'!$AC$25="Media",'Mapa final SI'!$AE$25="Menor"),CONCATENATE("R3C",'Mapa final SI'!$S$25),"")</f>
        <v/>
      </c>
      <c r="T28" s="270" t="str">
        <f>IF(AND('Mapa final SI'!$AC$26="Media",'Mapa final SI'!$AE$26="Menor"),CONCATENATE("R3C",'Mapa final SI'!$S$26),"")</f>
        <v/>
      </c>
      <c r="U28" s="271" t="str">
        <f>IF(AND('Mapa final SI'!$AC$27="Media",'Mapa final SI'!$AE$27="Menor"),CONCATENATE("R3C",'Mapa final SI'!$S$27),"")</f>
        <v/>
      </c>
      <c r="V28" s="269" t="str">
        <f>IF(AND('Mapa final SI'!$AC$22="Media",'Mapa final SI'!$AE$22="Moderado"),CONCATENATE("R3C",'Mapa final SI'!$S$22),"")</f>
        <v/>
      </c>
      <c r="W28" s="270" t="str">
        <f>IF(AND('Mapa final SI'!$AC$23="Media",'Mapa final SI'!$AE$23="Moderado"),CONCATENATE("R3C",'Mapa final SI'!$S$23),"")</f>
        <v/>
      </c>
      <c r="X28" s="270" t="str">
        <f>IF(AND('Mapa final SI'!$AC$24="Media",'Mapa final SI'!$AE$24="Moderado"),CONCATENATE("R3C",'Mapa final SI'!$S$24),"")</f>
        <v/>
      </c>
      <c r="Y28" s="270" t="str">
        <f>IF(AND('Mapa final SI'!$AC$25="Media",'Mapa final SI'!$AE$25="Moderado"),CONCATENATE("R3C",'Mapa final SI'!$S$25),"")</f>
        <v/>
      </c>
      <c r="Z28" s="270" t="str">
        <f>IF(AND('Mapa final SI'!$AC$26="Media",'Mapa final SI'!$AE$26="Moderado"),CONCATENATE("R3C",'Mapa final SI'!$S$26),"")</f>
        <v/>
      </c>
      <c r="AA28" s="271" t="str">
        <f>IF(AND('Mapa final SI'!$AC$27="Media",'Mapa final SI'!$AE$27="Moderado"),CONCATENATE("R3C",'Mapa final SI'!$S$27),"")</f>
        <v/>
      </c>
      <c r="AB28" s="254" t="str">
        <f>IF(AND('Mapa final SI'!$AC$22="Media",'Mapa final SI'!$AE$22="Mayor"),CONCATENATE("R3C",'Mapa final SI'!$S$22),"")</f>
        <v/>
      </c>
      <c r="AC28" s="255" t="str">
        <f>IF(AND('Mapa final SI'!$AC$23="Media",'Mapa final SI'!$AE$23="Mayor"),CONCATENATE("R3C",'Mapa final SI'!$S$23),"")</f>
        <v/>
      </c>
      <c r="AD28" s="255" t="str">
        <f>IF(AND('Mapa final SI'!$AC$24="Media",'Mapa final SI'!$AE$24="Mayor"),CONCATENATE("R3C",'Mapa final SI'!$S$24),"")</f>
        <v/>
      </c>
      <c r="AE28" s="255" t="str">
        <f>IF(AND('Mapa final SI'!$AC$25="Media",'Mapa final SI'!$AE$25="Mayor"),CONCATENATE("R3C",'Mapa final SI'!$S$25),"")</f>
        <v/>
      </c>
      <c r="AF28" s="255" t="str">
        <f>IF(AND('Mapa final SI'!$AC$26="Media",'Mapa final SI'!$AE$26="Mayor"),CONCATENATE("R3C",'Mapa final SI'!$S$26),"")</f>
        <v/>
      </c>
      <c r="AG28" s="256" t="str">
        <f>IF(AND('Mapa final SI'!$AC$27="Media",'Mapa final SI'!$AE$27="Mayor"),CONCATENATE("R3C",'Mapa final SI'!$S$27),"")</f>
        <v/>
      </c>
      <c r="AH28" s="257" t="str">
        <f>IF(AND('Mapa final SI'!$AC$22="Media",'Mapa final SI'!$AE$22="Catastrófico"),CONCATENATE("R3C",'Mapa final SI'!$S$22),"")</f>
        <v/>
      </c>
      <c r="AI28" s="258" t="str">
        <f>IF(AND('Mapa final SI'!$AC$23="Media",'Mapa final SI'!$AE$23="Catastrófico"),CONCATENATE("R3C",'Mapa final SI'!$S$23),"")</f>
        <v/>
      </c>
      <c r="AJ28" s="258" t="str">
        <f>IF(AND('Mapa final SI'!$AC$24="Media",'Mapa final SI'!$AE$24="Catastrófico"),CONCATENATE("R3C",'Mapa final SI'!$S$24),"")</f>
        <v/>
      </c>
      <c r="AK28" s="258" t="str">
        <f>IF(AND('Mapa final SI'!$AC$25="Media",'Mapa final SI'!$AE$25="Catastrófico"),CONCATENATE("R3C",'Mapa final SI'!$S$25),"")</f>
        <v/>
      </c>
      <c r="AL28" s="258" t="str">
        <f>IF(AND('Mapa final SI'!$AC$26="Media",'Mapa final SI'!$AE$26="Catastrófico"),CONCATENATE("R3C",'Mapa final SI'!$S$26),"")</f>
        <v/>
      </c>
      <c r="AM28" s="259" t="str">
        <f>IF(AND('Mapa final SI'!$AC$27="Media",'Mapa final SI'!$AE$27="Catastrófico"),CONCATENATE("R3C",'Mapa final SI'!$S$27),"")</f>
        <v/>
      </c>
      <c r="AN28" s="15"/>
      <c r="AO28" s="833"/>
      <c r="AP28" s="834"/>
      <c r="AQ28" s="834"/>
      <c r="AR28" s="834"/>
      <c r="AS28" s="834"/>
      <c r="AT28" s="8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6"/>
      <c r="C29" s="716"/>
      <c r="D29" s="717"/>
      <c r="E29" s="805"/>
      <c r="F29" s="806"/>
      <c r="G29" s="806"/>
      <c r="H29" s="806"/>
      <c r="I29" s="807"/>
      <c r="J29" s="269" t="str">
        <f>IF(AND('Mapa final SI'!$AC$28="Media",'Mapa final SI'!$AE$28="Leve"),CONCATENATE("R4C",'Mapa final SI'!$S$28),"")</f>
        <v/>
      </c>
      <c r="K29" s="270" t="str">
        <f>IF(AND('Mapa final SI'!$AC$29="Media",'Mapa final SI'!$AE$29="Leve"),CONCATENATE("R4C",'Mapa final SI'!$S$29),"")</f>
        <v/>
      </c>
      <c r="L29" s="270" t="str">
        <f>IF(AND('Mapa final SI'!$AC$30="Media",'Mapa final SI'!$AE$30="Leve"),CONCATENATE("R4C",'Mapa final SI'!$S$30),"")</f>
        <v/>
      </c>
      <c r="M29" s="270" t="str">
        <f>IF(AND('Mapa final SI'!$AC$31="Media",'Mapa final SI'!$AE$31="Leve"),CONCATENATE("R4C",'Mapa final SI'!$S$31),"")</f>
        <v/>
      </c>
      <c r="N29" s="270" t="str">
        <f>IF(AND('Mapa final SI'!$AC$32="Media",'Mapa final SI'!$AE$32="Leve"),CONCATENATE("R4C",'Mapa final SI'!$S$32),"")</f>
        <v/>
      </c>
      <c r="O29" s="271" t="str">
        <f>IF(AND('Mapa final SI'!$AC$33="Media",'Mapa final SI'!$AE$33="Leve"),CONCATENATE("R4C",'Mapa final SI'!$S$33),"")</f>
        <v/>
      </c>
      <c r="P29" s="269" t="str">
        <f>IF(AND('Mapa final SI'!$AC$28="Media",'Mapa final SI'!$AE$28="Menor"),CONCATENATE("R4C",'Mapa final SI'!$S$28),"")</f>
        <v/>
      </c>
      <c r="Q29" s="270" t="str">
        <f>IF(AND('Mapa final SI'!$AC$29="Media",'Mapa final SI'!$AE$29="Menor"),CONCATENATE("R4C",'Mapa final SI'!$S$29),"")</f>
        <v/>
      </c>
      <c r="R29" s="270" t="str">
        <f>IF(AND('Mapa final SI'!$AC$30="Media",'Mapa final SI'!$AE$30="Menor"),CONCATENATE("R4C",'Mapa final SI'!$S$30),"")</f>
        <v/>
      </c>
      <c r="S29" s="270" t="str">
        <f>IF(AND('Mapa final SI'!$AC$31="Media",'Mapa final SI'!$AE$31="Menor"),CONCATENATE("R4C",'Mapa final SI'!$S$31),"")</f>
        <v/>
      </c>
      <c r="T29" s="270" t="str">
        <f>IF(AND('Mapa final SI'!$AC$32="Media",'Mapa final SI'!$AE$32="Menor"),CONCATENATE("R4C",'Mapa final SI'!$S$32),"")</f>
        <v/>
      </c>
      <c r="U29" s="271" t="str">
        <f>IF(AND('Mapa final SI'!$AC$33="Media",'Mapa final SI'!$AE$33="Menor"),CONCATENATE("R4C",'Mapa final SI'!$S$33),"")</f>
        <v/>
      </c>
      <c r="V29" s="269" t="str">
        <f>IF(AND('Mapa final SI'!$AC$28="Media",'Mapa final SI'!$AE$28="Moderado"),CONCATENATE("R4C",'Mapa final SI'!$S$28),"")</f>
        <v/>
      </c>
      <c r="W29" s="270" t="str">
        <f>IF(AND('Mapa final SI'!$AC$29="Media",'Mapa final SI'!$AE$29="Moderado"),CONCATENATE("R4C",'Mapa final SI'!$S$29),"")</f>
        <v/>
      </c>
      <c r="X29" s="270" t="str">
        <f>IF(AND('Mapa final SI'!$AC$30="Media",'Mapa final SI'!$AE$30="Moderado"),CONCATENATE("R4C",'Mapa final SI'!$S$30),"")</f>
        <v/>
      </c>
      <c r="Y29" s="270" t="str">
        <f>IF(AND('Mapa final SI'!$AC$31="Media",'Mapa final SI'!$AE$31="Moderado"),CONCATENATE("R4C",'Mapa final SI'!$S$31),"")</f>
        <v/>
      </c>
      <c r="Z29" s="270" t="str">
        <f>IF(AND('Mapa final SI'!$AC$32="Media",'Mapa final SI'!$AE$32="Moderado"),CONCATENATE("R4C",'Mapa final SI'!$S$32),"")</f>
        <v/>
      </c>
      <c r="AA29" s="271" t="str">
        <f>IF(AND('Mapa final SI'!$AC$33="Media",'Mapa final SI'!$AE$33="Moderado"),CONCATENATE("R4C",'Mapa final SI'!$S$33),"")</f>
        <v/>
      </c>
      <c r="AB29" s="254" t="str">
        <f>IF(AND('Mapa final SI'!$AC$28="Media",'Mapa final SI'!$AE$28="Mayor"),CONCATENATE("R4C",'Mapa final SI'!$S$28),"")</f>
        <v/>
      </c>
      <c r="AC29" s="255" t="str">
        <f>IF(AND('Mapa final SI'!$AC$29="Media",'Mapa final SI'!$AE$29="Mayor"),CONCATENATE("R4C",'Mapa final SI'!$S$29),"")</f>
        <v/>
      </c>
      <c r="AD29" s="255" t="str">
        <f>IF(AND('Mapa final SI'!$AC$30="Media",'Mapa final SI'!$AE$30="Mayor"),CONCATENATE("R4C",'Mapa final SI'!$S$30),"")</f>
        <v/>
      </c>
      <c r="AE29" s="255" t="str">
        <f>IF(AND('Mapa final SI'!$AC$31="Media",'Mapa final SI'!$AE$31="Mayor"),CONCATENATE("R4C",'Mapa final SI'!$S$31),"")</f>
        <v/>
      </c>
      <c r="AF29" s="255" t="str">
        <f>IF(AND('Mapa final SI'!$AC$32="Media",'Mapa final SI'!$AE$32="Mayor"),CONCATENATE("R4C",'Mapa final SI'!$S$32),"")</f>
        <v/>
      </c>
      <c r="AG29" s="256" t="str">
        <f>IF(AND('Mapa final SI'!$AC$33="Media",'Mapa final SI'!$AE$33="Mayor"),CONCATENATE("R4C",'Mapa final SI'!$S$33),"")</f>
        <v/>
      </c>
      <c r="AH29" s="257" t="str">
        <f>IF(AND('Mapa final SI'!$AC$28="Media",'Mapa final SI'!$AE$28="Catastrófico"),CONCATENATE("R4C",'Mapa final SI'!$S$28),"")</f>
        <v/>
      </c>
      <c r="AI29" s="258" t="str">
        <f>IF(AND('Mapa final SI'!$AC$29="Media",'Mapa final SI'!$AE$29="Catastrófico"),CONCATENATE("R4C",'Mapa final SI'!$S$29),"")</f>
        <v/>
      </c>
      <c r="AJ29" s="258" t="str">
        <f>IF(AND('Mapa final SI'!$AC$30="Media",'Mapa final SI'!$AE$30="Catastrófico"),CONCATENATE("R4C",'Mapa final SI'!$S$30),"")</f>
        <v/>
      </c>
      <c r="AK29" s="258" t="str">
        <f>IF(AND('Mapa final SI'!$AC$31="Media",'Mapa final SI'!$AE$31="Catastrófico"),CONCATENATE("R4C",'Mapa final SI'!$S$31),"")</f>
        <v/>
      </c>
      <c r="AL29" s="258" t="str">
        <f>IF(AND('Mapa final SI'!$AC$32="Media",'Mapa final SI'!$AE$32="Catastrófico"),CONCATENATE("R4C",'Mapa final SI'!$S$32),"")</f>
        <v/>
      </c>
      <c r="AM29" s="259" t="str">
        <f>IF(AND('Mapa final SI'!$AC$33="Media",'Mapa final SI'!$AE$33="Catastrófico"),CONCATENATE("R4C",'Mapa final SI'!$S$33),"")</f>
        <v/>
      </c>
      <c r="AN29" s="15"/>
      <c r="AO29" s="833"/>
      <c r="AP29" s="834"/>
      <c r="AQ29" s="834"/>
      <c r="AR29" s="834"/>
      <c r="AS29" s="834"/>
      <c r="AT29" s="8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6"/>
      <c r="C30" s="716"/>
      <c r="D30" s="717"/>
      <c r="E30" s="805"/>
      <c r="F30" s="806"/>
      <c r="G30" s="806"/>
      <c r="H30" s="806"/>
      <c r="I30" s="807"/>
      <c r="J30" s="269" t="str">
        <f>IF(AND('Mapa final SI'!$AC$34="Media",'Mapa final SI'!$AE$34="Leve"),CONCATENATE("R5C",'Mapa final SI'!$S$34),"")</f>
        <v/>
      </c>
      <c r="K30" s="270" t="str">
        <f>IF(AND('Mapa final SI'!$AC$35="Media",'Mapa final SI'!$AE$35="Leve"),CONCATENATE("R5C",'Mapa final SI'!$S$35),"")</f>
        <v/>
      </c>
      <c r="L30" s="270" t="str">
        <f>IF(AND('Mapa final SI'!$AC$36="Media",'Mapa final SI'!$AE$36="Leve"),CONCATENATE("R5C",'Mapa final SI'!$S$36),"")</f>
        <v/>
      </c>
      <c r="M30" s="270" t="str">
        <f>IF(AND('Mapa final SI'!$AC$37="Media",'Mapa final SI'!$AE$37="Leve"),CONCATENATE("R5C",'Mapa final SI'!$S$37),"")</f>
        <v/>
      </c>
      <c r="N30" s="270" t="str">
        <f>IF(AND('Mapa final SI'!$AC$38="Media",'Mapa final SI'!$AE$38="Leve"),CONCATENATE("R5C",'Mapa final SI'!$S$38),"")</f>
        <v/>
      </c>
      <c r="O30" s="271" t="str">
        <f>IF(AND('Mapa final SI'!$AC$39="Media",'Mapa final SI'!$AE$39="Leve"),CONCATENATE("R5C",'Mapa final SI'!$S$39),"")</f>
        <v/>
      </c>
      <c r="P30" s="269" t="str">
        <f>IF(AND('Mapa final SI'!$AC$34="Media",'Mapa final SI'!$AE$34="Menor"),CONCATENATE("R5C",'Mapa final SI'!$S$34),"")</f>
        <v/>
      </c>
      <c r="Q30" s="270" t="str">
        <f>IF(AND('Mapa final SI'!$AC$35="Media",'Mapa final SI'!$AE$35="Menor"),CONCATENATE("R5C",'Mapa final SI'!$S$35),"")</f>
        <v/>
      </c>
      <c r="R30" s="270" t="str">
        <f>IF(AND('Mapa final SI'!$AC$36="Media",'Mapa final SI'!$AE$36="Menor"),CONCATENATE("R5C",'Mapa final SI'!$S$36),"")</f>
        <v/>
      </c>
      <c r="S30" s="270" t="str">
        <f>IF(AND('Mapa final SI'!$AC$37="Media",'Mapa final SI'!$AE$37="Menor"),CONCATENATE("R5C",'Mapa final SI'!$S$37),"")</f>
        <v/>
      </c>
      <c r="T30" s="270" t="str">
        <f>IF(AND('Mapa final SI'!$AC$38="Media",'Mapa final SI'!$AE$38="Menor"),CONCATENATE("R5C",'Mapa final SI'!$S$38),"")</f>
        <v/>
      </c>
      <c r="U30" s="271" t="str">
        <f>IF(AND('Mapa final SI'!$AC$39="Media",'Mapa final SI'!$AE$39="Menor"),CONCATENATE("R5C",'Mapa final SI'!$S$39),"")</f>
        <v/>
      </c>
      <c r="V30" s="269" t="str">
        <f>IF(AND('Mapa final SI'!$AC$34="Media",'Mapa final SI'!$AE$34="Moderado"),CONCATENATE("R5C",'Mapa final SI'!$S$34),"")</f>
        <v/>
      </c>
      <c r="W30" s="270" t="str">
        <f>IF(AND('Mapa final SI'!$AC$35="Media",'Mapa final SI'!$AE$35="Moderado"),CONCATENATE("R5C",'Mapa final SI'!$S$35),"")</f>
        <v/>
      </c>
      <c r="X30" s="270" t="str">
        <f>IF(AND('Mapa final SI'!$AC$36="Media",'Mapa final SI'!$AE$36="Moderado"),CONCATENATE("R5C",'Mapa final SI'!$S$36),"")</f>
        <v/>
      </c>
      <c r="Y30" s="270" t="str">
        <f>IF(AND('Mapa final SI'!$AC$37="Media",'Mapa final SI'!$AE$37="Moderado"),CONCATENATE("R5C",'Mapa final SI'!$S$37),"")</f>
        <v/>
      </c>
      <c r="Z30" s="270" t="str">
        <f>IF(AND('Mapa final SI'!$AC$38="Media",'Mapa final SI'!$AE$38="Moderado"),CONCATENATE("R5C",'Mapa final SI'!$S$38),"")</f>
        <v/>
      </c>
      <c r="AA30" s="271" t="str">
        <f>IF(AND('Mapa final SI'!$AC$39="Media",'Mapa final SI'!$AE$39="Moderado"),CONCATENATE("R5C",'Mapa final SI'!$S$39),"")</f>
        <v/>
      </c>
      <c r="AB30" s="254" t="str">
        <f>IF(AND('Mapa final SI'!$AC$34="Media",'Mapa final SI'!$AE$34="Mayor"),CONCATENATE("R5C",'Mapa final SI'!$S$34),"")</f>
        <v/>
      </c>
      <c r="AC30" s="255" t="str">
        <f>IF(AND('Mapa final SI'!$AC$35="Media",'Mapa final SI'!$AE$35="Mayor"),CONCATENATE("R5C",'Mapa final SI'!$S$35),"")</f>
        <v/>
      </c>
      <c r="AD30" s="255" t="str">
        <f>IF(AND('Mapa final SI'!$AC$36="Media",'Mapa final SI'!$AE$36="Mayor"),CONCATENATE("R5C",'Mapa final SI'!$S$36),"")</f>
        <v/>
      </c>
      <c r="AE30" s="255" t="str">
        <f>IF(AND('Mapa final SI'!$AC$37="Media",'Mapa final SI'!$AE$37="Mayor"),CONCATENATE("R5C",'Mapa final SI'!$S$37),"")</f>
        <v/>
      </c>
      <c r="AF30" s="255" t="str">
        <f>IF(AND('Mapa final SI'!$AC$38="Media",'Mapa final SI'!$AE$38="Mayor"),CONCATENATE("R5C",'Mapa final SI'!$S$38),"")</f>
        <v/>
      </c>
      <c r="AG30" s="256" t="str">
        <f>IF(AND('Mapa final SI'!$AC$39="Media",'Mapa final SI'!$AE$39="Mayor"),CONCATENATE("R5C",'Mapa final SI'!$S$39),"")</f>
        <v/>
      </c>
      <c r="AH30" s="257" t="str">
        <f>IF(AND('Mapa final SI'!$AC$34="Media",'Mapa final SI'!$AE$34="Catastrófico"),CONCATENATE("R5C",'Mapa final SI'!$S$34),"")</f>
        <v/>
      </c>
      <c r="AI30" s="258" t="str">
        <f>IF(AND('Mapa final SI'!$AC$35="Media",'Mapa final SI'!$AE$35="Catastrófico"),CONCATENATE("R5C",'Mapa final SI'!$S$35),"")</f>
        <v/>
      </c>
      <c r="AJ30" s="258" t="str">
        <f>IF(AND('Mapa final SI'!$AC$36="Media",'Mapa final SI'!$AE$36="Catastrófico"),CONCATENATE("R5C",'Mapa final SI'!$S$36),"")</f>
        <v/>
      </c>
      <c r="AK30" s="258" t="str">
        <f>IF(AND('Mapa final SI'!$AC$37="Media",'Mapa final SI'!$AE$37="Catastrófico"),CONCATENATE("R5C",'Mapa final SI'!$S$37),"")</f>
        <v/>
      </c>
      <c r="AL30" s="258" t="str">
        <f>IF(AND('Mapa final SI'!$AC$38="Media",'Mapa final SI'!$AE$38="Catastrófico"),CONCATENATE("R5C",'Mapa final SI'!$S$38),"")</f>
        <v/>
      </c>
      <c r="AM30" s="259" t="str">
        <f>IF(AND('Mapa final SI'!$AC$39="Media",'Mapa final SI'!$AE$39="Catastrófico"),CONCATENATE("R5C",'Mapa final SI'!$S$39),"")</f>
        <v/>
      </c>
      <c r="AN30" s="15"/>
      <c r="AO30" s="833"/>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6"/>
      <c r="C31" s="716"/>
      <c r="D31" s="717"/>
      <c r="E31" s="805"/>
      <c r="F31" s="806"/>
      <c r="G31" s="806"/>
      <c r="H31" s="806"/>
      <c r="I31" s="807"/>
      <c r="J31" s="269" t="str">
        <f>IF(AND('Mapa final SI'!$AC$40="Media",'Mapa final SI'!$AE$40="Leve"),CONCATENATE("R6C",'Mapa final SI'!$S$40),"")</f>
        <v/>
      </c>
      <c r="K31" s="270" t="str">
        <f>IF(AND('Mapa final SI'!$AC$41="Media",'Mapa final SI'!$AE$41="Leve"),CONCATENATE("R6C",'Mapa final SI'!$S$41),"")</f>
        <v/>
      </c>
      <c r="L31" s="270" t="str">
        <f>IF(AND('Mapa final SI'!$AC$42="Media",'Mapa final SI'!$AE$42="Leve"),CONCATENATE("R6C",'Mapa final SI'!$S$42),"")</f>
        <v/>
      </c>
      <c r="M31" s="270" t="str">
        <f>IF(AND('Mapa final SI'!$AC$43="Media",'Mapa final SI'!$AE$43="Leve"),CONCATENATE("R6C",'Mapa final SI'!$S$43),"")</f>
        <v/>
      </c>
      <c r="N31" s="270" t="str">
        <f>IF(AND('Mapa final SI'!$AC$44="Media",'Mapa final SI'!$AE$44="Leve"),CONCATENATE("R6C",'Mapa final SI'!$S$44),"")</f>
        <v/>
      </c>
      <c r="O31" s="271" t="str">
        <f>IF(AND('Mapa final SI'!$AC$45="Media",'Mapa final SI'!$AE$45="Leve"),CONCATENATE("R6C",'Mapa final SI'!$S$45),"")</f>
        <v/>
      </c>
      <c r="P31" s="269" t="str">
        <f>IF(AND('Mapa final SI'!$AC$40="Media",'Mapa final SI'!$AE$40="Menor"),CONCATENATE("R6C",'Mapa final SI'!$S$40),"")</f>
        <v/>
      </c>
      <c r="Q31" s="270" t="str">
        <f>IF(AND('Mapa final SI'!$AC$41="Media",'Mapa final SI'!$AE$41="Menor"),CONCATENATE("R6C",'Mapa final SI'!$S$41),"")</f>
        <v/>
      </c>
      <c r="R31" s="270" t="str">
        <f>IF(AND('Mapa final SI'!$AC$42="Media",'Mapa final SI'!$AE$42="Menor"),CONCATENATE("R6C",'Mapa final SI'!$S$42),"")</f>
        <v/>
      </c>
      <c r="S31" s="270" t="str">
        <f>IF(AND('Mapa final SI'!$AC$43="Media",'Mapa final SI'!$AE$43="Menor"),CONCATENATE("R6C",'Mapa final SI'!$S$43),"")</f>
        <v/>
      </c>
      <c r="T31" s="270" t="str">
        <f>IF(AND('Mapa final SI'!$AC$44="Media",'Mapa final SI'!$AE$44="Menor"),CONCATENATE("R6C",'Mapa final SI'!$S$44),"")</f>
        <v/>
      </c>
      <c r="U31" s="271" t="str">
        <f>IF(AND('Mapa final SI'!$AC$45="Media",'Mapa final SI'!$AE$45="Menor"),CONCATENATE("R6C",'Mapa final SI'!$S$45),"")</f>
        <v/>
      </c>
      <c r="V31" s="269" t="str">
        <f>IF(AND('Mapa final SI'!$AC$40="Media",'Mapa final SI'!$AE$40="Moderado"),CONCATENATE("R6C",'Mapa final SI'!$S$40),"")</f>
        <v/>
      </c>
      <c r="W31" s="270" t="str">
        <f>IF(AND('Mapa final SI'!$AC$41="Media",'Mapa final SI'!$AE$41="Moderado"),CONCATENATE("R6C",'Mapa final SI'!$S$41),"")</f>
        <v/>
      </c>
      <c r="X31" s="270" t="str">
        <f>IF(AND('Mapa final SI'!$AC$42="Media",'Mapa final SI'!$AE$42="Moderado"),CONCATENATE("R6C",'Mapa final SI'!$S$42),"")</f>
        <v/>
      </c>
      <c r="Y31" s="270" t="str">
        <f>IF(AND('Mapa final SI'!$AC$43="Media",'Mapa final SI'!$AE$43="Moderado"),CONCATENATE("R6C",'Mapa final SI'!$S$43),"")</f>
        <v/>
      </c>
      <c r="Z31" s="270" t="str">
        <f>IF(AND('Mapa final SI'!$AC$44="Media",'Mapa final SI'!$AE$44="Moderado"),CONCATENATE("R6C",'Mapa final SI'!$S$44),"")</f>
        <v/>
      </c>
      <c r="AA31" s="271" t="str">
        <f>IF(AND('Mapa final SI'!$AC$45="Media",'Mapa final SI'!$AE$45="Moderado"),CONCATENATE("R6C",'Mapa final SI'!$S$45),"")</f>
        <v/>
      </c>
      <c r="AB31" s="254" t="str">
        <f>IF(AND('Mapa final SI'!$AC$40="Media",'Mapa final SI'!$AE$40="Mayor"),CONCATENATE("R6C",'Mapa final SI'!$S$40),"")</f>
        <v/>
      </c>
      <c r="AC31" s="255" t="str">
        <f>IF(AND('Mapa final SI'!$AC$41="Media",'Mapa final SI'!$AE$41="Mayor"),CONCATENATE("R6C",'Mapa final SI'!$S$41),"")</f>
        <v/>
      </c>
      <c r="AD31" s="255" t="str">
        <f>IF(AND('Mapa final SI'!$AC$42="Media",'Mapa final SI'!$AE$42="Mayor"),CONCATENATE("R6C",'Mapa final SI'!$S$42),"")</f>
        <v/>
      </c>
      <c r="AE31" s="255" t="str">
        <f>IF(AND('Mapa final SI'!$AC$43="Media",'Mapa final SI'!$AE$43="Mayor"),CONCATENATE("R6C",'Mapa final SI'!$S$43),"")</f>
        <v/>
      </c>
      <c r="AF31" s="255" t="str">
        <f>IF(AND('Mapa final SI'!$AC$44="Media",'Mapa final SI'!$AE$44="Mayor"),CONCATENATE("R6C",'Mapa final SI'!$S$44),"")</f>
        <v/>
      </c>
      <c r="AG31" s="256" t="str">
        <f>IF(AND('Mapa final SI'!$AC$45="Media",'Mapa final SI'!$AE$45="Mayor"),CONCATENATE("R6C",'Mapa final SI'!$S$45),"")</f>
        <v/>
      </c>
      <c r="AH31" s="257" t="str">
        <f>IF(AND('Mapa final SI'!$AC$40="Media",'Mapa final SI'!$AE$40="Catastrófico"),CONCATENATE("R6C",'Mapa final SI'!$S$40),"")</f>
        <v/>
      </c>
      <c r="AI31" s="258" t="str">
        <f>IF(AND('Mapa final SI'!$AC$41="Media",'Mapa final SI'!$AE$41="Catastrófico"),CONCATENATE("R6C",'Mapa final SI'!$S$41),"")</f>
        <v/>
      </c>
      <c r="AJ31" s="258" t="str">
        <f>IF(AND('Mapa final SI'!$AC$42="Media",'Mapa final SI'!$AE$42="Catastrófico"),CONCATENATE("R6C",'Mapa final SI'!$S$42),"")</f>
        <v/>
      </c>
      <c r="AK31" s="258" t="str">
        <f>IF(AND('Mapa final SI'!$AC$43="Media",'Mapa final SI'!$AE$43="Catastrófico"),CONCATENATE("R6C",'Mapa final SI'!$S$43),"")</f>
        <v/>
      </c>
      <c r="AL31" s="258" t="str">
        <f>IF(AND('Mapa final SI'!$AC$44="Media",'Mapa final SI'!$AE$44="Catastrófico"),CONCATENATE("R6C",'Mapa final SI'!$S$44),"")</f>
        <v/>
      </c>
      <c r="AM31" s="259" t="str">
        <f>IF(AND('Mapa final SI'!$AC$45="Media",'Mapa final SI'!$AE$45="Catastrófico"),CONCATENATE("R6C",'Mapa final SI'!$S$45),"")</f>
        <v/>
      </c>
      <c r="AN31" s="15"/>
      <c r="AO31" s="833"/>
      <c r="AP31" s="834"/>
      <c r="AQ31" s="834"/>
      <c r="AR31" s="834"/>
      <c r="AS31" s="834"/>
      <c r="AT31" s="8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6"/>
      <c r="C32" s="716"/>
      <c r="D32" s="717"/>
      <c r="E32" s="805"/>
      <c r="F32" s="806"/>
      <c r="G32" s="806"/>
      <c r="H32" s="806"/>
      <c r="I32" s="807"/>
      <c r="J32" s="269" t="str">
        <f>IF(AND('Mapa final SI'!$AC$46="Media",'Mapa final SI'!$AE$46="Leve"),CONCATENATE("R7C",'Mapa final SI'!$S$46),"")</f>
        <v/>
      </c>
      <c r="K32" s="270" t="str">
        <f>IF(AND('Mapa final SI'!$AC$47="Media",'Mapa final SI'!$AE$47="Leve"),CONCATENATE("R7C",'Mapa final SI'!$S$47),"")</f>
        <v/>
      </c>
      <c r="L32" s="270" t="str">
        <f>IF(AND('Mapa final SI'!$AC$48="Media",'Mapa final SI'!$AE$48="Leve"),CONCATENATE("R7C",'Mapa final SI'!$S$48),"")</f>
        <v/>
      </c>
      <c r="M32" s="270" t="str">
        <f>IF(AND('Mapa final SI'!$AC$49="Media",'Mapa final SI'!$AE$49="Leve"),CONCATENATE("R7C",'Mapa final SI'!$S$49),"")</f>
        <v/>
      </c>
      <c r="N32" s="270" t="str">
        <f>IF(AND('Mapa final SI'!$AC$50="Media",'Mapa final SI'!$AE$50="Leve"),CONCATENATE("R7C",'Mapa final SI'!$S$50),"")</f>
        <v/>
      </c>
      <c r="O32" s="271" t="str">
        <f>IF(AND('Mapa final SI'!$AC$51="Media",'Mapa final SI'!$AE$51="Leve"),CONCATENATE("R7C",'Mapa final SI'!$S$51),"")</f>
        <v/>
      </c>
      <c r="P32" s="269" t="str">
        <f>IF(AND('Mapa final SI'!$AC$46="Media",'Mapa final SI'!$AE$46="Menor"),CONCATENATE("R7C",'Mapa final SI'!$S$46),"")</f>
        <v/>
      </c>
      <c r="Q32" s="270" t="str">
        <f>IF(AND('Mapa final SI'!$AC$47="Media",'Mapa final SI'!$AE$47="Menor"),CONCATENATE("R7C",'Mapa final SI'!$S$47),"")</f>
        <v/>
      </c>
      <c r="R32" s="270" t="str">
        <f>IF(AND('Mapa final SI'!$AC$48="Media",'Mapa final SI'!$AE$48="Menor"),CONCATENATE("R7C",'Mapa final SI'!$S$48),"")</f>
        <v/>
      </c>
      <c r="S32" s="270" t="str">
        <f>IF(AND('Mapa final SI'!$AC$49="Media",'Mapa final SI'!$AE$49="Menor"),CONCATENATE("R7C",'Mapa final SI'!$S$49),"")</f>
        <v/>
      </c>
      <c r="T32" s="270" t="str">
        <f>IF(AND('Mapa final SI'!$AC$50="Media",'Mapa final SI'!$AE$50="Menor"),CONCATENATE("R7C",'Mapa final SI'!$S$50),"")</f>
        <v/>
      </c>
      <c r="U32" s="271" t="str">
        <f>IF(AND('Mapa final SI'!$AC$51="Media",'Mapa final SI'!$AE$51="Menor"),CONCATENATE("R7C",'Mapa final SI'!$S$51),"")</f>
        <v/>
      </c>
      <c r="V32" s="269" t="str">
        <f>IF(AND('Mapa final SI'!$AC$46="Media",'Mapa final SI'!$AE$46="Moderado"),CONCATENATE("R7C",'Mapa final SI'!$S$46),"")</f>
        <v/>
      </c>
      <c r="W32" s="270" t="str">
        <f>IF(AND('Mapa final SI'!$AC$47="Media",'Mapa final SI'!$AE$47="Moderado"),CONCATENATE("R7C",'Mapa final SI'!$S$47),"")</f>
        <v/>
      </c>
      <c r="X32" s="270" t="str">
        <f>IF(AND('Mapa final SI'!$AC$48="Media",'Mapa final SI'!$AE$48="Moderado"),CONCATENATE("R7C",'Mapa final SI'!$S$48),"")</f>
        <v/>
      </c>
      <c r="Y32" s="270" t="str">
        <f>IF(AND('Mapa final SI'!$AC$49="Media",'Mapa final SI'!$AE$49="Moderado"),CONCATENATE("R7C",'Mapa final SI'!$S$49),"")</f>
        <v/>
      </c>
      <c r="Z32" s="270" t="str">
        <f>IF(AND('Mapa final SI'!$AC$50="Media",'Mapa final SI'!$AE$50="Moderado"),CONCATENATE("R7C",'Mapa final SI'!$S$50),"")</f>
        <v/>
      </c>
      <c r="AA32" s="271" t="str">
        <f>IF(AND('Mapa final SI'!$AC$51="Media",'Mapa final SI'!$AE$51="Moderado"),CONCATENATE("R7C",'Mapa final SI'!$S$51),"")</f>
        <v/>
      </c>
      <c r="AB32" s="254" t="str">
        <f>IF(AND('Mapa final SI'!$AC$46="Media",'Mapa final SI'!$AE$46="Mayor"),CONCATENATE("R7C",'Mapa final SI'!$S$46),"")</f>
        <v/>
      </c>
      <c r="AC32" s="255" t="str">
        <f>IF(AND('Mapa final SI'!$AC$47="Media",'Mapa final SI'!$AE$47="Mayor"),CONCATENATE("R7C",'Mapa final SI'!$S$47),"")</f>
        <v/>
      </c>
      <c r="AD32" s="255" t="str">
        <f>IF(AND('Mapa final SI'!$AC$48="Media",'Mapa final SI'!$AE$48="Mayor"),CONCATENATE("R7C",'Mapa final SI'!$S$48),"")</f>
        <v/>
      </c>
      <c r="AE32" s="255" t="str">
        <f>IF(AND('Mapa final SI'!$AC$49="Media",'Mapa final SI'!$AE$49="Mayor"),CONCATENATE("R7C",'Mapa final SI'!$S$49),"")</f>
        <v/>
      </c>
      <c r="AF32" s="255" t="str">
        <f>IF(AND('Mapa final SI'!$AC$50="Media",'Mapa final SI'!$AE$50="Mayor"),CONCATENATE("R7C",'Mapa final SI'!$S$50),"")</f>
        <v/>
      </c>
      <c r="AG32" s="256" t="str">
        <f>IF(AND('Mapa final SI'!$AC$51="Media",'Mapa final SI'!$AE$51="Mayor"),CONCATENATE("R7C",'Mapa final SI'!$S$51),"")</f>
        <v/>
      </c>
      <c r="AH32" s="257" t="str">
        <f>IF(AND('Mapa final SI'!$AC$46="Media",'Mapa final SI'!$AE$46="Catastrófico"),CONCATENATE("R7C",'Mapa final SI'!$S$46),"")</f>
        <v/>
      </c>
      <c r="AI32" s="258" t="str">
        <f>IF(AND('Mapa final SI'!$AC$47="Media",'Mapa final SI'!$AE$47="Catastrófico"),CONCATENATE("R7C",'Mapa final SI'!$S$47),"")</f>
        <v/>
      </c>
      <c r="AJ32" s="258" t="str">
        <f>IF(AND('Mapa final SI'!$AC$48="Media",'Mapa final SI'!$AE$48="Catastrófico"),CONCATENATE("R7C",'Mapa final SI'!$S$48),"")</f>
        <v/>
      </c>
      <c r="AK32" s="258" t="str">
        <f>IF(AND('Mapa final SI'!$AC$49="Media",'Mapa final SI'!$AE$49="Catastrófico"),CONCATENATE("R7C",'Mapa final SI'!$S$49),"")</f>
        <v/>
      </c>
      <c r="AL32" s="258" t="str">
        <f>IF(AND('Mapa final SI'!$AC$50="Media",'Mapa final SI'!$AE$50="Catastrófico"),CONCATENATE("R7C",'Mapa final SI'!$S$50),"")</f>
        <v/>
      </c>
      <c r="AM32" s="259" t="str">
        <f>IF(AND('Mapa final SI'!$AC$51="Media",'Mapa final SI'!$AE$51="Catastrófico"),CONCATENATE("R7C",'Mapa final SI'!$S$51),"")</f>
        <v/>
      </c>
      <c r="AN32" s="15"/>
      <c r="AO32" s="833"/>
      <c r="AP32" s="834"/>
      <c r="AQ32" s="834"/>
      <c r="AR32" s="834"/>
      <c r="AS32" s="834"/>
      <c r="AT32" s="8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6"/>
      <c r="C33" s="716"/>
      <c r="D33" s="717"/>
      <c r="E33" s="805"/>
      <c r="F33" s="806"/>
      <c r="G33" s="806"/>
      <c r="H33" s="806"/>
      <c r="I33" s="807"/>
      <c r="J33" s="269" t="str">
        <f>IF(AND('Mapa final SI'!$AC$52="Media",'Mapa final SI'!$AE$52="Leve"),CONCATENATE("R8C",'Mapa final SI'!$S$52),"")</f>
        <v/>
      </c>
      <c r="K33" s="270" t="str">
        <f>IF(AND('Mapa final SI'!$AC$53="Media",'Mapa final SI'!$AE$53="Leve"),CONCATENATE("R8C",'Mapa final SI'!$S$53),"")</f>
        <v/>
      </c>
      <c r="L33" s="270" t="str">
        <f>IF(AND('Mapa final SI'!$AC$54="Media",'Mapa final SI'!$AE$54="Leve"),CONCATENATE("R8C",'Mapa final SI'!$S$54),"")</f>
        <v/>
      </c>
      <c r="M33" s="270" t="str">
        <f>IF(AND('Mapa final SI'!$AC$55="Media",'Mapa final SI'!$AE$55="Leve"),CONCATENATE("R8C",'Mapa final SI'!$S$55),"")</f>
        <v/>
      </c>
      <c r="N33" s="270" t="str">
        <f>IF(AND('Mapa final SI'!$AC$56="Media",'Mapa final SI'!$AE$56="Leve"),CONCATENATE("R8C",'Mapa final SI'!$S$56),"")</f>
        <v/>
      </c>
      <c r="O33" s="271" t="str">
        <f>IF(AND('Mapa final SI'!$AC$57="Media",'Mapa final SI'!$AE$57="Leve"),CONCATENATE("R8C",'Mapa final SI'!$S$57),"")</f>
        <v/>
      </c>
      <c r="P33" s="269" t="str">
        <f>IF(AND('Mapa final SI'!$AC$52="Media",'Mapa final SI'!$AE$52="Menor"),CONCATENATE("R8C",'Mapa final SI'!$S$52),"")</f>
        <v/>
      </c>
      <c r="Q33" s="270" t="str">
        <f>IF(AND('Mapa final SI'!$AC$53="Media",'Mapa final SI'!$AE$53="Menor"),CONCATENATE("R8C",'Mapa final SI'!$S$53),"")</f>
        <v/>
      </c>
      <c r="R33" s="270" t="str">
        <f>IF(AND('Mapa final SI'!$AC$54="Media",'Mapa final SI'!$AE$54="Menor"),CONCATENATE("R8C",'Mapa final SI'!$S$54),"")</f>
        <v/>
      </c>
      <c r="S33" s="270" t="str">
        <f>IF(AND('Mapa final SI'!$AC$55="Media",'Mapa final SI'!$AE$55="Menor"),CONCATENATE("R8C",'Mapa final SI'!$S$55),"")</f>
        <v/>
      </c>
      <c r="T33" s="270" t="str">
        <f>IF(AND('Mapa final SI'!$AC$56="Media",'Mapa final SI'!$AE$56="Menor"),CONCATENATE("R8C",'Mapa final SI'!$S$56),"")</f>
        <v/>
      </c>
      <c r="U33" s="271" t="str">
        <f>IF(AND('Mapa final SI'!$AC$57="Media",'Mapa final SI'!$AE$57="Menor"),CONCATENATE("R8C",'Mapa final SI'!$S$57),"")</f>
        <v/>
      </c>
      <c r="V33" s="269" t="str">
        <f>IF(AND('Mapa final SI'!$AC$52="Media",'Mapa final SI'!$AE$52="Moderado"),CONCATENATE("R8C",'Mapa final SI'!$S$52),"")</f>
        <v/>
      </c>
      <c r="W33" s="270" t="str">
        <f>IF(AND('Mapa final SI'!$AC$53="Media",'Mapa final SI'!$AE$53="Moderado"),CONCATENATE("R8C",'Mapa final SI'!$S$53),"")</f>
        <v/>
      </c>
      <c r="X33" s="270" t="str">
        <f>IF(AND('Mapa final SI'!$AC$54="Media",'Mapa final SI'!$AE$54="Moderado"),CONCATENATE("R8C",'Mapa final SI'!$S$54),"")</f>
        <v/>
      </c>
      <c r="Y33" s="270" t="str">
        <f>IF(AND('Mapa final SI'!$AC$55="Media",'Mapa final SI'!$AE$55="Moderado"),CONCATENATE("R8C",'Mapa final SI'!$S$55),"")</f>
        <v/>
      </c>
      <c r="Z33" s="270" t="str">
        <f>IF(AND('Mapa final SI'!$AC$56="Media",'Mapa final SI'!$AE$56="Moderado"),CONCATENATE("R8C",'Mapa final SI'!$S$56),"")</f>
        <v/>
      </c>
      <c r="AA33" s="271" t="str">
        <f>IF(AND('Mapa final SI'!$AC$57="Media",'Mapa final SI'!$AE$57="Moderado"),CONCATENATE("R8C",'Mapa final SI'!$S$57),"")</f>
        <v/>
      </c>
      <c r="AB33" s="254" t="str">
        <f>IF(AND('Mapa final SI'!$AC$52="Media",'Mapa final SI'!$AE$52="Mayor"),CONCATENATE("R8C",'Mapa final SI'!$S$52),"")</f>
        <v/>
      </c>
      <c r="AC33" s="255" t="str">
        <f>IF(AND('Mapa final SI'!$AC$53="Media",'Mapa final SI'!$AE$53="Mayor"),CONCATENATE("R8C",'Mapa final SI'!$S$53),"")</f>
        <v/>
      </c>
      <c r="AD33" s="255" t="str">
        <f>IF(AND('Mapa final SI'!$AC$54="Media",'Mapa final SI'!$AE$54="Mayor"),CONCATENATE("R8C",'Mapa final SI'!$S$54),"")</f>
        <v/>
      </c>
      <c r="AE33" s="255" t="str">
        <f>IF(AND('Mapa final SI'!$AC$55="Media",'Mapa final SI'!$AE$55="Mayor"),CONCATENATE("R8C",'Mapa final SI'!$S$55),"")</f>
        <v/>
      </c>
      <c r="AF33" s="255" t="str">
        <f>IF(AND('Mapa final SI'!$AC$56="Media",'Mapa final SI'!$AE$56="Mayor"),CONCATENATE("R8C",'Mapa final SI'!$S$56),"")</f>
        <v/>
      </c>
      <c r="AG33" s="256" t="str">
        <f>IF(AND('Mapa final SI'!$AC$57="Media",'Mapa final SI'!$AE$57="Mayor"),CONCATENATE("R8C",'Mapa final SI'!$S$57),"")</f>
        <v/>
      </c>
      <c r="AH33" s="257" t="str">
        <f>IF(AND('Mapa final SI'!$AC$52="Media",'Mapa final SI'!$AE$52="Catastrófico"),CONCATENATE("R8C",'Mapa final SI'!$S$52),"")</f>
        <v/>
      </c>
      <c r="AI33" s="258" t="str">
        <f>IF(AND('Mapa final SI'!$AC$53="Media",'Mapa final SI'!$AE$53="Catastrófico"),CONCATENATE("R8C",'Mapa final SI'!$S$53),"")</f>
        <v/>
      </c>
      <c r="AJ33" s="258" t="str">
        <f>IF(AND('Mapa final SI'!$AC$54="Media",'Mapa final SI'!$AE$54="Catastrófico"),CONCATENATE("R8C",'Mapa final SI'!$S$54),"")</f>
        <v/>
      </c>
      <c r="AK33" s="258" t="str">
        <f>IF(AND('Mapa final SI'!$AC$55="Media",'Mapa final SI'!$AE$55="Catastrófico"),CONCATENATE("R8C",'Mapa final SI'!$S$55),"")</f>
        <v/>
      </c>
      <c r="AL33" s="258" t="str">
        <f>IF(AND('Mapa final SI'!$AC$56="Media",'Mapa final SI'!$AE$56="Catastrófico"),CONCATENATE("R8C",'Mapa final SI'!$S$56),"")</f>
        <v/>
      </c>
      <c r="AM33" s="259" t="str">
        <f>IF(AND('Mapa final SI'!$AC$57="Media",'Mapa final SI'!$AE$57="Catastrófico"),CONCATENATE("R8C",'Mapa final SI'!$S$57),"")</f>
        <v/>
      </c>
      <c r="AN33" s="15"/>
      <c r="AO33" s="833"/>
      <c r="AP33" s="834"/>
      <c r="AQ33" s="834"/>
      <c r="AR33" s="834"/>
      <c r="AS33" s="834"/>
      <c r="AT33" s="8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6"/>
      <c r="C34" s="716"/>
      <c r="D34" s="717"/>
      <c r="E34" s="805"/>
      <c r="F34" s="806"/>
      <c r="G34" s="806"/>
      <c r="H34" s="806"/>
      <c r="I34" s="807"/>
      <c r="J34" s="269" t="str">
        <f>IF(AND('Mapa final SI'!$AC$58="Media",'Mapa final SI'!$AE$58="Leve"),CONCATENATE("R9C",'Mapa final SI'!$S$58),"")</f>
        <v/>
      </c>
      <c r="K34" s="270" t="str">
        <f>IF(AND('Mapa final SI'!$AC$59="Media",'Mapa final SI'!$AE$59="Leve"),CONCATENATE("R9C",'Mapa final SI'!$S$59),"")</f>
        <v/>
      </c>
      <c r="L34" s="270" t="str">
        <f>IF(AND('Mapa final SI'!$AC$60="Media",'Mapa final SI'!$AE$60="Leve"),CONCATENATE("R9C",'Mapa final SI'!$S$60),"")</f>
        <v/>
      </c>
      <c r="M34" s="270" t="str">
        <f>IF(AND('Mapa final SI'!$AC$61="Media",'Mapa final SI'!$AE$61="Leve"),CONCATENATE("R9C",'Mapa final SI'!$S$61),"")</f>
        <v/>
      </c>
      <c r="N34" s="270" t="str">
        <f>IF(AND('Mapa final SI'!$AC$62="Media",'Mapa final SI'!$AE$62="Leve"),CONCATENATE("R9C",'Mapa final SI'!$S$62),"")</f>
        <v/>
      </c>
      <c r="O34" s="271" t="str">
        <f>IF(AND('Mapa final SI'!$AC$63="Media",'Mapa final SI'!$AE$63="Leve"),CONCATENATE("R9C",'Mapa final SI'!$S$63),"")</f>
        <v/>
      </c>
      <c r="P34" s="269" t="str">
        <f>IF(AND('Mapa final SI'!$AC$58="Media",'Mapa final SI'!$AE$58="Menor"),CONCATENATE("R9C",'Mapa final SI'!$S$58),"")</f>
        <v/>
      </c>
      <c r="Q34" s="270" t="str">
        <f>IF(AND('Mapa final SI'!$AC$59="Media",'Mapa final SI'!$AE$59="Menor"),CONCATENATE("R9C",'Mapa final SI'!$S$59),"")</f>
        <v/>
      </c>
      <c r="R34" s="270" t="str">
        <f>IF(AND('Mapa final SI'!$AC$60="Media",'Mapa final SI'!$AE$60="Menor"),CONCATENATE("R9C",'Mapa final SI'!$S$60),"")</f>
        <v/>
      </c>
      <c r="S34" s="270" t="str">
        <f>IF(AND('Mapa final SI'!$AC$61="Media",'Mapa final SI'!$AE$61="Menor"),CONCATENATE("R9C",'Mapa final SI'!$S$61),"")</f>
        <v/>
      </c>
      <c r="T34" s="270" t="str">
        <f>IF(AND('Mapa final SI'!$AC$62="Media",'Mapa final SI'!$AE$62="Menor"),CONCATENATE("R9C",'Mapa final SI'!$S$62),"")</f>
        <v/>
      </c>
      <c r="U34" s="271" t="str">
        <f>IF(AND('Mapa final SI'!$AC$63="Media",'Mapa final SI'!$AE$63="Menor"),CONCATENATE("R9C",'Mapa final SI'!$S$63),"")</f>
        <v/>
      </c>
      <c r="V34" s="269" t="str">
        <f>IF(AND('Mapa final SI'!$AC$58="Media",'Mapa final SI'!$AE$58="Moderado"),CONCATENATE("R9C",'Mapa final SI'!$S$58),"")</f>
        <v/>
      </c>
      <c r="W34" s="270" t="str">
        <f>IF(AND('Mapa final SI'!$AC$59="Media",'Mapa final SI'!$AE$59="Moderado"),CONCATENATE("R9C",'Mapa final SI'!$S$59),"")</f>
        <v/>
      </c>
      <c r="X34" s="270" t="str">
        <f>IF(AND('Mapa final SI'!$AC$60="Media",'Mapa final SI'!$AE$60="Moderado"),CONCATENATE("R9C",'Mapa final SI'!$S$60),"")</f>
        <v/>
      </c>
      <c r="Y34" s="270" t="str">
        <f>IF(AND('Mapa final SI'!$AC$61="Media",'Mapa final SI'!$AE$61="Moderado"),CONCATENATE("R9C",'Mapa final SI'!$S$61),"")</f>
        <v/>
      </c>
      <c r="Z34" s="270" t="str">
        <f>IF(AND('Mapa final SI'!$AC$62="Media",'Mapa final SI'!$AE$62="Moderado"),CONCATENATE("R9C",'Mapa final SI'!$S$62),"")</f>
        <v/>
      </c>
      <c r="AA34" s="271" t="str">
        <f>IF(AND('Mapa final SI'!$AC$63="Media",'Mapa final SI'!$AE$63="Moderado"),CONCATENATE("R9C",'Mapa final SI'!$S$63),"")</f>
        <v/>
      </c>
      <c r="AB34" s="254" t="str">
        <f>IF(AND('Mapa final SI'!$AC$58="Media",'Mapa final SI'!$AE$58="Mayor"),CONCATENATE("R9C",'Mapa final SI'!$S$58),"")</f>
        <v/>
      </c>
      <c r="AC34" s="255" t="str">
        <f>IF(AND('Mapa final SI'!$AC$59="Media",'Mapa final SI'!$AE$59="Mayor"),CONCATENATE("R9C",'Mapa final SI'!$S$59),"")</f>
        <v/>
      </c>
      <c r="AD34" s="255" t="str">
        <f>IF(AND('Mapa final SI'!$AC$60="Media",'Mapa final SI'!$AE$60="Mayor"),CONCATENATE("R9C",'Mapa final SI'!$S$60),"")</f>
        <v/>
      </c>
      <c r="AE34" s="255" t="str">
        <f>IF(AND('Mapa final SI'!$AC$61="Media",'Mapa final SI'!$AE$61="Mayor"),CONCATENATE("R9C",'Mapa final SI'!$S$61),"")</f>
        <v/>
      </c>
      <c r="AF34" s="255" t="str">
        <f>IF(AND('Mapa final SI'!$AC$62="Media",'Mapa final SI'!$AE$62="Mayor"),CONCATENATE("R9C",'Mapa final SI'!$S$62),"")</f>
        <v/>
      </c>
      <c r="AG34" s="256" t="str">
        <f>IF(AND('Mapa final SI'!$AC$63="Media",'Mapa final SI'!$AE$63="Mayor"),CONCATENATE("R9C",'Mapa final SI'!$S$63),"")</f>
        <v/>
      </c>
      <c r="AH34" s="257" t="str">
        <f>IF(AND('Mapa final SI'!$AC$58="Media",'Mapa final SI'!$AE$58="Catastrófico"),CONCATENATE("R9C",'Mapa final SI'!$S$58),"")</f>
        <v/>
      </c>
      <c r="AI34" s="258" t="str">
        <f>IF(AND('Mapa final SI'!$AC$59="Media",'Mapa final SI'!$AE$59="Catastrófico"),CONCATENATE("R9C",'Mapa final SI'!$S$59),"")</f>
        <v/>
      </c>
      <c r="AJ34" s="258" t="str">
        <f>IF(AND('Mapa final SI'!$AC$60="Media",'Mapa final SI'!$AE$60="Catastrófico"),CONCATENATE("R9C",'Mapa final SI'!$S$60),"")</f>
        <v/>
      </c>
      <c r="AK34" s="258" t="str">
        <f>IF(AND('Mapa final SI'!$AC$61="Media",'Mapa final SI'!$AE$61="Catastrófico"),CONCATENATE("R9C",'Mapa final SI'!$S$61),"")</f>
        <v/>
      </c>
      <c r="AL34" s="258" t="str">
        <f>IF(AND('Mapa final SI'!$AC$62="Media",'Mapa final SI'!$AE$62="Catastrófico"),CONCATENATE("R9C",'Mapa final SI'!$S$62),"")</f>
        <v/>
      </c>
      <c r="AM34" s="259" t="str">
        <f>IF(AND('Mapa final SI'!$AC$63="Media",'Mapa final SI'!$AE$63="Catastrófico"),CONCATENATE("R9C",'Mapa final SI'!$S$63),"")</f>
        <v/>
      </c>
      <c r="AN34" s="15"/>
      <c r="AO34" s="833"/>
      <c r="AP34" s="834"/>
      <c r="AQ34" s="834"/>
      <c r="AR34" s="834"/>
      <c r="AS34" s="834"/>
      <c r="AT34" s="8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6"/>
      <c r="C35" s="716"/>
      <c r="D35" s="717"/>
      <c r="E35" s="808"/>
      <c r="F35" s="809"/>
      <c r="G35" s="809"/>
      <c r="H35" s="809"/>
      <c r="I35" s="810"/>
      <c r="J35" s="269" t="str">
        <f>IF(AND('Mapa final SI'!$AC$64="Media",'Mapa final SI'!$AE$64="Leve"),CONCATENATE("R10C",'Mapa final SI'!$S$64),"")</f>
        <v/>
      </c>
      <c r="K35" s="270" t="str">
        <f>IF(AND('Mapa final SI'!$AC$65="Media",'Mapa final SI'!$AE$65="Leve"),CONCATENATE("R10C",'Mapa final SI'!$S$65),"")</f>
        <v/>
      </c>
      <c r="L35" s="270" t="str">
        <f>IF(AND('Mapa final SI'!$AC$66="Media",'Mapa final SI'!$AE$66="Leve"),CONCATENATE("R10C",'Mapa final SI'!$S$66),"")</f>
        <v/>
      </c>
      <c r="M35" s="270" t="str">
        <f>IF(AND('Mapa final SI'!$AC$67="Media",'Mapa final SI'!$AE$67="Leve"),CONCATENATE("R10C",'Mapa final SI'!$S$67),"")</f>
        <v/>
      </c>
      <c r="N35" s="270" t="str">
        <f>IF(AND('Mapa final SI'!$AC$68="Media",'Mapa final SI'!$AE$68="Leve"),CONCATENATE("R10C",'Mapa final SI'!$S$68),"")</f>
        <v/>
      </c>
      <c r="O35" s="271" t="str">
        <f>IF(AND('Mapa final SI'!$AC$69="Media",'Mapa final SI'!$AE$69="Leve"),CONCATENATE("R10C",'Mapa final SI'!$S$69),"")</f>
        <v/>
      </c>
      <c r="P35" s="269" t="str">
        <f>IF(AND('Mapa final SI'!$AC$64="Media",'Mapa final SI'!$AE$64="Menor"),CONCATENATE("R10C",'Mapa final SI'!$S$64),"")</f>
        <v/>
      </c>
      <c r="Q35" s="270" t="str">
        <f>IF(AND('Mapa final SI'!$AC$65="Media",'Mapa final SI'!$AE$65="Menor"),CONCATENATE("R10C",'Mapa final SI'!$S$65),"")</f>
        <v/>
      </c>
      <c r="R35" s="270" t="str">
        <f>IF(AND('Mapa final SI'!$AC$66="Media",'Mapa final SI'!$AE$66="Menor"),CONCATENATE("R10C",'Mapa final SI'!$S$66),"")</f>
        <v/>
      </c>
      <c r="S35" s="270" t="str">
        <f>IF(AND('Mapa final SI'!$AC$67="Media",'Mapa final SI'!$AE$67="Menor"),CONCATENATE("R10C",'Mapa final SI'!$S$67),"")</f>
        <v/>
      </c>
      <c r="T35" s="270" t="str">
        <f>IF(AND('Mapa final SI'!$AC$68="Media",'Mapa final SI'!$AE$68="Menor"),CONCATENATE("R10C",'Mapa final SI'!$S$68),"")</f>
        <v/>
      </c>
      <c r="U35" s="271" t="str">
        <f>IF(AND('Mapa final SI'!$AC$69="Media",'Mapa final SI'!$AE$69="Menor"),CONCATENATE("R10C",'Mapa final SI'!$S$69),"")</f>
        <v/>
      </c>
      <c r="V35" s="269" t="str">
        <f>IF(AND('Mapa final SI'!$AC$64="Media",'Mapa final SI'!$AE$64="Moderado"),CONCATENATE("R10C",'Mapa final SI'!$S$64),"")</f>
        <v/>
      </c>
      <c r="W35" s="270" t="str">
        <f>IF(AND('Mapa final SI'!$AC$65="Media",'Mapa final SI'!$AE$65="Moderado"),CONCATENATE("R10C",'Mapa final SI'!$S$65),"")</f>
        <v/>
      </c>
      <c r="X35" s="270" t="str">
        <f>IF(AND('Mapa final SI'!$AC$66="Media",'Mapa final SI'!$AE$66="Moderado"),CONCATENATE("R10C",'Mapa final SI'!$S$66),"")</f>
        <v/>
      </c>
      <c r="Y35" s="270" t="str">
        <f>IF(AND('Mapa final SI'!$AC$67="Media",'Mapa final SI'!$AE$67="Moderado"),CONCATENATE("R10C",'Mapa final SI'!$S$67),"")</f>
        <v/>
      </c>
      <c r="Z35" s="270" t="str">
        <f>IF(AND('Mapa final SI'!$AC$68="Media",'Mapa final SI'!$AE$68="Moderado"),CONCATENATE("R10C",'Mapa final SI'!$S$68),"")</f>
        <v/>
      </c>
      <c r="AA35" s="271" t="str">
        <f>IF(AND('Mapa final SI'!$AC$69="Media",'Mapa final SI'!$AE$69="Moderado"),CONCATENATE("R10C",'Mapa final SI'!$S$69),"")</f>
        <v/>
      </c>
      <c r="AB35" s="260" t="str">
        <f>IF(AND('Mapa final SI'!$AC$64="Media",'Mapa final SI'!$AE$64="Mayor"),CONCATENATE("R10C",'Mapa final SI'!$S$64),"")</f>
        <v/>
      </c>
      <c r="AC35" s="261" t="str">
        <f>IF(AND('Mapa final SI'!$AC$65="Media",'Mapa final SI'!$AE$65="Mayor"),CONCATENATE("R10C",'Mapa final SI'!$S$65),"")</f>
        <v/>
      </c>
      <c r="AD35" s="261" t="str">
        <f>IF(AND('Mapa final SI'!$AC$66="Media",'Mapa final SI'!$AE$66="Mayor"),CONCATENATE("R10C",'Mapa final SI'!$S$66),"")</f>
        <v/>
      </c>
      <c r="AE35" s="261" t="str">
        <f>IF(AND('Mapa final SI'!$AC$67="Media",'Mapa final SI'!$AE$67="Mayor"),CONCATENATE("R10C",'Mapa final SI'!$S$67),"")</f>
        <v/>
      </c>
      <c r="AF35" s="261" t="str">
        <f>IF(AND('Mapa final SI'!$AC$68="Media",'Mapa final SI'!$AE$68="Mayor"),CONCATENATE("R10C",'Mapa final SI'!$S$68),"")</f>
        <v/>
      </c>
      <c r="AG35" s="262" t="str">
        <f>IF(AND('Mapa final SI'!$AC$69="Media",'Mapa final SI'!$AE$69="Mayor"),CONCATENATE("R10C",'Mapa final SI'!$S$69),"")</f>
        <v/>
      </c>
      <c r="AH35" s="263" t="str">
        <f>IF(AND('Mapa final SI'!$AC$64="Media",'Mapa final SI'!$AE$64="Catastrófico"),CONCATENATE("R10C",'Mapa final SI'!$S$64),"")</f>
        <v/>
      </c>
      <c r="AI35" s="264" t="str">
        <f>IF(AND('Mapa final SI'!$AC$65="Media",'Mapa final SI'!$AE$65="Catastrófico"),CONCATENATE("R10C",'Mapa final SI'!$S$65),"")</f>
        <v/>
      </c>
      <c r="AJ35" s="264" t="str">
        <f>IF(AND('Mapa final SI'!$AC$66="Media",'Mapa final SI'!$AE$66="Catastrófico"),CONCATENATE("R10C",'Mapa final SI'!$S$66),"")</f>
        <v/>
      </c>
      <c r="AK35" s="264" t="str">
        <f>IF(AND('Mapa final SI'!$AC$67="Media",'Mapa final SI'!$AE$67="Catastrófico"),CONCATENATE("R10C",'Mapa final SI'!$S$67),"")</f>
        <v/>
      </c>
      <c r="AL35" s="264" t="str">
        <f>IF(AND('Mapa final SI'!$AC$68="Media",'Mapa final SI'!$AE$68="Catastrófico"),CONCATENATE("R10C",'Mapa final SI'!$S$68),"")</f>
        <v/>
      </c>
      <c r="AM35" s="265" t="str">
        <f>IF(AND('Mapa final SI'!$AC$69="Media",'Mapa final SI'!$AE$69="Catastrófico"),CONCATENATE("R10C",'Mapa final SI'!$S$69),"")</f>
        <v/>
      </c>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6"/>
      <c r="C36" s="716"/>
      <c r="D36" s="717"/>
      <c r="E36" s="802" t="s">
        <v>195</v>
      </c>
      <c r="F36" s="803"/>
      <c r="G36" s="803"/>
      <c r="H36" s="803"/>
      <c r="I36" s="803"/>
      <c r="J36" s="275" t="str">
        <f>IF(AND('Mapa final SI'!$AC$10="Baja",'Mapa final SI'!$AE$10="Leve"),CONCATENATE("R1C",'Mapa final SI'!$S$10),"")</f>
        <v>R1C1</v>
      </c>
      <c r="K36" s="276" t="str">
        <f>IF(AND('Mapa final SI'!$AC$11="Baja",'Mapa final SI'!$AE$11="Leve"),CONCATENATE("R1C",'Mapa final SI'!$S$11),"")</f>
        <v/>
      </c>
      <c r="L36" s="276" t="str">
        <f>IF(AND('Mapa final SI'!$AC$12="Baja",'Mapa final SI'!$AE$12="Leve"),CONCATENATE("R1C",'Mapa final SI'!$S$12),"")</f>
        <v/>
      </c>
      <c r="M36" s="276" t="str">
        <f>IF(AND('Mapa final SI'!$AC$13="Baja",'Mapa final SI'!$AE$13="Leve"),CONCATENATE("R1C",'Mapa final SI'!$S$13),"")</f>
        <v/>
      </c>
      <c r="N36" s="276" t="str">
        <f>IF(AND('Mapa final SI'!$AC$14="Baja",'Mapa final SI'!$AE$14="Leve"),CONCATENATE("R1C",'Mapa final SI'!$S$14),"")</f>
        <v/>
      </c>
      <c r="O36" s="277" t="str">
        <f>IF(AND('Mapa final SI'!$AC$15="Baja",'Mapa final SI'!$AE$15="Leve"),CONCATENATE("R1C",'Mapa final SI'!$S$15),"")</f>
        <v/>
      </c>
      <c r="P36" s="266" t="str">
        <f>IF(AND('Mapa final SI'!$AC$10="Baja",'Mapa final SI'!$AE$10="Menor"),CONCATENATE("R1C",'Mapa final SI'!$S$10),"")</f>
        <v/>
      </c>
      <c r="Q36" s="267" t="str">
        <f>IF(AND('Mapa final SI'!$AC$11="Baja",'Mapa final SI'!$AE$11="Menor"),CONCATENATE("R1C",'Mapa final SI'!$S$11),"")</f>
        <v/>
      </c>
      <c r="R36" s="267" t="str">
        <f>IF(AND('Mapa final SI'!$AC$12="Baja",'Mapa final SI'!$AE$12="Menor"),CONCATENATE("R1C",'Mapa final SI'!$S$12),"")</f>
        <v/>
      </c>
      <c r="S36" s="267" t="str">
        <f>IF(AND('Mapa final SI'!$AC$13="Baja",'Mapa final SI'!$AE$13="Menor"),CONCATENATE("R1C",'Mapa final SI'!$S$13),"")</f>
        <v/>
      </c>
      <c r="T36" s="267" t="str">
        <f>IF(AND('Mapa final SI'!$AC$14="Baja",'Mapa final SI'!$AE$14="Menor"),CONCATENATE("R1C",'Mapa final SI'!$S$14),"")</f>
        <v/>
      </c>
      <c r="U36" s="268" t="str">
        <f>IF(AND('Mapa final SI'!$AC$15="Baja",'Mapa final SI'!$AE$15="Menor"),CONCATENATE("R1C",'Mapa final SI'!$S$15),"")</f>
        <v/>
      </c>
      <c r="V36" s="266" t="str">
        <f>IF(AND('Mapa final SI'!$AC$10="Baja",'Mapa final SI'!$AE$10="Moderado"),CONCATENATE("R1C",'Mapa final SI'!$S$10),"")</f>
        <v/>
      </c>
      <c r="W36" s="267" t="str">
        <f>IF(AND('Mapa final SI'!$AC$11="Baja",'Mapa final SI'!$AE$11="Moderado"),CONCATENATE("R1C",'Mapa final SI'!$S$11),"")</f>
        <v/>
      </c>
      <c r="X36" s="267" t="str">
        <f>IF(AND('Mapa final SI'!$AC$12="Baja",'Mapa final SI'!$AE$12="Moderado"),CONCATENATE("R1C",'Mapa final SI'!$S$12),"")</f>
        <v/>
      </c>
      <c r="Y36" s="267" t="str">
        <f>IF(AND('Mapa final SI'!$AC$13="Baja",'Mapa final SI'!$AE$13="Moderado"),CONCATENATE("R1C",'Mapa final SI'!$S$13),"")</f>
        <v/>
      </c>
      <c r="Z36" s="267" t="str">
        <f>IF(AND('Mapa final SI'!$AC$14="Baja",'Mapa final SI'!$AE$14="Moderado"),CONCATENATE("R1C",'Mapa final SI'!$S$14),"")</f>
        <v/>
      </c>
      <c r="AA36" s="268" t="str">
        <f>IF(AND('Mapa final SI'!$AC$15="Baja",'Mapa final SI'!$AE$15="Moderado"),CONCATENATE("R1C",'Mapa final SI'!$S$15),"")</f>
        <v/>
      </c>
      <c r="AB36" s="248" t="str">
        <f>IF(AND('Mapa final SI'!$AC$10="Baja",'Mapa final SI'!$AE$10="Mayor"),CONCATENATE("R1C",'Mapa final SI'!$S$10),"")</f>
        <v/>
      </c>
      <c r="AC36" s="249" t="str">
        <f>IF(AND('Mapa final SI'!$AC$11="Baja",'Mapa final SI'!$AE$11="Mayor"),CONCATENATE("R1C",'Mapa final SI'!$S$11),"")</f>
        <v/>
      </c>
      <c r="AD36" s="249" t="str">
        <f>IF(AND('Mapa final SI'!$AC$12="Baja",'Mapa final SI'!$AE$12="Mayor"),CONCATENATE("R1C",'Mapa final SI'!$S$12),"")</f>
        <v/>
      </c>
      <c r="AE36" s="249" t="str">
        <f>IF(AND('Mapa final SI'!$AC$13="Baja",'Mapa final SI'!$AE$13="Mayor"),CONCATENATE("R1C",'Mapa final SI'!$S$13),"")</f>
        <v/>
      </c>
      <c r="AF36" s="249" t="str">
        <f>IF(AND('Mapa final SI'!$AC$14="Baja",'Mapa final SI'!$AE$14="Mayor"),CONCATENATE("R1C",'Mapa final SI'!$S$14),"")</f>
        <v/>
      </c>
      <c r="AG36" s="250" t="str">
        <f>IF(AND('Mapa final SI'!$AC$15="Baja",'Mapa final SI'!$AE$15="Mayor"),CONCATENATE("R1C",'Mapa final SI'!$S$15),"")</f>
        <v/>
      </c>
      <c r="AH36" s="251" t="str">
        <f>IF(AND('Mapa final SI'!$AC$10="Baja",'Mapa final SI'!$AE$10="Catastrófico"),CONCATENATE("R1C",'Mapa final SI'!$S$10),"")</f>
        <v/>
      </c>
      <c r="AI36" s="252" t="str">
        <f>IF(AND('Mapa final SI'!$AC$11="Baja",'Mapa final SI'!$AE$11="Catastrófico"),CONCATENATE("R1C",'Mapa final SI'!$S$11),"")</f>
        <v/>
      </c>
      <c r="AJ36" s="252" t="str">
        <f>IF(AND('Mapa final SI'!$AC$12="Baja",'Mapa final SI'!$AE$12="Catastrófico"),CONCATENATE("R1C",'Mapa final SI'!$S$12),"")</f>
        <v/>
      </c>
      <c r="AK36" s="252" t="str">
        <f>IF(AND('Mapa final SI'!$AC$13="Baja",'Mapa final SI'!$AE$13="Catastrófico"),CONCATENATE("R1C",'Mapa final SI'!$S$13),"")</f>
        <v/>
      </c>
      <c r="AL36" s="252" t="str">
        <f>IF(AND('Mapa final SI'!$AC$14="Baja",'Mapa final SI'!$AE$14="Catastrófico"),CONCATENATE("R1C",'Mapa final SI'!$S$14),"")</f>
        <v/>
      </c>
      <c r="AM36" s="253" t="str">
        <f>IF(AND('Mapa final SI'!$AC$15="Baja",'Mapa final SI'!$AE$15="Catastrófico"),CONCATENATE("R1C",'Mapa final SI'!$S$15),"")</f>
        <v/>
      </c>
      <c r="AN36" s="15"/>
      <c r="AO36" s="839" t="s">
        <v>196</v>
      </c>
      <c r="AP36" s="840"/>
      <c r="AQ36" s="840"/>
      <c r="AR36" s="840"/>
      <c r="AS36" s="840"/>
      <c r="AT36" s="8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6"/>
      <c r="C37" s="716"/>
      <c r="D37" s="717"/>
      <c r="E37" s="820"/>
      <c r="F37" s="806"/>
      <c r="G37" s="806"/>
      <c r="H37" s="806"/>
      <c r="I37" s="806"/>
      <c r="J37" s="278" t="str">
        <f>IF(AND('Mapa final SI'!$AC$16="Baja",'Mapa final SI'!$AE$16="Leve"),CONCATENATE("R2C",'Mapa final SI'!$S$16),"")</f>
        <v/>
      </c>
      <c r="K37" s="279" t="str">
        <f>IF(AND('Mapa final SI'!$AC$17="Baja",'Mapa final SI'!$AE$17="Leve"),CONCATENATE("R2C",'Mapa final SI'!$S$17),"")</f>
        <v/>
      </c>
      <c r="L37" s="279" t="str">
        <f>IF(AND('Mapa final SI'!$AC$18="Baja",'Mapa final SI'!$AE$18="Leve"),CONCATENATE("R2C",'Mapa final SI'!$S$18),"")</f>
        <v/>
      </c>
      <c r="M37" s="279" t="str">
        <f>IF(AND('Mapa final SI'!$AC$19="Baja",'Mapa final SI'!$AE$19="Leve"),CONCATENATE("R2C",'Mapa final SI'!$S$19),"")</f>
        <v/>
      </c>
      <c r="N37" s="279" t="str">
        <f>IF(AND('Mapa final SI'!$AC$20="Baja",'Mapa final SI'!$AE$20="Leve"),CONCATENATE("R2C",'Mapa final SI'!$S$20),"")</f>
        <v/>
      </c>
      <c r="O37" s="280" t="str">
        <f>IF(AND('Mapa final SI'!$AC$21="Baja",'Mapa final SI'!$AE$21="Leve"),CONCATENATE("R2C",'Mapa final SI'!$S$21),"")</f>
        <v/>
      </c>
      <c r="P37" s="269" t="str">
        <f>IF(AND('Mapa final SI'!$AC$16="Baja",'Mapa final SI'!$AE$16="Menor"),CONCATENATE("R2C",'Mapa final SI'!$S$16),"")</f>
        <v/>
      </c>
      <c r="Q37" s="270" t="str">
        <f>IF(AND('Mapa final SI'!$AC$17="Baja",'Mapa final SI'!$AE$17="Menor"),CONCATENATE("R2C",'Mapa final SI'!$S$17),"")</f>
        <v/>
      </c>
      <c r="R37" s="270" t="str">
        <f>IF(AND('Mapa final SI'!$AC$18="Baja",'Mapa final SI'!$AE$18="Menor"),CONCATENATE("R2C",'Mapa final SI'!$S$18),"")</f>
        <v/>
      </c>
      <c r="S37" s="270" t="str">
        <f>IF(AND('Mapa final SI'!$AC$19="Baja",'Mapa final SI'!$AE$19="Menor"),CONCATENATE("R2C",'Mapa final SI'!$S$19),"")</f>
        <v/>
      </c>
      <c r="T37" s="270" t="str">
        <f>IF(AND('Mapa final SI'!$AC$20="Baja",'Mapa final SI'!$AE$20="Menor"),CONCATENATE("R2C",'Mapa final SI'!$S$20),"")</f>
        <v/>
      </c>
      <c r="U37" s="271" t="str">
        <f>IF(AND('Mapa final SI'!$AC$21="Baja",'Mapa final SI'!$AE$21="Menor"),CONCATENATE("R2C",'Mapa final SI'!$S$21),"")</f>
        <v/>
      </c>
      <c r="V37" s="269" t="str">
        <f>IF(AND('Mapa final SI'!$AC$16="Baja",'Mapa final SI'!$AE$16="Moderado"),CONCATENATE("R2C",'Mapa final SI'!$S$16),"")</f>
        <v/>
      </c>
      <c r="W37" s="270" t="str">
        <f>IF(AND('Mapa final SI'!$AC$17="Baja",'Mapa final SI'!$AE$17="Moderado"),CONCATENATE("R2C",'Mapa final SI'!$S$17),"")</f>
        <v/>
      </c>
      <c r="X37" s="270" t="str">
        <f>IF(AND('Mapa final SI'!$AC$18="Baja",'Mapa final SI'!$AE$18="Moderado"),CONCATENATE("R2C",'Mapa final SI'!$S$18),"")</f>
        <v/>
      </c>
      <c r="Y37" s="270" t="str">
        <f>IF(AND('Mapa final SI'!$AC$19="Baja",'Mapa final SI'!$AE$19="Moderado"),CONCATENATE("R2C",'Mapa final SI'!$S$19),"")</f>
        <v/>
      </c>
      <c r="Z37" s="270" t="str">
        <f>IF(AND('Mapa final SI'!$AC$20="Baja",'Mapa final SI'!$AE$20="Moderado"),CONCATENATE("R2C",'Mapa final SI'!$S$20),"")</f>
        <v/>
      </c>
      <c r="AA37" s="271" t="str">
        <f>IF(AND('Mapa final SI'!$AC$21="Baja",'Mapa final SI'!$AE$21="Moderado"),CONCATENATE("R2C",'Mapa final SI'!$S$21),"")</f>
        <v/>
      </c>
      <c r="AB37" s="254" t="str">
        <f>IF(AND('Mapa final SI'!$AC$16="Baja",'Mapa final SI'!$AE$16="Mayor"),CONCATENATE("R2C",'Mapa final SI'!$S$16),"")</f>
        <v/>
      </c>
      <c r="AC37" s="255" t="str">
        <f>IF(AND('Mapa final SI'!$AC$17="Baja",'Mapa final SI'!$AE$17="Mayor"),CONCATENATE("R2C",'Mapa final SI'!$S$17),"")</f>
        <v/>
      </c>
      <c r="AD37" s="255" t="str">
        <f>IF(AND('Mapa final SI'!$AC$18="Baja",'Mapa final SI'!$AE$18="Mayor"),CONCATENATE("R2C",'Mapa final SI'!$S$18),"")</f>
        <v/>
      </c>
      <c r="AE37" s="255" t="str">
        <f>IF(AND('Mapa final SI'!$AC$19="Baja",'Mapa final SI'!$AE$19="Mayor"),CONCATENATE("R2C",'Mapa final SI'!$S$19),"")</f>
        <v/>
      </c>
      <c r="AF37" s="255" t="str">
        <f>IF(AND('Mapa final SI'!$AC$20="Baja",'Mapa final SI'!$AE$20="Mayor"),CONCATENATE("R2C",'Mapa final SI'!$S$20),"")</f>
        <v/>
      </c>
      <c r="AG37" s="256" t="str">
        <f>IF(AND('Mapa final SI'!$AC$21="Baja",'Mapa final SI'!$AE$21="Mayor"),CONCATENATE("R2C",'Mapa final SI'!$S$21),"")</f>
        <v/>
      </c>
      <c r="AH37" s="257" t="str">
        <f>IF(AND('Mapa final SI'!$AC$16="Baja",'Mapa final SI'!$AE$16="Catastrófico"),CONCATENATE("R2C",'Mapa final SI'!$S$16),"")</f>
        <v/>
      </c>
      <c r="AI37" s="258" t="str">
        <f>IF(AND('Mapa final SI'!$AC$17="Baja",'Mapa final SI'!$AE$17="Catastrófico"),CONCATENATE("R2C",'Mapa final SI'!$S$17),"")</f>
        <v/>
      </c>
      <c r="AJ37" s="258" t="str">
        <f>IF(AND('Mapa final SI'!$AC$18="Baja",'Mapa final SI'!$AE$18="Catastrófico"),CONCATENATE("R2C",'Mapa final SI'!$S$18),"")</f>
        <v/>
      </c>
      <c r="AK37" s="258" t="str">
        <f>IF(AND('Mapa final SI'!$AC$19="Baja",'Mapa final SI'!$AE$19="Catastrófico"),CONCATENATE("R2C",'Mapa final SI'!$S$19),"")</f>
        <v/>
      </c>
      <c r="AL37" s="258" t="str">
        <f>IF(AND('Mapa final SI'!$AC$20="Baja",'Mapa final SI'!$AE$20="Catastrófico"),CONCATENATE("R2C",'Mapa final SI'!$S$20),"")</f>
        <v/>
      </c>
      <c r="AM37" s="259" t="str">
        <f>IF(AND('Mapa final SI'!$AC$21="Baja",'Mapa final SI'!$AE$21="Catastrófico"),CONCATENATE("R2C",'Mapa final SI'!$S$21),"")</f>
        <v/>
      </c>
      <c r="AN37" s="15"/>
      <c r="AO37" s="842"/>
      <c r="AP37" s="843"/>
      <c r="AQ37" s="843"/>
      <c r="AR37" s="843"/>
      <c r="AS37" s="843"/>
      <c r="AT37" s="8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6"/>
      <c r="C38" s="716"/>
      <c r="D38" s="717"/>
      <c r="E38" s="805"/>
      <c r="F38" s="806"/>
      <c r="G38" s="806"/>
      <c r="H38" s="806"/>
      <c r="I38" s="806"/>
      <c r="J38" s="278" t="str">
        <f>IF(AND('Mapa final SI'!$AC$22="Baja",'Mapa final SI'!$AE$22="Leve"),CONCATENATE("R3C",'Mapa final SI'!$S$22),"")</f>
        <v/>
      </c>
      <c r="K38" s="279" t="str">
        <f>IF(AND('Mapa final SI'!$AC$23="Baja",'Mapa final SI'!$AE$23="Leve"),CONCATENATE("R3C",'Mapa final SI'!$S$23),"")</f>
        <v/>
      </c>
      <c r="L38" s="279" t="str">
        <f>IF(AND('Mapa final SI'!$AC$24="Baja",'Mapa final SI'!$AE$24="Leve"),CONCATENATE("R3C",'Mapa final SI'!$S$24),"")</f>
        <v/>
      </c>
      <c r="M38" s="279" t="str">
        <f>IF(AND('Mapa final SI'!$AC$25="Baja",'Mapa final SI'!$AE$25="Leve"),CONCATENATE("R3C",'Mapa final SI'!$S$25),"")</f>
        <v/>
      </c>
      <c r="N38" s="279" t="str">
        <f>IF(AND('Mapa final SI'!$AC$26="Baja",'Mapa final SI'!$AE$26="Leve"),CONCATENATE("R3C",'Mapa final SI'!$S$26),"")</f>
        <v/>
      </c>
      <c r="O38" s="280" t="str">
        <f>IF(AND('Mapa final SI'!$AC$27="Baja",'Mapa final SI'!$AE$27="Leve"),CONCATENATE("R3C",'Mapa final SI'!$S$27),"")</f>
        <v/>
      </c>
      <c r="P38" s="269" t="str">
        <f>IF(AND('Mapa final SI'!$AC$22="Baja",'Mapa final SI'!$AE$22="Menor"),CONCATENATE("R3C",'Mapa final SI'!$S$22),"")</f>
        <v/>
      </c>
      <c r="Q38" s="270" t="str">
        <f>IF(AND('Mapa final SI'!$AC$23="Baja",'Mapa final SI'!$AE$23="Menor"),CONCATENATE("R3C",'Mapa final SI'!$S$23),"")</f>
        <v/>
      </c>
      <c r="R38" s="270" t="str">
        <f>IF(AND('Mapa final SI'!$AC$24="Baja",'Mapa final SI'!$AE$24="Menor"),CONCATENATE("R3C",'Mapa final SI'!$S$24),"")</f>
        <v/>
      </c>
      <c r="S38" s="270" t="str">
        <f>IF(AND('Mapa final SI'!$AC$25="Baja",'Mapa final SI'!$AE$25="Menor"),CONCATENATE("R3C",'Mapa final SI'!$S$25),"")</f>
        <v/>
      </c>
      <c r="T38" s="270" t="str">
        <f>IF(AND('Mapa final SI'!$AC$26="Baja",'Mapa final SI'!$AE$26="Menor"),CONCATENATE("R3C",'Mapa final SI'!$S$26),"")</f>
        <v/>
      </c>
      <c r="U38" s="271" t="str">
        <f>IF(AND('Mapa final SI'!$AC$27="Baja",'Mapa final SI'!$AE$27="Menor"),CONCATENATE("R3C",'Mapa final SI'!$S$27),"")</f>
        <v/>
      </c>
      <c r="V38" s="269" t="str">
        <f>IF(AND('Mapa final SI'!$AC$22="Baja",'Mapa final SI'!$AE$22="Moderado"),CONCATENATE("R3C",'Mapa final SI'!$S$22),"")</f>
        <v/>
      </c>
      <c r="W38" s="270" t="str">
        <f>IF(AND('Mapa final SI'!$AC$23="Baja",'Mapa final SI'!$AE$23="Moderado"),CONCATENATE("R3C",'Mapa final SI'!$S$23),"")</f>
        <v/>
      </c>
      <c r="X38" s="270" t="str">
        <f>IF(AND('Mapa final SI'!$AC$24="Baja",'Mapa final SI'!$AE$24="Moderado"),CONCATENATE("R3C",'Mapa final SI'!$S$24),"")</f>
        <v/>
      </c>
      <c r="Y38" s="270" t="str">
        <f>IF(AND('Mapa final SI'!$AC$25="Baja",'Mapa final SI'!$AE$25="Moderado"),CONCATENATE("R3C",'Mapa final SI'!$S$25),"")</f>
        <v/>
      </c>
      <c r="Z38" s="270" t="str">
        <f>IF(AND('Mapa final SI'!$AC$26="Baja",'Mapa final SI'!$AE$26="Moderado"),CONCATENATE("R3C",'Mapa final SI'!$S$26),"")</f>
        <v/>
      </c>
      <c r="AA38" s="271" t="str">
        <f>IF(AND('Mapa final SI'!$AC$27="Baja",'Mapa final SI'!$AE$27="Moderado"),CONCATENATE("R3C",'Mapa final SI'!$S$27),"")</f>
        <v/>
      </c>
      <c r="AB38" s="254" t="str">
        <f>IF(AND('Mapa final SI'!$AC$22="Baja",'Mapa final SI'!$AE$22="Mayor"),CONCATENATE("R3C",'Mapa final SI'!$S$22),"")</f>
        <v/>
      </c>
      <c r="AC38" s="255" t="str">
        <f>IF(AND('Mapa final SI'!$AC$23="Baja",'Mapa final SI'!$AE$23="Mayor"),CONCATENATE("R3C",'Mapa final SI'!$S$23),"")</f>
        <v/>
      </c>
      <c r="AD38" s="255" t="str">
        <f>IF(AND('Mapa final SI'!$AC$24="Baja",'Mapa final SI'!$AE$24="Mayor"),CONCATENATE("R3C",'Mapa final SI'!$S$24),"")</f>
        <v/>
      </c>
      <c r="AE38" s="255" t="str">
        <f>IF(AND('Mapa final SI'!$AC$25="Baja",'Mapa final SI'!$AE$25="Mayor"),CONCATENATE("R3C",'Mapa final SI'!$S$25),"")</f>
        <v/>
      </c>
      <c r="AF38" s="255" t="str">
        <f>IF(AND('Mapa final SI'!$AC$26="Baja",'Mapa final SI'!$AE$26="Mayor"),CONCATENATE("R3C",'Mapa final SI'!$S$26),"")</f>
        <v/>
      </c>
      <c r="AG38" s="256" t="str">
        <f>IF(AND('Mapa final SI'!$AC$27="Baja",'Mapa final SI'!$AE$27="Mayor"),CONCATENATE("R3C",'Mapa final SI'!$S$27),"")</f>
        <v/>
      </c>
      <c r="AH38" s="257" t="str">
        <f>IF(AND('Mapa final SI'!$AC$22="Baja",'Mapa final SI'!$AE$22="Catastrófico"),CONCATENATE("R3C",'Mapa final SI'!$S$22),"")</f>
        <v/>
      </c>
      <c r="AI38" s="258" t="str">
        <f>IF(AND('Mapa final SI'!$AC$23="Baja",'Mapa final SI'!$AE$23="Catastrófico"),CONCATENATE("R3C",'Mapa final SI'!$S$23),"")</f>
        <v/>
      </c>
      <c r="AJ38" s="258" t="str">
        <f>IF(AND('Mapa final SI'!$AC$24="Baja",'Mapa final SI'!$AE$24="Catastrófico"),CONCATENATE("R3C",'Mapa final SI'!$S$24),"")</f>
        <v/>
      </c>
      <c r="AK38" s="258" t="str">
        <f>IF(AND('Mapa final SI'!$AC$25="Baja",'Mapa final SI'!$AE$25="Catastrófico"),CONCATENATE("R3C",'Mapa final SI'!$S$25),"")</f>
        <v/>
      </c>
      <c r="AL38" s="258" t="str">
        <f>IF(AND('Mapa final SI'!$AC$26="Baja",'Mapa final SI'!$AE$26="Catastrófico"),CONCATENATE("R3C",'Mapa final SI'!$S$26),"")</f>
        <v/>
      </c>
      <c r="AM38" s="259" t="str">
        <f>IF(AND('Mapa final SI'!$AC$27="Baja",'Mapa final SI'!$AE$27="Catastrófico"),CONCATENATE("R3C",'Mapa final SI'!$S$27),"")</f>
        <v/>
      </c>
      <c r="AN38" s="15"/>
      <c r="AO38" s="842"/>
      <c r="AP38" s="843"/>
      <c r="AQ38" s="843"/>
      <c r="AR38" s="843"/>
      <c r="AS38" s="843"/>
      <c r="AT38" s="8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6"/>
      <c r="C39" s="716"/>
      <c r="D39" s="717"/>
      <c r="E39" s="805"/>
      <c r="F39" s="806"/>
      <c r="G39" s="806"/>
      <c r="H39" s="806"/>
      <c r="I39" s="806"/>
      <c r="J39" s="278" t="str">
        <f>IF(AND('Mapa final SI'!$AC$28="Baja",'Mapa final SI'!$AE$28="Leve"),CONCATENATE("R4C",'Mapa final SI'!$S$28),"")</f>
        <v/>
      </c>
      <c r="K39" s="279" t="str">
        <f>IF(AND('Mapa final SI'!$AC$29="Baja",'Mapa final SI'!$AE$29="Leve"),CONCATENATE("R4C",'Mapa final SI'!$S$29),"")</f>
        <v/>
      </c>
      <c r="L39" s="279" t="str">
        <f>IF(AND('Mapa final SI'!$AC$30="Baja",'Mapa final SI'!$AE$30="Leve"),CONCATENATE("R4C",'Mapa final SI'!$S$30),"")</f>
        <v/>
      </c>
      <c r="M39" s="279" t="str">
        <f>IF(AND('Mapa final SI'!$AC$31="Baja",'Mapa final SI'!$AE$31="Leve"),CONCATENATE("R4C",'Mapa final SI'!$S$31),"")</f>
        <v/>
      </c>
      <c r="N39" s="279" t="str">
        <f>IF(AND('Mapa final SI'!$AC$32="Baja",'Mapa final SI'!$AE$32="Leve"),CONCATENATE("R4C",'Mapa final SI'!$S$32),"")</f>
        <v/>
      </c>
      <c r="O39" s="280" t="str">
        <f>IF(AND('Mapa final SI'!$AC$33="Baja",'Mapa final SI'!$AE$33="Leve"),CONCATENATE("R4C",'Mapa final SI'!$S$33),"")</f>
        <v/>
      </c>
      <c r="P39" s="269" t="str">
        <f>IF(AND('Mapa final SI'!$AC$28="Baja",'Mapa final SI'!$AE$28="Menor"),CONCATENATE("R4C",'Mapa final SI'!$S$28),"")</f>
        <v/>
      </c>
      <c r="Q39" s="270" t="str">
        <f>IF(AND('Mapa final SI'!$AC$29="Baja",'Mapa final SI'!$AE$29="Menor"),CONCATENATE("R4C",'Mapa final SI'!$S$29),"")</f>
        <v/>
      </c>
      <c r="R39" s="270" t="str">
        <f>IF(AND('Mapa final SI'!$AC$30="Baja",'Mapa final SI'!$AE$30="Menor"),CONCATENATE("R4C",'Mapa final SI'!$S$30),"")</f>
        <v/>
      </c>
      <c r="S39" s="270" t="str">
        <f>IF(AND('Mapa final SI'!$AC$31="Baja",'Mapa final SI'!$AE$31="Menor"),CONCATENATE("R4C",'Mapa final SI'!$S$31),"")</f>
        <v/>
      </c>
      <c r="T39" s="270" t="str">
        <f>IF(AND('Mapa final SI'!$AC$32="Baja",'Mapa final SI'!$AE$32="Menor"),CONCATENATE("R4C",'Mapa final SI'!$S$32),"")</f>
        <v/>
      </c>
      <c r="U39" s="271" t="str">
        <f>IF(AND('Mapa final SI'!$AC$33="Baja",'Mapa final SI'!$AE$33="Menor"),CONCATENATE("R4C",'Mapa final SI'!$S$33),"")</f>
        <v/>
      </c>
      <c r="V39" s="269" t="str">
        <f>IF(AND('Mapa final SI'!$AC$28="Baja",'Mapa final SI'!$AE$28="Moderado"),CONCATENATE("R4C",'Mapa final SI'!$S$28),"")</f>
        <v/>
      </c>
      <c r="W39" s="270" t="str">
        <f>IF(AND('Mapa final SI'!$AC$29="Baja",'Mapa final SI'!$AE$29="Moderado"),CONCATENATE("R4C",'Mapa final SI'!$S$29),"")</f>
        <v/>
      </c>
      <c r="X39" s="270" t="str">
        <f>IF(AND('Mapa final SI'!$AC$30="Baja",'Mapa final SI'!$AE$30="Moderado"),CONCATENATE("R4C",'Mapa final SI'!$S$30),"")</f>
        <v/>
      </c>
      <c r="Y39" s="270" t="str">
        <f>IF(AND('Mapa final SI'!$AC$31="Baja",'Mapa final SI'!$AE$31="Moderado"),CONCATENATE("R4C",'Mapa final SI'!$S$31),"")</f>
        <v/>
      </c>
      <c r="Z39" s="270" t="str">
        <f>IF(AND('Mapa final SI'!$AC$32="Baja",'Mapa final SI'!$AE$32="Moderado"),CONCATENATE("R4C",'Mapa final SI'!$S$32),"")</f>
        <v/>
      </c>
      <c r="AA39" s="271" t="str">
        <f>IF(AND('Mapa final SI'!$AC$33="Baja",'Mapa final SI'!$AE$33="Moderado"),CONCATENATE("R4C",'Mapa final SI'!$S$33),"")</f>
        <v/>
      </c>
      <c r="AB39" s="254" t="str">
        <f>IF(AND('Mapa final SI'!$AC$28="Baja",'Mapa final SI'!$AE$28="Mayor"),CONCATENATE("R4C",'Mapa final SI'!$S$28),"")</f>
        <v/>
      </c>
      <c r="AC39" s="255" t="str">
        <f>IF(AND('Mapa final SI'!$AC$29="Baja",'Mapa final SI'!$AE$29="Mayor"),CONCATENATE("R4C",'Mapa final SI'!$S$29),"")</f>
        <v/>
      </c>
      <c r="AD39" s="255" t="str">
        <f>IF(AND('Mapa final SI'!$AC$30="Baja",'Mapa final SI'!$AE$30="Mayor"),CONCATENATE("R4C",'Mapa final SI'!$S$30),"")</f>
        <v/>
      </c>
      <c r="AE39" s="255" t="str">
        <f>IF(AND('Mapa final SI'!$AC$31="Baja",'Mapa final SI'!$AE$31="Mayor"),CONCATENATE("R4C",'Mapa final SI'!$S$31),"")</f>
        <v/>
      </c>
      <c r="AF39" s="255" t="str">
        <f>IF(AND('Mapa final SI'!$AC$32="Baja",'Mapa final SI'!$AE$32="Mayor"),CONCATENATE("R4C",'Mapa final SI'!$S$32),"")</f>
        <v/>
      </c>
      <c r="AG39" s="256" t="str">
        <f>IF(AND('Mapa final SI'!$AC$33="Baja",'Mapa final SI'!$AE$33="Mayor"),CONCATENATE("R4C",'Mapa final SI'!$S$33),"")</f>
        <v/>
      </c>
      <c r="AH39" s="257" t="str">
        <f>IF(AND('Mapa final SI'!$AC$28="Baja",'Mapa final SI'!$AE$28="Catastrófico"),CONCATENATE("R4C",'Mapa final SI'!$S$28),"")</f>
        <v/>
      </c>
      <c r="AI39" s="258" t="str">
        <f>IF(AND('Mapa final SI'!$AC$29="Baja",'Mapa final SI'!$AE$29="Catastrófico"),CONCATENATE("R4C",'Mapa final SI'!$S$29),"")</f>
        <v/>
      </c>
      <c r="AJ39" s="258" t="str">
        <f>IF(AND('Mapa final SI'!$AC$30="Baja",'Mapa final SI'!$AE$30="Catastrófico"),CONCATENATE("R4C",'Mapa final SI'!$S$30),"")</f>
        <v/>
      </c>
      <c r="AK39" s="258" t="str">
        <f>IF(AND('Mapa final SI'!$AC$31="Baja",'Mapa final SI'!$AE$31="Catastrófico"),CONCATENATE("R4C",'Mapa final SI'!$S$31),"")</f>
        <v/>
      </c>
      <c r="AL39" s="258" t="str">
        <f>IF(AND('Mapa final SI'!$AC$32="Baja",'Mapa final SI'!$AE$32="Catastrófico"),CONCATENATE("R4C",'Mapa final SI'!$S$32),"")</f>
        <v/>
      </c>
      <c r="AM39" s="259" t="str">
        <f>IF(AND('Mapa final SI'!$AC$33="Baja",'Mapa final SI'!$AE$33="Catastrófico"),CONCATENATE("R4C",'Mapa final SI'!$S$33),"")</f>
        <v/>
      </c>
      <c r="AN39" s="15"/>
      <c r="AO39" s="842"/>
      <c r="AP39" s="843"/>
      <c r="AQ39" s="843"/>
      <c r="AR39" s="843"/>
      <c r="AS39" s="843"/>
      <c r="AT39" s="8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6"/>
      <c r="C40" s="716"/>
      <c r="D40" s="717"/>
      <c r="E40" s="805"/>
      <c r="F40" s="806"/>
      <c r="G40" s="806"/>
      <c r="H40" s="806"/>
      <c r="I40" s="806"/>
      <c r="J40" s="278" t="str">
        <f>IF(AND('Mapa final SI'!$AC$34="Baja",'Mapa final SI'!$AE$34="Leve"),CONCATENATE("R5C",'Mapa final SI'!$S$34),"")</f>
        <v/>
      </c>
      <c r="K40" s="279" t="str">
        <f>IF(AND('Mapa final SI'!$AC$35="Baja",'Mapa final SI'!$AE$35="Leve"),CONCATENATE("R5C",'Mapa final SI'!$S$35),"")</f>
        <v/>
      </c>
      <c r="L40" s="279" t="str">
        <f>IF(AND('Mapa final SI'!$AC$36="Baja",'Mapa final SI'!$AE$36="Leve"),CONCATENATE("R5C",'Mapa final SI'!$S$36),"")</f>
        <v/>
      </c>
      <c r="M40" s="279" t="str">
        <f>IF(AND('Mapa final SI'!$AC$37="Baja",'Mapa final SI'!$AE$37="Leve"),CONCATENATE("R5C",'Mapa final SI'!$S$37),"")</f>
        <v/>
      </c>
      <c r="N40" s="279" t="str">
        <f>IF(AND('Mapa final SI'!$AC$38="Baja",'Mapa final SI'!$AE$38="Leve"),CONCATENATE("R5C",'Mapa final SI'!$S$38),"")</f>
        <v/>
      </c>
      <c r="O40" s="280" t="str">
        <f>IF(AND('Mapa final SI'!$AC$39="Baja",'Mapa final SI'!$AE$39="Leve"),CONCATENATE("R5C",'Mapa final SI'!$S$39),"")</f>
        <v/>
      </c>
      <c r="P40" s="269" t="str">
        <f>IF(AND('Mapa final SI'!$AC$34="Baja",'Mapa final SI'!$AE$34="Menor"),CONCATENATE("R5C",'Mapa final SI'!$S$34),"")</f>
        <v/>
      </c>
      <c r="Q40" s="270" t="str">
        <f>IF(AND('Mapa final SI'!$AC$35="Baja",'Mapa final SI'!$AE$35="Menor"),CONCATENATE("R5C",'Mapa final SI'!$S$35),"")</f>
        <v/>
      </c>
      <c r="R40" s="270" t="str">
        <f>IF(AND('Mapa final SI'!$AC$36="Baja",'Mapa final SI'!$AE$36="Menor"),CONCATENATE("R5C",'Mapa final SI'!$S$36),"")</f>
        <v/>
      </c>
      <c r="S40" s="270" t="str">
        <f>IF(AND('Mapa final SI'!$AC$37="Baja",'Mapa final SI'!$AE$37="Menor"),CONCATENATE("R5C",'Mapa final SI'!$S$37),"")</f>
        <v/>
      </c>
      <c r="T40" s="270" t="str">
        <f>IF(AND('Mapa final SI'!$AC$38="Baja",'Mapa final SI'!$AE$38="Menor"),CONCATENATE("R5C",'Mapa final SI'!$S$38),"")</f>
        <v/>
      </c>
      <c r="U40" s="271" t="str">
        <f>IF(AND('Mapa final SI'!$AC$39="Baja",'Mapa final SI'!$AE$39="Menor"),CONCATENATE("R5C",'Mapa final SI'!$S$39),"")</f>
        <v/>
      </c>
      <c r="V40" s="269" t="str">
        <f>IF(AND('Mapa final SI'!$AC$34="Baja",'Mapa final SI'!$AE$34="Moderado"),CONCATENATE("R5C",'Mapa final SI'!$S$34),"")</f>
        <v/>
      </c>
      <c r="W40" s="270" t="str">
        <f>IF(AND('Mapa final SI'!$AC$35="Baja",'Mapa final SI'!$AE$35="Moderado"),CONCATENATE("R5C",'Mapa final SI'!$S$35),"")</f>
        <v/>
      </c>
      <c r="X40" s="270" t="str">
        <f>IF(AND('Mapa final SI'!$AC$36="Baja",'Mapa final SI'!$AE$36="Moderado"),CONCATENATE("R5C",'Mapa final SI'!$S$36),"")</f>
        <v/>
      </c>
      <c r="Y40" s="270" t="str">
        <f>IF(AND('Mapa final SI'!$AC$37="Baja",'Mapa final SI'!$AE$37="Moderado"),CONCATENATE("R5C",'Mapa final SI'!$S$37),"")</f>
        <v/>
      </c>
      <c r="Z40" s="270" t="str">
        <f>IF(AND('Mapa final SI'!$AC$38="Baja",'Mapa final SI'!$AE$38="Moderado"),CONCATENATE("R5C",'Mapa final SI'!$S$38),"")</f>
        <v/>
      </c>
      <c r="AA40" s="271" t="str">
        <f>IF(AND('Mapa final SI'!$AC$39="Baja",'Mapa final SI'!$AE$39="Moderado"),CONCATENATE("R5C",'Mapa final SI'!$S$39),"")</f>
        <v/>
      </c>
      <c r="AB40" s="254" t="str">
        <f>IF(AND('Mapa final SI'!$AC$34="Baja",'Mapa final SI'!$AE$34="Mayor"),CONCATENATE("R5C",'Mapa final SI'!$S$34),"")</f>
        <v/>
      </c>
      <c r="AC40" s="255" t="str">
        <f>IF(AND('Mapa final SI'!$AC$35="Baja",'Mapa final SI'!$AE$35="Mayor"),CONCATENATE("R5C",'Mapa final SI'!$S$35),"")</f>
        <v/>
      </c>
      <c r="AD40" s="255" t="str">
        <f>IF(AND('Mapa final SI'!$AC$36="Baja",'Mapa final SI'!$AE$36="Mayor"),CONCATENATE("R5C",'Mapa final SI'!$S$36),"")</f>
        <v/>
      </c>
      <c r="AE40" s="255" t="str">
        <f>IF(AND('Mapa final SI'!$AC$37="Baja",'Mapa final SI'!$AE$37="Mayor"),CONCATENATE("R5C",'Mapa final SI'!$S$37),"")</f>
        <v/>
      </c>
      <c r="AF40" s="255" t="str">
        <f>IF(AND('Mapa final SI'!$AC$38="Baja",'Mapa final SI'!$AE$38="Mayor"),CONCATENATE("R5C",'Mapa final SI'!$S$38),"")</f>
        <v/>
      </c>
      <c r="AG40" s="256" t="str">
        <f>IF(AND('Mapa final SI'!$AC$39="Baja",'Mapa final SI'!$AE$39="Mayor"),CONCATENATE("R5C",'Mapa final SI'!$S$39),"")</f>
        <v/>
      </c>
      <c r="AH40" s="257" t="str">
        <f>IF(AND('Mapa final SI'!$AC$34="Baja",'Mapa final SI'!$AE$34="Catastrófico"),CONCATENATE("R5C",'Mapa final SI'!$S$34),"")</f>
        <v/>
      </c>
      <c r="AI40" s="258" t="str">
        <f>IF(AND('Mapa final SI'!$AC$35="Baja",'Mapa final SI'!$AE$35="Catastrófico"),CONCATENATE("R5C",'Mapa final SI'!$S$35),"")</f>
        <v/>
      </c>
      <c r="AJ40" s="258" t="str">
        <f>IF(AND('Mapa final SI'!$AC$36="Baja",'Mapa final SI'!$AE$36="Catastrófico"),CONCATENATE("R5C",'Mapa final SI'!$S$36),"")</f>
        <v/>
      </c>
      <c r="AK40" s="258" t="str">
        <f>IF(AND('Mapa final SI'!$AC$37="Baja",'Mapa final SI'!$AE$37="Catastrófico"),CONCATENATE("R5C",'Mapa final SI'!$S$37),"")</f>
        <v/>
      </c>
      <c r="AL40" s="258" t="str">
        <f>IF(AND('Mapa final SI'!$AC$38="Baja",'Mapa final SI'!$AE$38="Catastrófico"),CONCATENATE("R5C",'Mapa final SI'!$S$38),"")</f>
        <v/>
      </c>
      <c r="AM40" s="259" t="str">
        <f>IF(AND('Mapa final SI'!$AC$39="Baja",'Mapa final SI'!$AE$39="Catastrófico"),CONCATENATE("R5C",'Mapa final SI'!$S$39),"")</f>
        <v/>
      </c>
      <c r="AN40" s="15"/>
      <c r="AO40" s="842"/>
      <c r="AP40" s="843"/>
      <c r="AQ40" s="843"/>
      <c r="AR40" s="843"/>
      <c r="AS40" s="843"/>
      <c r="AT40" s="8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6"/>
      <c r="C41" s="716"/>
      <c r="D41" s="717"/>
      <c r="E41" s="805"/>
      <c r="F41" s="806"/>
      <c r="G41" s="806"/>
      <c r="H41" s="806"/>
      <c r="I41" s="806"/>
      <c r="J41" s="278" t="str">
        <f>IF(AND('Mapa final SI'!$AC$40="Baja",'Mapa final SI'!$AE$40="Leve"),CONCATENATE("R6C",'Mapa final SI'!$S$40),"")</f>
        <v/>
      </c>
      <c r="K41" s="279" t="str">
        <f>IF(AND('Mapa final SI'!$AC$41="Baja",'Mapa final SI'!$AE$41="Leve"),CONCATENATE("R6C",'Mapa final SI'!$S$41),"")</f>
        <v/>
      </c>
      <c r="L41" s="279" t="str">
        <f>IF(AND('Mapa final SI'!$AC$42="Baja",'Mapa final SI'!$AE$42="Leve"),CONCATENATE("R6C",'Mapa final SI'!$S$42),"")</f>
        <v/>
      </c>
      <c r="M41" s="279" t="str">
        <f>IF(AND('Mapa final SI'!$AC$43="Baja",'Mapa final SI'!$AE$43="Leve"),CONCATENATE("R6C",'Mapa final SI'!$S$43),"")</f>
        <v/>
      </c>
      <c r="N41" s="279" t="str">
        <f>IF(AND('Mapa final SI'!$AC$44="Baja",'Mapa final SI'!$AE$44="Leve"),CONCATENATE("R6C",'Mapa final SI'!$S$44),"")</f>
        <v/>
      </c>
      <c r="O41" s="280" t="str">
        <f>IF(AND('Mapa final SI'!$AC$45="Baja",'Mapa final SI'!$AE$45="Leve"),CONCATENATE("R6C",'Mapa final SI'!$S$45),"")</f>
        <v/>
      </c>
      <c r="P41" s="269" t="str">
        <f>IF(AND('Mapa final SI'!$AC$40="Baja",'Mapa final SI'!$AE$40="Menor"),CONCATENATE("R6C",'Mapa final SI'!$S$40),"")</f>
        <v/>
      </c>
      <c r="Q41" s="270" t="str">
        <f>IF(AND('Mapa final SI'!$AC$41="Baja",'Mapa final SI'!$AE$41="Menor"),CONCATENATE("R6C",'Mapa final SI'!$S$41),"")</f>
        <v/>
      </c>
      <c r="R41" s="270" t="str">
        <f>IF(AND('Mapa final SI'!$AC$42="Baja",'Mapa final SI'!$AE$42="Menor"),CONCATENATE("R6C",'Mapa final SI'!$S$42),"")</f>
        <v/>
      </c>
      <c r="S41" s="270" t="str">
        <f>IF(AND('Mapa final SI'!$AC$43="Baja",'Mapa final SI'!$AE$43="Menor"),CONCATENATE("R6C",'Mapa final SI'!$S$43),"")</f>
        <v/>
      </c>
      <c r="T41" s="270" t="str">
        <f>IF(AND('Mapa final SI'!$AC$44="Baja",'Mapa final SI'!$AE$44="Menor"),CONCATENATE("R6C",'Mapa final SI'!$S$44),"")</f>
        <v/>
      </c>
      <c r="U41" s="271" t="str">
        <f>IF(AND('Mapa final SI'!$AC$45="Baja",'Mapa final SI'!$AE$45="Menor"),CONCATENATE("R6C",'Mapa final SI'!$S$45),"")</f>
        <v/>
      </c>
      <c r="V41" s="269" t="str">
        <f>IF(AND('Mapa final SI'!$AC$40="Baja",'Mapa final SI'!$AE$40="Moderado"),CONCATENATE("R6C",'Mapa final SI'!$S$40),"")</f>
        <v/>
      </c>
      <c r="W41" s="270" t="str">
        <f>IF(AND('Mapa final SI'!$AC$41="Baja",'Mapa final SI'!$AE$41="Moderado"),CONCATENATE("R6C",'Mapa final SI'!$S$41),"")</f>
        <v/>
      </c>
      <c r="X41" s="270" t="str">
        <f>IF(AND('Mapa final SI'!$AC$42="Baja",'Mapa final SI'!$AE$42="Moderado"),CONCATENATE("R6C",'Mapa final SI'!$S$42),"")</f>
        <v/>
      </c>
      <c r="Y41" s="270" t="str">
        <f>IF(AND('Mapa final SI'!$AC$43="Baja",'Mapa final SI'!$AE$43="Moderado"),CONCATENATE("R6C",'Mapa final SI'!$S$43),"")</f>
        <v/>
      </c>
      <c r="Z41" s="270" t="str">
        <f>IF(AND('Mapa final SI'!$AC$44="Baja",'Mapa final SI'!$AE$44="Moderado"),CONCATENATE("R6C",'Mapa final SI'!$S$44),"")</f>
        <v/>
      </c>
      <c r="AA41" s="271" t="str">
        <f>IF(AND('Mapa final SI'!$AC$45="Baja",'Mapa final SI'!$AE$45="Moderado"),CONCATENATE("R6C",'Mapa final SI'!$S$45),"")</f>
        <v/>
      </c>
      <c r="AB41" s="254" t="str">
        <f>IF(AND('Mapa final SI'!$AC$40="Baja",'Mapa final SI'!$AE$40="Mayor"),CONCATENATE("R6C",'Mapa final SI'!$S$40),"")</f>
        <v/>
      </c>
      <c r="AC41" s="255" t="str">
        <f>IF(AND('Mapa final SI'!$AC$41="Baja",'Mapa final SI'!$AE$41="Mayor"),CONCATENATE("R6C",'Mapa final SI'!$S$41),"")</f>
        <v/>
      </c>
      <c r="AD41" s="255" t="str">
        <f>IF(AND('Mapa final SI'!$AC$42="Baja",'Mapa final SI'!$AE$42="Mayor"),CONCATENATE("R6C",'Mapa final SI'!$S$42),"")</f>
        <v/>
      </c>
      <c r="AE41" s="255" t="str">
        <f>IF(AND('Mapa final SI'!$AC$43="Baja",'Mapa final SI'!$AE$43="Mayor"),CONCATENATE("R6C",'Mapa final SI'!$S$43),"")</f>
        <v/>
      </c>
      <c r="AF41" s="255" t="str">
        <f>IF(AND('Mapa final SI'!$AC$44="Baja",'Mapa final SI'!$AE$44="Mayor"),CONCATENATE("R6C",'Mapa final SI'!$S$44),"")</f>
        <v/>
      </c>
      <c r="AG41" s="256" t="str">
        <f>IF(AND('Mapa final SI'!$AC$45="Baja",'Mapa final SI'!$AE$45="Mayor"),CONCATENATE("R6C",'Mapa final SI'!$S$45),"")</f>
        <v/>
      </c>
      <c r="AH41" s="257" t="str">
        <f>IF(AND('Mapa final SI'!$AC$40="Baja",'Mapa final SI'!$AE$40="Catastrófico"),CONCATENATE("R6C",'Mapa final SI'!$S$40),"")</f>
        <v/>
      </c>
      <c r="AI41" s="258" t="str">
        <f>IF(AND('Mapa final SI'!$AC$41="Baja",'Mapa final SI'!$AE$41="Catastrófico"),CONCATENATE("R6C",'Mapa final SI'!$S$41),"")</f>
        <v/>
      </c>
      <c r="AJ41" s="258" t="str">
        <f>IF(AND('Mapa final SI'!$AC$42="Baja",'Mapa final SI'!$AE$42="Catastrófico"),CONCATENATE("R6C",'Mapa final SI'!$S$42),"")</f>
        <v/>
      </c>
      <c r="AK41" s="258" t="str">
        <f>IF(AND('Mapa final SI'!$AC$43="Baja",'Mapa final SI'!$AE$43="Catastrófico"),CONCATENATE("R6C",'Mapa final SI'!$S$43),"")</f>
        <v/>
      </c>
      <c r="AL41" s="258" t="str">
        <f>IF(AND('Mapa final SI'!$AC$44="Baja",'Mapa final SI'!$AE$44="Catastrófico"),CONCATENATE("R6C",'Mapa final SI'!$S$44),"")</f>
        <v/>
      </c>
      <c r="AM41" s="259" t="str">
        <f>IF(AND('Mapa final SI'!$AC$45="Baja",'Mapa final SI'!$AE$45="Catastrófico"),CONCATENATE("R6C",'Mapa final SI'!$S$45),"")</f>
        <v/>
      </c>
      <c r="AN41" s="15"/>
      <c r="AO41" s="842"/>
      <c r="AP41" s="843"/>
      <c r="AQ41" s="843"/>
      <c r="AR41" s="843"/>
      <c r="AS41" s="843"/>
      <c r="AT41" s="8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6"/>
      <c r="C42" s="716"/>
      <c r="D42" s="717"/>
      <c r="E42" s="805"/>
      <c r="F42" s="806"/>
      <c r="G42" s="806"/>
      <c r="H42" s="806"/>
      <c r="I42" s="806"/>
      <c r="J42" s="278" t="str">
        <f>IF(AND('Mapa final SI'!$AC$46="Baja",'Mapa final SI'!$AE$46="Leve"),CONCATENATE("R7C",'Mapa final SI'!$S$46),"")</f>
        <v/>
      </c>
      <c r="K42" s="279" t="str">
        <f>IF(AND('Mapa final SI'!$AC$47="Baja",'Mapa final SI'!$AE$47="Leve"),CONCATENATE("R7C",'Mapa final SI'!$S$47),"")</f>
        <v/>
      </c>
      <c r="L42" s="279" t="str">
        <f>IF(AND('Mapa final SI'!$AC$48="Baja",'Mapa final SI'!$AE$48="Leve"),CONCATENATE("R7C",'Mapa final SI'!$S$48),"")</f>
        <v/>
      </c>
      <c r="M42" s="279" t="str">
        <f>IF(AND('Mapa final SI'!$AC$49="Baja",'Mapa final SI'!$AE$49="Leve"),CONCATENATE("R7C",'Mapa final SI'!$S$49),"")</f>
        <v/>
      </c>
      <c r="N42" s="279" t="str">
        <f>IF(AND('Mapa final SI'!$AC$50="Baja",'Mapa final SI'!$AE$50="Leve"),CONCATENATE("R7C",'Mapa final SI'!$S$50),"")</f>
        <v/>
      </c>
      <c r="O42" s="280" t="str">
        <f>IF(AND('Mapa final SI'!$AC$51="Baja",'Mapa final SI'!$AE$51="Leve"),CONCATENATE("R7C",'Mapa final SI'!$S$51),"")</f>
        <v/>
      </c>
      <c r="P42" s="269" t="str">
        <f>IF(AND('Mapa final SI'!$AC$46="Baja",'Mapa final SI'!$AE$46="Menor"),CONCATENATE("R7C",'Mapa final SI'!$S$46),"")</f>
        <v/>
      </c>
      <c r="Q42" s="270" t="str">
        <f>IF(AND('Mapa final SI'!$AC$47="Baja",'Mapa final SI'!$AE$47="Menor"),CONCATENATE("R7C",'Mapa final SI'!$S$47),"")</f>
        <v/>
      </c>
      <c r="R42" s="270" t="str">
        <f>IF(AND('Mapa final SI'!$AC$48="Baja",'Mapa final SI'!$AE$48="Menor"),CONCATENATE("R7C",'Mapa final SI'!$S$48),"")</f>
        <v/>
      </c>
      <c r="S42" s="270" t="str">
        <f>IF(AND('Mapa final SI'!$AC$49="Baja",'Mapa final SI'!$AE$49="Menor"),CONCATENATE("R7C",'Mapa final SI'!$S$49),"")</f>
        <v/>
      </c>
      <c r="T42" s="270" t="str">
        <f>IF(AND('Mapa final SI'!$AC$50="Baja",'Mapa final SI'!$AE$50="Menor"),CONCATENATE("R7C",'Mapa final SI'!$S$50),"")</f>
        <v/>
      </c>
      <c r="U42" s="271" t="str">
        <f>IF(AND('Mapa final SI'!$AC$51="Baja",'Mapa final SI'!$AE$51="Menor"),CONCATENATE("R7C",'Mapa final SI'!$S$51),"")</f>
        <v/>
      </c>
      <c r="V42" s="269" t="str">
        <f>IF(AND('Mapa final SI'!$AC$46="Baja",'Mapa final SI'!$AE$46="Moderado"),CONCATENATE("R7C",'Mapa final SI'!$S$46),"")</f>
        <v/>
      </c>
      <c r="W42" s="270" t="str">
        <f>IF(AND('Mapa final SI'!$AC$47="Baja",'Mapa final SI'!$AE$47="Moderado"),CONCATENATE("R7C",'Mapa final SI'!$S$47),"")</f>
        <v/>
      </c>
      <c r="X42" s="270" t="str">
        <f>IF(AND('Mapa final SI'!$AC$48="Baja",'Mapa final SI'!$AE$48="Moderado"),CONCATENATE("R7C",'Mapa final SI'!$S$48),"")</f>
        <v/>
      </c>
      <c r="Y42" s="270" t="str">
        <f>IF(AND('Mapa final SI'!$AC$49="Baja",'Mapa final SI'!$AE$49="Moderado"),CONCATENATE("R7C",'Mapa final SI'!$S$49),"")</f>
        <v/>
      </c>
      <c r="Z42" s="270" t="str">
        <f>IF(AND('Mapa final SI'!$AC$50="Baja",'Mapa final SI'!$AE$50="Moderado"),CONCATENATE("R7C",'Mapa final SI'!$S$50),"")</f>
        <v/>
      </c>
      <c r="AA42" s="271" t="str">
        <f>IF(AND('Mapa final SI'!$AC$51="Baja",'Mapa final SI'!$AE$51="Moderado"),CONCATENATE("R7C",'Mapa final SI'!$S$51),"")</f>
        <v/>
      </c>
      <c r="AB42" s="254" t="str">
        <f>IF(AND('Mapa final SI'!$AC$46="Baja",'Mapa final SI'!$AE$46="Mayor"),CONCATENATE("R7C",'Mapa final SI'!$S$46),"")</f>
        <v/>
      </c>
      <c r="AC42" s="255" t="str">
        <f>IF(AND('Mapa final SI'!$AC$47="Baja",'Mapa final SI'!$AE$47="Mayor"),CONCATENATE("R7C",'Mapa final SI'!$S$47),"")</f>
        <v/>
      </c>
      <c r="AD42" s="255" t="str">
        <f>IF(AND('Mapa final SI'!$AC$48="Baja",'Mapa final SI'!$AE$48="Mayor"),CONCATENATE("R7C",'Mapa final SI'!$S$48),"")</f>
        <v/>
      </c>
      <c r="AE42" s="255" t="str">
        <f>IF(AND('Mapa final SI'!$AC$49="Baja",'Mapa final SI'!$AE$49="Mayor"),CONCATENATE("R7C",'Mapa final SI'!$S$49),"")</f>
        <v/>
      </c>
      <c r="AF42" s="255" t="str">
        <f>IF(AND('Mapa final SI'!$AC$50="Baja",'Mapa final SI'!$AE$50="Mayor"),CONCATENATE("R7C",'Mapa final SI'!$S$50),"")</f>
        <v/>
      </c>
      <c r="AG42" s="256" t="str">
        <f>IF(AND('Mapa final SI'!$AC$51="Baja",'Mapa final SI'!$AE$51="Mayor"),CONCATENATE("R7C",'Mapa final SI'!$S$51),"")</f>
        <v/>
      </c>
      <c r="AH42" s="257" t="str">
        <f>IF(AND('Mapa final SI'!$AC$46="Baja",'Mapa final SI'!$AE$46="Catastrófico"),CONCATENATE("R7C",'Mapa final SI'!$S$46),"")</f>
        <v/>
      </c>
      <c r="AI42" s="258" t="str">
        <f>IF(AND('Mapa final SI'!$AC$47="Baja",'Mapa final SI'!$AE$47="Catastrófico"),CONCATENATE("R7C",'Mapa final SI'!$S$47),"")</f>
        <v/>
      </c>
      <c r="AJ42" s="258" t="str">
        <f>IF(AND('Mapa final SI'!$AC$48="Baja",'Mapa final SI'!$AE$48="Catastrófico"),CONCATENATE("R7C",'Mapa final SI'!$S$48),"")</f>
        <v/>
      </c>
      <c r="AK42" s="258" t="str">
        <f>IF(AND('Mapa final SI'!$AC$49="Baja",'Mapa final SI'!$AE$49="Catastrófico"),CONCATENATE("R7C",'Mapa final SI'!$S$49),"")</f>
        <v/>
      </c>
      <c r="AL42" s="258" t="str">
        <f>IF(AND('Mapa final SI'!$AC$50="Baja",'Mapa final SI'!$AE$50="Catastrófico"),CONCATENATE("R7C",'Mapa final SI'!$S$50),"")</f>
        <v/>
      </c>
      <c r="AM42" s="259" t="str">
        <f>IF(AND('Mapa final SI'!$AC$51="Baja",'Mapa final SI'!$AE$51="Catastrófico"),CONCATENATE("R7C",'Mapa final SI'!$S$51),"")</f>
        <v/>
      </c>
      <c r="AN42" s="15"/>
      <c r="AO42" s="842"/>
      <c r="AP42" s="843"/>
      <c r="AQ42" s="843"/>
      <c r="AR42" s="843"/>
      <c r="AS42" s="843"/>
      <c r="AT42" s="8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6"/>
      <c r="C43" s="716"/>
      <c r="D43" s="717"/>
      <c r="E43" s="805"/>
      <c r="F43" s="806"/>
      <c r="G43" s="806"/>
      <c r="H43" s="806"/>
      <c r="I43" s="806"/>
      <c r="J43" s="278" t="str">
        <f>IF(AND('Mapa final SI'!$AC$52="Baja",'Mapa final SI'!$AE$52="Leve"),CONCATENATE("R8C",'Mapa final SI'!$S$52),"")</f>
        <v/>
      </c>
      <c r="K43" s="279" t="str">
        <f>IF(AND('Mapa final SI'!$AC$53="Baja",'Mapa final SI'!$AE$53="Leve"),CONCATENATE("R8C",'Mapa final SI'!$S$53),"")</f>
        <v/>
      </c>
      <c r="L43" s="279" t="str">
        <f>IF(AND('Mapa final SI'!$AC$54="Baja",'Mapa final SI'!$AE$54="Leve"),CONCATENATE("R8C",'Mapa final SI'!$S$54),"")</f>
        <v/>
      </c>
      <c r="M43" s="279" t="str">
        <f>IF(AND('Mapa final SI'!$AC$55="Baja",'Mapa final SI'!$AE$55="Leve"),CONCATENATE("R8C",'Mapa final SI'!$S$55),"")</f>
        <v/>
      </c>
      <c r="N43" s="279" t="str">
        <f>IF(AND('Mapa final SI'!$AC$56="Baja",'Mapa final SI'!$AE$56="Leve"),CONCATENATE("R8C",'Mapa final SI'!$S$56),"")</f>
        <v/>
      </c>
      <c r="O43" s="280" t="str">
        <f>IF(AND('Mapa final SI'!$AC$57="Baja",'Mapa final SI'!$AE$57="Leve"),CONCATENATE("R8C",'Mapa final SI'!$S$57),"")</f>
        <v/>
      </c>
      <c r="P43" s="269" t="str">
        <f>IF(AND('Mapa final SI'!$AC$52="Baja",'Mapa final SI'!$AE$52="Menor"),CONCATENATE("R8C",'Mapa final SI'!$S$52),"")</f>
        <v/>
      </c>
      <c r="Q43" s="270" t="str">
        <f>IF(AND('Mapa final SI'!$AC$53="Baja",'Mapa final SI'!$AE$53="Menor"),CONCATENATE("R8C",'Mapa final SI'!$S$53),"")</f>
        <v/>
      </c>
      <c r="R43" s="270" t="str">
        <f>IF(AND('Mapa final SI'!$AC$54="Baja",'Mapa final SI'!$AE$54="Menor"),CONCATENATE("R8C",'Mapa final SI'!$S$54),"")</f>
        <v/>
      </c>
      <c r="S43" s="270" t="str">
        <f>IF(AND('Mapa final SI'!$AC$55="Baja",'Mapa final SI'!$AE$55="Menor"),CONCATENATE("R8C",'Mapa final SI'!$S$55),"")</f>
        <v/>
      </c>
      <c r="T43" s="270" t="str">
        <f>IF(AND('Mapa final SI'!$AC$56="Baja",'Mapa final SI'!$AE$56="Menor"),CONCATENATE("R8C",'Mapa final SI'!$S$56),"")</f>
        <v/>
      </c>
      <c r="U43" s="271" t="str">
        <f>IF(AND('Mapa final SI'!$AC$57="Baja",'Mapa final SI'!$AE$57="Menor"),CONCATENATE("R8C",'Mapa final SI'!$S$57),"")</f>
        <v/>
      </c>
      <c r="V43" s="269" t="str">
        <f>IF(AND('Mapa final SI'!$AC$52="Baja",'Mapa final SI'!$AE$52="Moderado"),CONCATENATE("R8C",'Mapa final SI'!$S$52),"")</f>
        <v/>
      </c>
      <c r="W43" s="270" t="str">
        <f>IF(AND('Mapa final SI'!$AC$53="Baja",'Mapa final SI'!$AE$53="Moderado"),CONCATENATE("R8C",'Mapa final SI'!$S$53),"")</f>
        <v/>
      </c>
      <c r="X43" s="270" t="str">
        <f>IF(AND('Mapa final SI'!$AC$54="Baja",'Mapa final SI'!$AE$54="Moderado"),CONCATENATE("R8C",'Mapa final SI'!$S$54),"")</f>
        <v/>
      </c>
      <c r="Y43" s="270" t="str">
        <f>IF(AND('Mapa final SI'!$AC$55="Baja",'Mapa final SI'!$AE$55="Moderado"),CONCATENATE("R8C",'Mapa final SI'!$S$55),"")</f>
        <v/>
      </c>
      <c r="Z43" s="270" t="str">
        <f>IF(AND('Mapa final SI'!$AC$56="Baja",'Mapa final SI'!$AE$56="Moderado"),CONCATENATE("R8C",'Mapa final SI'!$S$56),"")</f>
        <v/>
      </c>
      <c r="AA43" s="271" t="str">
        <f>IF(AND('Mapa final SI'!$AC$57="Baja",'Mapa final SI'!$AE$57="Moderado"),CONCATENATE("R8C",'Mapa final SI'!$S$57),"")</f>
        <v/>
      </c>
      <c r="AB43" s="254" t="str">
        <f>IF(AND('Mapa final SI'!$AC$52="Baja",'Mapa final SI'!$AE$52="Mayor"),CONCATENATE("R8C",'Mapa final SI'!$S$52),"")</f>
        <v/>
      </c>
      <c r="AC43" s="255" t="str">
        <f>IF(AND('Mapa final SI'!$AC$53="Baja",'Mapa final SI'!$AE$53="Mayor"),CONCATENATE("R8C",'Mapa final SI'!$S$53),"")</f>
        <v/>
      </c>
      <c r="AD43" s="255" t="str">
        <f>IF(AND('Mapa final SI'!$AC$54="Baja",'Mapa final SI'!$AE$54="Mayor"),CONCATENATE("R8C",'Mapa final SI'!$S$54),"")</f>
        <v/>
      </c>
      <c r="AE43" s="255" t="str">
        <f>IF(AND('Mapa final SI'!$AC$55="Baja",'Mapa final SI'!$AE$55="Mayor"),CONCATENATE("R8C",'Mapa final SI'!$S$55),"")</f>
        <v/>
      </c>
      <c r="AF43" s="255" t="str">
        <f>IF(AND('Mapa final SI'!$AC$56="Baja",'Mapa final SI'!$AE$56="Mayor"),CONCATENATE("R8C",'Mapa final SI'!$S$56),"")</f>
        <v/>
      </c>
      <c r="AG43" s="256" t="str">
        <f>IF(AND('Mapa final SI'!$AC$57="Baja",'Mapa final SI'!$AE$57="Mayor"),CONCATENATE("R8C",'Mapa final SI'!$S$57),"")</f>
        <v/>
      </c>
      <c r="AH43" s="257" t="str">
        <f>IF(AND('Mapa final SI'!$AC$52="Baja",'Mapa final SI'!$AE$52="Catastrófico"),CONCATENATE("R8C",'Mapa final SI'!$S$52),"")</f>
        <v/>
      </c>
      <c r="AI43" s="258" t="str">
        <f>IF(AND('Mapa final SI'!$AC$53="Baja",'Mapa final SI'!$AE$53="Catastrófico"),CONCATENATE("R8C",'Mapa final SI'!$S$53),"")</f>
        <v/>
      </c>
      <c r="AJ43" s="258" t="str">
        <f>IF(AND('Mapa final SI'!$AC$54="Baja",'Mapa final SI'!$AE$54="Catastrófico"),CONCATENATE("R8C",'Mapa final SI'!$S$54),"")</f>
        <v/>
      </c>
      <c r="AK43" s="258" t="str">
        <f>IF(AND('Mapa final SI'!$AC$55="Baja",'Mapa final SI'!$AE$55="Catastrófico"),CONCATENATE("R8C",'Mapa final SI'!$S$55),"")</f>
        <v/>
      </c>
      <c r="AL43" s="258" t="str">
        <f>IF(AND('Mapa final SI'!$AC$56="Baja",'Mapa final SI'!$AE$56="Catastrófico"),CONCATENATE("R8C",'Mapa final SI'!$S$56),"")</f>
        <v/>
      </c>
      <c r="AM43" s="259" t="str">
        <f>IF(AND('Mapa final SI'!$AC$57="Baja",'Mapa final SI'!$AE$57="Catastrófico"),CONCATENATE("R8C",'Mapa final SI'!$S$57),"")</f>
        <v/>
      </c>
      <c r="AN43" s="15"/>
      <c r="AO43" s="842"/>
      <c r="AP43" s="843"/>
      <c r="AQ43" s="843"/>
      <c r="AR43" s="843"/>
      <c r="AS43" s="843"/>
      <c r="AT43" s="8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6"/>
      <c r="C44" s="716"/>
      <c r="D44" s="717"/>
      <c r="E44" s="805"/>
      <c r="F44" s="806"/>
      <c r="G44" s="806"/>
      <c r="H44" s="806"/>
      <c r="I44" s="806"/>
      <c r="J44" s="278" t="str">
        <f>IF(AND('Mapa final SI'!$AC$58="Baja",'Mapa final SI'!$AE$58="Leve"),CONCATENATE("R9C",'Mapa final SI'!$S$58),"")</f>
        <v/>
      </c>
      <c r="K44" s="279" t="str">
        <f>IF(AND('Mapa final SI'!$AC$59="Baja",'Mapa final SI'!$AE$59="Leve"),CONCATENATE("R9C",'Mapa final SI'!$S$59),"")</f>
        <v/>
      </c>
      <c r="L44" s="279" t="str">
        <f>IF(AND('Mapa final SI'!$AC$60="Baja",'Mapa final SI'!$AE$60="Leve"),CONCATENATE("R9C",'Mapa final SI'!$S$60),"")</f>
        <v/>
      </c>
      <c r="M44" s="279" t="str">
        <f>IF(AND('Mapa final SI'!$AC$61="Baja",'Mapa final SI'!$AE$61="Leve"),CONCATENATE("R9C",'Mapa final SI'!$S$61),"")</f>
        <v/>
      </c>
      <c r="N44" s="279" t="str">
        <f>IF(AND('Mapa final SI'!$AC$62="Baja",'Mapa final SI'!$AE$62="Leve"),CONCATENATE("R9C",'Mapa final SI'!$S$62),"")</f>
        <v/>
      </c>
      <c r="O44" s="280" t="str">
        <f>IF(AND('Mapa final SI'!$AC$63="Baja",'Mapa final SI'!$AE$63="Leve"),CONCATENATE("R9C",'Mapa final SI'!$S$63),"")</f>
        <v/>
      </c>
      <c r="P44" s="269" t="str">
        <f>IF(AND('Mapa final SI'!$AC$58="Baja",'Mapa final SI'!$AE$58="Menor"),CONCATENATE("R9C",'Mapa final SI'!$S$58),"")</f>
        <v/>
      </c>
      <c r="Q44" s="270" t="str">
        <f>IF(AND('Mapa final SI'!$AC$59="Baja",'Mapa final SI'!$AE$59="Menor"),CONCATENATE("R9C",'Mapa final SI'!$S$59),"")</f>
        <v/>
      </c>
      <c r="R44" s="270" t="str">
        <f>IF(AND('Mapa final SI'!$AC$60="Baja",'Mapa final SI'!$AE$60="Menor"),CONCATENATE("R9C",'Mapa final SI'!$S$60),"")</f>
        <v/>
      </c>
      <c r="S44" s="270" t="str">
        <f>IF(AND('Mapa final SI'!$AC$61="Baja",'Mapa final SI'!$AE$61="Menor"),CONCATENATE("R9C",'Mapa final SI'!$S$61),"")</f>
        <v/>
      </c>
      <c r="T44" s="270" t="str">
        <f>IF(AND('Mapa final SI'!$AC$62="Baja",'Mapa final SI'!$AE$62="Menor"),CONCATENATE("R9C",'Mapa final SI'!$S$62),"")</f>
        <v/>
      </c>
      <c r="U44" s="271" t="str">
        <f>IF(AND('Mapa final SI'!$AC$63="Baja",'Mapa final SI'!$AE$63="Menor"),CONCATENATE("R9C",'Mapa final SI'!$S$63),"")</f>
        <v/>
      </c>
      <c r="V44" s="269" t="str">
        <f>IF(AND('Mapa final SI'!$AC$58="Baja",'Mapa final SI'!$AE$58="Moderado"),CONCATENATE("R9C",'Mapa final SI'!$S$58),"")</f>
        <v/>
      </c>
      <c r="W44" s="270" t="str">
        <f>IF(AND('Mapa final SI'!$AC$59="Baja",'Mapa final SI'!$AE$59="Moderado"),CONCATENATE("R9C",'Mapa final SI'!$S$59),"")</f>
        <v/>
      </c>
      <c r="X44" s="270" t="str">
        <f>IF(AND('Mapa final SI'!$AC$60="Baja",'Mapa final SI'!$AE$60="Moderado"),CONCATENATE("R9C",'Mapa final SI'!$S$60),"")</f>
        <v/>
      </c>
      <c r="Y44" s="270" t="str">
        <f>IF(AND('Mapa final SI'!$AC$61="Baja",'Mapa final SI'!$AE$61="Moderado"),CONCATENATE("R9C",'Mapa final SI'!$S$61),"")</f>
        <v/>
      </c>
      <c r="Z44" s="270" t="str">
        <f>IF(AND('Mapa final SI'!$AC$62="Baja",'Mapa final SI'!$AE$62="Moderado"),CONCATENATE("R9C",'Mapa final SI'!$S$62),"")</f>
        <v/>
      </c>
      <c r="AA44" s="271" t="str">
        <f>IF(AND('Mapa final SI'!$AC$63="Baja",'Mapa final SI'!$AE$63="Moderado"),CONCATENATE("R9C",'Mapa final SI'!$S$63),"")</f>
        <v/>
      </c>
      <c r="AB44" s="254" t="str">
        <f>IF(AND('Mapa final SI'!$AC$58="Baja",'Mapa final SI'!$AE$58="Mayor"),CONCATENATE("R9C",'Mapa final SI'!$S$58),"")</f>
        <v/>
      </c>
      <c r="AC44" s="255" t="str">
        <f>IF(AND('Mapa final SI'!$AC$59="Baja",'Mapa final SI'!$AE$59="Mayor"),CONCATENATE("R9C",'Mapa final SI'!$S$59),"")</f>
        <v/>
      </c>
      <c r="AD44" s="255" t="str">
        <f>IF(AND('Mapa final SI'!$AC$60="Baja",'Mapa final SI'!$AE$60="Mayor"),CONCATENATE("R9C",'Mapa final SI'!$S$60),"")</f>
        <v/>
      </c>
      <c r="AE44" s="255" t="str">
        <f>IF(AND('Mapa final SI'!$AC$61="Baja",'Mapa final SI'!$AE$61="Mayor"),CONCATENATE("R9C",'Mapa final SI'!$S$61),"")</f>
        <v/>
      </c>
      <c r="AF44" s="255" t="str">
        <f>IF(AND('Mapa final SI'!$AC$62="Baja",'Mapa final SI'!$AE$62="Mayor"),CONCATENATE("R9C",'Mapa final SI'!$S$62),"")</f>
        <v/>
      </c>
      <c r="AG44" s="256" t="str">
        <f>IF(AND('Mapa final SI'!$AC$63="Baja",'Mapa final SI'!$AE$63="Mayor"),CONCATENATE("R9C",'Mapa final SI'!$S$63),"")</f>
        <v/>
      </c>
      <c r="AH44" s="257" t="str">
        <f>IF(AND('Mapa final SI'!$AC$58="Baja",'Mapa final SI'!$AE$58="Catastrófico"),CONCATENATE("R9C",'Mapa final SI'!$S$58),"")</f>
        <v/>
      </c>
      <c r="AI44" s="258" t="str">
        <f>IF(AND('Mapa final SI'!$AC$59="Baja",'Mapa final SI'!$AE$59="Catastrófico"),CONCATENATE("R9C",'Mapa final SI'!$S$59),"")</f>
        <v/>
      </c>
      <c r="AJ44" s="258" t="str">
        <f>IF(AND('Mapa final SI'!$AC$60="Baja",'Mapa final SI'!$AE$60="Catastrófico"),CONCATENATE("R9C",'Mapa final SI'!$S$60),"")</f>
        <v/>
      </c>
      <c r="AK44" s="258" t="str">
        <f>IF(AND('Mapa final SI'!$AC$61="Baja",'Mapa final SI'!$AE$61="Catastrófico"),CONCATENATE("R9C",'Mapa final SI'!$S$61),"")</f>
        <v/>
      </c>
      <c r="AL44" s="258" t="str">
        <f>IF(AND('Mapa final SI'!$AC$62="Baja",'Mapa final SI'!$AE$62="Catastrófico"),CONCATENATE("R9C",'Mapa final SI'!$S$62),"")</f>
        <v/>
      </c>
      <c r="AM44" s="259" t="str">
        <f>IF(AND('Mapa final SI'!$AC$63="Baja",'Mapa final SI'!$AE$63="Catastrófico"),CONCATENATE("R9C",'Mapa final SI'!$S$63),"")</f>
        <v/>
      </c>
      <c r="AN44" s="15"/>
      <c r="AO44" s="842"/>
      <c r="AP44" s="843"/>
      <c r="AQ44" s="843"/>
      <c r="AR44" s="843"/>
      <c r="AS44" s="843"/>
      <c r="AT44" s="8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6"/>
      <c r="C45" s="716"/>
      <c r="D45" s="717"/>
      <c r="E45" s="808"/>
      <c r="F45" s="809"/>
      <c r="G45" s="809"/>
      <c r="H45" s="809"/>
      <c r="I45" s="809"/>
      <c r="J45" s="281" t="str">
        <f>IF(AND('Mapa final SI'!$AC$64="Baja",'Mapa final SI'!$AE$64="Leve"),CONCATENATE("R10C",'Mapa final SI'!$S$64),"")</f>
        <v/>
      </c>
      <c r="K45" s="282" t="str">
        <f>IF(AND('Mapa final SI'!$AC$65="Baja",'Mapa final SI'!$AE$65="Leve"),CONCATENATE("R10C",'Mapa final SI'!$S$65),"")</f>
        <v/>
      </c>
      <c r="L45" s="282" t="str">
        <f>IF(AND('Mapa final SI'!$AC$66="Baja",'Mapa final SI'!$AE$66="Leve"),CONCATENATE("R10C",'Mapa final SI'!$S$66),"")</f>
        <v/>
      </c>
      <c r="M45" s="282" t="str">
        <f>IF(AND('Mapa final SI'!$AC$67="Baja",'Mapa final SI'!$AE$67="Leve"),CONCATENATE("R10C",'Mapa final SI'!$S$67),"")</f>
        <v/>
      </c>
      <c r="N45" s="282" t="str">
        <f>IF(AND('Mapa final SI'!$AC$68="Baja",'Mapa final SI'!$AE$68="Leve"),CONCATENATE("R10C",'Mapa final SI'!$S$68),"")</f>
        <v/>
      </c>
      <c r="O45" s="283" t="str">
        <f>IF(AND('Mapa final SI'!$AC$69="Baja",'Mapa final SI'!$AE$69="Leve"),CONCATENATE("R10C",'Mapa final SI'!$S$69),"")</f>
        <v/>
      </c>
      <c r="P45" s="269" t="str">
        <f>IF(AND('Mapa final SI'!$AC$64="Baja",'Mapa final SI'!$AE$64="Menor"),CONCATENATE("R10C",'Mapa final SI'!$S$64),"")</f>
        <v/>
      </c>
      <c r="Q45" s="270" t="str">
        <f>IF(AND('Mapa final SI'!$AC$65="Baja",'Mapa final SI'!$AE$65="Menor"),CONCATENATE("R10C",'Mapa final SI'!$S$65),"")</f>
        <v/>
      </c>
      <c r="R45" s="270" t="str">
        <f>IF(AND('Mapa final SI'!$AC$66="Baja",'Mapa final SI'!$AE$66="Menor"),CONCATENATE("R10C",'Mapa final SI'!$S$66),"")</f>
        <v/>
      </c>
      <c r="S45" s="270" t="str">
        <f>IF(AND('Mapa final SI'!$AC$67="Baja",'Mapa final SI'!$AE$67="Menor"),CONCATENATE("R10C",'Mapa final SI'!$S$67),"")</f>
        <v/>
      </c>
      <c r="T45" s="270" t="str">
        <f>IF(AND('Mapa final SI'!$AC$68="Baja",'Mapa final SI'!$AE$68="Menor"),CONCATENATE("R10C",'Mapa final SI'!$S$68),"")</f>
        <v/>
      </c>
      <c r="U45" s="271" t="str">
        <f>IF(AND('Mapa final SI'!$AC$69="Baja",'Mapa final SI'!$AE$69="Menor"),CONCATENATE("R10C",'Mapa final SI'!$S$69),"")</f>
        <v/>
      </c>
      <c r="V45" s="272" t="str">
        <f>IF(AND('Mapa final SI'!$AC$64="Baja",'Mapa final SI'!$AE$64="Moderado"),CONCATENATE("R10C",'Mapa final SI'!$S$64),"")</f>
        <v/>
      </c>
      <c r="W45" s="273" t="str">
        <f>IF(AND('Mapa final SI'!$AC$65="Baja",'Mapa final SI'!$AE$65="Moderado"),CONCATENATE("R10C",'Mapa final SI'!$S$65),"")</f>
        <v/>
      </c>
      <c r="X45" s="273" t="str">
        <f>IF(AND('Mapa final SI'!$AC$66="Baja",'Mapa final SI'!$AE$66="Moderado"),CONCATENATE("R10C",'Mapa final SI'!$S$66),"")</f>
        <v/>
      </c>
      <c r="Y45" s="273" t="str">
        <f>IF(AND('Mapa final SI'!$AC$67="Baja",'Mapa final SI'!$AE$67="Moderado"),CONCATENATE("R10C",'Mapa final SI'!$S$67),"")</f>
        <v/>
      </c>
      <c r="Z45" s="273" t="str">
        <f>IF(AND('Mapa final SI'!$AC$68="Baja",'Mapa final SI'!$AE$68="Moderado"),CONCATENATE("R10C",'Mapa final SI'!$S$68),"")</f>
        <v/>
      </c>
      <c r="AA45" s="274" t="str">
        <f>IF(AND('Mapa final SI'!$AC$69="Baja",'Mapa final SI'!$AE$69="Moderado"),CONCATENATE("R10C",'Mapa final SI'!$S$69),"")</f>
        <v/>
      </c>
      <c r="AB45" s="260" t="str">
        <f>IF(AND('Mapa final SI'!$AC$64="Baja",'Mapa final SI'!$AE$64="Mayor"),CONCATENATE("R10C",'Mapa final SI'!$S$64),"")</f>
        <v/>
      </c>
      <c r="AC45" s="261" t="str">
        <f>IF(AND('Mapa final SI'!$AC$65="Baja",'Mapa final SI'!$AE$65="Mayor"),CONCATENATE("R10C",'Mapa final SI'!$S$65),"")</f>
        <v/>
      </c>
      <c r="AD45" s="261" t="str">
        <f>IF(AND('Mapa final SI'!$AC$66="Baja",'Mapa final SI'!$AE$66="Mayor"),CONCATENATE("R10C",'Mapa final SI'!$S$66),"")</f>
        <v/>
      </c>
      <c r="AE45" s="261" t="str">
        <f>IF(AND('Mapa final SI'!$AC$67="Baja",'Mapa final SI'!$AE$67="Mayor"),CONCATENATE("R10C",'Mapa final SI'!$S$67),"")</f>
        <v/>
      </c>
      <c r="AF45" s="261" t="str">
        <f>IF(AND('Mapa final SI'!$AC$68="Baja",'Mapa final SI'!$AE$68="Mayor"),CONCATENATE("R10C",'Mapa final SI'!$S$68),"")</f>
        <v/>
      </c>
      <c r="AG45" s="262" t="str">
        <f>IF(AND('Mapa final SI'!$AC$69="Baja",'Mapa final SI'!$AE$69="Mayor"),CONCATENATE("R10C",'Mapa final SI'!$S$69),"")</f>
        <v/>
      </c>
      <c r="AH45" s="263" t="str">
        <f>IF(AND('Mapa final SI'!$AC$64="Baja",'Mapa final SI'!$AE$64="Catastrófico"),CONCATENATE("R10C",'Mapa final SI'!$S$64),"")</f>
        <v/>
      </c>
      <c r="AI45" s="264" t="str">
        <f>IF(AND('Mapa final SI'!$AC$65="Baja",'Mapa final SI'!$AE$65="Catastrófico"),CONCATENATE("R10C",'Mapa final SI'!$S$65),"")</f>
        <v/>
      </c>
      <c r="AJ45" s="264" t="str">
        <f>IF(AND('Mapa final SI'!$AC$66="Baja",'Mapa final SI'!$AE$66="Catastrófico"),CONCATENATE("R10C",'Mapa final SI'!$S$66),"")</f>
        <v/>
      </c>
      <c r="AK45" s="264" t="str">
        <f>IF(AND('Mapa final SI'!$AC$67="Baja",'Mapa final SI'!$AE$67="Catastrófico"),CONCATENATE("R10C",'Mapa final SI'!$S$67),"")</f>
        <v/>
      </c>
      <c r="AL45" s="264" t="str">
        <f>IF(AND('Mapa final SI'!$AC$68="Baja",'Mapa final SI'!$AE$68="Catastrófico"),CONCATENATE("R10C",'Mapa final SI'!$S$68),"")</f>
        <v/>
      </c>
      <c r="AM45" s="265" t="str">
        <f>IF(AND('Mapa final SI'!$AC$69="Baja",'Mapa final SI'!$AE$69="Catastrófico"),CONCATENATE("R10C",'Mapa final SI'!$S$69),"")</f>
        <v/>
      </c>
      <c r="AN45" s="15"/>
      <c r="AO45" s="845"/>
      <c r="AP45" s="846"/>
      <c r="AQ45" s="846"/>
      <c r="AR45" s="846"/>
      <c r="AS45" s="846"/>
      <c r="AT45" s="847"/>
    </row>
    <row r="46" spans="1:80" ht="46.5" customHeight="1" x14ac:dyDescent="0.35">
      <c r="A46" s="15"/>
      <c r="B46" s="716"/>
      <c r="C46" s="716"/>
      <c r="D46" s="717"/>
      <c r="E46" s="802" t="s">
        <v>197</v>
      </c>
      <c r="F46" s="803"/>
      <c r="G46" s="803"/>
      <c r="H46" s="803"/>
      <c r="I46" s="804"/>
      <c r="J46" s="275" t="str">
        <f>IF(AND('Mapa final SI'!$AC$10="Muy Baja",'Mapa final SI'!$AE$10="Leve"),CONCATENATE("R1C",'Mapa final SI'!$S$10),"")</f>
        <v/>
      </c>
      <c r="K46" s="276" t="str">
        <f>IF(AND('Mapa final SI'!$AC$11="Muy Baja",'Mapa final SI'!$AE$11="Leve"),CONCATENATE("R1C",'Mapa final SI'!$S$11),"")</f>
        <v>R1C2</v>
      </c>
      <c r="L46" s="276" t="str">
        <f>IF(AND('Mapa final SI'!$AC$12="Muy Baja",'Mapa final SI'!$AE$12="Leve"),CONCATENATE("R1C",'Mapa final SI'!$S$12),"")</f>
        <v>R1C3</v>
      </c>
      <c r="M46" s="276" t="str">
        <f>IF(AND('Mapa final SI'!$AC$13="Muy Baja",'Mapa final SI'!$AE$13="Leve"),CONCATENATE("R1C",'Mapa final SI'!$S$13),"")</f>
        <v>R1C4</v>
      </c>
      <c r="N46" s="276" t="str">
        <f>IF(AND('Mapa final SI'!$AC$14="Muy Baja",'Mapa final SI'!$AE$14="Leve"),CONCATENATE("R1C",'Mapa final SI'!$S$14),"")</f>
        <v>R1C5</v>
      </c>
      <c r="O46" s="277" t="str">
        <f>IF(AND('Mapa final SI'!$AC$15="Muy Baja",'Mapa final SI'!$AE$15="Leve"),CONCATENATE("R1C",'Mapa final SI'!$S$15),"")</f>
        <v/>
      </c>
      <c r="P46" s="275" t="str">
        <f>IF(AND('Mapa final SI'!$AC$10="Muy Baja",'Mapa final SI'!$AE$10="Menor"),CONCATENATE("R1C",'Mapa final SI'!$S$10),"")</f>
        <v/>
      </c>
      <c r="Q46" s="276" t="str">
        <f>IF(AND('Mapa final SI'!$AC$11="Muy Baja",'Mapa final SI'!$AE$11="Menor"),CONCATENATE("R1C",'Mapa final SI'!$S$11),"")</f>
        <v/>
      </c>
      <c r="R46" s="276" t="str">
        <f>IF(AND('Mapa final SI'!$AC$12="Muy Baja",'Mapa final SI'!$AE$12="Menor"),CONCATENATE("R1C",'Mapa final SI'!$S$12),"")</f>
        <v/>
      </c>
      <c r="S46" s="276" t="str">
        <f>IF(AND('Mapa final SI'!$AC$13="Muy Baja",'Mapa final SI'!$AE$13="Menor"),CONCATENATE("R1C",'Mapa final SI'!$S$13),"")</f>
        <v/>
      </c>
      <c r="T46" s="276" t="str">
        <f>IF(AND('Mapa final SI'!$AC$14="Muy Baja",'Mapa final SI'!$AE$14="Menor"),CONCATENATE("R1C",'Mapa final SI'!$S$14),"")</f>
        <v/>
      </c>
      <c r="U46" s="277" t="str">
        <f>IF(AND('Mapa final SI'!$AC$15="Muy Baja",'Mapa final SI'!$AE$15="Menor"),CONCATENATE("R1C",'Mapa final SI'!$S$15),"")</f>
        <v/>
      </c>
      <c r="V46" s="266" t="str">
        <f>IF(AND('Mapa final SI'!$AC$10="Muy Baja",'Mapa final SI'!$AE$10="Moderado"),CONCATENATE("R1C",'Mapa final SI'!$S$10),"")</f>
        <v/>
      </c>
      <c r="W46" s="284" t="str">
        <f>IF(AND('Mapa final SI'!$AC$11="Muy Baja",'Mapa final SI'!$AE$11="Moderado"),CONCATENATE("R1C",'Mapa final SI'!$S$11),"")</f>
        <v/>
      </c>
      <c r="X46" s="267" t="str">
        <f>IF(AND('Mapa final SI'!$AC$12="Muy Baja",'Mapa final SI'!$AE$12="Moderado"),CONCATENATE("R1C",'Mapa final SI'!$S$12),"")</f>
        <v/>
      </c>
      <c r="Y46" s="267" t="str">
        <f>IF(AND('Mapa final SI'!$AC$13="Muy Baja",'Mapa final SI'!$AE$13="Moderado"),CONCATENATE("R1C",'Mapa final SI'!$S$13),"")</f>
        <v/>
      </c>
      <c r="Z46" s="267" t="str">
        <f>IF(AND('Mapa final SI'!$AC$14="Muy Baja",'Mapa final SI'!$AE$14="Moderado"),CONCATENATE("R1C",'Mapa final SI'!$S$14),"")</f>
        <v/>
      </c>
      <c r="AA46" s="268" t="str">
        <f>IF(AND('Mapa final SI'!$AC$15="Muy Baja",'Mapa final SI'!$AE$15="Moderado"),CONCATENATE("R1C",'Mapa final SI'!$S$15),"")</f>
        <v/>
      </c>
      <c r="AB46" s="248" t="str">
        <f>IF(AND('Mapa final SI'!$AC$10="Muy Baja",'Mapa final SI'!$AE$10="Mayor"),CONCATENATE("R1C",'Mapa final SI'!$S$10),"")</f>
        <v/>
      </c>
      <c r="AC46" s="249" t="str">
        <f>IF(AND('Mapa final SI'!$AC$11="Muy Baja",'Mapa final SI'!$AE$11="Mayor"),CONCATENATE("R1C",'Mapa final SI'!$S$11),"")</f>
        <v/>
      </c>
      <c r="AD46" s="249" t="str">
        <f>IF(AND('Mapa final SI'!$AC$12="Muy Baja",'Mapa final SI'!$AE$12="Mayor"),CONCATENATE("R1C",'Mapa final SI'!$S$12),"")</f>
        <v/>
      </c>
      <c r="AE46" s="249" t="str">
        <f>IF(AND('Mapa final SI'!$AC$13="Muy Baja",'Mapa final SI'!$AE$13="Mayor"),CONCATENATE("R1C",'Mapa final SI'!$S$13),"")</f>
        <v/>
      </c>
      <c r="AF46" s="249" t="str">
        <f>IF(AND('Mapa final SI'!$AC$14="Muy Baja",'Mapa final SI'!$AE$14="Mayor"),CONCATENATE("R1C",'Mapa final SI'!$S$14),"")</f>
        <v/>
      </c>
      <c r="AG46" s="250" t="str">
        <f>IF(AND('Mapa final SI'!$AC$15="Muy Baja",'Mapa final SI'!$AE$15="Mayor"),CONCATENATE("R1C",'Mapa final SI'!$S$15),"")</f>
        <v/>
      </c>
      <c r="AH46" s="251" t="str">
        <f>IF(AND('Mapa final SI'!$AC$10="Muy Baja",'Mapa final SI'!$AE$10="Catastrófico"),CONCATENATE("R1C",'Mapa final SI'!$S$10),"")</f>
        <v/>
      </c>
      <c r="AI46" s="252" t="str">
        <f>IF(AND('Mapa final SI'!$AC$11="Muy Baja",'Mapa final SI'!$AE$11="Catastrófico"),CONCATENATE("R1C",'Mapa final SI'!$S$11),"")</f>
        <v/>
      </c>
      <c r="AJ46" s="252" t="str">
        <f>IF(AND('Mapa final SI'!$AC$12="Muy Baja",'Mapa final SI'!$AE$12="Catastrófico"),CONCATENATE("R1C",'Mapa final SI'!$S$12),"")</f>
        <v/>
      </c>
      <c r="AK46" s="252" t="str">
        <f>IF(AND('Mapa final SI'!$AC$13="Muy Baja",'Mapa final SI'!$AE$13="Catastrófico"),CONCATENATE("R1C",'Mapa final SI'!$S$13),"")</f>
        <v/>
      </c>
      <c r="AL46" s="252" t="str">
        <f>IF(AND('Mapa final SI'!$AC$14="Muy Baja",'Mapa final SI'!$AE$14="Catastrófico"),CONCATENATE("R1C",'Mapa final SI'!$S$14),"")</f>
        <v/>
      </c>
      <c r="AM46" s="253"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6"/>
      <c r="C47" s="716"/>
      <c r="D47" s="717"/>
      <c r="E47" s="820"/>
      <c r="F47" s="806"/>
      <c r="G47" s="806"/>
      <c r="H47" s="806"/>
      <c r="I47" s="807"/>
      <c r="J47" s="278" t="str">
        <f>IF(AND('Mapa final SI'!$AC$16="Muy Baja",'Mapa final SI'!$AE$16="Leve"),CONCATENATE("R2C",'Mapa final SI'!$S$16),"")</f>
        <v/>
      </c>
      <c r="K47" s="279" t="str">
        <f>IF(AND('Mapa final SI'!$AC$17="Muy Baja",'Mapa final SI'!$AE$17="Leve"),CONCATENATE("R2C",'Mapa final SI'!$S$17),"")</f>
        <v/>
      </c>
      <c r="L47" s="279" t="str">
        <f>IF(AND('Mapa final SI'!$AC$18="Muy Baja",'Mapa final SI'!$AE$18="Leve"),CONCATENATE("R2C",'Mapa final SI'!$S$18),"")</f>
        <v/>
      </c>
      <c r="M47" s="279" t="str">
        <f>IF(AND('Mapa final SI'!$AC$19="Muy Baja",'Mapa final SI'!$AE$19="Leve"),CONCATENATE("R2C",'Mapa final SI'!$S$19),"")</f>
        <v/>
      </c>
      <c r="N47" s="279" t="str">
        <f>IF(AND('Mapa final SI'!$AC$20="Muy Baja",'Mapa final SI'!$AE$20="Leve"),CONCATENATE("R2C",'Mapa final SI'!$S$20),"")</f>
        <v/>
      </c>
      <c r="O47" s="280" t="str">
        <f>IF(AND('Mapa final SI'!$AC$21="Muy Baja",'Mapa final SI'!$AE$21="Leve"),CONCATENATE("R2C",'Mapa final SI'!$S$21),"")</f>
        <v/>
      </c>
      <c r="P47" s="278" t="str">
        <f>IF(AND('Mapa final SI'!$AC$16="Muy Baja",'Mapa final SI'!$AE$16="Menor"),CONCATENATE("R2C",'Mapa final SI'!$S$16),"")</f>
        <v/>
      </c>
      <c r="Q47" s="279" t="str">
        <f>IF(AND('Mapa final SI'!$AC$17="Muy Baja",'Mapa final SI'!$AE$17="Menor"),CONCATENATE("R2C",'Mapa final SI'!$S$17),"")</f>
        <v/>
      </c>
      <c r="R47" s="279" t="str">
        <f>IF(AND('Mapa final SI'!$AC$18="Muy Baja",'Mapa final SI'!$AE$18="Menor"),CONCATENATE("R2C",'Mapa final SI'!$S$18),"")</f>
        <v/>
      </c>
      <c r="S47" s="279" t="str">
        <f>IF(AND('Mapa final SI'!$AC$19="Muy Baja",'Mapa final SI'!$AE$19="Menor"),CONCATENATE("R2C",'Mapa final SI'!$S$19),"")</f>
        <v/>
      </c>
      <c r="T47" s="279" t="str">
        <f>IF(AND('Mapa final SI'!$AC$20="Muy Baja",'Mapa final SI'!$AE$20="Menor"),CONCATENATE("R2C",'Mapa final SI'!$S$20),"")</f>
        <v/>
      </c>
      <c r="U47" s="280" t="str">
        <f>IF(AND('Mapa final SI'!$AC$21="Muy Baja",'Mapa final SI'!$AE$21="Menor"),CONCATENATE("R2C",'Mapa final SI'!$S$21),"")</f>
        <v/>
      </c>
      <c r="V47" s="269" t="str">
        <f>IF(AND('Mapa final SI'!$AC$16="Muy Baja",'Mapa final SI'!$AE$16="Moderado"),CONCATENATE("R2C",'Mapa final SI'!$S$16),"")</f>
        <v/>
      </c>
      <c r="W47" s="270" t="str">
        <f>IF(AND('Mapa final SI'!$AC$17="Muy Baja",'Mapa final SI'!$AE$17="Moderado"),CONCATENATE("R2C",'Mapa final SI'!$S$17),"")</f>
        <v/>
      </c>
      <c r="X47" s="270" t="str">
        <f>IF(AND('Mapa final SI'!$AC$18="Muy Baja",'Mapa final SI'!$AE$18="Moderado"),CONCATENATE("R2C",'Mapa final SI'!$S$18),"")</f>
        <v/>
      </c>
      <c r="Y47" s="270" t="str">
        <f>IF(AND('Mapa final SI'!$AC$19="Muy Baja",'Mapa final SI'!$AE$19="Moderado"),CONCATENATE("R2C",'Mapa final SI'!$S$19),"")</f>
        <v/>
      </c>
      <c r="Z47" s="270" t="str">
        <f>IF(AND('Mapa final SI'!$AC$20="Muy Baja",'Mapa final SI'!$AE$20="Moderado"),CONCATENATE("R2C",'Mapa final SI'!$S$20),"")</f>
        <v/>
      </c>
      <c r="AA47" s="271" t="str">
        <f>IF(AND('Mapa final SI'!$AC$21="Muy Baja",'Mapa final SI'!$AE$21="Moderado"),CONCATENATE("R2C",'Mapa final SI'!$S$21),"")</f>
        <v/>
      </c>
      <c r="AB47" s="254" t="str">
        <f>IF(AND('Mapa final SI'!$AC$16="Muy Baja",'Mapa final SI'!$AE$16="Mayor"),CONCATENATE("R2C",'Mapa final SI'!$S$16),"")</f>
        <v/>
      </c>
      <c r="AC47" s="255" t="str">
        <f>IF(AND('Mapa final SI'!$AC$17="Muy Baja",'Mapa final SI'!$AE$17="Mayor"),CONCATENATE("R2C",'Mapa final SI'!$S$17),"")</f>
        <v/>
      </c>
      <c r="AD47" s="255" t="str">
        <f>IF(AND('Mapa final SI'!$AC$18="Muy Baja",'Mapa final SI'!$AE$18="Mayor"),CONCATENATE("R2C",'Mapa final SI'!$S$18),"")</f>
        <v/>
      </c>
      <c r="AE47" s="255" t="str">
        <f>IF(AND('Mapa final SI'!$AC$19="Muy Baja",'Mapa final SI'!$AE$19="Mayor"),CONCATENATE("R2C",'Mapa final SI'!$S$19),"")</f>
        <v/>
      </c>
      <c r="AF47" s="255" t="str">
        <f>IF(AND('Mapa final SI'!$AC$20="Muy Baja",'Mapa final SI'!$AE$20="Mayor"),CONCATENATE("R2C",'Mapa final SI'!$S$20),"")</f>
        <v/>
      </c>
      <c r="AG47" s="256" t="str">
        <f>IF(AND('Mapa final SI'!$AC$21="Muy Baja",'Mapa final SI'!$AE$21="Mayor"),CONCATENATE("R2C",'Mapa final SI'!$S$21),"")</f>
        <v/>
      </c>
      <c r="AH47" s="257" t="str">
        <f>IF(AND('Mapa final SI'!$AC$16="Muy Baja",'Mapa final SI'!$AE$16="Catastrófico"),CONCATENATE("R2C",'Mapa final SI'!$S$16),"")</f>
        <v/>
      </c>
      <c r="AI47" s="258" t="str">
        <f>IF(AND('Mapa final SI'!$AC$17="Muy Baja",'Mapa final SI'!$AE$17="Catastrófico"),CONCATENATE("R2C",'Mapa final SI'!$S$17),"")</f>
        <v/>
      </c>
      <c r="AJ47" s="258" t="str">
        <f>IF(AND('Mapa final SI'!$AC$18="Muy Baja",'Mapa final SI'!$AE$18="Catastrófico"),CONCATENATE("R2C",'Mapa final SI'!$S$18),"")</f>
        <v/>
      </c>
      <c r="AK47" s="258" t="str">
        <f>IF(AND('Mapa final SI'!$AC$19="Muy Baja",'Mapa final SI'!$AE$19="Catastrófico"),CONCATENATE("R2C",'Mapa final SI'!$S$19),"")</f>
        <v/>
      </c>
      <c r="AL47" s="258" t="str">
        <f>IF(AND('Mapa final SI'!$AC$20="Muy Baja",'Mapa final SI'!$AE$20="Catastrófico"),CONCATENATE("R2C",'Mapa final SI'!$S$20),"")</f>
        <v/>
      </c>
      <c r="AM47" s="259"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6"/>
      <c r="C48" s="716"/>
      <c r="D48" s="717"/>
      <c r="E48" s="820"/>
      <c r="F48" s="806"/>
      <c r="G48" s="806"/>
      <c r="H48" s="806"/>
      <c r="I48" s="807"/>
      <c r="J48" s="278" t="str">
        <f>IF(AND('Mapa final SI'!$AC$22="Muy Baja",'Mapa final SI'!$AE$22="Leve"),CONCATENATE("R3C",'Mapa final SI'!$S$22),"")</f>
        <v/>
      </c>
      <c r="K48" s="279" t="str">
        <f>IF(AND('Mapa final SI'!$AC$23="Muy Baja",'Mapa final SI'!$AE$23="Leve"),CONCATENATE("R3C",'Mapa final SI'!$S$23),"")</f>
        <v/>
      </c>
      <c r="L48" s="279" t="str">
        <f>IF(AND('Mapa final SI'!$AC$24="Muy Baja",'Mapa final SI'!$AE$24="Leve"),CONCATENATE("R3C",'Mapa final SI'!$S$24),"")</f>
        <v/>
      </c>
      <c r="M48" s="279" t="str">
        <f>IF(AND('Mapa final SI'!$AC$25="Muy Baja",'Mapa final SI'!$AE$25="Leve"),CONCATENATE("R3C",'Mapa final SI'!$S$25),"")</f>
        <v/>
      </c>
      <c r="N48" s="279" t="str">
        <f>IF(AND('Mapa final SI'!$AC$26="Muy Baja",'Mapa final SI'!$AE$26="Leve"),CONCATENATE("R3C",'Mapa final SI'!$S$26),"")</f>
        <v/>
      </c>
      <c r="O48" s="280" t="str">
        <f>IF(AND('Mapa final SI'!$AC$27="Muy Baja",'Mapa final SI'!$AE$27="Leve"),CONCATENATE("R3C",'Mapa final SI'!$S$27),"")</f>
        <v/>
      </c>
      <c r="P48" s="278" t="str">
        <f>IF(AND('Mapa final SI'!$AC$22="Muy Baja",'Mapa final SI'!$AE$22="Menor"),CONCATENATE("R3C",'Mapa final SI'!$S$22),"")</f>
        <v/>
      </c>
      <c r="Q48" s="279" t="str">
        <f>IF(AND('Mapa final SI'!$AC$23="Muy Baja",'Mapa final SI'!$AE$23="Menor"),CONCATENATE("R3C",'Mapa final SI'!$S$23),"")</f>
        <v/>
      </c>
      <c r="R48" s="279" t="str">
        <f>IF(AND('Mapa final SI'!$AC$24="Muy Baja",'Mapa final SI'!$AE$24="Menor"),CONCATENATE("R3C",'Mapa final SI'!$S$24),"")</f>
        <v/>
      </c>
      <c r="S48" s="279" t="str">
        <f>IF(AND('Mapa final SI'!$AC$25="Muy Baja",'Mapa final SI'!$AE$25="Menor"),CONCATENATE("R3C",'Mapa final SI'!$S$25),"")</f>
        <v/>
      </c>
      <c r="T48" s="279" t="str">
        <f>IF(AND('Mapa final SI'!$AC$26="Muy Baja",'Mapa final SI'!$AE$26="Menor"),CONCATENATE("R3C",'Mapa final SI'!$S$26),"")</f>
        <v/>
      </c>
      <c r="U48" s="280" t="str">
        <f>IF(AND('Mapa final SI'!$AC$27="Muy Baja",'Mapa final SI'!$AE$27="Menor"),CONCATENATE("R3C",'Mapa final SI'!$S$27),"")</f>
        <v/>
      </c>
      <c r="V48" s="269" t="str">
        <f>IF(AND('Mapa final SI'!$AC$22="Muy Baja",'Mapa final SI'!$AE$22="Moderado"),CONCATENATE("R3C",'Mapa final SI'!$S$22),"")</f>
        <v/>
      </c>
      <c r="W48" s="270" t="str">
        <f>IF(AND('Mapa final SI'!$AC$23="Muy Baja",'Mapa final SI'!$AE$23="Moderado"),CONCATENATE("R3C",'Mapa final SI'!$S$23),"")</f>
        <v/>
      </c>
      <c r="X48" s="270" t="str">
        <f>IF(AND('Mapa final SI'!$AC$24="Muy Baja",'Mapa final SI'!$AE$24="Moderado"),CONCATENATE("R3C",'Mapa final SI'!$S$24),"")</f>
        <v/>
      </c>
      <c r="Y48" s="270" t="str">
        <f>IF(AND('Mapa final SI'!$AC$25="Muy Baja",'Mapa final SI'!$AE$25="Moderado"),CONCATENATE("R3C",'Mapa final SI'!$S$25),"")</f>
        <v/>
      </c>
      <c r="Z48" s="270" t="str">
        <f>IF(AND('Mapa final SI'!$AC$26="Muy Baja",'Mapa final SI'!$AE$26="Moderado"),CONCATENATE("R3C",'Mapa final SI'!$S$26),"")</f>
        <v/>
      </c>
      <c r="AA48" s="271" t="str">
        <f>IF(AND('Mapa final SI'!$AC$27="Muy Baja",'Mapa final SI'!$AE$27="Moderado"),CONCATENATE("R3C",'Mapa final SI'!$S$27),"")</f>
        <v/>
      </c>
      <c r="AB48" s="254" t="str">
        <f>IF(AND('Mapa final SI'!$AC$22="Muy Baja",'Mapa final SI'!$AE$22="Mayor"),CONCATENATE("R3C",'Mapa final SI'!$S$22),"")</f>
        <v/>
      </c>
      <c r="AC48" s="255" t="str">
        <f>IF(AND('Mapa final SI'!$AC$23="Muy Baja",'Mapa final SI'!$AE$23="Mayor"),CONCATENATE("R3C",'Mapa final SI'!$S$23),"")</f>
        <v/>
      </c>
      <c r="AD48" s="255" t="str">
        <f>IF(AND('Mapa final SI'!$AC$24="Muy Baja",'Mapa final SI'!$AE$24="Mayor"),CONCATENATE("R3C",'Mapa final SI'!$S$24),"")</f>
        <v/>
      </c>
      <c r="AE48" s="255" t="str">
        <f>IF(AND('Mapa final SI'!$AC$25="Muy Baja",'Mapa final SI'!$AE$25="Mayor"),CONCATENATE("R3C",'Mapa final SI'!$S$25),"")</f>
        <v/>
      </c>
      <c r="AF48" s="255" t="str">
        <f>IF(AND('Mapa final SI'!$AC$26="Muy Baja",'Mapa final SI'!$AE$26="Mayor"),CONCATENATE("R3C",'Mapa final SI'!$S$26),"")</f>
        <v/>
      </c>
      <c r="AG48" s="256" t="str">
        <f>IF(AND('Mapa final SI'!$AC$27="Muy Baja",'Mapa final SI'!$AE$27="Mayor"),CONCATENATE("R3C",'Mapa final SI'!$S$27),"")</f>
        <v/>
      </c>
      <c r="AH48" s="257" t="str">
        <f>IF(AND('Mapa final SI'!$AC$22="Muy Baja",'Mapa final SI'!$AE$22="Catastrófico"),CONCATENATE("R3C",'Mapa final SI'!$S$22),"")</f>
        <v/>
      </c>
      <c r="AI48" s="258" t="str">
        <f>IF(AND('Mapa final SI'!$AC$23="Muy Baja",'Mapa final SI'!$AE$23="Catastrófico"),CONCATENATE("R3C",'Mapa final SI'!$S$23),"")</f>
        <v/>
      </c>
      <c r="AJ48" s="258" t="str">
        <f>IF(AND('Mapa final SI'!$AC$24="Muy Baja",'Mapa final SI'!$AE$24="Catastrófico"),CONCATENATE("R3C",'Mapa final SI'!$S$24),"")</f>
        <v/>
      </c>
      <c r="AK48" s="258" t="str">
        <f>IF(AND('Mapa final SI'!$AC$25="Muy Baja",'Mapa final SI'!$AE$25="Catastrófico"),CONCATENATE("R3C",'Mapa final SI'!$S$25),"")</f>
        <v/>
      </c>
      <c r="AL48" s="258" t="str">
        <f>IF(AND('Mapa final SI'!$AC$26="Muy Baja",'Mapa final SI'!$AE$26="Catastrófico"),CONCATENATE("R3C",'Mapa final SI'!$S$26),"")</f>
        <v/>
      </c>
      <c r="AM48" s="259"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6"/>
      <c r="C49" s="716"/>
      <c r="D49" s="717"/>
      <c r="E49" s="805"/>
      <c r="F49" s="806"/>
      <c r="G49" s="806"/>
      <c r="H49" s="806"/>
      <c r="I49" s="807"/>
      <c r="J49" s="278" t="str">
        <f>IF(AND('Mapa final SI'!$AC$28="Muy Baja",'Mapa final SI'!$AE$28="Leve"),CONCATENATE("R4C",'Mapa final SI'!$S$28),"")</f>
        <v/>
      </c>
      <c r="K49" s="279" t="str">
        <f>IF(AND('Mapa final SI'!$AC$29="Muy Baja",'Mapa final SI'!$AE$29="Leve"),CONCATENATE("R4C",'Mapa final SI'!$S$29),"")</f>
        <v/>
      </c>
      <c r="L49" s="279" t="str">
        <f>IF(AND('Mapa final SI'!$AC$30="Muy Baja",'Mapa final SI'!$AE$30="Leve"),CONCATENATE("R4C",'Mapa final SI'!$S$30),"")</f>
        <v/>
      </c>
      <c r="M49" s="279" t="str">
        <f>IF(AND('Mapa final SI'!$AC$31="Muy Baja",'Mapa final SI'!$AE$31="Leve"),CONCATENATE("R4C",'Mapa final SI'!$S$31),"")</f>
        <v/>
      </c>
      <c r="N49" s="279" t="str">
        <f>IF(AND('Mapa final SI'!$AC$32="Muy Baja",'Mapa final SI'!$AE$32="Leve"),CONCATENATE("R4C",'Mapa final SI'!$S$32),"")</f>
        <v/>
      </c>
      <c r="O49" s="280" t="str">
        <f>IF(AND('Mapa final SI'!$AC$33="Muy Baja",'Mapa final SI'!$AE$33="Leve"),CONCATENATE("R4C",'Mapa final SI'!$S$33),"")</f>
        <v/>
      </c>
      <c r="P49" s="278" t="str">
        <f>IF(AND('Mapa final SI'!$AC$28="Muy Baja",'Mapa final SI'!$AE$28="Menor"),CONCATENATE("R4C",'Mapa final SI'!$S$28),"")</f>
        <v/>
      </c>
      <c r="Q49" s="279" t="str">
        <f>IF(AND('Mapa final SI'!$AC$29="Muy Baja",'Mapa final SI'!$AE$29="Menor"),CONCATENATE("R4C",'Mapa final SI'!$S$29),"")</f>
        <v/>
      </c>
      <c r="R49" s="279" t="str">
        <f>IF(AND('Mapa final SI'!$AC$30="Muy Baja",'Mapa final SI'!$AE$30="Menor"),CONCATENATE("R4C",'Mapa final SI'!$S$30),"")</f>
        <v/>
      </c>
      <c r="S49" s="279" t="str">
        <f>IF(AND('Mapa final SI'!$AC$31="Muy Baja",'Mapa final SI'!$AE$31="Menor"),CONCATENATE("R4C",'Mapa final SI'!$S$31),"")</f>
        <v/>
      </c>
      <c r="T49" s="279" t="str">
        <f>IF(AND('Mapa final SI'!$AC$32="Muy Baja",'Mapa final SI'!$AE$32="Menor"),CONCATENATE("R4C",'Mapa final SI'!$S$32),"")</f>
        <v/>
      </c>
      <c r="U49" s="280" t="str">
        <f>IF(AND('Mapa final SI'!$AC$33="Muy Baja",'Mapa final SI'!$AE$33="Menor"),CONCATENATE("R4C",'Mapa final SI'!$S$33),"")</f>
        <v/>
      </c>
      <c r="V49" s="269" t="str">
        <f>IF(AND('Mapa final SI'!$AC$28="Muy Baja",'Mapa final SI'!$AE$28="Moderado"),CONCATENATE("R4C",'Mapa final SI'!$S$28),"")</f>
        <v/>
      </c>
      <c r="W49" s="270" t="str">
        <f>IF(AND('Mapa final SI'!$AC$29="Muy Baja",'Mapa final SI'!$AE$29="Moderado"),CONCATENATE("R4C",'Mapa final SI'!$S$29),"")</f>
        <v/>
      </c>
      <c r="X49" s="270" t="str">
        <f>IF(AND('Mapa final SI'!$AC$30="Muy Baja",'Mapa final SI'!$AE$30="Moderado"),CONCATENATE("R4C",'Mapa final SI'!$S$30),"")</f>
        <v/>
      </c>
      <c r="Y49" s="270" t="str">
        <f>IF(AND('Mapa final SI'!$AC$31="Muy Baja",'Mapa final SI'!$AE$31="Moderado"),CONCATENATE("R4C",'Mapa final SI'!$S$31),"")</f>
        <v/>
      </c>
      <c r="Z49" s="270" t="str">
        <f>IF(AND('Mapa final SI'!$AC$32="Muy Baja",'Mapa final SI'!$AE$32="Moderado"),CONCATENATE("R4C",'Mapa final SI'!$S$32),"")</f>
        <v/>
      </c>
      <c r="AA49" s="271" t="str">
        <f>IF(AND('Mapa final SI'!$AC$33="Muy Baja",'Mapa final SI'!$AE$33="Moderado"),CONCATENATE("R4C",'Mapa final SI'!$S$33),"")</f>
        <v/>
      </c>
      <c r="AB49" s="254" t="str">
        <f>IF(AND('Mapa final SI'!$AC$28="Muy Baja",'Mapa final SI'!$AE$28="Mayor"),CONCATENATE("R4C",'Mapa final SI'!$S$28),"")</f>
        <v/>
      </c>
      <c r="AC49" s="255" t="str">
        <f>IF(AND('Mapa final SI'!$AC$29="Muy Baja",'Mapa final SI'!$AE$29="Mayor"),CONCATENATE("R4C",'Mapa final SI'!$S$29),"")</f>
        <v/>
      </c>
      <c r="AD49" s="255" t="str">
        <f>IF(AND('Mapa final SI'!$AC$30="Muy Baja",'Mapa final SI'!$AE$30="Mayor"),CONCATENATE("R4C",'Mapa final SI'!$S$30),"")</f>
        <v/>
      </c>
      <c r="AE49" s="255" t="str">
        <f>IF(AND('Mapa final SI'!$AC$31="Muy Baja",'Mapa final SI'!$AE$31="Mayor"),CONCATENATE("R4C",'Mapa final SI'!$S$31),"")</f>
        <v/>
      </c>
      <c r="AF49" s="255" t="str">
        <f>IF(AND('Mapa final SI'!$AC$32="Muy Baja",'Mapa final SI'!$AE$32="Mayor"),CONCATENATE("R4C",'Mapa final SI'!$S$32),"")</f>
        <v/>
      </c>
      <c r="AG49" s="256" t="str">
        <f>IF(AND('Mapa final SI'!$AC$33="Muy Baja",'Mapa final SI'!$AE$33="Mayor"),CONCATENATE("R4C",'Mapa final SI'!$S$33),"")</f>
        <v/>
      </c>
      <c r="AH49" s="257" t="str">
        <f>IF(AND('Mapa final SI'!$AC$28="Muy Baja",'Mapa final SI'!$AE$28="Catastrófico"),CONCATENATE("R4C",'Mapa final SI'!$S$28),"")</f>
        <v/>
      </c>
      <c r="AI49" s="258" t="str">
        <f>IF(AND('Mapa final SI'!$AC$29="Muy Baja",'Mapa final SI'!$AE$29="Catastrófico"),CONCATENATE("R4C",'Mapa final SI'!$S$29),"")</f>
        <v/>
      </c>
      <c r="AJ49" s="258" t="str">
        <f>IF(AND('Mapa final SI'!$AC$30="Muy Baja",'Mapa final SI'!$AE$30="Catastrófico"),CONCATENATE("R4C",'Mapa final SI'!$S$30),"")</f>
        <v/>
      </c>
      <c r="AK49" s="258" t="str">
        <f>IF(AND('Mapa final SI'!$AC$31="Muy Baja",'Mapa final SI'!$AE$31="Catastrófico"),CONCATENATE("R4C",'Mapa final SI'!$S$31),"")</f>
        <v/>
      </c>
      <c r="AL49" s="258" t="str">
        <f>IF(AND('Mapa final SI'!$AC$32="Muy Baja",'Mapa final SI'!$AE$32="Catastrófico"),CONCATENATE("R4C",'Mapa final SI'!$S$32),"")</f>
        <v/>
      </c>
      <c r="AM49" s="259"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6"/>
      <c r="C50" s="716"/>
      <c r="D50" s="717"/>
      <c r="E50" s="805"/>
      <c r="F50" s="806"/>
      <c r="G50" s="806"/>
      <c r="H50" s="806"/>
      <c r="I50" s="807"/>
      <c r="J50" s="278" t="str">
        <f>IF(AND('Mapa final SI'!$AC$34="Muy Baja",'Mapa final SI'!$AE$34="Leve"),CONCATENATE("R5C",'Mapa final SI'!$S$34),"")</f>
        <v/>
      </c>
      <c r="K50" s="279" t="str">
        <f>IF(AND('Mapa final SI'!$AC$35="Muy Baja",'Mapa final SI'!$AE$35="Leve"),CONCATENATE("R5C",'Mapa final SI'!$S$35),"")</f>
        <v/>
      </c>
      <c r="L50" s="279" t="str">
        <f>IF(AND('Mapa final SI'!$AC$36="Muy Baja",'Mapa final SI'!$AE$36="Leve"),CONCATENATE("R5C",'Mapa final SI'!$S$36),"")</f>
        <v/>
      </c>
      <c r="M50" s="279" t="str">
        <f>IF(AND('Mapa final SI'!$AC$37="Muy Baja",'Mapa final SI'!$AE$37="Leve"),CONCATENATE("R5C",'Mapa final SI'!$S$37),"")</f>
        <v/>
      </c>
      <c r="N50" s="279" t="str">
        <f>IF(AND('Mapa final SI'!$AC$38="Muy Baja",'Mapa final SI'!$AE$38="Leve"),CONCATENATE("R5C",'Mapa final SI'!$S$38),"")</f>
        <v/>
      </c>
      <c r="O50" s="280" t="str">
        <f>IF(AND('Mapa final SI'!$AC$39="Muy Baja",'Mapa final SI'!$AE$39="Leve"),CONCATENATE("R5C",'Mapa final SI'!$S$39),"")</f>
        <v/>
      </c>
      <c r="P50" s="278" t="str">
        <f>IF(AND('Mapa final SI'!$AC$34="Muy Baja",'Mapa final SI'!$AE$34="Menor"),CONCATENATE("R5C",'Mapa final SI'!$S$34),"")</f>
        <v/>
      </c>
      <c r="Q50" s="279" t="str">
        <f>IF(AND('Mapa final SI'!$AC$35="Muy Baja",'Mapa final SI'!$AE$35="Menor"),CONCATENATE("R5C",'Mapa final SI'!$S$35),"")</f>
        <v/>
      </c>
      <c r="R50" s="279" t="str">
        <f>IF(AND('Mapa final SI'!$AC$36="Muy Baja",'Mapa final SI'!$AE$36="Menor"),CONCATENATE("R5C",'Mapa final SI'!$S$36),"")</f>
        <v/>
      </c>
      <c r="S50" s="279" t="str">
        <f>IF(AND('Mapa final SI'!$AC$37="Muy Baja",'Mapa final SI'!$AE$37="Menor"),CONCATENATE("R5C",'Mapa final SI'!$S$37),"")</f>
        <v/>
      </c>
      <c r="T50" s="279" t="str">
        <f>IF(AND('Mapa final SI'!$AC$38="Muy Baja",'Mapa final SI'!$AE$38="Menor"),CONCATENATE("R5C",'Mapa final SI'!$S$38),"")</f>
        <v/>
      </c>
      <c r="U50" s="280" t="str">
        <f>IF(AND('Mapa final SI'!$AC$39="Muy Baja",'Mapa final SI'!$AE$39="Menor"),CONCATENATE("R5C",'Mapa final SI'!$S$39),"")</f>
        <v/>
      </c>
      <c r="V50" s="269" t="str">
        <f>IF(AND('Mapa final SI'!$AC$34="Muy Baja",'Mapa final SI'!$AE$34="Moderado"),CONCATENATE("R5C",'Mapa final SI'!$S$34),"")</f>
        <v/>
      </c>
      <c r="W50" s="270" t="str">
        <f>IF(AND('Mapa final SI'!$AC$35="Muy Baja",'Mapa final SI'!$AE$35="Moderado"),CONCATENATE("R5C",'Mapa final SI'!$S$35),"")</f>
        <v/>
      </c>
      <c r="X50" s="270" t="str">
        <f>IF(AND('Mapa final SI'!$AC$36="Muy Baja",'Mapa final SI'!$AE$36="Moderado"),CONCATENATE("R5C",'Mapa final SI'!$S$36),"")</f>
        <v/>
      </c>
      <c r="Y50" s="270" t="str">
        <f>IF(AND('Mapa final SI'!$AC$37="Muy Baja",'Mapa final SI'!$AE$37="Moderado"),CONCATENATE("R5C",'Mapa final SI'!$S$37),"")</f>
        <v/>
      </c>
      <c r="Z50" s="270" t="str">
        <f>IF(AND('Mapa final SI'!$AC$38="Muy Baja",'Mapa final SI'!$AE$38="Moderado"),CONCATENATE("R5C",'Mapa final SI'!$S$38),"")</f>
        <v/>
      </c>
      <c r="AA50" s="271" t="str">
        <f>IF(AND('Mapa final SI'!$AC$39="Muy Baja",'Mapa final SI'!$AE$39="Moderado"),CONCATENATE("R5C",'Mapa final SI'!$S$39),"")</f>
        <v/>
      </c>
      <c r="AB50" s="254" t="str">
        <f>IF(AND('Mapa final SI'!$AC$34="Muy Baja",'Mapa final SI'!$AE$34="Mayor"),CONCATENATE("R5C",'Mapa final SI'!$S$34),"")</f>
        <v/>
      </c>
      <c r="AC50" s="255" t="str">
        <f>IF(AND('Mapa final SI'!$AC$35="Muy Baja",'Mapa final SI'!$AE$35="Mayor"),CONCATENATE("R5C",'Mapa final SI'!$S$35),"")</f>
        <v/>
      </c>
      <c r="AD50" s="255" t="str">
        <f>IF(AND('Mapa final SI'!$AC$36="Muy Baja",'Mapa final SI'!$AE$36="Mayor"),CONCATENATE("R5C",'Mapa final SI'!$S$36),"")</f>
        <v/>
      </c>
      <c r="AE50" s="255" t="str">
        <f>IF(AND('Mapa final SI'!$AC$37="Muy Baja",'Mapa final SI'!$AE$37="Mayor"),CONCATENATE("R5C",'Mapa final SI'!$S$37),"")</f>
        <v/>
      </c>
      <c r="AF50" s="255" t="str">
        <f>IF(AND('Mapa final SI'!$AC$38="Muy Baja",'Mapa final SI'!$AE$38="Mayor"),CONCATENATE("R5C",'Mapa final SI'!$S$38),"")</f>
        <v/>
      </c>
      <c r="AG50" s="256" t="str">
        <f>IF(AND('Mapa final SI'!$AC$39="Muy Baja",'Mapa final SI'!$AE$39="Mayor"),CONCATENATE("R5C",'Mapa final SI'!$S$39),"")</f>
        <v/>
      </c>
      <c r="AH50" s="257" t="str">
        <f>IF(AND('Mapa final SI'!$AC$34="Muy Baja",'Mapa final SI'!$AE$34="Catastrófico"),CONCATENATE("R5C",'Mapa final SI'!$S$34),"")</f>
        <v/>
      </c>
      <c r="AI50" s="258" t="str">
        <f>IF(AND('Mapa final SI'!$AC$35="Muy Baja",'Mapa final SI'!$AE$35="Catastrófico"),CONCATENATE("R5C",'Mapa final SI'!$S$35),"")</f>
        <v/>
      </c>
      <c r="AJ50" s="258" t="str">
        <f>IF(AND('Mapa final SI'!$AC$36="Muy Baja",'Mapa final SI'!$AE$36="Catastrófico"),CONCATENATE("R5C",'Mapa final SI'!$S$36),"")</f>
        <v/>
      </c>
      <c r="AK50" s="258" t="str">
        <f>IF(AND('Mapa final SI'!$AC$37="Muy Baja",'Mapa final SI'!$AE$37="Catastrófico"),CONCATENATE("R5C",'Mapa final SI'!$S$37),"")</f>
        <v/>
      </c>
      <c r="AL50" s="258" t="str">
        <f>IF(AND('Mapa final SI'!$AC$38="Muy Baja",'Mapa final SI'!$AE$38="Catastrófico"),CONCATENATE("R5C",'Mapa final SI'!$S$38),"")</f>
        <v/>
      </c>
      <c r="AM50" s="259"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6"/>
      <c r="C51" s="716"/>
      <c r="D51" s="717"/>
      <c r="E51" s="805"/>
      <c r="F51" s="806"/>
      <c r="G51" s="806"/>
      <c r="H51" s="806"/>
      <c r="I51" s="807"/>
      <c r="J51" s="278" t="str">
        <f>IF(AND('Mapa final SI'!$AC$40="Muy Baja",'Mapa final SI'!$AE$40="Leve"),CONCATENATE("R6C",'Mapa final SI'!$S$40),"")</f>
        <v/>
      </c>
      <c r="K51" s="279" t="str">
        <f>IF(AND('Mapa final SI'!$AC$41="Muy Baja",'Mapa final SI'!$AE$41="Leve"),CONCATENATE("R6C",'Mapa final SI'!$S$41),"")</f>
        <v/>
      </c>
      <c r="L51" s="279" t="str">
        <f>IF(AND('Mapa final SI'!$AC$42="Muy Baja",'Mapa final SI'!$AE$42="Leve"),CONCATENATE("R6C",'Mapa final SI'!$S$42),"")</f>
        <v/>
      </c>
      <c r="M51" s="279" t="str">
        <f>IF(AND('Mapa final SI'!$AC$43="Muy Baja",'Mapa final SI'!$AE$43="Leve"),CONCATENATE("R6C",'Mapa final SI'!$S$43),"")</f>
        <v/>
      </c>
      <c r="N51" s="279" t="str">
        <f>IF(AND('Mapa final SI'!$AC$44="Muy Baja",'Mapa final SI'!$AE$44="Leve"),CONCATENATE("R6C",'Mapa final SI'!$S$44),"")</f>
        <v/>
      </c>
      <c r="O51" s="280" t="str">
        <f>IF(AND('Mapa final SI'!$AC$45="Muy Baja",'Mapa final SI'!$AE$45="Leve"),CONCATENATE("R6C",'Mapa final SI'!$S$45),"")</f>
        <v/>
      </c>
      <c r="P51" s="278" t="str">
        <f>IF(AND('Mapa final SI'!$AC$40="Muy Baja",'Mapa final SI'!$AE$40="Menor"),CONCATENATE("R6C",'Mapa final SI'!$S$40),"")</f>
        <v/>
      </c>
      <c r="Q51" s="279" t="str">
        <f>IF(AND('Mapa final SI'!$AC$41="Muy Baja",'Mapa final SI'!$AE$41="Menor"),CONCATENATE("R6C",'Mapa final SI'!$S$41),"")</f>
        <v/>
      </c>
      <c r="R51" s="279" t="str">
        <f>IF(AND('Mapa final SI'!$AC$42="Muy Baja",'Mapa final SI'!$AE$42="Menor"),CONCATENATE("R6C",'Mapa final SI'!$S$42),"")</f>
        <v/>
      </c>
      <c r="S51" s="279" t="str">
        <f>IF(AND('Mapa final SI'!$AC$43="Muy Baja",'Mapa final SI'!$AE$43="Menor"),CONCATENATE("R6C",'Mapa final SI'!$S$43),"")</f>
        <v/>
      </c>
      <c r="T51" s="279" t="str">
        <f>IF(AND('Mapa final SI'!$AC$44="Muy Baja",'Mapa final SI'!$AE$44="Menor"),CONCATENATE("R6C",'Mapa final SI'!$S$44),"")</f>
        <v/>
      </c>
      <c r="U51" s="280" t="str">
        <f>IF(AND('Mapa final SI'!$AC$45="Muy Baja",'Mapa final SI'!$AE$45="Menor"),CONCATENATE("R6C",'Mapa final SI'!$S$45),"")</f>
        <v/>
      </c>
      <c r="V51" s="269" t="str">
        <f>IF(AND('Mapa final SI'!$AC$40="Muy Baja",'Mapa final SI'!$AE$40="Moderado"),CONCATENATE("R6C",'Mapa final SI'!$S$40),"")</f>
        <v/>
      </c>
      <c r="W51" s="270" t="str">
        <f>IF(AND('Mapa final SI'!$AC$41="Muy Baja",'Mapa final SI'!$AE$41="Moderado"),CONCATENATE("R6C",'Mapa final SI'!$S$41),"")</f>
        <v/>
      </c>
      <c r="X51" s="270" t="str">
        <f>IF(AND('Mapa final SI'!$AC$42="Muy Baja",'Mapa final SI'!$AE$42="Moderado"),CONCATENATE("R6C",'Mapa final SI'!$S$42),"")</f>
        <v/>
      </c>
      <c r="Y51" s="270" t="str">
        <f>IF(AND('Mapa final SI'!$AC$43="Muy Baja",'Mapa final SI'!$AE$43="Moderado"),CONCATENATE("R6C",'Mapa final SI'!$S$43),"")</f>
        <v/>
      </c>
      <c r="Z51" s="270" t="str">
        <f>IF(AND('Mapa final SI'!$AC$44="Muy Baja",'Mapa final SI'!$AE$44="Moderado"),CONCATENATE("R6C",'Mapa final SI'!$S$44),"")</f>
        <v/>
      </c>
      <c r="AA51" s="271" t="str">
        <f>IF(AND('Mapa final SI'!$AC$45="Muy Baja",'Mapa final SI'!$AE$45="Moderado"),CONCATENATE("R6C",'Mapa final SI'!$S$45),"")</f>
        <v/>
      </c>
      <c r="AB51" s="254" t="str">
        <f>IF(AND('Mapa final SI'!$AC$40="Muy Baja",'Mapa final SI'!$AE$40="Mayor"),CONCATENATE("R6C",'Mapa final SI'!$S$40),"")</f>
        <v/>
      </c>
      <c r="AC51" s="255" t="str">
        <f>IF(AND('Mapa final SI'!$AC$41="Muy Baja",'Mapa final SI'!$AE$41="Mayor"),CONCATENATE("R6C",'Mapa final SI'!$S$41),"")</f>
        <v/>
      </c>
      <c r="AD51" s="255" t="str">
        <f>IF(AND('Mapa final SI'!$AC$42="Muy Baja",'Mapa final SI'!$AE$42="Mayor"),CONCATENATE("R6C",'Mapa final SI'!$S$42),"")</f>
        <v/>
      </c>
      <c r="AE51" s="255" t="str">
        <f>IF(AND('Mapa final SI'!$AC$43="Muy Baja",'Mapa final SI'!$AE$43="Mayor"),CONCATENATE("R6C",'Mapa final SI'!$S$43),"")</f>
        <v/>
      </c>
      <c r="AF51" s="255" t="str">
        <f>IF(AND('Mapa final SI'!$AC$44="Muy Baja",'Mapa final SI'!$AE$44="Mayor"),CONCATENATE("R6C",'Mapa final SI'!$S$44),"")</f>
        <v/>
      </c>
      <c r="AG51" s="256" t="str">
        <f>IF(AND('Mapa final SI'!$AC$45="Muy Baja",'Mapa final SI'!$AE$45="Mayor"),CONCATENATE("R6C",'Mapa final SI'!$S$45),"")</f>
        <v/>
      </c>
      <c r="AH51" s="257" t="str">
        <f>IF(AND('Mapa final SI'!$AC$40="Muy Baja",'Mapa final SI'!$AE$40="Catastrófico"),CONCATENATE("R6C",'Mapa final SI'!$S$40),"")</f>
        <v/>
      </c>
      <c r="AI51" s="258" t="str">
        <f>IF(AND('Mapa final SI'!$AC$41="Muy Baja",'Mapa final SI'!$AE$41="Catastrófico"),CONCATENATE("R6C",'Mapa final SI'!$S$41),"")</f>
        <v/>
      </c>
      <c r="AJ51" s="258" t="str">
        <f>IF(AND('Mapa final SI'!$AC$42="Muy Baja",'Mapa final SI'!$AE$42="Catastrófico"),CONCATENATE("R6C",'Mapa final SI'!$S$42),"")</f>
        <v/>
      </c>
      <c r="AK51" s="258" t="str">
        <f>IF(AND('Mapa final SI'!$AC$43="Muy Baja",'Mapa final SI'!$AE$43="Catastrófico"),CONCATENATE("R6C",'Mapa final SI'!$S$43),"")</f>
        <v/>
      </c>
      <c r="AL51" s="258" t="str">
        <f>IF(AND('Mapa final SI'!$AC$44="Muy Baja",'Mapa final SI'!$AE$44="Catastrófico"),CONCATENATE("R6C",'Mapa final SI'!$S$44),"")</f>
        <v/>
      </c>
      <c r="AM51" s="259"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6"/>
      <c r="C52" s="716"/>
      <c r="D52" s="717"/>
      <c r="E52" s="805"/>
      <c r="F52" s="806"/>
      <c r="G52" s="806"/>
      <c r="H52" s="806"/>
      <c r="I52" s="807"/>
      <c r="J52" s="278" t="str">
        <f>IF(AND('Mapa final SI'!$AC$46="Muy Baja",'Mapa final SI'!$AE$46="Leve"),CONCATENATE("R7C",'Mapa final SI'!$S$46),"")</f>
        <v/>
      </c>
      <c r="K52" s="279" t="str">
        <f>IF(AND('Mapa final SI'!$AC$47="Muy Baja",'Mapa final SI'!$AE$47="Leve"),CONCATENATE("R7C",'Mapa final SI'!$S$47),"")</f>
        <v/>
      </c>
      <c r="L52" s="279" t="str">
        <f>IF(AND('Mapa final SI'!$AC$48="Muy Baja",'Mapa final SI'!$AE$48="Leve"),CONCATENATE("R7C",'Mapa final SI'!$S$48),"")</f>
        <v/>
      </c>
      <c r="M52" s="279" t="str">
        <f>IF(AND('Mapa final SI'!$AC$49="Muy Baja",'Mapa final SI'!$AE$49="Leve"),CONCATENATE("R7C",'Mapa final SI'!$S$49),"")</f>
        <v/>
      </c>
      <c r="N52" s="279" t="str">
        <f>IF(AND('Mapa final SI'!$AC$50="Muy Baja",'Mapa final SI'!$AE$50="Leve"),CONCATENATE("R7C",'Mapa final SI'!$S$50),"")</f>
        <v/>
      </c>
      <c r="O52" s="280" t="str">
        <f>IF(AND('Mapa final SI'!$AC$51="Muy Baja",'Mapa final SI'!$AE$51="Leve"),CONCATENATE("R7C",'Mapa final SI'!$S$51),"")</f>
        <v/>
      </c>
      <c r="P52" s="278" t="str">
        <f>IF(AND('Mapa final SI'!$AC$46="Muy Baja",'Mapa final SI'!$AE$46="Menor"),CONCATENATE("R7C",'Mapa final SI'!$S$46),"")</f>
        <v/>
      </c>
      <c r="Q52" s="279" t="str">
        <f>IF(AND('Mapa final SI'!$AC$47="Muy Baja",'Mapa final SI'!$AE$47="Menor"),CONCATENATE("R7C",'Mapa final SI'!$S$47),"")</f>
        <v/>
      </c>
      <c r="R52" s="279" t="str">
        <f>IF(AND('Mapa final SI'!$AC$48="Muy Baja",'Mapa final SI'!$AE$48="Menor"),CONCATENATE("R7C",'Mapa final SI'!$S$48),"")</f>
        <v/>
      </c>
      <c r="S52" s="279" t="str">
        <f>IF(AND('Mapa final SI'!$AC$49="Muy Baja",'Mapa final SI'!$AE$49="Menor"),CONCATENATE("R7C",'Mapa final SI'!$S$49),"")</f>
        <v/>
      </c>
      <c r="T52" s="279" t="str">
        <f>IF(AND('Mapa final SI'!$AC$50="Muy Baja",'Mapa final SI'!$AE$50="Menor"),CONCATENATE("R7C",'Mapa final SI'!$S$50),"")</f>
        <v/>
      </c>
      <c r="U52" s="280" t="str">
        <f>IF(AND('Mapa final SI'!$AC$51="Muy Baja",'Mapa final SI'!$AE$51="Menor"),CONCATENATE("R7C",'Mapa final SI'!$S$51),"")</f>
        <v/>
      </c>
      <c r="V52" s="269" t="str">
        <f>IF(AND('Mapa final SI'!$AC$46="Muy Baja",'Mapa final SI'!$AE$46="Moderado"),CONCATENATE("R7C",'Mapa final SI'!$S$46),"")</f>
        <v/>
      </c>
      <c r="W52" s="270" t="str">
        <f>IF(AND('Mapa final SI'!$AC$47="Muy Baja",'Mapa final SI'!$AE$47="Moderado"),CONCATENATE("R7C",'Mapa final SI'!$S$47),"")</f>
        <v/>
      </c>
      <c r="X52" s="270" t="str">
        <f>IF(AND('Mapa final SI'!$AC$48="Muy Baja",'Mapa final SI'!$AE$48="Moderado"),CONCATENATE("R7C",'Mapa final SI'!$S$48),"")</f>
        <v/>
      </c>
      <c r="Y52" s="270" t="str">
        <f>IF(AND('Mapa final SI'!$AC$49="Muy Baja",'Mapa final SI'!$AE$49="Moderado"),CONCATENATE("R7C",'Mapa final SI'!$S$49),"")</f>
        <v/>
      </c>
      <c r="Z52" s="270" t="str">
        <f>IF(AND('Mapa final SI'!$AC$50="Muy Baja",'Mapa final SI'!$AE$50="Moderado"),CONCATENATE("R7C",'Mapa final SI'!$S$50),"")</f>
        <v/>
      </c>
      <c r="AA52" s="271" t="str">
        <f>IF(AND('Mapa final SI'!$AC$51="Muy Baja",'Mapa final SI'!$AE$51="Moderado"),CONCATENATE("R7C",'Mapa final SI'!$S$51),"")</f>
        <v/>
      </c>
      <c r="AB52" s="254" t="str">
        <f>IF(AND('Mapa final SI'!$AC$46="Muy Baja",'Mapa final SI'!$AE$46="Mayor"),CONCATENATE("R7C",'Mapa final SI'!$S$46),"")</f>
        <v/>
      </c>
      <c r="AC52" s="255" t="str">
        <f>IF(AND('Mapa final SI'!$AC$47="Muy Baja",'Mapa final SI'!$AE$47="Mayor"),CONCATENATE("R7C",'Mapa final SI'!$S$47),"")</f>
        <v/>
      </c>
      <c r="AD52" s="255" t="str">
        <f>IF(AND('Mapa final SI'!$AC$48="Muy Baja",'Mapa final SI'!$AE$48="Mayor"),CONCATENATE("R7C",'Mapa final SI'!$S$48),"")</f>
        <v/>
      </c>
      <c r="AE52" s="255" t="str">
        <f>IF(AND('Mapa final SI'!$AC$49="Muy Baja",'Mapa final SI'!$AE$49="Mayor"),CONCATENATE("R7C",'Mapa final SI'!$S$49),"")</f>
        <v/>
      </c>
      <c r="AF52" s="255" t="str">
        <f>IF(AND('Mapa final SI'!$AC$50="Muy Baja",'Mapa final SI'!$AE$50="Mayor"),CONCATENATE("R7C",'Mapa final SI'!$S$50),"")</f>
        <v/>
      </c>
      <c r="AG52" s="256" t="str">
        <f>IF(AND('Mapa final SI'!$AC$51="Muy Baja",'Mapa final SI'!$AE$51="Mayor"),CONCATENATE("R7C",'Mapa final SI'!$S$51),"")</f>
        <v/>
      </c>
      <c r="AH52" s="257" t="str">
        <f>IF(AND('Mapa final SI'!$AC$46="Muy Baja",'Mapa final SI'!$AE$46="Catastrófico"),CONCATENATE("R7C",'Mapa final SI'!$S$46),"")</f>
        <v/>
      </c>
      <c r="AI52" s="258" t="str">
        <f>IF(AND('Mapa final SI'!$AC$47="Muy Baja",'Mapa final SI'!$AE$47="Catastrófico"),CONCATENATE("R7C",'Mapa final SI'!$S$47),"")</f>
        <v/>
      </c>
      <c r="AJ52" s="258" t="str">
        <f>IF(AND('Mapa final SI'!$AC$48="Muy Baja",'Mapa final SI'!$AE$48="Catastrófico"),CONCATENATE("R7C",'Mapa final SI'!$S$48),"")</f>
        <v/>
      </c>
      <c r="AK52" s="258" t="str">
        <f>IF(AND('Mapa final SI'!$AC$49="Muy Baja",'Mapa final SI'!$AE$49="Catastrófico"),CONCATENATE("R7C",'Mapa final SI'!$S$49),"")</f>
        <v/>
      </c>
      <c r="AL52" s="258" t="str">
        <f>IF(AND('Mapa final SI'!$AC$50="Muy Baja",'Mapa final SI'!$AE$50="Catastrófico"),CONCATENATE("R7C",'Mapa final SI'!$S$50),"")</f>
        <v/>
      </c>
      <c r="AM52" s="259"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6"/>
      <c r="C53" s="716"/>
      <c r="D53" s="717"/>
      <c r="E53" s="805"/>
      <c r="F53" s="806"/>
      <c r="G53" s="806"/>
      <c r="H53" s="806"/>
      <c r="I53" s="807"/>
      <c r="J53" s="278" t="str">
        <f>IF(AND('Mapa final SI'!$AC$52="Muy Baja",'Mapa final SI'!$AE$52="Leve"),CONCATENATE("R8C",'Mapa final SI'!$S$52),"")</f>
        <v/>
      </c>
      <c r="K53" s="279" t="str">
        <f>IF(AND('Mapa final SI'!$AC$53="Muy Baja",'Mapa final SI'!$AE$53="Leve"),CONCATENATE("R8C",'Mapa final SI'!$S$53),"")</f>
        <v/>
      </c>
      <c r="L53" s="279" t="str">
        <f>IF(AND('Mapa final SI'!$AC$54="Muy Baja",'Mapa final SI'!$AE$54="Leve"),CONCATENATE("R8C",'Mapa final SI'!$S$54),"")</f>
        <v/>
      </c>
      <c r="M53" s="279" t="str">
        <f>IF(AND('Mapa final SI'!$AC$55="Muy Baja",'Mapa final SI'!$AE$55="Leve"),CONCATENATE("R8C",'Mapa final SI'!$S$55),"")</f>
        <v/>
      </c>
      <c r="N53" s="279" t="str">
        <f>IF(AND('Mapa final SI'!$AC$56="Muy Baja",'Mapa final SI'!$AE$56="Leve"),CONCATENATE("R8C",'Mapa final SI'!$S$56),"")</f>
        <v/>
      </c>
      <c r="O53" s="280" t="str">
        <f>IF(AND('Mapa final SI'!$AC$57="Muy Baja",'Mapa final SI'!$AE$57="Leve"),CONCATENATE("R8C",'Mapa final SI'!$S$57),"")</f>
        <v/>
      </c>
      <c r="P53" s="278" t="str">
        <f>IF(AND('Mapa final SI'!$AC$52="Muy Baja",'Mapa final SI'!$AE$52="Menor"),CONCATENATE("R8C",'Mapa final SI'!$S$52),"")</f>
        <v/>
      </c>
      <c r="Q53" s="279" t="str">
        <f>IF(AND('Mapa final SI'!$AC$53="Muy Baja",'Mapa final SI'!$AE$53="Menor"),CONCATENATE("R8C",'Mapa final SI'!$S$53),"")</f>
        <v/>
      </c>
      <c r="R53" s="279" t="str">
        <f>IF(AND('Mapa final SI'!$AC$54="Muy Baja",'Mapa final SI'!$AE$54="Menor"),CONCATENATE("R8C",'Mapa final SI'!$S$54),"")</f>
        <v/>
      </c>
      <c r="S53" s="279" t="str">
        <f>IF(AND('Mapa final SI'!$AC$55="Muy Baja",'Mapa final SI'!$AE$55="Menor"),CONCATENATE("R8C",'Mapa final SI'!$S$55),"")</f>
        <v/>
      </c>
      <c r="T53" s="279" t="str">
        <f>IF(AND('Mapa final SI'!$AC$56="Muy Baja",'Mapa final SI'!$AE$56="Menor"),CONCATENATE("R8C",'Mapa final SI'!$S$56),"")</f>
        <v/>
      </c>
      <c r="U53" s="280" t="str">
        <f>IF(AND('Mapa final SI'!$AC$57="Muy Baja",'Mapa final SI'!$AE$57="Menor"),CONCATENATE("R8C",'Mapa final SI'!$S$57),"")</f>
        <v/>
      </c>
      <c r="V53" s="269" t="str">
        <f>IF(AND('Mapa final SI'!$AC$52="Muy Baja",'Mapa final SI'!$AE$52="Moderado"),CONCATENATE("R8C",'Mapa final SI'!$S$52),"")</f>
        <v/>
      </c>
      <c r="W53" s="270" t="str">
        <f>IF(AND('Mapa final SI'!$AC$53="Muy Baja",'Mapa final SI'!$AE$53="Moderado"),CONCATENATE("R8C",'Mapa final SI'!$S$53),"")</f>
        <v/>
      </c>
      <c r="X53" s="270" t="str">
        <f>IF(AND('Mapa final SI'!$AC$54="Muy Baja",'Mapa final SI'!$AE$54="Moderado"),CONCATENATE("R8C",'Mapa final SI'!$S$54),"")</f>
        <v/>
      </c>
      <c r="Y53" s="270" t="str">
        <f>IF(AND('Mapa final SI'!$AC$55="Muy Baja",'Mapa final SI'!$AE$55="Moderado"),CONCATENATE("R8C",'Mapa final SI'!$S$55),"")</f>
        <v/>
      </c>
      <c r="Z53" s="270" t="str">
        <f>IF(AND('Mapa final SI'!$AC$56="Muy Baja",'Mapa final SI'!$AE$56="Moderado"),CONCATENATE("R8C",'Mapa final SI'!$S$56),"")</f>
        <v/>
      </c>
      <c r="AA53" s="271" t="str">
        <f>IF(AND('Mapa final SI'!$AC$57="Muy Baja",'Mapa final SI'!$AE$57="Moderado"),CONCATENATE("R8C",'Mapa final SI'!$S$57),"")</f>
        <v/>
      </c>
      <c r="AB53" s="254" t="str">
        <f>IF(AND('Mapa final SI'!$AC$52="Muy Baja",'Mapa final SI'!$AE$52="Mayor"),CONCATENATE("R8C",'Mapa final SI'!$S$52),"")</f>
        <v/>
      </c>
      <c r="AC53" s="255" t="str">
        <f>IF(AND('Mapa final SI'!$AC$53="Muy Baja",'Mapa final SI'!$AE$53="Mayor"),CONCATENATE("R8C",'Mapa final SI'!$S$53),"")</f>
        <v/>
      </c>
      <c r="AD53" s="255" t="str">
        <f>IF(AND('Mapa final SI'!$AC$54="Muy Baja",'Mapa final SI'!$AE$54="Mayor"),CONCATENATE("R8C",'Mapa final SI'!$S$54),"")</f>
        <v/>
      </c>
      <c r="AE53" s="255" t="str">
        <f>IF(AND('Mapa final SI'!$AC$55="Muy Baja",'Mapa final SI'!$AE$55="Mayor"),CONCATENATE("R8C",'Mapa final SI'!$S$55),"")</f>
        <v/>
      </c>
      <c r="AF53" s="255" t="str">
        <f>IF(AND('Mapa final SI'!$AC$56="Muy Baja",'Mapa final SI'!$AE$56="Mayor"),CONCATENATE("R8C",'Mapa final SI'!$S$56),"")</f>
        <v/>
      </c>
      <c r="AG53" s="256" t="str">
        <f>IF(AND('Mapa final SI'!$AC$57="Muy Baja",'Mapa final SI'!$AE$57="Mayor"),CONCATENATE("R8C",'Mapa final SI'!$S$57),"")</f>
        <v/>
      </c>
      <c r="AH53" s="257" t="str">
        <f>IF(AND('Mapa final SI'!$AC$52="Muy Baja",'Mapa final SI'!$AE$52="Catastrófico"),CONCATENATE("R8C",'Mapa final SI'!$S$52),"")</f>
        <v/>
      </c>
      <c r="AI53" s="258" t="str">
        <f>IF(AND('Mapa final SI'!$AC$53="Muy Baja",'Mapa final SI'!$AE$53="Catastrófico"),CONCATENATE("R8C",'Mapa final SI'!$S$53),"")</f>
        <v/>
      </c>
      <c r="AJ53" s="258" t="str">
        <f>IF(AND('Mapa final SI'!$AC$54="Muy Baja",'Mapa final SI'!$AE$54="Catastrófico"),CONCATENATE("R8C",'Mapa final SI'!$S$54),"")</f>
        <v/>
      </c>
      <c r="AK53" s="258" t="str">
        <f>IF(AND('Mapa final SI'!$AC$55="Muy Baja",'Mapa final SI'!$AE$55="Catastrófico"),CONCATENATE("R8C",'Mapa final SI'!$S$55),"")</f>
        <v/>
      </c>
      <c r="AL53" s="258" t="str">
        <f>IF(AND('Mapa final SI'!$AC$56="Muy Baja",'Mapa final SI'!$AE$56="Catastrófico"),CONCATENATE("R8C",'Mapa final SI'!$S$56),"")</f>
        <v/>
      </c>
      <c r="AM53" s="259"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6"/>
      <c r="C54" s="716"/>
      <c r="D54" s="717"/>
      <c r="E54" s="805"/>
      <c r="F54" s="806"/>
      <c r="G54" s="806"/>
      <c r="H54" s="806"/>
      <c r="I54" s="807"/>
      <c r="J54" s="278" t="str">
        <f>IF(AND('Mapa final SI'!$AC$58="Muy Baja",'Mapa final SI'!$AE$58="Leve"),CONCATENATE("R9C",'Mapa final SI'!$S$58),"")</f>
        <v/>
      </c>
      <c r="K54" s="279" t="str">
        <f>IF(AND('Mapa final SI'!$AC$59="Muy Baja",'Mapa final SI'!$AE$59="Leve"),CONCATENATE("R9C",'Mapa final SI'!$S$59),"")</f>
        <v/>
      </c>
      <c r="L54" s="279" t="str">
        <f>IF(AND('Mapa final SI'!$AC$60="Muy Baja",'Mapa final SI'!$AE$60="Leve"),CONCATENATE("R9C",'Mapa final SI'!$S$60),"")</f>
        <v/>
      </c>
      <c r="M54" s="279" t="str">
        <f>IF(AND('Mapa final SI'!$AC$61="Muy Baja",'Mapa final SI'!$AE$61="Leve"),CONCATENATE("R9C",'Mapa final SI'!$S$61),"")</f>
        <v/>
      </c>
      <c r="N54" s="279" t="str">
        <f>IF(AND('Mapa final SI'!$AC$62="Muy Baja",'Mapa final SI'!$AE$62="Leve"),CONCATENATE("R9C",'Mapa final SI'!$S$62),"")</f>
        <v/>
      </c>
      <c r="O54" s="280" t="str">
        <f>IF(AND('Mapa final SI'!$AC$63="Muy Baja",'Mapa final SI'!$AE$63="Leve"),CONCATENATE("R9C",'Mapa final SI'!$S$63),"")</f>
        <v/>
      </c>
      <c r="P54" s="278" t="str">
        <f>IF(AND('Mapa final SI'!$AC$58="Muy Baja",'Mapa final SI'!$AE$58="Menor"),CONCATENATE("R9C",'Mapa final SI'!$S$58),"")</f>
        <v/>
      </c>
      <c r="Q54" s="279" t="str">
        <f>IF(AND('Mapa final SI'!$AC$59="Muy Baja",'Mapa final SI'!$AE$59="Menor"),CONCATENATE("R9C",'Mapa final SI'!$S$59),"")</f>
        <v/>
      </c>
      <c r="R54" s="279" t="str">
        <f>IF(AND('Mapa final SI'!$AC$60="Muy Baja",'Mapa final SI'!$AE$60="Menor"),CONCATENATE("R9C",'Mapa final SI'!$S$60),"")</f>
        <v/>
      </c>
      <c r="S54" s="279" t="str">
        <f>IF(AND('Mapa final SI'!$AC$61="Muy Baja",'Mapa final SI'!$AE$61="Menor"),CONCATENATE("R9C",'Mapa final SI'!$S$61),"")</f>
        <v/>
      </c>
      <c r="T54" s="279" t="str">
        <f>IF(AND('Mapa final SI'!$AC$62="Muy Baja",'Mapa final SI'!$AE$62="Menor"),CONCATENATE("R9C",'Mapa final SI'!$S$62),"")</f>
        <v/>
      </c>
      <c r="U54" s="280" t="str">
        <f>IF(AND('Mapa final SI'!$AC$63="Muy Baja",'Mapa final SI'!$AE$63="Menor"),CONCATENATE("R9C",'Mapa final SI'!$S$63),"")</f>
        <v/>
      </c>
      <c r="V54" s="269" t="str">
        <f>IF(AND('Mapa final SI'!$AC$58="Muy Baja",'Mapa final SI'!$AE$58="Moderado"),CONCATENATE("R9C",'Mapa final SI'!$S$58),"")</f>
        <v/>
      </c>
      <c r="W54" s="270" t="str">
        <f>IF(AND('Mapa final SI'!$AC$59="Muy Baja",'Mapa final SI'!$AE$59="Moderado"),CONCATENATE("R9C",'Mapa final SI'!$S$59),"")</f>
        <v/>
      </c>
      <c r="X54" s="270" t="str">
        <f>IF(AND('Mapa final SI'!$AC$60="Muy Baja",'Mapa final SI'!$AE$60="Moderado"),CONCATENATE("R9C",'Mapa final SI'!$S$60),"")</f>
        <v/>
      </c>
      <c r="Y54" s="270" t="str">
        <f>IF(AND('Mapa final SI'!$AC$61="Muy Baja",'Mapa final SI'!$AE$61="Moderado"),CONCATENATE("R9C",'Mapa final SI'!$S$61),"")</f>
        <v/>
      </c>
      <c r="Z54" s="270" t="str">
        <f>IF(AND('Mapa final SI'!$AC$62="Muy Baja",'Mapa final SI'!$AE$62="Moderado"),CONCATENATE("R9C",'Mapa final SI'!$S$62),"")</f>
        <v/>
      </c>
      <c r="AA54" s="271" t="str">
        <f>IF(AND('Mapa final SI'!$AC$63="Muy Baja",'Mapa final SI'!$AE$63="Moderado"),CONCATENATE("R9C",'Mapa final SI'!$S$63),"")</f>
        <v/>
      </c>
      <c r="AB54" s="254" t="str">
        <f>IF(AND('Mapa final SI'!$AC$58="Muy Baja",'Mapa final SI'!$AE$58="Mayor"),CONCATENATE("R9C",'Mapa final SI'!$S$58),"")</f>
        <v/>
      </c>
      <c r="AC54" s="255" t="str">
        <f>IF(AND('Mapa final SI'!$AC$59="Muy Baja",'Mapa final SI'!$AE$59="Mayor"),CONCATENATE("R9C",'Mapa final SI'!$S$59),"")</f>
        <v/>
      </c>
      <c r="AD54" s="255" t="str">
        <f>IF(AND('Mapa final SI'!$AC$60="Muy Baja",'Mapa final SI'!$AE$60="Mayor"),CONCATENATE("R9C",'Mapa final SI'!$S$60),"")</f>
        <v/>
      </c>
      <c r="AE54" s="255" t="str">
        <f>IF(AND('Mapa final SI'!$AC$61="Muy Baja",'Mapa final SI'!$AE$61="Mayor"),CONCATENATE("R9C",'Mapa final SI'!$S$61),"")</f>
        <v/>
      </c>
      <c r="AF54" s="255" t="str">
        <f>IF(AND('Mapa final SI'!$AC$62="Muy Baja",'Mapa final SI'!$AE$62="Mayor"),CONCATENATE("R9C",'Mapa final SI'!$S$62),"")</f>
        <v/>
      </c>
      <c r="AG54" s="256" t="str">
        <f>IF(AND('Mapa final SI'!$AC$63="Muy Baja",'Mapa final SI'!$AE$63="Mayor"),CONCATENATE("R9C",'Mapa final SI'!$S$63),"")</f>
        <v/>
      </c>
      <c r="AH54" s="257" t="str">
        <f>IF(AND('Mapa final SI'!$AC$58="Muy Baja",'Mapa final SI'!$AE$58="Catastrófico"),CONCATENATE("R9C",'Mapa final SI'!$S$58),"")</f>
        <v/>
      </c>
      <c r="AI54" s="258" t="str">
        <f>IF(AND('Mapa final SI'!$AC$59="Muy Baja",'Mapa final SI'!$AE$59="Catastrófico"),CONCATENATE("R9C",'Mapa final SI'!$S$59),"")</f>
        <v/>
      </c>
      <c r="AJ54" s="258" t="str">
        <f>IF(AND('Mapa final SI'!$AC$60="Muy Baja",'Mapa final SI'!$AE$60="Catastrófico"),CONCATENATE("R9C",'Mapa final SI'!$S$60),"")</f>
        <v/>
      </c>
      <c r="AK54" s="258" t="str">
        <f>IF(AND('Mapa final SI'!$AC$61="Muy Baja",'Mapa final SI'!$AE$61="Catastrófico"),CONCATENATE("R9C",'Mapa final SI'!$S$61),"")</f>
        <v/>
      </c>
      <c r="AL54" s="258" t="str">
        <f>IF(AND('Mapa final SI'!$AC$62="Muy Baja",'Mapa final SI'!$AE$62="Catastrófico"),CONCATENATE("R9C",'Mapa final SI'!$S$62),"")</f>
        <v/>
      </c>
      <c r="AM54" s="259"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6"/>
      <c r="C55" s="716"/>
      <c r="D55" s="717"/>
      <c r="E55" s="808"/>
      <c r="F55" s="809"/>
      <c r="G55" s="809"/>
      <c r="H55" s="809"/>
      <c r="I55" s="810"/>
      <c r="J55" s="281" t="str">
        <f>IF(AND('Mapa final SI'!$AC$64="Muy Baja",'Mapa final SI'!$AE$64="Leve"),CONCATENATE("R10C",'Mapa final SI'!$S$64),"")</f>
        <v/>
      </c>
      <c r="K55" s="282" t="str">
        <f>IF(AND('Mapa final SI'!$AC$65="Muy Baja",'Mapa final SI'!$AE$65="Leve"),CONCATENATE("R10C",'Mapa final SI'!$S$65),"")</f>
        <v/>
      </c>
      <c r="L55" s="282" t="str">
        <f>IF(AND('Mapa final SI'!$AC$66="Muy Baja",'Mapa final SI'!$AE$66="Leve"),CONCATENATE("R10C",'Mapa final SI'!$S$66),"")</f>
        <v/>
      </c>
      <c r="M55" s="282" t="str">
        <f>IF(AND('Mapa final SI'!$AC$67="Muy Baja",'Mapa final SI'!$AE$67="Leve"),CONCATENATE("R10C",'Mapa final SI'!$S$67),"")</f>
        <v/>
      </c>
      <c r="N55" s="282" t="str">
        <f>IF(AND('Mapa final SI'!$AC$68="Muy Baja",'Mapa final SI'!$AE$68="Leve"),CONCATENATE("R10C",'Mapa final SI'!$S$68),"")</f>
        <v/>
      </c>
      <c r="O55" s="283" t="str">
        <f>IF(AND('Mapa final SI'!$AC$69="Muy Baja",'Mapa final SI'!$AE$69="Leve"),CONCATENATE("R10C",'Mapa final SI'!$S$69),"")</f>
        <v/>
      </c>
      <c r="P55" s="281" t="str">
        <f>IF(AND('Mapa final SI'!$AC$64="Muy Baja",'Mapa final SI'!$AE$64="Menor"),CONCATENATE("R10C",'Mapa final SI'!$S$64),"")</f>
        <v/>
      </c>
      <c r="Q55" s="282" t="str">
        <f>IF(AND('Mapa final SI'!$AC$65="Muy Baja",'Mapa final SI'!$AE$65="Menor"),CONCATENATE("R10C",'Mapa final SI'!$S$65),"")</f>
        <v/>
      </c>
      <c r="R55" s="282" t="str">
        <f>IF(AND('Mapa final SI'!$AC$66="Muy Baja",'Mapa final SI'!$AE$66="Menor"),CONCATENATE("R10C",'Mapa final SI'!$S$66),"")</f>
        <v/>
      </c>
      <c r="S55" s="282" t="str">
        <f>IF(AND('Mapa final SI'!$AC$67="Muy Baja",'Mapa final SI'!$AE$67="Menor"),CONCATENATE("R10C",'Mapa final SI'!$S$67),"")</f>
        <v/>
      </c>
      <c r="T55" s="282" t="str">
        <f>IF(AND('Mapa final SI'!$AC$68="Muy Baja",'Mapa final SI'!$AE$68="Menor"),CONCATENATE("R10C",'Mapa final SI'!$S$68),"")</f>
        <v/>
      </c>
      <c r="U55" s="283" t="str">
        <f>IF(AND('Mapa final SI'!$AC$69="Muy Baja",'Mapa final SI'!$AE$69="Menor"),CONCATENATE("R10C",'Mapa final SI'!$S$69),"")</f>
        <v/>
      </c>
      <c r="V55" s="272" t="str">
        <f>IF(AND('Mapa final SI'!$AC$64="Muy Baja",'Mapa final SI'!$AE$64="Moderado"),CONCATENATE("R10C",'Mapa final SI'!$S$64),"")</f>
        <v/>
      </c>
      <c r="W55" s="273" t="str">
        <f>IF(AND('Mapa final SI'!$AC$65="Muy Baja",'Mapa final SI'!$AE$65="Moderado"),CONCATENATE("R10C",'Mapa final SI'!$S$65),"")</f>
        <v/>
      </c>
      <c r="X55" s="273" t="str">
        <f>IF(AND('Mapa final SI'!$AC$66="Muy Baja",'Mapa final SI'!$AE$66="Moderado"),CONCATENATE("R10C",'Mapa final SI'!$S$66),"")</f>
        <v/>
      </c>
      <c r="Y55" s="273" t="str">
        <f>IF(AND('Mapa final SI'!$AC$67="Muy Baja",'Mapa final SI'!$AE$67="Moderado"),CONCATENATE("R10C",'Mapa final SI'!$S$67),"")</f>
        <v/>
      </c>
      <c r="Z55" s="273" t="str">
        <f>IF(AND('Mapa final SI'!$AC$68="Muy Baja",'Mapa final SI'!$AE$68="Moderado"),CONCATENATE("R10C",'Mapa final SI'!$S$68),"")</f>
        <v/>
      </c>
      <c r="AA55" s="274" t="str">
        <f>IF(AND('Mapa final SI'!$AC$69="Muy Baja",'Mapa final SI'!$AE$69="Moderado"),CONCATENATE("R10C",'Mapa final SI'!$S$69),"")</f>
        <v/>
      </c>
      <c r="AB55" s="260" t="str">
        <f>IF(AND('Mapa final SI'!$AC$64="Muy Baja",'Mapa final SI'!$AE$64="Mayor"),CONCATENATE("R10C",'Mapa final SI'!$S$64),"")</f>
        <v/>
      </c>
      <c r="AC55" s="261" t="str">
        <f>IF(AND('Mapa final SI'!$AC$65="Muy Baja",'Mapa final SI'!$AE$65="Mayor"),CONCATENATE("R10C",'Mapa final SI'!$S$65),"")</f>
        <v/>
      </c>
      <c r="AD55" s="261" t="str">
        <f>IF(AND('Mapa final SI'!$AC$66="Muy Baja",'Mapa final SI'!$AE$66="Mayor"),CONCATENATE("R10C",'Mapa final SI'!$S$66),"")</f>
        <v/>
      </c>
      <c r="AE55" s="261" t="str">
        <f>IF(AND('Mapa final SI'!$AC$67="Muy Baja",'Mapa final SI'!$AE$67="Mayor"),CONCATENATE("R10C",'Mapa final SI'!$S$67),"")</f>
        <v/>
      </c>
      <c r="AF55" s="261" t="str">
        <f>IF(AND('Mapa final SI'!$AC$68="Muy Baja",'Mapa final SI'!$AE$68="Mayor"),CONCATENATE("R10C",'Mapa final SI'!$S$68),"")</f>
        <v/>
      </c>
      <c r="AG55" s="262" t="str">
        <f>IF(AND('Mapa final SI'!$AC$69="Muy Baja",'Mapa final SI'!$AE$69="Mayor"),CONCATENATE("R10C",'Mapa final SI'!$S$69),"")</f>
        <v/>
      </c>
      <c r="AH55" s="263" t="str">
        <f>IF(AND('Mapa final SI'!$AC$64="Muy Baja",'Mapa final SI'!$AE$64="Catastrófico"),CONCATENATE("R10C",'Mapa final SI'!$S$64),"")</f>
        <v/>
      </c>
      <c r="AI55" s="264" t="str">
        <f>IF(AND('Mapa final SI'!$AC$65="Muy Baja",'Mapa final SI'!$AE$65="Catastrófico"),CONCATENATE("R10C",'Mapa final SI'!$S$65),"")</f>
        <v/>
      </c>
      <c r="AJ55" s="264" t="str">
        <f>IF(AND('Mapa final SI'!$AC$66="Muy Baja",'Mapa final SI'!$AE$66="Catastrófico"),CONCATENATE("R10C",'Mapa final SI'!$S$66),"")</f>
        <v/>
      </c>
      <c r="AK55" s="264" t="str">
        <f>IF(AND('Mapa final SI'!$AC$67="Muy Baja",'Mapa final SI'!$AE$67="Catastrófico"),CONCATENATE("R10C",'Mapa final SI'!$S$67),"")</f>
        <v/>
      </c>
      <c r="AL55" s="264" t="str">
        <f>IF(AND('Mapa final SI'!$AC$68="Muy Baja",'Mapa final SI'!$AE$68="Catastrófico"),CONCATENATE("R10C",'Mapa final SI'!$S$68),"")</f>
        <v/>
      </c>
      <c r="AM55" s="265"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02" t="s">
        <v>198</v>
      </c>
      <c r="K56" s="803"/>
      <c r="L56" s="803"/>
      <c r="M56" s="803"/>
      <c r="N56" s="803"/>
      <c r="O56" s="804"/>
      <c r="P56" s="802" t="s">
        <v>199</v>
      </c>
      <c r="Q56" s="803"/>
      <c r="R56" s="803"/>
      <c r="S56" s="803"/>
      <c r="T56" s="803"/>
      <c r="U56" s="804"/>
      <c r="V56" s="802" t="s">
        <v>200</v>
      </c>
      <c r="W56" s="803"/>
      <c r="X56" s="803"/>
      <c r="Y56" s="803"/>
      <c r="Z56" s="803"/>
      <c r="AA56" s="804"/>
      <c r="AB56" s="802" t="s">
        <v>201</v>
      </c>
      <c r="AC56" s="848"/>
      <c r="AD56" s="803"/>
      <c r="AE56" s="803"/>
      <c r="AF56" s="803"/>
      <c r="AG56" s="804"/>
      <c r="AH56" s="802" t="s">
        <v>202</v>
      </c>
      <c r="AI56" s="803"/>
      <c r="AJ56" s="803"/>
      <c r="AK56" s="803"/>
      <c r="AL56" s="803"/>
      <c r="AM56" s="8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05"/>
      <c r="K57" s="806"/>
      <c r="L57" s="806"/>
      <c r="M57" s="806"/>
      <c r="N57" s="806"/>
      <c r="O57" s="807"/>
      <c r="P57" s="805"/>
      <c r="Q57" s="806"/>
      <c r="R57" s="806"/>
      <c r="S57" s="806"/>
      <c r="T57" s="806"/>
      <c r="U57" s="807"/>
      <c r="V57" s="805"/>
      <c r="W57" s="806"/>
      <c r="X57" s="806"/>
      <c r="Y57" s="806"/>
      <c r="Z57" s="806"/>
      <c r="AA57" s="807"/>
      <c r="AB57" s="805"/>
      <c r="AC57" s="806"/>
      <c r="AD57" s="806"/>
      <c r="AE57" s="806"/>
      <c r="AF57" s="806"/>
      <c r="AG57" s="807"/>
      <c r="AH57" s="805"/>
      <c r="AI57" s="806"/>
      <c r="AJ57" s="806"/>
      <c r="AK57" s="806"/>
      <c r="AL57" s="806"/>
      <c r="AM57" s="8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05"/>
      <c r="K58" s="806"/>
      <c r="L58" s="806"/>
      <c r="M58" s="806"/>
      <c r="N58" s="806"/>
      <c r="O58" s="807"/>
      <c r="P58" s="805"/>
      <c r="Q58" s="806"/>
      <c r="R58" s="806"/>
      <c r="S58" s="806"/>
      <c r="T58" s="806"/>
      <c r="U58" s="807"/>
      <c r="V58" s="805"/>
      <c r="W58" s="806"/>
      <c r="X58" s="806"/>
      <c r="Y58" s="806"/>
      <c r="Z58" s="806"/>
      <c r="AA58" s="807"/>
      <c r="AB58" s="805"/>
      <c r="AC58" s="806"/>
      <c r="AD58" s="806"/>
      <c r="AE58" s="806"/>
      <c r="AF58" s="806"/>
      <c r="AG58" s="807"/>
      <c r="AH58" s="805"/>
      <c r="AI58" s="806"/>
      <c r="AJ58" s="806"/>
      <c r="AK58" s="806"/>
      <c r="AL58" s="806"/>
      <c r="AM58" s="8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05"/>
      <c r="K59" s="806"/>
      <c r="L59" s="806"/>
      <c r="M59" s="806"/>
      <c r="N59" s="806"/>
      <c r="O59" s="807"/>
      <c r="P59" s="805"/>
      <c r="Q59" s="806"/>
      <c r="R59" s="806"/>
      <c r="S59" s="806"/>
      <c r="T59" s="806"/>
      <c r="U59" s="807"/>
      <c r="V59" s="805"/>
      <c r="W59" s="806"/>
      <c r="X59" s="806"/>
      <c r="Y59" s="806"/>
      <c r="Z59" s="806"/>
      <c r="AA59" s="807"/>
      <c r="AB59" s="805"/>
      <c r="AC59" s="806"/>
      <c r="AD59" s="806"/>
      <c r="AE59" s="806"/>
      <c r="AF59" s="806"/>
      <c r="AG59" s="807"/>
      <c r="AH59" s="805"/>
      <c r="AI59" s="806"/>
      <c r="AJ59" s="806"/>
      <c r="AK59" s="806"/>
      <c r="AL59" s="806"/>
      <c r="AM59" s="8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05"/>
      <c r="K60" s="806"/>
      <c r="L60" s="806"/>
      <c r="M60" s="806"/>
      <c r="N60" s="806"/>
      <c r="O60" s="807"/>
      <c r="P60" s="805"/>
      <c r="Q60" s="806"/>
      <c r="R60" s="806"/>
      <c r="S60" s="806"/>
      <c r="T60" s="806"/>
      <c r="U60" s="807"/>
      <c r="V60" s="805"/>
      <c r="W60" s="806"/>
      <c r="X60" s="806"/>
      <c r="Y60" s="806"/>
      <c r="Z60" s="806"/>
      <c r="AA60" s="807"/>
      <c r="AB60" s="805"/>
      <c r="AC60" s="806"/>
      <c r="AD60" s="806"/>
      <c r="AE60" s="806"/>
      <c r="AF60" s="806"/>
      <c r="AG60" s="807"/>
      <c r="AH60" s="805"/>
      <c r="AI60" s="806"/>
      <c r="AJ60" s="806"/>
      <c r="AK60" s="806"/>
      <c r="AL60" s="806"/>
      <c r="AM60" s="8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08"/>
      <c r="K61" s="809"/>
      <c r="L61" s="809"/>
      <c r="M61" s="809"/>
      <c r="N61" s="809"/>
      <c r="O61" s="810"/>
      <c r="P61" s="808"/>
      <c r="Q61" s="809"/>
      <c r="R61" s="809"/>
      <c r="S61" s="809"/>
      <c r="T61" s="809"/>
      <c r="U61" s="810"/>
      <c r="V61" s="808"/>
      <c r="W61" s="809"/>
      <c r="X61" s="809"/>
      <c r="Y61" s="809"/>
      <c r="Z61" s="809"/>
      <c r="AA61" s="810"/>
      <c r="AB61" s="808"/>
      <c r="AC61" s="809"/>
      <c r="AD61" s="809"/>
      <c r="AE61" s="809"/>
      <c r="AF61" s="809"/>
      <c r="AG61" s="810"/>
      <c r="AH61" s="808"/>
      <c r="AI61" s="809"/>
      <c r="AJ61" s="809"/>
      <c r="AK61" s="809"/>
      <c r="AL61" s="809"/>
      <c r="AM61" s="8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x14ac:dyDescent="0.25">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3d2Kl5oDrX+FzDLwKdpxrxYICkIwCB3JyS5bVMRPQAOrurKIeFRQx+SAS4THM9IjRfg2vLajxO6PkLsDwDOYA==" saltValue="GxjQ6N7Okrr5E096Ggm8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AB32" sqref="AB32"/>
      <selection pane="bottomLeft" activeCell="AB32" sqref="AB32"/>
      <selection pane="bottomRight" activeCell="A7" sqref="A7"/>
    </sheetView>
  </sheetViews>
  <sheetFormatPr baseColWidth="10" defaultColWidth="11.42578125" defaultRowHeight="15" x14ac:dyDescent="0.25"/>
  <cols>
    <col min="1" max="1" width="4.140625" style="113" customWidth="1"/>
    <col min="2" max="2" width="21.28515625" style="43" customWidth="1"/>
    <col min="3" max="3" width="31.5703125" style="43" customWidth="1"/>
    <col min="4" max="4" width="22.42578125" style="43" customWidth="1"/>
    <col min="5" max="5" width="38.5703125" style="43" customWidth="1"/>
    <col min="6" max="6" width="11.7109375" style="86" customWidth="1"/>
    <col min="7" max="8" width="10.28515625" style="86" customWidth="1"/>
    <col min="9" max="11" width="10.28515625" style="429" customWidth="1"/>
    <col min="12" max="12" width="13.140625" style="429"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8"/>
      <c r="C1" s="157"/>
      <c r="D1" s="868" t="s">
        <v>204</v>
      </c>
      <c r="E1" s="852" t="s">
        <v>205</v>
      </c>
      <c r="F1" s="870"/>
      <c r="G1" s="870"/>
      <c r="H1" s="870"/>
      <c r="I1" s="870"/>
      <c r="J1" s="870"/>
      <c r="K1" s="870"/>
      <c r="L1" s="870"/>
      <c r="M1" s="870"/>
      <c r="N1" s="870"/>
      <c r="O1" s="870"/>
      <c r="P1" s="162" t="s">
        <v>206</v>
      </c>
      <c r="Q1" s="161" t="s">
        <v>207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49" t="s">
        <v>208</v>
      </c>
      <c r="CL1" s="850"/>
    </row>
    <row r="2" spans="1:90" ht="24" customHeight="1" thickBot="1" x14ac:dyDescent="0.3">
      <c r="A2" s="112"/>
      <c r="B2" s="147"/>
      <c r="C2" s="158"/>
      <c r="D2" s="869"/>
      <c r="E2" s="852"/>
      <c r="F2" s="870"/>
      <c r="G2" s="870"/>
      <c r="H2" s="870"/>
      <c r="I2" s="870"/>
      <c r="J2" s="870"/>
      <c r="K2" s="870"/>
      <c r="L2" s="870"/>
      <c r="M2" s="870"/>
      <c r="N2" s="870"/>
      <c r="O2" s="870"/>
      <c r="P2" s="162" t="s">
        <v>209</v>
      </c>
      <c r="Q2" s="162" t="s">
        <v>210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49" t="s">
        <v>211</v>
      </c>
      <c r="CL2" s="850"/>
    </row>
    <row r="3" spans="1:90" s="107" customFormat="1" ht="36.75" customHeight="1" thickBot="1" x14ac:dyDescent="0.3">
      <c r="A3" s="112"/>
      <c r="B3" s="147"/>
      <c r="C3" s="159"/>
      <c r="D3" s="165" t="s">
        <v>212</v>
      </c>
      <c r="E3" s="851" t="s">
        <v>1329</v>
      </c>
      <c r="F3" s="851"/>
      <c r="G3" s="851"/>
      <c r="H3" s="851"/>
      <c r="I3" s="851"/>
      <c r="J3" s="851"/>
      <c r="K3" s="851"/>
      <c r="L3" s="851"/>
      <c r="M3" s="851"/>
      <c r="N3" s="851"/>
      <c r="O3" s="852"/>
      <c r="P3" s="162" t="s">
        <v>214</v>
      </c>
      <c r="Q3" s="163">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3" t="s">
        <v>215</v>
      </c>
      <c r="CL3" s="854"/>
    </row>
    <row r="4" spans="1:90" ht="27" customHeight="1" x14ac:dyDescent="0.25">
      <c r="A4" s="112"/>
      <c r="B4" s="149"/>
      <c r="C4" s="150"/>
      <c r="D4" s="151"/>
      <c r="E4" s="855" t="s">
        <v>216</v>
      </c>
      <c r="F4" s="855"/>
      <c r="G4" s="855"/>
      <c r="H4" s="855"/>
      <c r="I4" s="855"/>
      <c r="J4" s="855"/>
      <c r="K4" s="855"/>
      <c r="L4" s="855"/>
      <c r="M4" s="855"/>
      <c r="N4" s="855"/>
      <c r="O4" s="855"/>
      <c r="P4" s="152"/>
      <c r="Q4" s="136"/>
    </row>
    <row r="5" spans="1:90" customFormat="1" ht="41.25" customHeight="1" thickBot="1" x14ac:dyDescent="0.3">
      <c r="A5" s="113"/>
      <c r="B5" s="388" t="s">
        <v>217</v>
      </c>
      <c r="C5" s="200" t="str">
        <f>IF('Mapa final SI'!E4="","",'Mapa final SI'!E4)</f>
        <v>Gestión Tecnológica</v>
      </c>
      <c r="D5" s="389"/>
      <c r="I5" s="14"/>
      <c r="J5" s="14"/>
      <c r="K5" s="14"/>
      <c r="L5" s="14"/>
      <c r="Q5" s="390"/>
    </row>
    <row r="6" spans="1:90" s="1" customFormat="1" ht="114" customHeight="1" thickBot="1" x14ac:dyDescent="0.3">
      <c r="A6" s="340" t="s">
        <v>218</v>
      </c>
      <c r="B6" s="396" t="s">
        <v>219</v>
      </c>
      <c r="C6" s="369" t="s">
        <v>220</v>
      </c>
      <c r="D6" s="392" t="s">
        <v>154</v>
      </c>
      <c r="E6" s="393" t="s">
        <v>221</v>
      </c>
      <c r="F6" s="394" t="s">
        <v>188</v>
      </c>
      <c r="G6" s="394" t="s">
        <v>81</v>
      </c>
      <c r="H6" s="394" t="s">
        <v>222</v>
      </c>
      <c r="I6" s="394" t="s">
        <v>188</v>
      </c>
      <c r="J6" s="394" t="s">
        <v>81</v>
      </c>
      <c r="K6" s="394" t="s">
        <v>223</v>
      </c>
      <c r="L6" s="394" t="s">
        <v>224</v>
      </c>
      <c r="M6" s="369" t="s">
        <v>225</v>
      </c>
      <c r="N6" s="369" t="s">
        <v>226</v>
      </c>
      <c r="O6" s="369" t="s">
        <v>149</v>
      </c>
      <c r="P6" s="369" t="s">
        <v>227</v>
      </c>
      <c r="Q6" s="369" t="s">
        <v>228</v>
      </c>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row>
    <row r="7" spans="1:90" ht="69.75" customHeight="1" x14ac:dyDescent="0.25">
      <c r="A7" s="115" t="s">
        <v>229</v>
      </c>
      <c r="B7" s="856" t="s">
        <v>230</v>
      </c>
      <c r="C7" s="862"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la OIP</v>
      </c>
      <c r="D7" s="1071" t="s">
        <v>1311</v>
      </c>
      <c r="E7" s="862" t="str">
        <f>IF('Mapa final SI'!F10="","",'Mapa final SI'!F10)</f>
        <v>Inadecuada implementacion de  herramientas de seguridad de la información por parte de la OIP</v>
      </c>
      <c r="F7" s="864" t="str">
        <f>IF('Mapa final SI'!L10="","",'Mapa final SI'!L10)</f>
        <v>Media</v>
      </c>
      <c r="G7" s="864" t="str">
        <f>IF('Mapa final SI'!P10="","",'Mapa final SI'!P10)</f>
        <v>Leve</v>
      </c>
      <c r="H7" s="107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0" t="str">
        <f>IF('Mapa final SI'!AC10="","",'Mapa final SI'!AC10)</f>
        <v>Baja</v>
      </c>
      <c r="J7" s="400" t="str">
        <f>IF('Mapa final SI'!AE10="","",'Mapa final SI'!AE10)</f>
        <v>Leve</v>
      </c>
      <c r="K7" s="40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00" t="str">
        <f>IF('Mapa final SI'!AH10="","",'Mapa final SI'!AH10)</f>
        <v/>
      </c>
      <c r="M7" s="339" t="str">
        <f>IF('Mapa final SI'!T10="","",'Mapa final SI'!T10)</f>
        <v>El grupo de sistemas realiza monitoreo mensual a la sede electronica del Ministerio para identificar vulnerabilidades de seguridad. Como evidencia de presenta el reporte gerenado por la herramienta.</v>
      </c>
      <c r="N7" s="397" t="s">
        <v>1330</v>
      </c>
      <c r="O7" s="397" t="s">
        <v>1331</v>
      </c>
      <c r="P7" s="397" t="s">
        <v>1332</v>
      </c>
      <c r="Q7" s="479" t="s">
        <v>1333</v>
      </c>
    </row>
    <row r="8" spans="1:90" ht="66" customHeight="1" x14ac:dyDescent="0.25">
      <c r="A8" s="115" t="s">
        <v>235</v>
      </c>
      <c r="B8" s="857"/>
      <c r="C8" s="863"/>
      <c r="D8" s="1072"/>
      <c r="E8" s="863"/>
      <c r="F8" s="865"/>
      <c r="G8" s="865"/>
      <c r="H8" s="1073"/>
      <c r="I8" s="400" t="str">
        <f>IF('Mapa final SI'!AC11="","",'Mapa final SI'!AC11)</f>
        <v>Muy Baja</v>
      </c>
      <c r="J8" s="400" t="str">
        <f>IF('Mapa final SI'!AE11="","",'Mapa final SI'!AE11)</f>
        <v>Leve</v>
      </c>
      <c r="K8" s="40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00" t="str">
        <f>IF('Mapa final SI'!AH11="","",'Mapa final SI'!AH11)</f>
        <v/>
      </c>
      <c r="M8" s="339" t="str">
        <f>IF('Mapa final SI'!T11="","",'Mapa final SI'!T11)</f>
        <v>El grupo de sistema realiza un monitoreo mensual de las cuentas de correo activas en el Ministerio con el fin de identificar y mitigar posibles amenzas de seguridad. Como evidencia se presenta el reporte generado por la herramienta Defender.</v>
      </c>
      <c r="N8" s="397" t="s">
        <v>1334</v>
      </c>
      <c r="O8" s="397" t="s">
        <v>1331</v>
      </c>
      <c r="P8" s="397" t="s">
        <v>1335</v>
      </c>
      <c r="Q8" s="479" t="s">
        <v>1336</v>
      </c>
    </row>
    <row r="9" spans="1:90" ht="69" customHeight="1" x14ac:dyDescent="0.25">
      <c r="A9" s="115" t="s">
        <v>238</v>
      </c>
      <c r="B9" s="857"/>
      <c r="C9" s="863"/>
      <c r="D9" s="1072"/>
      <c r="E9" s="863"/>
      <c r="F9" s="865"/>
      <c r="G9" s="865"/>
      <c r="H9" s="1073"/>
      <c r="I9" s="400" t="str">
        <f>IF('Mapa final SI'!AC12="","",'Mapa final SI'!AC12)</f>
        <v>Muy Baja</v>
      </c>
      <c r="J9" s="400" t="str">
        <f>IF('Mapa final SI'!AE12="","",'Mapa final SI'!AE12)</f>
        <v>Leve</v>
      </c>
      <c r="K9" s="400" t="str">
        <f t="shared" si="0"/>
        <v>Bajo</v>
      </c>
      <c r="L9" s="400" t="str">
        <f>IF('Mapa final SI'!AH12="","",'Mapa final SI'!AH12)</f>
        <v/>
      </c>
      <c r="M9" s="339" t="str">
        <f>IF('Mapa final SI'!T12="","",'Mapa final SI'!T12)</f>
        <v>El Grupo de Sistemas realiza un reporte mensual de vulnerabilidades en la red LAN mediante herramientas de escaneo, con el objetivo de identificar posibles amenazas de seguridad. Como evidencia se presenta el reporte generado por el Firewall.</v>
      </c>
      <c r="N9" s="397" t="s">
        <v>1337</v>
      </c>
      <c r="O9" s="397" t="s">
        <v>1331</v>
      </c>
      <c r="P9" s="397" t="s">
        <v>1335</v>
      </c>
      <c r="Q9" s="479" t="s">
        <v>1336</v>
      </c>
    </row>
    <row r="10" spans="1:90" ht="114" customHeight="1" x14ac:dyDescent="0.25">
      <c r="A10" s="115" t="s">
        <v>242</v>
      </c>
      <c r="B10" s="857"/>
      <c r="C10" s="863"/>
      <c r="D10" s="1072"/>
      <c r="E10" s="863"/>
      <c r="F10" s="865"/>
      <c r="G10" s="865"/>
      <c r="H10" s="1073"/>
      <c r="I10" s="400" t="str">
        <f>IF('Mapa final SI'!AC13="","",'Mapa final SI'!AC13)</f>
        <v>Muy Baja</v>
      </c>
      <c r="J10" s="400" t="str">
        <f>IF('Mapa final SI'!AE13="","",'Mapa final SI'!AE13)</f>
        <v>Leve</v>
      </c>
      <c r="K10" s="400" t="str">
        <f t="shared" si="0"/>
        <v>Bajo</v>
      </c>
      <c r="L10" s="400" t="str">
        <f>IF('Mapa final SI'!AH13="","",'Mapa final SI'!AH13)</f>
        <v/>
      </c>
      <c r="M10" s="339" t="str">
        <f>IF('Mapa final SI'!T13="","",'Mapa final SI'!T13)</f>
        <v>El Grupo de Sistemas ejecuta un monitoreo mensual de los equipos informáticos del Ministerio mediante solucion antivirus, para detectar y mitigar posibles amenazas de software malicioso.  Como evidencia se presenta el reporte generado por la herramienta Antivirus.</v>
      </c>
      <c r="N10" s="397" t="s">
        <v>1338</v>
      </c>
      <c r="O10" s="397" t="s">
        <v>1331</v>
      </c>
      <c r="P10" s="397" t="s">
        <v>1335</v>
      </c>
      <c r="Q10" s="479" t="s">
        <v>1336</v>
      </c>
    </row>
    <row r="11" spans="1:90" ht="71.25" customHeight="1" x14ac:dyDescent="0.25">
      <c r="A11" s="115" t="s">
        <v>243</v>
      </c>
      <c r="B11" s="857"/>
      <c r="C11" s="863"/>
      <c r="D11" s="1072"/>
      <c r="E11" s="863"/>
      <c r="F11" s="865"/>
      <c r="G11" s="865"/>
      <c r="H11" s="1073"/>
      <c r="I11" s="400" t="str">
        <f>IF('Mapa final SI'!AC14="","",'Mapa final SI'!AC14)</f>
        <v>Muy Baja</v>
      </c>
      <c r="J11" s="400" t="str">
        <f>IF('Mapa final SI'!AE14="","",'Mapa final SI'!AE14)</f>
        <v>Leve</v>
      </c>
      <c r="K11" s="400" t="str">
        <f t="shared" si="0"/>
        <v>Bajo</v>
      </c>
      <c r="L11" s="400" t="str">
        <f>IF('Mapa final SI'!AH14="","",'Mapa final SI'!AH14)</f>
        <v>Aceptar</v>
      </c>
      <c r="M11" s="339" t="str">
        <f>IF('Mapa final SI'!T14="","",'Mapa final SI'!T14)</f>
        <v>El Grupo de Sistemas  realiza acciones mesuales de restricción y verificación de accesos a servidores y bases de datos, con el propósito de prevenir accesos no autorizados y posibles brechas de seguridad. Como evidencia se genera un informe generado por los ingenieros a cargo.</v>
      </c>
      <c r="N11" s="397" t="s">
        <v>1339</v>
      </c>
      <c r="O11" s="397" t="s">
        <v>1331</v>
      </c>
      <c r="P11" s="397" t="s">
        <v>1335</v>
      </c>
      <c r="Q11" s="479" t="s">
        <v>1340</v>
      </c>
    </row>
    <row r="12" spans="1:90" ht="66" customHeight="1" x14ac:dyDescent="0.25">
      <c r="A12" s="115" t="s">
        <v>244</v>
      </c>
      <c r="B12" s="857"/>
      <c r="C12" s="863"/>
      <c r="D12" s="1072"/>
      <c r="E12" s="863"/>
      <c r="F12" s="865"/>
      <c r="G12" s="865"/>
      <c r="H12" s="866"/>
      <c r="I12" s="400" t="str">
        <f>IF('Mapa final SI'!AC15="","",'Mapa final SI'!AC15)</f>
        <v/>
      </c>
      <c r="J12" s="400" t="str">
        <f>IF('Mapa final SI'!AE15="","",'Mapa final SI'!AE15)</f>
        <v/>
      </c>
      <c r="K12" s="400" t="str">
        <f t="shared" si="0"/>
        <v/>
      </c>
      <c r="L12" s="400" t="str">
        <f>IF('Mapa final SI'!AH15="","",'Mapa final SI'!AH15)</f>
        <v/>
      </c>
      <c r="M12" s="339" t="str">
        <f>IF('Mapa final SI'!T15="","",'Mapa final SI'!T15)</f>
        <v/>
      </c>
      <c r="N12" s="397"/>
      <c r="O12" s="397"/>
      <c r="P12" s="397"/>
      <c r="Q12" s="398"/>
    </row>
    <row r="13" spans="1:90" ht="43.5" customHeight="1" x14ac:dyDescent="0.25">
      <c r="A13" s="115" t="s">
        <v>245</v>
      </c>
      <c r="B13" s="856"/>
      <c r="C13" s="862" t="str">
        <f>IF('Mapa final SI'!G16="","",'Mapa final SI'!G16)</f>
        <v/>
      </c>
      <c r="D13" s="860"/>
      <c r="E13" s="862" t="str">
        <f>IF('Mapa final SI'!F16="","",'Mapa final SI'!F16)</f>
        <v/>
      </c>
      <c r="F13" s="864" t="str">
        <f>IF('Mapa final SI'!L16="","",'Mapa final SI'!L16)</f>
        <v/>
      </c>
      <c r="G13" s="864" t="str">
        <f>IF('Mapa final SI'!P16="","",'Mapa final SI'!P16)</f>
        <v/>
      </c>
      <c r="H13" s="107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0" t="str">
        <f>IF('Mapa final SI'!AC16="","",'Mapa final SI'!AC16)</f>
        <v/>
      </c>
      <c r="J13" s="400" t="str">
        <f>IF('Mapa final SI'!AE16="","",'Mapa final SI'!AE16)</f>
        <v/>
      </c>
      <c r="K13" s="400" t="str">
        <f t="shared" si="0"/>
        <v/>
      </c>
      <c r="L13" s="400" t="str">
        <f>IF('Mapa final SI'!AH16="","",'Mapa final SI'!AH16)</f>
        <v/>
      </c>
      <c r="M13" s="339" t="str">
        <f>IF('Mapa final SI'!T16="","",'Mapa final SI'!T16)</f>
        <v/>
      </c>
      <c r="N13" s="397"/>
      <c r="O13" s="397"/>
      <c r="P13" s="397"/>
      <c r="Q13" s="398"/>
    </row>
    <row r="14" spans="1:90" ht="43.5" customHeight="1" x14ac:dyDescent="0.25">
      <c r="A14" s="115" t="s">
        <v>246</v>
      </c>
      <c r="B14" s="857"/>
      <c r="C14" s="863"/>
      <c r="D14" s="861"/>
      <c r="E14" s="863"/>
      <c r="F14" s="865"/>
      <c r="G14" s="865"/>
      <c r="H14" s="1073"/>
      <c r="I14" s="400" t="str">
        <f>IF('Mapa final SI'!AC17="","",'Mapa final SI'!AC17)</f>
        <v/>
      </c>
      <c r="J14" s="400" t="str">
        <f>IF('Mapa final SI'!AE17="","",'Mapa final SI'!AE17)</f>
        <v/>
      </c>
      <c r="K14" s="400" t="str">
        <f t="shared" si="0"/>
        <v/>
      </c>
      <c r="L14" s="400" t="str">
        <f>IF('Mapa final SI'!AH17="","",'Mapa final SI'!AH17)</f>
        <v/>
      </c>
      <c r="M14" s="339" t="str">
        <f>IF('Mapa final SI'!T17="","",'Mapa final SI'!T17)</f>
        <v/>
      </c>
      <c r="N14" s="397"/>
      <c r="O14" s="397"/>
      <c r="P14" s="397"/>
      <c r="Q14" s="398"/>
    </row>
    <row r="15" spans="1:90" ht="43.5" customHeight="1" x14ac:dyDescent="0.25">
      <c r="A15" s="115" t="s">
        <v>247</v>
      </c>
      <c r="B15" s="857"/>
      <c r="C15" s="863"/>
      <c r="D15" s="861"/>
      <c r="E15" s="863"/>
      <c r="F15" s="865"/>
      <c r="G15" s="865"/>
      <c r="H15" s="1073"/>
      <c r="I15" s="400" t="str">
        <f>IF('Mapa final SI'!AC18="","",'Mapa final SI'!AC18)</f>
        <v/>
      </c>
      <c r="J15" s="400" t="str">
        <f>IF('Mapa final SI'!AE18="","",'Mapa final SI'!AE18)</f>
        <v/>
      </c>
      <c r="K15" s="400" t="str">
        <f t="shared" si="0"/>
        <v/>
      </c>
      <c r="L15" s="400" t="str">
        <f>IF('Mapa final SI'!AH18="","",'Mapa final SI'!AH18)</f>
        <v/>
      </c>
      <c r="M15" s="339" t="str">
        <f>IF('Mapa final SI'!T18="","",'Mapa final SI'!T18)</f>
        <v/>
      </c>
      <c r="N15" s="397"/>
      <c r="O15" s="397"/>
      <c r="P15" s="397"/>
      <c r="Q15" s="398"/>
    </row>
    <row r="16" spans="1:90" ht="43.5" customHeight="1" x14ac:dyDescent="0.25">
      <c r="A16" s="115" t="s">
        <v>248</v>
      </c>
      <c r="B16" s="857"/>
      <c r="C16" s="863"/>
      <c r="D16" s="861"/>
      <c r="E16" s="863"/>
      <c r="F16" s="865"/>
      <c r="G16" s="865"/>
      <c r="H16" s="1073"/>
      <c r="I16" s="400" t="str">
        <f>IF('Mapa final SI'!AC19="","",'Mapa final SI'!AC19)</f>
        <v/>
      </c>
      <c r="J16" s="400" t="str">
        <f>IF('Mapa final SI'!AE19="","",'Mapa final SI'!AE19)</f>
        <v/>
      </c>
      <c r="K16" s="400" t="str">
        <f t="shared" si="0"/>
        <v/>
      </c>
      <c r="L16" s="400" t="str">
        <f>IF('Mapa final SI'!AH19="","",'Mapa final SI'!AH19)</f>
        <v/>
      </c>
      <c r="M16" s="339" t="str">
        <f>IF('Mapa final SI'!T19="","",'Mapa final SI'!T19)</f>
        <v/>
      </c>
      <c r="N16" s="397"/>
      <c r="O16" s="397"/>
      <c r="P16" s="397"/>
      <c r="Q16" s="398"/>
    </row>
    <row r="17" spans="1:17" ht="43.5" customHeight="1" x14ac:dyDescent="0.25">
      <c r="A17" s="115" t="s">
        <v>249</v>
      </c>
      <c r="B17" s="857"/>
      <c r="C17" s="863"/>
      <c r="D17" s="861"/>
      <c r="E17" s="863"/>
      <c r="F17" s="865"/>
      <c r="G17" s="865"/>
      <c r="H17" s="1073"/>
      <c r="I17" s="400" t="str">
        <f>IF('Mapa final SI'!AC20="","",'Mapa final SI'!AC20)</f>
        <v/>
      </c>
      <c r="J17" s="400" t="str">
        <f>IF('Mapa final SI'!AE20="","",'Mapa final SI'!AE20)</f>
        <v/>
      </c>
      <c r="K17" s="400" t="str">
        <f t="shared" si="0"/>
        <v/>
      </c>
      <c r="L17" s="400" t="str">
        <f>IF('Mapa final SI'!AH20="","",'Mapa final SI'!AH20)</f>
        <v/>
      </c>
      <c r="M17" s="339" t="str">
        <f>IF('Mapa final SI'!T20="","",'Mapa final SI'!T20)</f>
        <v/>
      </c>
      <c r="N17" s="397"/>
      <c r="O17" s="397"/>
      <c r="P17" s="397"/>
      <c r="Q17" s="398"/>
    </row>
    <row r="18" spans="1:17" ht="43.5" customHeight="1" x14ac:dyDescent="0.25">
      <c r="A18" s="115" t="s">
        <v>250</v>
      </c>
      <c r="B18" s="857"/>
      <c r="C18" s="863"/>
      <c r="D18" s="861"/>
      <c r="E18" s="863"/>
      <c r="F18" s="865"/>
      <c r="G18" s="865"/>
      <c r="H18" s="866"/>
      <c r="I18" s="400" t="str">
        <f>IF('Mapa final SI'!AC21="","",'Mapa final SI'!AC21)</f>
        <v/>
      </c>
      <c r="J18" s="400" t="str">
        <f>IF('Mapa final SI'!AE21="","",'Mapa final SI'!AE21)</f>
        <v/>
      </c>
      <c r="K18" s="400" t="str">
        <f t="shared" si="0"/>
        <v/>
      </c>
      <c r="L18" s="400" t="str">
        <f>IF('Mapa final SI'!AH21="","",'Mapa final SI'!AH21)</f>
        <v/>
      </c>
      <c r="M18" s="339" t="str">
        <f>IF('Mapa final SI'!T21="","",'Mapa final SI'!T21)</f>
        <v/>
      </c>
      <c r="N18" s="397"/>
      <c r="O18" s="397"/>
      <c r="P18" s="397"/>
      <c r="Q18" s="398"/>
    </row>
    <row r="19" spans="1:17" ht="43.5" customHeight="1" x14ac:dyDescent="0.25">
      <c r="A19" s="115" t="s">
        <v>251</v>
      </c>
      <c r="B19" s="856"/>
      <c r="C19" s="862" t="str">
        <f>IF('Mapa final SI'!G22="","",'Mapa final SI'!G22)</f>
        <v/>
      </c>
      <c r="D19" s="860"/>
      <c r="E19" s="862" t="str">
        <f>IF('Mapa final SI'!F22="","",'Mapa final SI'!F22)</f>
        <v/>
      </c>
      <c r="F19" s="864" t="str">
        <f>IF('Mapa final SI'!L22="","",'Mapa final SI'!L22)</f>
        <v/>
      </c>
      <c r="G19" s="864" t="str">
        <f>IF('Mapa final SI'!P22="","",'Mapa final SI'!P22)</f>
        <v/>
      </c>
      <c r="H19" s="107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0" t="str">
        <f>IF('Mapa final SI'!AC22="","",'Mapa final SI'!AC22)</f>
        <v/>
      </c>
      <c r="J19" s="400" t="str">
        <f>IF('Mapa final SI'!AE22="","",'Mapa final SI'!AE22)</f>
        <v/>
      </c>
      <c r="K19" s="400" t="str">
        <f t="shared" si="0"/>
        <v/>
      </c>
      <c r="L19" s="400" t="str">
        <f>IF('Mapa final SI'!AH22="","",'Mapa final SI'!AH22)</f>
        <v/>
      </c>
      <c r="M19" s="339" t="str">
        <f>IF('Mapa final SI'!T22="","",'Mapa final SI'!T22)</f>
        <v/>
      </c>
      <c r="N19" s="397"/>
      <c r="O19" s="397"/>
      <c r="P19" s="397"/>
      <c r="Q19" s="398"/>
    </row>
    <row r="20" spans="1:17" ht="43.5" customHeight="1" x14ac:dyDescent="0.25">
      <c r="A20" s="115" t="s">
        <v>252</v>
      </c>
      <c r="B20" s="857"/>
      <c r="C20" s="863"/>
      <c r="D20" s="861"/>
      <c r="E20" s="863"/>
      <c r="F20" s="865"/>
      <c r="G20" s="865"/>
      <c r="H20" s="1073"/>
      <c r="I20" s="400" t="str">
        <f>IF('Mapa final SI'!AC23="","",'Mapa final SI'!AC23)</f>
        <v/>
      </c>
      <c r="J20" s="400" t="str">
        <f>IF('Mapa final SI'!AE23="","",'Mapa final SI'!AE23)</f>
        <v/>
      </c>
      <c r="K20" s="400" t="str">
        <f t="shared" si="0"/>
        <v/>
      </c>
      <c r="L20" s="400" t="str">
        <f>IF('Mapa final SI'!AH23="","",'Mapa final SI'!AH23)</f>
        <v/>
      </c>
      <c r="M20" s="339" t="str">
        <f>IF('Mapa final SI'!T23="","",'Mapa final SI'!T23)</f>
        <v/>
      </c>
      <c r="N20" s="397"/>
      <c r="O20" s="397"/>
      <c r="P20" s="397"/>
      <c r="Q20" s="398"/>
    </row>
    <row r="21" spans="1:17" ht="43.5" customHeight="1" x14ac:dyDescent="0.25">
      <c r="A21" s="115" t="s">
        <v>253</v>
      </c>
      <c r="B21" s="857"/>
      <c r="C21" s="863"/>
      <c r="D21" s="861"/>
      <c r="E21" s="863"/>
      <c r="F21" s="865"/>
      <c r="G21" s="865"/>
      <c r="H21" s="1073"/>
      <c r="I21" s="400" t="str">
        <f>IF('Mapa final SI'!AC24="","",'Mapa final SI'!AC24)</f>
        <v/>
      </c>
      <c r="J21" s="400" t="str">
        <f>IF('Mapa final SI'!AE24="","",'Mapa final SI'!AE24)</f>
        <v/>
      </c>
      <c r="K21" s="400" t="str">
        <f t="shared" si="0"/>
        <v/>
      </c>
      <c r="L21" s="400" t="str">
        <f>IF('Mapa final SI'!AH24="","",'Mapa final SI'!AH24)</f>
        <v/>
      </c>
      <c r="M21" s="339" t="str">
        <f>IF('Mapa final SI'!T24="","",'Mapa final SI'!T24)</f>
        <v/>
      </c>
      <c r="N21" s="397"/>
      <c r="O21" s="397"/>
      <c r="P21" s="397"/>
      <c r="Q21" s="398"/>
    </row>
    <row r="22" spans="1:17" ht="43.5" customHeight="1" x14ac:dyDescent="0.25">
      <c r="A22" s="115" t="s">
        <v>254</v>
      </c>
      <c r="B22" s="857"/>
      <c r="C22" s="863"/>
      <c r="D22" s="861"/>
      <c r="E22" s="863"/>
      <c r="F22" s="865"/>
      <c r="G22" s="865"/>
      <c r="H22" s="1073"/>
      <c r="I22" s="400" t="str">
        <f>IF('Mapa final SI'!AC25="","",'Mapa final SI'!AC25)</f>
        <v/>
      </c>
      <c r="J22" s="400" t="str">
        <f>IF('Mapa final SI'!AE25="","",'Mapa final SI'!AE25)</f>
        <v/>
      </c>
      <c r="K22" s="400" t="str">
        <f t="shared" si="0"/>
        <v/>
      </c>
      <c r="L22" s="400" t="str">
        <f>IF('Mapa final SI'!AH25="","",'Mapa final SI'!AH25)</f>
        <v/>
      </c>
      <c r="M22" s="339" t="str">
        <f>IF('Mapa final SI'!T25="","",'Mapa final SI'!T25)</f>
        <v/>
      </c>
      <c r="N22" s="397"/>
      <c r="O22" s="397"/>
      <c r="P22" s="397"/>
      <c r="Q22" s="398"/>
    </row>
    <row r="23" spans="1:17" ht="43.5" customHeight="1" x14ac:dyDescent="0.25">
      <c r="A23" s="115" t="s">
        <v>255</v>
      </c>
      <c r="B23" s="857"/>
      <c r="C23" s="863"/>
      <c r="D23" s="861"/>
      <c r="E23" s="863"/>
      <c r="F23" s="865"/>
      <c r="G23" s="865"/>
      <c r="H23" s="1073"/>
      <c r="I23" s="400" t="str">
        <f>IF('Mapa final SI'!AC26="","",'Mapa final SI'!AC26)</f>
        <v/>
      </c>
      <c r="J23" s="400" t="str">
        <f>IF('Mapa final SI'!AE26="","",'Mapa final SI'!AE26)</f>
        <v/>
      </c>
      <c r="K23" s="400" t="str">
        <f t="shared" si="0"/>
        <v/>
      </c>
      <c r="L23" s="400" t="str">
        <f>IF('Mapa final SI'!AH26="","",'Mapa final SI'!AH26)</f>
        <v/>
      </c>
      <c r="M23" s="339" t="str">
        <f>IF('Mapa final SI'!T26="","",'Mapa final SI'!T26)</f>
        <v/>
      </c>
      <c r="N23" s="397"/>
      <c r="O23" s="397"/>
      <c r="P23" s="397"/>
      <c r="Q23" s="398"/>
    </row>
    <row r="24" spans="1:17" ht="43.5" customHeight="1" x14ac:dyDescent="0.25">
      <c r="A24" s="115" t="s">
        <v>256</v>
      </c>
      <c r="B24" s="857"/>
      <c r="C24" s="863"/>
      <c r="D24" s="861"/>
      <c r="E24" s="863"/>
      <c r="F24" s="865"/>
      <c r="G24" s="865"/>
      <c r="H24" s="866"/>
      <c r="I24" s="400" t="str">
        <f>IF('Mapa final SI'!AC27="","",'Mapa final SI'!AC27)</f>
        <v/>
      </c>
      <c r="J24" s="400" t="str">
        <f>IF('Mapa final SI'!AE27="","",'Mapa final SI'!AE27)</f>
        <v/>
      </c>
      <c r="K24" s="400" t="str">
        <f t="shared" si="0"/>
        <v/>
      </c>
      <c r="L24" s="400" t="str">
        <f>IF('Mapa final SI'!AH27="","",'Mapa final SI'!AH27)</f>
        <v/>
      </c>
      <c r="M24" s="339" t="str">
        <f>IF('Mapa final SI'!T27="","",'Mapa final SI'!T27)</f>
        <v/>
      </c>
      <c r="N24" s="397"/>
      <c r="O24" s="397"/>
      <c r="P24" s="397"/>
      <c r="Q24" s="398"/>
    </row>
    <row r="25" spans="1:17" ht="43.5" customHeight="1" x14ac:dyDescent="0.25">
      <c r="A25" s="115" t="s">
        <v>257</v>
      </c>
      <c r="B25" s="856"/>
      <c r="C25" s="862" t="str">
        <f>IF('Mapa final SI'!G28="","",'Mapa final SI'!G28)</f>
        <v/>
      </c>
      <c r="D25" s="860"/>
      <c r="E25" s="862" t="str">
        <f>IF('Mapa final SI'!F28="","",'Mapa final SI'!F28)</f>
        <v/>
      </c>
      <c r="F25" s="864" t="str">
        <f>IF('Mapa final SI'!L28="","",'Mapa final SI'!L28)</f>
        <v/>
      </c>
      <c r="G25" s="864" t="str">
        <f>IF('Mapa final SI'!P28="","",'Mapa final SI'!P28)</f>
        <v/>
      </c>
      <c r="H25" s="107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0" t="str">
        <f>IF('Mapa final SI'!AC28="","",'Mapa final SI'!AC28)</f>
        <v/>
      </c>
      <c r="J25" s="400" t="str">
        <f>IF('Mapa final SI'!AE28="","",'Mapa final SI'!AE28)</f>
        <v/>
      </c>
      <c r="K25" s="400" t="str">
        <f t="shared" si="0"/>
        <v/>
      </c>
      <c r="L25" s="400" t="str">
        <f>IF('Mapa final SI'!AH28="","",'Mapa final SI'!AH28)</f>
        <v/>
      </c>
      <c r="M25" s="339" t="str">
        <f>IF('Mapa final SI'!T28="","",'Mapa final SI'!T28)</f>
        <v/>
      </c>
      <c r="N25" s="397"/>
      <c r="O25" s="397"/>
      <c r="P25" s="397"/>
      <c r="Q25" s="398"/>
    </row>
    <row r="26" spans="1:17" ht="43.5" customHeight="1" x14ac:dyDescent="0.25">
      <c r="A26" s="115" t="s">
        <v>258</v>
      </c>
      <c r="B26" s="857"/>
      <c r="C26" s="863"/>
      <c r="D26" s="861"/>
      <c r="E26" s="863"/>
      <c r="F26" s="865"/>
      <c r="G26" s="865"/>
      <c r="H26" s="1073"/>
      <c r="I26" s="400" t="str">
        <f>IF('Mapa final SI'!AC29="","",'Mapa final SI'!AC29)</f>
        <v/>
      </c>
      <c r="J26" s="400" t="str">
        <f>IF('Mapa final SI'!AE29="","",'Mapa final SI'!AE29)</f>
        <v/>
      </c>
      <c r="K26" s="400" t="str">
        <f t="shared" si="0"/>
        <v/>
      </c>
      <c r="L26" s="400" t="str">
        <f>IF('Mapa final SI'!AH29="","",'Mapa final SI'!AH29)</f>
        <v/>
      </c>
      <c r="M26" s="339" t="str">
        <f>IF('Mapa final SI'!T29="","",'Mapa final SI'!T29)</f>
        <v/>
      </c>
      <c r="N26" s="397"/>
      <c r="O26" s="397"/>
      <c r="P26" s="397"/>
      <c r="Q26" s="398"/>
    </row>
    <row r="27" spans="1:17" ht="43.5" customHeight="1" x14ac:dyDescent="0.25">
      <c r="A27" s="115" t="s">
        <v>259</v>
      </c>
      <c r="B27" s="857"/>
      <c r="C27" s="863"/>
      <c r="D27" s="861"/>
      <c r="E27" s="863"/>
      <c r="F27" s="865"/>
      <c r="G27" s="865"/>
      <c r="H27" s="1073"/>
      <c r="I27" s="400" t="str">
        <f>IF('Mapa final SI'!AC30="","",'Mapa final SI'!AC30)</f>
        <v/>
      </c>
      <c r="J27" s="400" t="str">
        <f>IF('Mapa final SI'!AE30="","",'Mapa final SI'!AE30)</f>
        <v/>
      </c>
      <c r="K27" s="400" t="str">
        <f t="shared" si="0"/>
        <v/>
      </c>
      <c r="L27" s="400" t="str">
        <f>IF('Mapa final SI'!AH30="","",'Mapa final SI'!AH30)</f>
        <v/>
      </c>
      <c r="M27" s="339" t="str">
        <f>IF('Mapa final SI'!T30="","",'Mapa final SI'!T30)</f>
        <v/>
      </c>
      <c r="N27" s="397"/>
      <c r="O27" s="397"/>
      <c r="P27" s="397"/>
      <c r="Q27" s="398"/>
    </row>
    <row r="28" spans="1:17" ht="43.5" customHeight="1" x14ac:dyDescent="0.25">
      <c r="A28" s="115" t="s">
        <v>260</v>
      </c>
      <c r="B28" s="857"/>
      <c r="C28" s="863"/>
      <c r="D28" s="861"/>
      <c r="E28" s="863"/>
      <c r="F28" s="865"/>
      <c r="G28" s="865"/>
      <c r="H28" s="1073"/>
      <c r="I28" s="400" t="str">
        <f>IF('Mapa final SI'!AC31="","",'Mapa final SI'!AC31)</f>
        <v/>
      </c>
      <c r="J28" s="400" t="str">
        <f>IF('Mapa final SI'!AE31="","",'Mapa final SI'!AE31)</f>
        <v/>
      </c>
      <c r="K28" s="400" t="str">
        <f t="shared" si="0"/>
        <v/>
      </c>
      <c r="L28" s="400" t="str">
        <f>IF('Mapa final SI'!AH31="","",'Mapa final SI'!AH31)</f>
        <v/>
      </c>
      <c r="M28" s="339" t="str">
        <f>IF('Mapa final SI'!T31="","",'Mapa final SI'!T31)</f>
        <v/>
      </c>
      <c r="N28" s="397"/>
      <c r="O28" s="397"/>
      <c r="P28" s="397"/>
      <c r="Q28" s="398"/>
    </row>
    <row r="29" spans="1:17" ht="43.5" customHeight="1" x14ac:dyDescent="0.25">
      <c r="A29" s="115" t="s">
        <v>261</v>
      </c>
      <c r="B29" s="857"/>
      <c r="C29" s="863"/>
      <c r="D29" s="861"/>
      <c r="E29" s="863"/>
      <c r="F29" s="865"/>
      <c r="G29" s="865"/>
      <c r="H29" s="1073"/>
      <c r="I29" s="400" t="str">
        <f>IF('Mapa final SI'!AC32="","",'Mapa final SI'!AC32)</f>
        <v/>
      </c>
      <c r="J29" s="400" t="str">
        <f>IF('Mapa final SI'!AE32="","",'Mapa final SI'!AE32)</f>
        <v/>
      </c>
      <c r="K29" s="400" t="str">
        <f t="shared" si="0"/>
        <v/>
      </c>
      <c r="L29" s="400" t="str">
        <f>IF('Mapa final SI'!AH32="","",'Mapa final SI'!AH32)</f>
        <v/>
      </c>
      <c r="M29" s="339" t="str">
        <f>IF('Mapa final SI'!T32="","",'Mapa final SI'!T32)</f>
        <v/>
      </c>
      <c r="N29" s="397"/>
      <c r="O29" s="397"/>
      <c r="P29" s="397"/>
      <c r="Q29" s="398"/>
    </row>
    <row r="30" spans="1:17" ht="43.5" customHeight="1" x14ac:dyDescent="0.25">
      <c r="A30" s="115" t="s">
        <v>262</v>
      </c>
      <c r="B30" s="857"/>
      <c r="C30" s="863"/>
      <c r="D30" s="861"/>
      <c r="E30" s="863"/>
      <c r="F30" s="865"/>
      <c r="G30" s="865"/>
      <c r="H30" s="866"/>
      <c r="I30" s="400" t="str">
        <f>IF('Mapa final SI'!AC33="","",'Mapa final SI'!AC33)</f>
        <v/>
      </c>
      <c r="J30" s="400" t="str">
        <f>IF('Mapa final SI'!AE33="","",'Mapa final SI'!AE33)</f>
        <v/>
      </c>
      <c r="K30" s="400" t="str">
        <f t="shared" si="0"/>
        <v/>
      </c>
      <c r="L30" s="400" t="str">
        <f>IF('Mapa final SI'!AH33="","",'Mapa final SI'!AH33)</f>
        <v/>
      </c>
      <c r="M30" s="339" t="str">
        <f>IF('Mapa final SI'!T33="","",'Mapa final SI'!T33)</f>
        <v/>
      </c>
      <c r="N30" s="397"/>
      <c r="O30" s="397"/>
      <c r="P30" s="397"/>
      <c r="Q30" s="398"/>
    </row>
    <row r="31" spans="1:17" ht="43.5" customHeight="1" x14ac:dyDescent="0.25">
      <c r="A31" s="115" t="s">
        <v>263</v>
      </c>
      <c r="B31" s="856"/>
      <c r="C31" s="862" t="str">
        <f>IF('Mapa final SI'!G34="","",'Mapa final SI'!G34)</f>
        <v/>
      </c>
      <c r="D31" s="860"/>
      <c r="E31" s="862" t="str">
        <f>IF('Mapa final SI'!F34="","",'Mapa final SI'!F34)</f>
        <v/>
      </c>
      <c r="F31" s="864" t="str">
        <f>IF('Mapa final SI'!L34="","",'Mapa final SI'!L34)</f>
        <v/>
      </c>
      <c r="G31" s="864" t="str">
        <f>IF('Mapa final SI'!P34="","",'Mapa final SI'!P34)</f>
        <v/>
      </c>
      <c r="H31" s="107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0" t="str">
        <f>IF('Mapa final SI'!AC34="","",'Mapa final SI'!AC34)</f>
        <v/>
      </c>
      <c r="J31" s="400" t="str">
        <f>IF('Mapa final SI'!AE34="","",'Mapa final SI'!AE34)</f>
        <v/>
      </c>
      <c r="K31" s="400" t="str">
        <f t="shared" si="0"/>
        <v/>
      </c>
      <c r="L31" s="400" t="str">
        <f>IF('Mapa final SI'!AH34="","",'Mapa final SI'!AH34)</f>
        <v/>
      </c>
      <c r="M31" s="339" t="str">
        <f>IF('Mapa final SI'!T34="","",'Mapa final SI'!T34)</f>
        <v/>
      </c>
      <c r="N31" s="397"/>
      <c r="O31" s="397"/>
      <c r="P31" s="397"/>
      <c r="Q31" s="398"/>
    </row>
    <row r="32" spans="1:17" ht="43.5" customHeight="1" x14ac:dyDescent="0.25">
      <c r="A32" s="115" t="s">
        <v>264</v>
      </c>
      <c r="B32" s="857"/>
      <c r="C32" s="863"/>
      <c r="D32" s="861"/>
      <c r="E32" s="863"/>
      <c r="F32" s="865"/>
      <c r="G32" s="865"/>
      <c r="H32" s="1073"/>
      <c r="I32" s="400" t="str">
        <f>IF('Mapa final SI'!AC35="","",'Mapa final SI'!AC35)</f>
        <v/>
      </c>
      <c r="J32" s="400" t="str">
        <f>IF('Mapa final SI'!AE35="","",'Mapa final SI'!AE35)</f>
        <v/>
      </c>
      <c r="K32" s="400" t="str">
        <f t="shared" si="0"/>
        <v/>
      </c>
      <c r="L32" s="400" t="str">
        <f>IF('Mapa final SI'!AH35="","",'Mapa final SI'!AH35)</f>
        <v/>
      </c>
      <c r="M32" s="339" t="str">
        <f>IF('Mapa final SI'!T35="","",'Mapa final SI'!T35)</f>
        <v/>
      </c>
      <c r="N32" s="397"/>
      <c r="O32" s="397"/>
      <c r="P32" s="397"/>
      <c r="Q32" s="398"/>
    </row>
    <row r="33" spans="1:17" ht="43.5" customHeight="1" x14ac:dyDescent="0.25">
      <c r="A33" s="115" t="s">
        <v>265</v>
      </c>
      <c r="B33" s="857"/>
      <c r="C33" s="863"/>
      <c r="D33" s="861"/>
      <c r="E33" s="863"/>
      <c r="F33" s="865"/>
      <c r="G33" s="865"/>
      <c r="H33" s="1073"/>
      <c r="I33" s="400" t="str">
        <f>IF('Mapa final SI'!AC36="","",'Mapa final SI'!AC36)</f>
        <v/>
      </c>
      <c r="J33" s="400" t="str">
        <f>IF('Mapa final SI'!AE36="","",'Mapa final SI'!AE36)</f>
        <v/>
      </c>
      <c r="K33" s="400" t="str">
        <f t="shared" si="0"/>
        <v/>
      </c>
      <c r="L33" s="400" t="str">
        <f>IF('Mapa final SI'!AH36="","",'Mapa final SI'!AH36)</f>
        <v/>
      </c>
      <c r="M33" s="339" t="str">
        <f>IF('Mapa final SI'!T36="","",'Mapa final SI'!T36)</f>
        <v/>
      </c>
      <c r="N33" s="397"/>
      <c r="O33" s="397"/>
      <c r="P33" s="397"/>
      <c r="Q33" s="398"/>
    </row>
    <row r="34" spans="1:17" ht="43.5" customHeight="1" x14ac:dyDescent="0.25">
      <c r="A34" s="115" t="s">
        <v>266</v>
      </c>
      <c r="B34" s="857"/>
      <c r="C34" s="863"/>
      <c r="D34" s="861"/>
      <c r="E34" s="863"/>
      <c r="F34" s="865"/>
      <c r="G34" s="865"/>
      <c r="H34" s="1073"/>
      <c r="I34" s="400" t="str">
        <f>IF('Mapa final SI'!AC37="","",'Mapa final SI'!AC37)</f>
        <v/>
      </c>
      <c r="J34" s="400" t="str">
        <f>IF('Mapa final SI'!AE37="","",'Mapa final SI'!AE37)</f>
        <v/>
      </c>
      <c r="K34" s="400" t="str">
        <f t="shared" si="0"/>
        <v/>
      </c>
      <c r="L34" s="400" t="str">
        <f>IF('Mapa final SI'!AH37="","",'Mapa final SI'!AH37)</f>
        <v/>
      </c>
      <c r="M34" s="339" t="str">
        <f>IF('Mapa final SI'!T37="","",'Mapa final SI'!T37)</f>
        <v/>
      </c>
      <c r="N34" s="397"/>
      <c r="O34" s="397"/>
      <c r="P34" s="397"/>
      <c r="Q34" s="398"/>
    </row>
    <row r="35" spans="1:17" ht="43.5" customHeight="1" x14ac:dyDescent="0.25">
      <c r="A35" s="115" t="s">
        <v>267</v>
      </c>
      <c r="B35" s="857"/>
      <c r="C35" s="863"/>
      <c r="D35" s="861"/>
      <c r="E35" s="863"/>
      <c r="F35" s="865"/>
      <c r="G35" s="865"/>
      <c r="H35" s="1073"/>
      <c r="I35" s="400" t="str">
        <f>IF('Mapa final SI'!AC38="","",'Mapa final SI'!AC38)</f>
        <v/>
      </c>
      <c r="J35" s="400" t="str">
        <f>IF('Mapa final SI'!AE38="","",'Mapa final SI'!AE38)</f>
        <v/>
      </c>
      <c r="K35" s="400" t="str">
        <f t="shared" si="0"/>
        <v/>
      </c>
      <c r="L35" s="400" t="str">
        <f>IF('Mapa final SI'!AH38="","",'Mapa final SI'!AH38)</f>
        <v/>
      </c>
      <c r="M35" s="339" t="str">
        <f>IF('Mapa final SI'!T38="","",'Mapa final SI'!T38)</f>
        <v/>
      </c>
      <c r="N35" s="397"/>
      <c r="O35" s="397"/>
      <c r="P35" s="397"/>
      <c r="Q35" s="398"/>
    </row>
    <row r="36" spans="1:17" ht="43.5" customHeight="1" x14ac:dyDescent="0.25">
      <c r="A36" s="115" t="s">
        <v>268</v>
      </c>
      <c r="B36" s="857"/>
      <c r="C36" s="863"/>
      <c r="D36" s="861"/>
      <c r="E36" s="863"/>
      <c r="F36" s="865"/>
      <c r="G36" s="865"/>
      <c r="H36" s="866"/>
      <c r="I36" s="400" t="str">
        <f>IF('Mapa final SI'!AC39="","",'Mapa final SI'!AC39)</f>
        <v/>
      </c>
      <c r="J36" s="400" t="str">
        <f>IF('Mapa final SI'!AE39="","",'Mapa final SI'!AE39)</f>
        <v/>
      </c>
      <c r="K36" s="400" t="str">
        <f t="shared" si="0"/>
        <v/>
      </c>
      <c r="L36" s="400" t="str">
        <f>IF('Mapa final SI'!AH39="","",'Mapa final SI'!AH39)</f>
        <v/>
      </c>
      <c r="M36" s="339" t="str">
        <f>IF('Mapa final SI'!T39="","",'Mapa final SI'!T39)</f>
        <v/>
      </c>
      <c r="N36" s="397"/>
      <c r="O36" s="397"/>
      <c r="P36" s="397"/>
      <c r="Q36" s="398"/>
    </row>
    <row r="37" spans="1:17" ht="43.5" customHeight="1" x14ac:dyDescent="0.25">
      <c r="A37" s="115" t="s">
        <v>269</v>
      </c>
      <c r="B37" s="856"/>
      <c r="C37" s="862" t="str">
        <f>IF('Mapa final SI'!G40="","",'Mapa final SI'!G40)</f>
        <v/>
      </c>
      <c r="D37" s="860"/>
      <c r="E37" s="862" t="str">
        <f>IF('Mapa final SI'!F40="","",'Mapa final SI'!F40)</f>
        <v/>
      </c>
      <c r="F37" s="864" t="str">
        <f>IF('Mapa final SI'!L40="","",'Mapa final SI'!L40)</f>
        <v/>
      </c>
      <c r="G37" s="864" t="str">
        <f>IF('Mapa final SI'!P40="","",'Mapa final SI'!P40)</f>
        <v/>
      </c>
      <c r="H37" s="107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0" t="str">
        <f>IF('Mapa final SI'!AC40="","",'Mapa final SI'!AC40)</f>
        <v/>
      </c>
      <c r="J37" s="400" t="str">
        <f>IF('Mapa final SI'!AE40="","",'Mapa final SI'!AE40)</f>
        <v/>
      </c>
      <c r="K37" s="400" t="str">
        <f t="shared" si="0"/>
        <v/>
      </c>
      <c r="L37" s="400" t="str">
        <f>IF('Mapa final SI'!AH40="","",'Mapa final SI'!AH40)</f>
        <v/>
      </c>
      <c r="M37" s="339" t="str">
        <f>IF('Mapa final SI'!T40="","",'Mapa final SI'!T40)</f>
        <v/>
      </c>
      <c r="N37" s="397"/>
      <c r="O37" s="397"/>
      <c r="P37" s="397"/>
      <c r="Q37" s="398"/>
    </row>
    <row r="38" spans="1:17" ht="43.5" customHeight="1" x14ac:dyDescent="0.25">
      <c r="A38" s="115" t="s">
        <v>270</v>
      </c>
      <c r="B38" s="857"/>
      <c r="C38" s="863"/>
      <c r="D38" s="861"/>
      <c r="E38" s="863"/>
      <c r="F38" s="865"/>
      <c r="G38" s="865"/>
      <c r="H38" s="1073"/>
      <c r="I38" s="400" t="str">
        <f>IF('Mapa final SI'!AC41="","",'Mapa final SI'!AC41)</f>
        <v/>
      </c>
      <c r="J38" s="400" t="str">
        <f>IF('Mapa final SI'!AE41="","",'Mapa final SI'!AE41)</f>
        <v/>
      </c>
      <c r="K38" s="400" t="str">
        <f t="shared" si="0"/>
        <v/>
      </c>
      <c r="L38" s="400" t="str">
        <f>IF('Mapa final SI'!AH41="","",'Mapa final SI'!AH41)</f>
        <v/>
      </c>
      <c r="M38" s="339" t="str">
        <f>IF('Mapa final SI'!T41="","",'Mapa final SI'!T41)</f>
        <v/>
      </c>
      <c r="N38" s="397"/>
      <c r="O38" s="397"/>
      <c r="P38" s="397"/>
      <c r="Q38" s="398"/>
    </row>
    <row r="39" spans="1:17" ht="43.5" customHeight="1" x14ac:dyDescent="0.25">
      <c r="A39" s="115" t="s">
        <v>271</v>
      </c>
      <c r="B39" s="857"/>
      <c r="C39" s="863"/>
      <c r="D39" s="861"/>
      <c r="E39" s="863"/>
      <c r="F39" s="865"/>
      <c r="G39" s="865"/>
      <c r="H39" s="1073"/>
      <c r="I39" s="400" t="str">
        <f>IF('Mapa final SI'!AC42="","",'Mapa final SI'!AC42)</f>
        <v/>
      </c>
      <c r="J39" s="400" t="str">
        <f>IF('Mapa final SI'!AE42="","",'Mapa final SI'!AE42)</f>
        <v/>
      </c>
      <c r="K39" s="400" t="str">
        <f t="shared" si="0"/>
        <v/>
      </c>
      <c r="L39" s="400" t="str">
        <f>IF('Mapa final SI'!AH42="","",'Mapa final SI'!AH42)</f>
        <v/>
      </c>
      <c r="M39" s="339" t="str">
        <f>IF('Mapa final SI'!T42="","",'Mapa final SI'!T42)</f>
        <v/>
      </c>
      <c r="N39" s="397"/>
      <c r="O39" s="397"/>
      <c r="P39" s="397"/>
      <c r="Q39" s="398"/>
    </row>
    <row r="40" spans="1:17" ht="43.5" customHeight="1" x14ac:dyDescent="0.25">
      <c r="A40" s="115" t="s">
        <v>272</v>
      </c>
      <c r="B40" s="857"/>
      <c r="C40" s="863"/>
      <c r="D40" s="861"/>
      <c r="E40" s="863"/>
      <c r="F40" s="865"/>
      <c r="G40" s="865"/>
      <c r="H40" s="1073"/>
      <c r="I40" s="400" t="str">
        <f>IF('Mapa final SI'!AC43="","",'Mapa final SI'!AC43)</f>
        <v/>
      </c>
      <c r="J40" s="400" t="str">
        <f>IF('Mapa final SI'!AE43="","",'Mapa final SI'!AE43)</f>
        <v/>
      </c>
      <c r="K40" s="400" t="str">
        <f t="shared" si="0"/>
        <v/>
      </c>
      <c r="L40" s="400" t="str">
        <f>IF('Mapa final SI'!AH43="","",'Mapa final SI'!AH43)</f>
        <v/>
      </c>
      <c r="M40" s="339" t="str">
        <f>IF('Mapa final SI'!T43="","",'Mapa final SI'!T43)</f>
        <v/>
      </c>
      <c r="N40" s="397"/>
      <c r="O40" s="397"/>
      <c r="P40" s="397"/>
      <c r="Q40" s="398"/>
    </row>
    <row r="41" spans="1:17" ht="43.5" customHeight="1" x14ac:dyDescent="0.25">
      <c r="A41" s="115" t="s">
        <v>273</v>
      </c>
      <c r="B41" s="857"/>
      <c r="C41" s="863"/>
      <c r="D41" s="861"/>
      <c r="E41" s="863"/>
      <c r="F41" s="865"/>
      <c r="G41" s="865"/>
      <c r="H41" s="1073"/>
      <c r="I41" s="400" t="str">
        <f>IF('Mapa final SI'!AC44="","",'Mapa final SI'!AC44)</f>
        <v/>
      </c>
      <c r="J41" s="400" t="str">
        <f>IF('Mapa final SI'!AE44="","",'Mapa final SI'!AE44)</f>
        <v/>
      </c>
      <c r="K41" s="400" t="str">
        <f t="shared" si="0"/>
        <v/>
      </c>
      <c r="L41" s="400" t="str">
        <f>IF('Mapa final SI'!AH44="","",'Mapa final SI'!AH44)</f>
        <v/>
      </c>
      <c r="M41" s="339" t="str">
        <f>IF('Mapa final SI'!T44="","",'Mapa final SI'!T44)</f>
        <v/>
      </c>
      <c r="N41" s="397"/>
      <c r="O41" s="397"/>
      <c r="P41" s="397"/>
      <c r="Q41" s="398"/>
    </row>
    <row r="42" spans="1:17" ht="43.5" customHeight="1" x14ac:dyDescent="0.25">
      <c r="A42" s="115" t="s">
        <v>274</v>
      </c>
      <c r="B42" s="857"/>
      <c r="C42" s="863"/>
      <c r="D42" s="861"/>
      <c r="E42" s="863"/>
      <c r="F42" s="865"/>
      <c r="G42" s="865"/>
      <c r="H42" s="866"/>
      <c r="I42" s="400" t="str">
        <f>IF('Mapa final SI'!AC45="","",'Mapa final SI'!AC45)</f>
        <v/>
      </c>
      <c r="J42" s="400" t="str">
        <f>IF('Mapa final SI'!AE45="","",'Mapa final SI'!AE45)</f>
        <v/>
      </c>
      <c r="K42" s="400" t="str">
        <f t="shared" si="0"/>
        <v/>
      </c>
      <c r="L42" s="400" t="str">
        <f>IF('Mapa final SI'!AH45="","",'Mapa final SI'!AH45)</f>
        <v/>
      </c>
      <c r="M42" s="339" t="str">
        <f>IF('Mapa final SI'!T45="","",'Mapa final SI'!T45)</f>
        <v/>
      </c>
      <c r="N42" s="397"/>
      <c r="O42" s="397"/>
      <c r="P42" s="397"/>
      <c r="Q42" s="398"/>
    </row>
    <row r="43" spans="1:17" ht="43.5" customHeight="1" x14ac:dyDescent="0.25">
      <c r="A43" s="115" t="s">
        <v>275</v>
      </c>
      <c r="B43" s="856"/>
      <c r="C43" s="862" t="str">
        <f>IF('Mapa final SI'!G46="","",'Mapa final SI'!G46)</f>
        <v/>
      </c>
      <c r="D43" s="860"/>
      <c r="E43" s="862" t="str">
        <f>IF('Mapa final SI'!F46="","",'Mapa final SI'!F46)</f>
        <v/>
      </c>
      <c r="F43" s="864" t="str">
        <f>IF('Mapa final SI'!L46="","",'Mapa final SI'!L46)</f>
        <v/>
      </c>
      <c r="G43" s="864" t="str">
        <f>IF('Mapa final SI'!P46="","",'Mapa final SI'!P46)</f>
        <v/>
      </c>
      <c r="H43" s="107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0" t="str">
        <f>IF('Mapa final SI'!AC46="","",'Mapa final SI'!AC46)</f>
        <v/>
      </c>
      <c r="J43" s="400" t="str">
        <f>IF('Mapa final SI'!AE46="","",'Mapa final SI'!AE46)</f>
        <v/>
      </c>
      <c r="K43" s="400" t="str">
        <f t="shared" si="0"/>
        <v/>
      </c>
      <c r="L43" s="400" t="str">
        <f>IF('Mapa final SI'!AH46="","",'Mapa final SI'!AH46)</f>
        <v/>
      </c>
      <c r="M43" s="339" t="str">
        <f>IF('Mapa final SI'!T46="","",'Mapa final SI'!T46)</f>
        <v/>
      </c>
      <c r="N43" s="397"/>
      <c r="O43" s="397"/>
      <c r="P43" s="397"/>
      <c r="Q43" s="398"/>
    </row>
    <row r="44" spans="1:17" ht="43.5" customHeight="1" x14ac:dyDescent="0.25">
      <c r="A44" s="115" t="s">
        <v>276</v>
      </c>
      <c r="B44" s="857"/>
      <c r="C44" s="863"/>
      <c r="D44" s="861"/>
      <c r="E44" s="863"/>
      <c r="F44" s="865"/>
      <c r="G44" s="865"/>
      <c r="H44" s="1073"/>
      <c r="I44" s="400" t="str">
        <f>IF('Mapa final SI'!AC47="","",'Mapa final SI'!AC47)</f>
        <v/>
      </c>
      <c r="J44" s="400" t="str">
        <f>IF('Mapa final SI'!AE47="","",'Mapa final SI'!AE47)</f>
        <v/>
      </c>
      <c r="K44" s="400" t="str">
        <f t="shared" si="0"/>
        <v/>
      </c>
      <c r="L44" s="400" t="str">
        <f>IF('Mapa final SI'!AH47="","",'Mapa final SI'!AH47)</f>
        <v/>
      </c>
      <c r="M44" s="339" t="str">
        <f>IF('Mapa final SI'!T47="","",'Mapa final SI'!T47)</f>
        <v/>
      </c>
      <c r="N44" s="397"/>
      <c r="O44" s="397"/>
      <c r="P44" s="397"/>
      <c r="Q44" s="398"/>
    </row>
    <row r="45" spans="1:17" ht="43.5" customHeight="1" x14ac:dyDescent="0.25">
      <c r="A45" s="115" t="s">
        <v>277</v>
      </c>
      <c r="B45" s="857"/>
      <c r="C45" s="863"/>
      <c r="D45" s="861"/>
      <c r="E45" s="863"/>
      <c r="F45" s="865"/>
      <c r="G45" s="865"/>
      <c r="H45" s="1073"/>
      <c r="I45" s="400" t="str">
        <f>IF('Mapa final SI'!AC48="","",'Mapa final SI'!AC48)</f>
        <v/>
      </c>
      <c r="J45" s="400" t="str">
        <f>IF('Mapa final SI'!AE48="","",'Mapa final SI'!AE48)</f>
        <v/>
      </c>
      <c r="K45" s="400" t="str">
        <f t="shared" si="0"/>
        <v/>
      </c>
      <c r="L45" s="400" t="str">
        <f>IF('Mapa final SI'!AH48="","",'Mapa final SI'!AH48)</f>
        <v/>
      </c>
      <c r="M45" s="339" t="str">
        <f>IF('Mapa final SI'!T48="","",'Mapa final SI'!T48)</f>
        <v/>
      </c>
      <c r="N45" s="397"/>
      <c r="O45" s="397"/>
      <c r="P45" s="397"/>
      <c r="Q45" s="398"/>
    </row>
    <row r="46" spans="1:17" ht="43.5" customHeight="1" x14ac:dyDescent="0.25">
      <c r="A46" s="115" t="s">
        <v>278</v>
      </c>
      <c r="B46" s="857"/>
      <c r="C46" s="863"/>
      <c r="D46" s="861"/>
      <c r="E46" s="863"/>
      <c r="F46" s="865"/>
      <c r="G46" s="865"/>
      <c r="H46" s="1073"/>
      <c r="I46" s="400" t="str">
        <f>IF('Mapa final SI'!AC49="","",'Mapa final SI'!AC49)</f>
        <v/>
      </c>
      <c r="J46" s="400" t="str">
        <f>IF('Mapa final SI'!AE49="","",'Mapa final SI'!AE49)</f>
        <v/>
      </c>
      <c r="K46" s="400" t="str">
        <f t="shared" si="0"/>
        <v/>
      </c>
      <c r="L46" s="400" t="str">
        <f>IF('Mapa final SI'!AH49="","",'Mapa final SI'!AH49)</f>
        <v/>
      </c>
      <c r="M46" s="339" t="str">
        <f>IF('Mapa final SI'!T49="","",'Mapa final SI'!T49)</f>
        <v/>
      </c>
      <c r="N46" s="397"/>
      <c r="O46" s="397"/>
      <c r="P46" s="397"/>
      <c r="Q46" s="398"/>
    </row>
    <row r="47" spans="1:17" ht="43.5" customHeight="1" x14ac:dyDescent="0.25">
      <c r="A47" s="115" t="s">
        <v>279</v>
      </c>
      <c r="B47" s="857"/>
      <c r="C47" s="863"/>
      <c r="D47" s="861"/>
      <c r="E47" s="863"/>
      <c r="F47" s="865"/>
      <c r="G47" s="865"/>
      <c r="H47" s="1073"/>
      <c r="I47" s="400" t="str">
        <f>IF('Mapa final SI'!AC50="","",'Mapa final SI'!AC50)</f>
        <v/>
      </c>
      <c r="J47" s="400" t="str">
        <f>IF('Mapa final SI'!AE50="","",'Mapa final SI'!AE50)</f>
        <v/>
      </c>
      <c r="K47" s="400" t="str">
        <f t="shared" si="0"/>
        <v/>
      </c>
      <c r="L47" s="400" t="str">
        <f>IF('Mapa final SI'!AH50="","",'Mapa final SI'!AH50)</f>
        <v/>
      </c>
      <c r="M47" s="339" t="str">
        <f>IF('Mapa final SI'!T50="","",'Mapa final SI'!T50)</f>
        <v/>
      </c>
      <c r="N47" s="397"/>
      <c r="O47" s="397"/>
      <c r="P47" s="397"/>
      <c r="Q47" s="398"/>
    </row>
    <row r="48" spans="1:17" ht="43.5" customHeight="1" x14ac:dyDescent="0.25">
      <c r="A48" s="115" t="s">
        <v>280</v>
      </c>
      <c r="B48" s="857"/>
      <c r="C48" s="863"/>
      <c r="D48" s="861"/>
      <c r="E48" s="863"/>
      <c r="F48" s="865"/>
      <c r="G48" s="865"/>
      <c r="H48" s="866"/>
      <c r="I48" s="400" t="str">
        <f>IF('Mapa final SI'!AC51="","",'Mapa final SI'!AC51)</f>
        <v/>
      </c>
      <c r="J48" s="400" t="str">
        <f>IF('Mapa final SI'!AE51="","",'Mapa final SI'!AE51)</f>
        <v/>
      </c>
      <c r="K48" s="400" t="str">
        <f t="shared" si="0"/>
        <v/>
      </c>
      <c r="L48" s="400" t="str">
        <f>IF('Mapa final SI'!AH51="","",'Mapa final SI'!AH51)</f>
        <v/>
      </c>
      <c r="M48" s="339" t="str">
        <f>IF('Mapa final SI'!T51="","",'Mapa final SI'!T51)</f>
        <v/>
      </c>
      <c r="N48" s="397"/>
      <c r="O48" s="397"/>
      <c r="P48" s="397"/>
      <c r="Q48" s="398"/>
    </row>
    <row r="49" spans="1:17" ht="43.5" customHeight="1" x14ac:dyDescent="0.25">
      <c r="A49" s="115" t="s">
        <v>281</v>
      </c>
      <c r="B49" s="856"/>
      <c r="C49" s="862" t="str">
        <f>IF('Mapa final SI'!G52="","",'Mapa final SI'!G52)</f>
        <v/>
      </c>
      <c r="D49" s="860"/>
      <c r="E49" s="862" t="str">
        <f>IF('Mapa final SI'!F52="","",'Mapa final SI'!F52)</f>
        <v/>
      </c>
      <c r="F49" s="864" t="str">
        <f>IF('Mapa final SI'!L52="","",'Mapa final SI'!L52)</f>
        <v/>
      </c>
      <c r="G49" s="864" t="str">
        <f>IF('Mapa final SI'!P52="","",'Mapa final SI'!P52)</f>
        <v/>
      </c>
      <c r="H49" s="107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0" t="str">
        <f>IF('Mapa final SI'!AC52="","",'Mapa final SI'!AC52)</f>
        <v/>
      </c>
      <c r="J49" s="400" t="str">
        <f>IF('Mapa final SI'!AE52="","",'Mapa final SI'!AE52)</f>
        <v/>
      </c>
      <c r="K49" s="400" t="str">
        <f t="shared" si="0"/>
        <v/>
      </c>
      <c r="L49" s="400" t="str">
        <f>IF('Mapa final SI'!AH52="","",'Mapa final SI'!AH52)</f>
        <v/>
      </c>
      <c r="M49" s="339" t="str">
        <f>IF('Mapa final SI'!T52="","",'Mapa final SI'!T52)</f>
        <v/>
      </c>
      <c r="N49" s="397"/>
      <c r="O49" s="397"/>
      <c r="P49" s="397"/>
      <c r="Q49" s="398"/>
    </row>
    <row r="50" spans="1:17" ht="43.5" customHeight="1" x14ac:dyDescent="0.25">
      <c r="A50" s="115" t="s">
        <v>282</v>
      </c>
      <c r="B50" s="857"/>
      <c r="C50" s="863"/>
      <c r="D50" s="861"/>
      <c r="E50" s="863"/>
      <c r="F50" s="865"/>
      <c r="G50" s="865"/>
      <c r="H50" s="1073"/>
      <c r="I50" s="400" t="str">
        <f>IF('Mapa final SI'!AC53="","",'Mapa final SI'!AC53)</f>
        <v/>
      </c>
      <c r="J50" s="400" t="str">
        <f>IF('Mapa final SI'!AE53="","",'Mapa final SI'!AE53)</f>
        <v/>
      </c>
      <c r="K50" s="400" t="str">
        <f t="shared" si="0"/>
        <v/>
      </c>
      <c r="L50" s="400" t="str">
        <f>IF('Mapa final SI'!AH53="","",'Mapa final SI'!AH53)</f>
        <v/>
      </c>
      <c r="M50" s="339" t="str">
        <f>IF('Mapa final SI'!T53="","",'Mapa final SI'!T53)</f>
        <v/>
      </c>
      <c r="N50" s="397"/>
      <c r="O50" s="397"/>
      <c r="P50" s="397"/>
      <c r="Q50" s="398"/>
    </row>
    <row r="51" spans="1:17" ht="43.5" customHeight="1" x14ac:dyDescent="0.25">
      <c r="A51" s="115" t="s">
        <v>283</v>
      </c>
      <c r="B51" s="857"/>
      <c r="C51" s="863"/>
      <c r="D51" s="861"/>
      <c r="E51" s="863"/>
      <c r="F51" s="865"/>
      <c r="G51" s="865"/>
      <c r="H51" s="1073"/>
      <c r="I51" s="400" t="str">
        <f>IF('Mapa final SI'!AC54="","",'Mapa final SI'!AC54)</f>
        <v/>
      </c>
      <c r="J51" s="400" t="str">
        <f>IF('Mapa final SI'!AE54="","",'Mapa final SI'!AE54)</f>
        <v/>
      </c>
      <c r="K51" s="400" t="str">
        <f t="shared" si="0"/>
        <v/>
      </c>
      <c r="L51" s="400" t="str">
        <f>IF('Mapa final SI'!AH54="","",'Mapa final SI'!AH54)</f>
        <v/>
      </c>
      <c r="M51" s="339" t="str">
        <f>IF('Mapa final SI'!T54="","",'Mapa final SI'!T54)</f>
        <v/>
      </c>
      <c r="N51" s="397"/>
      <c r="O51" s="397"/>
      <c r="P51" s="397"/>
      <c r="Q51" s="398"/>
    </row>
    <row r="52" spans="1:17" ht="43.5" customHeight="1" x14ac:dyDescent="0.25">
      <c r="A52" s="115" t="s">
        <v>284</v>
      </c>
      <c r="B52" s="857"/>
      <c r="C52" s="863"/>
      <c r="D52" s="861"/>
      <c r="E52" s="863"/>
      <c r="F52" s="865"/>
      <c r="G52" s="865"/>
      <c r="H52" s="1073"/>
      <c r="I52" s="400" t="str">
        <f>IF('Mapa final SI'!AC55="","",'Mapa final SI'!AC55)</f>
        <v/>
      </c>
      <c r="J52" s="400" t="str">
        <f>IF('Mapa final SI'!AE55="","",'Mapa final SI'!AE55)</f>
        <v/>
      </c>
      <c r="K52" s="400" t="str">
        <f t="shared" si="0"/>
        <v/>
      </c>
      <c r="L52" s="400" t="str">
        <f>IF('Mapa final SI'!AH55="","",'Mapa final SI'!AH55)</f>
        <v/>
      </c>
      <c r="M52" s="339" t="str">
        <f>IF('Mapa final SI'!T55="","",'Mapa final SI'!T55)</f>
        <v/>
      </c>
      <c r="N52" s="397"/>
      <c r="O52" s="397"/>
      <c r="P52" s="397"/>
      <c r="Q52" s="398"/>
    </row>
    <row r="53" spans="1:17" ht="43.5" customHeight="1" x14ac:dyDescent="0.25">
      <c r="A53" s="115" t="s">
        <v>285</v>
      </c>
      <c r="B53" s="857"/>
      <c r="C53" s="863"/>
      <c r="D53" s="861"/>
      <c r="E53" s="863"/>
      <c r="F53" s="865"/>
      <c r="G53" s="865"/>
      <c r="H53" s="1073"/>
      <c r="I53" s="400" t="str">
        <f>IF('Mapa final SI'!AC56="","",'Mapa final SI'!AC56)</f>
        <v/>
      </c>
      <c r="J53" s="400" t="str">
        <f>IF('Mapa final SI'!AE56="","",'Mapa final SI'!AE56)</f>
        <v/>
      </c>
      <c r="K53" s="400" t="str">
        <f t="shared" si="0"/>
        <v/>
      </c>
      <c r="L53" s="400" t="str">
        <f>IF('Mapa final SI'!AH56="","",'Mapa final SI'!AH56)</f>
        <v/>
      </c>
      <c r="M53" s="339" t="str">
        <f>IF('Mapa final SI'!T56="","",'Mapa final SI'!T56)</f>
        <v/>
      </c>
      <c r="N53" s="397"/>
      <c r="O53" s="397"/>
      <c r="P53" s="397"/>
      <c r="Q53" s="398"/>
    </row>
    <row r="54" spans="1:17" ht="43.5" customHeight="1" x14ac:dyDescent="0.25">
      <c r="A54" s="115" t="s">
        <v>286</v>
      </c>
      <c r="B54" s="857"/>
      <c r="C54" s="863"/>
      <c r="D54" s="861"/>
      <c r="E54" s="863"/>
      <c r="F54" s="865"/>
      <c r="G54" s="865"/>
      <c r="H54" s="866"/>
      <c r="I54" s="400" t="str">
        <f>IF('Mapa final SI'!AC57="","",'Mapa final SI'!AC57)</f>
        <v/>
      </c>
      <c r="J54" s="400" t="str">
        <f>IF('Mapa final SI'!AE57="","",'Mapa final SI'!AE57)</f>
        <v/>
      </c>
      <c r="K54" s="400" t="str">
        <f t="shared" si="0"/>
        <v/>
      </c>
      <c r="L54" s="400" t="str">
        <f>IF('Mapa final SI'!AH57="","",'Mapa final SI'!AH57)</f>
        <v/>
      </c>
      <c r="M54" s="339" t="str">
        <f>IF('Mapa final SI'!T57="","",'Mapa final SI'!T57)</f>
        <v/>
      </c>
      <c r="N54" s="397"/>
      <c r="O54" s="397"/>
      <c r="P54" s="397"/>
      <c r="Q54" s="398"/>
    </row>
    <row r="55" spans="1:17" ht="43.5" customHeight="1" x14ac:dyDescent="0.25">
      <c r="A55" s="115" t="s">
        <v>287</v>
      </c>
      <c r="B55" s="856"/>
      <c r="C55" s="862" t="str">
        <f>IF('Mapa final SI'!G58="","",'Mapa final SI'!G58)</f>
        <v/>
      </c>
      <c r="D55" s="860"/>
      <c r="E55" s="862" t="str">
        <f>IF('Mapa final SI'!F58="","",'Mapa final SI'!F58)</f>
        <v/>
      </c>
      <c r="F55" s="864" t="str">
        <f>IF('Mapa final SI'!L58="","",'Mapa final SI'!L58)</f>
        <v/>
      </c>
      <c r="G55" s="864" t="str">
        <f>IF('Mapa final SI'!P58="","",'Mapa final SI'!P58)</f>
        <v/>
      </c>
      <c r="H55" s="107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0" t="str">
        <f>IF('Mapa final SI'!AC58="","",'Mapa final SI'!AC58)</f>
        <v/>
      </c>
      <c r="J55" s="400" t="str">
        <f>IF('Mapa final SI'!AE58="","",'Mapa final SI'!AE58)</f>
        <v/>
      </c>
      <c r="K55" s="400" t="str">
        <f t="shared" si="0"/>
        <v/>
      </c>
      <c r="L55" s="400" t="str">
        <f>IF('Mapa final SI'!AH58="","",'Mapa final SI'!AH58)</f>
        <v/>
      </c>
      <c r="M55" s="339" t="str">
        <f>IF('Mapa final SI'!T58="","",'Mapa final SI'!T58)</f>
        <v/>
      </c>
      <c r="N55" s="397"/>
      <c r="O55" s="397"/>
      <c r="P55" s="397"/>
      <c r="Q55" s="398"/>
    </row>
    <row r="56" spans="1:17" ht="43.5" customHeight="1" x14ac:dyDescent="0.25">
      <c r="A56" s="115" t="s">
        <v>288</v>
      </c>
      <c r="B56" s="857"/>
      <c r="C56" s="863"/>
      <c r="D56" s="861"/>
      <c r="E56" s="863"/>
      <c r="F56" s="865"/>
      <c r="G56" s="865"/>
      <c r="H56" s="1073"/>
      <c r="I56" s="400" t="str">
        <f>IF('Mapa final SI'!AC59="","",'Mapa final SI'!AC59)</f>
        <v/>
      </c>
      <c r="J56" s="400" t="str">
        <f>IF('Mapa final SI'!AE59="","",'Mapa final SI'!AE59)</f>
        <v/>
      </c>
      <c r="K56" s="400" t="str">
        <f t="shared" si="0"/>
        <v/>
      </c>
      <c r="L56" s="400" t="str">
        <f>IF('Mapa final SI'!AH59="","",'Mapa final SI'!AH59)</f>
        <v/>
      </c>
      <c r="M56" s="339" t="str">
        <f>IF('Mapa final SI'!T59="","",'Mapa final SI'!T59)</f>
        <v/>
      </c>
      <c r="N56" s="397"/>
      <c r="O56" s="397"/>
      <c r="P56" s="397"/>
      <c r="Q56" s="398"/>
    </row>
    <row r="57" spans="1:17" ht="43.5" customHeight="1" x14ac:dyDescent="0.25">
      <c r="A57" s="115" t="s">
        <v>289</v>
      </c>
      <c r="B57" s="857"/>
      <c r="C57" s="863"/>
      <c r="D57" s="861"/>
      <c r="E57" s="863"/>
      <c r="F57" s="865"/>
      <c r="G57" s="865"/>
      <c r="H57" s="1073"/>
      <c r="I57" s="400" t="str">
        <f>IF('Mapa final SI'!AC60="","",'Mapa final SI'!AC60)</f>
        <v/>
      </c>
      <c r="J57" s="400" t="str">
        <f>IF('Mapa final SI'!AE60="","",'Mapa final SI'!AE60)</f>
        <v/>
      </c>
      <c r="K57" s="400" t="str">
        <f t="shared" si="0"/>
        <v/>
      </c>
      <c r="L57" s="400" t="str">
        <f>IF('Mapa final SI'!AH60="","",'Mapa final SI'!AH60)</f>
        <v/>
      </c>
      <c r="M57" s="339" t="str">
        <f>IF('Mapa final SI'!T60="","",'Mapa final SI'!T60)</f>
        <v/>
      </c>
      <c r="N57" s="397"/>
      <c r="O57" s="397"/>
      <c r="P57" s="397"/>
      <c r="Q57" s="398"/>
    </row>
    <row r="58" spans="1:17" ht="43.5" customHeight="1" x14ac:dyDescent="0.25">
      <c r="A58" s="115" t="s">
        <v>290</v>
      </c>
      <c r="B58" s="857"/>
      <c r="C58" s="863"/>
      <c r="D58" s="861"/>
      <c r="E58" s="863"/>
      <c r="F58" s="865"/>
      <c r="G58" s="865"/>
      <c r="H58" s="1073"/>
      <c r="I58" s="400" t="str">
        <f>IF('Mapa final SI'!AC61="","",'Mapa final SI'!AC61)</f>
        <v/>
      </c>
      <c r="J58" s="400" t="str">
        <f>IF('Mapa final SI'!AE61="","",'Mapa final SI'!AE61)</f>
        <v/>
      </c>
      <c r="K58" s="400" t="str">
        <f t="shared" si="0"/>
        <v/>
      </c>
      <c r="L58" s="400" t="str">
        <f>IF('Mapa final SI'!AH61="","",'Mapa final SI'!AH61)</f>
        <v/>
      </c>
      <c r="M58" s="339" t="str">
        <f>IF('Mapa final SI'!T61="","",'Mapa final SI'!T61)</f>
        <v/>
      </c>
      <c r="N58" s="397"/>
      <c r="O58" s="397"/>
      <c r="P58" s="397"/>
      <c r="Q58" s="398"/>
    </row>
    <row r="59" spans="1:17" ht="43.5" customHeight="1" x14ac:dyDescent="0.25">
      <c r="A59" s="115" t="s">
        <v>291</v>
      </c>
      <c r="B59" s="857"/>
      <c r="C59" s="863"/>
      <c r="D59" s="861"/>
      <c r="E59" s="863"/>
      <c r="F59" s="865"/>
      <c r="G59" s="865"/>
      <c r="H59" s="1073"/>
      <c r="I59" s="400" t="str">
        <f>IF('Mapa final SI'!AC62="","",'Mapa final SI'!AC62)</f>
        <v/>
      </c>
      <c r="J59" s="400" t="str">
        <f>IF('Mapa final SI'!AE62="","",'Mapa final SI'!AE62)</f>
        <v/>
      </c>
      <c r="K59" s="400" t="str">
        <f t="shared" si="0"/>
        <v/>
      </c>
      <c r="L59" s="400" t="str">
        <f>IF('Mapa final SI'!AH62="","",'Mapa final SI'!AH62)</f>
        <v/>
      </c>
      <c r="M59" s="339" t="str">
        <f>IF('Mapa final SI'!T62="","",'Mapa final SI'!T62)</f>
        <v/>
      </c>
      <c r="N59" s="397"/>
      <c r="O59" s="397"/>
      <c r="P59" s="397"/>
      <c r="Q59" s="398"/>
    </row>
    <row r="60" spans="1:17" ht="43.5" customHeight="1" x14ac:dyDescent="0.25">
      <c r="A60" s="115" t="s">
        <v>292</v>
      </c>
      <c r="B60" s="857"/>
      <c r="C60" s="863"/>
      <c r="D60" s="861"/>
      <c r="E60" s="863"/>
      <c r="F60" s="865"/>
      <c r="G60" s="865"/>
      <c r="H60" s="866"/>
      <c r="I60" s="400" t="str">
        <f>IF('Mapa final SI'!AC63="","",'Mapa final SI'!AC63)</f>
        <v/>
      </c>
      <c r="J60" s="400" t="str">
        <f>IF('Mapa final SI'!AE63="","",'Mapa final SI'!AE63)</f>
        <v/>
      </c>
      <c r="K60" s="400" t="str">
        <f t="shared" si="0"/>
        <v/>
      </c>
      <c r="L60" s="400" t="str">
        <f>IF('Mapa final SI'!AH63="","",'Mapa final SI'!AH63)</f>
        <v/>
      </c>
      <c r="M60" s="339" t="str">
        <f>IF('Mapa final SI'!T63="","",'Mapa final SI'!T63)</f>
        <v/>
      </c>
      <c r="N60" s="397"/>
      <c r="O60" s="397"/>
      <c r="P60" s="397"/>
      <c r="Q60" s="398"/>
    </row>
    <row r="61" spans="1:17" ht="43.5" customHeight="1" x14ac:dyDescent="0.25">
      <c r="A61" s="115" t="s">
        <v>293</v>
      </c>
      <c r="B61" s="856"/>
      <c r="C61" s="862" t="str">
        <f>IF('Mapa final SI'!G64="","",'Mapa final SI'!G64)</f>
        <v/>
      </c>
      <c r="D61" s="860"/>
      <c r="E61" s="862" t="str">
        <f>IF('Mapa final SI'!F64="","",'Mapa final SI'!F64)</f>
        <v/>
      </c>
      <c r="F61" s="864" t="str">
        <f>IF('Mapa final SI'!L64="","",'Mapa final SI'!L64)</f>
        <v/>
      </c>
      <c r="G61" s="864" t="str">
        <f>IF('Mapa final SI'!P64="","",'Mapa final SI'!P64)</f>
        <v/>
      </c>
      <c r="H61" s="107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0" t="str">
        <f>IF('Mapa final SI'!AC64="","",'Mapa final SI'!AC64)</f>
        <v/>
      </c>
      <c r="J61" s="400" t="str">
        <f>IF('Mapa final SI'!AE64="","",'Mapa final SI'!AE64)</f>
        <v/>
      </c>
      <c r="K61" s="400" t="str">
        <f t="shared" si="0"/>
        <v/>
      </c>
      <c r="L61" s="400" t="str">
        <f>IF('Mapa final SI'!AH64="","",'Mapa final SI'!AH64)</f>
        <v/>
      </c>
      <c r="M61" s="339" t="str">
        <f>IF('Mapa final SI'!T64="","",'Mapa final SI'!T64)</f>
        <v/>
      </c>
      <c r="N61" s="397"/>
      <c r="O61" s="397"/>
      <c r="P61" s="397"/>
      <c r="Q61" s="398"/>
    </row>
    <row r="62" spans="1:17" ht="43.5" customHeight="1" x14ac:dyDescent="0.25">
      <c r="A62" s="115" t="s">
        <v>294</v>
      </c>
      <c r="B62" s="857"/>
      <c r="C62" s="863"/>
      <c r="D62" s="861"/>
      <c r="E62" s="863"/>
      <c r="F62" s="865"/>
      <c r="G62" s="865"/>
      <c r="H62" s="1073"/>
      <c r="I62" s="400" t="str">
        <f>IF('Mapa final SI'!AC65="","",'Mapa final SI'!AC65)</f>
        <v/>
      </c>
      <c r="J62" s="400" t="str">
        <f>IF('Mapa final SI'!AE65="","",'Mapa final SI'!AE65)</f>
        <v/>
      </c>
      <c r="K62" s="400" t="str">
        <f t="shared" si="0"/>
        <v/>
      </c>
      <c r="L62" s="400" t="str">
        <f>IF('Mapa final SI'!AH65="","",'Mapa final SI'!AH65)</f>
        <v/>
      </c>
      <c r="M62" s="339" t="str">
        <f>IF('Mapa final SI'!T65="","",'Mapa final SI'!T65)</f>
        <v/>
      </c>
      <c r="N62" s="397"/>
      <c r="O62" s="397"/>
      <c r="P62" s="397"/>
      <c r="Q62" s="398"/>
    </row>
    <row r="63" spans="1:17" ht="43.5" customHeight="1" x14ac:dyDescent="0.25">
      <c r="A63" s="115" t="s">
        <v>295</v>
      </c>
      <c r="B63" s="857"/>
      <c r="C63" s="863"/>
      <c r="D63" s="861"/>
      <c r="E63" s="863"/>
      <c r="F63" s="865"/>
      <c r="G63" s="865"/>
      <c r="H63" s="1073"/>
      <c r="I63" s="400" t="str">
        <f>IF('Mapa final SI'!AC66="","",'Mapa final SI'!AC66)</f>
        <v/>
      </c>
      <c r="J63" s="400" t="str">
        <f>IF('Mapa final SI'!AE66="","",'Mapa final SI'!AE66)</f>
        <v/>
      </c>
      <c r="K63" s="400" t="str">
        <f t="shared" si="0"/>
        <v/>
      </c>
      <c r="L63" s="400" t="str">
        <f>IF('Mapa final SI'!AH66="","",'Mapa final SI'!AH66)</f>
        <v/>
      </c>
      <c r="M63" s="339" t="str">
        <f>IF('Mapa final SI'!T66="","",'Mapa final SI'!T66)</f>
        <v/>
      </c>
      <c r="N63" s="397"/>
      <c r="O63" s="397"/>
      <c r="P63" s="397"/>
      <c r="Q63" s="398"/>
    </row>
    <row r="64" spans="1:17" ht="43.5" customHeight="1" x14ac:dyDescent="0.25">
      <c r="A64" s="115" t="s">
        <v>296</v>
      </c>
      <c r="B64" s="857"/>
      <c r="C64" s="863"/>
      <c r="D64" s="861"/>
      <c r="E64" s="863"/>
      <c r="F64" s="865"/>
      <c r="G64" s="865"/>
      <c r="H64" s="1073"/>
      <c r="I64" s="400" t="str">
        <f>IF('Mapa final SI'!AC67="","",'Mapa final SI'!AC67)</f>
        <v/>
      </c>
      <c r="J64" s="400" t="str">
        <f>IF('Mapa final SI'!AE67="","",'Mapa final SI'!AE67)</f>
        <v/>
      </c>
      <c r="K64" s="400" t="str">
        <f t="shared" si="0"/>
        <v/>
      </c>
      <c r="L64" s="400" t="str">
        <f>IF('Mapa final SI'!AH67="","",'Mapa final SI'!AH67)</f>
        <v/>
      </c>
      <c r="M64" s="339" t="str">
        <f>IF('Mapa final SI'!T67="","",'Mapa final SI'!T67)</f>
        <v/>
      </c>
      <c r="N64" s="397"/>
      <c r="O64" s="397"/>
      <c r="P64" s="397"/>
      <c r="Q64" s="398"/>
    </row>
    <row r="65" spans="1:17" ht="43.5" customHeight="1" x14ac:dyDescent="0.25">
      <c r="A65" s="115" t="s">
        <v>297</v>
      </c>
      <c r="B65" s="857"/>
      <c r="C65" s="863"/>
      <c r="D65" s="861"/>
      <c r="E65" s="863"/>
      <c r="F65" s="865"/>
      <c r="G65" s="865"/>
      <c r="H65" s="1073"/>
      <c r="I65" s="400" t="str">
        <f>IF('Mapa final SI'!AC68="","",'Mapa final SI'!AC68)</f>
        <v/>
      </c>
      <c r="J65" s="400" t="str">
        <f>IF('Mapa final SI'!AE68="","",'Mapa final SI'!AE68)</f>
        <v/>
      </c>
      <c r="K65" s="400" t="str">
        <f t="shared" si="0"/>
        <v/>
      </c>
      <c r="L65" s="400" t="str">
        <f>IF('Mapa final SI'!AH68="","",'Mapa final SI'!AH68)</f>
        <v/>
      </c>
      <c r="M65" s="339" t="str">
        <f>IF('Mapa final SI'!T68="","",'Mapa final SI'!T68)</f>
        <v/>
      </c>
      <c r="N65" s="397"/>
      <c r="O65" s="397"/>
      <c r="P65" s="397"/>
      <c r="Q65" s="398"/>
    </row>
    <row r="66" spans="1:17" ht="43.5" customHeight="1" x14ac:dyDescent="0.25">
      <c r="A66" s="115" t="s">
        <v>298</v>
      </c>
      <c r="B66" s="857"/>
      <c r="C66" s="863"/>
      <c r="D66" s="861"/>
      <c r="E66" s="863"/>
      <c r="F66" s="865"/>
      <c r="G66" s="865"/>
      <c r="H66" s="866"/>
      <c r="I66" s="400" t="str">
        <f>IF('Mapa final SI'!AC69="","",'Mapa final SI'!AC69)</f>
        <v/>
      </c>
      <c r="J66" s="400" t="str">
        <f>IF('Mapa final SI'!AE69="","",'Mapa final SI'!AE69)</f>
        <v/>
      </c>
      <c r="K66" s="400" t="str">
        <f t="shared" si="0"/>
        <v/>
      </c>
      <c r="L66" s="400" t="str">
        <f>IF('Mapa final SI'!AH69="","",'Mapa final SI'!AH69)</f>
        <v/>
      </c>
      <c r="M66" s="339" t="str">
        <f>IF('Mapa final SI'!T69="","",'Mapa final SI'!T69)</f>
        <v/>
      </c>
      <c r="N66" s="397"/>
      <c r="O66" s="397"/>
      <c r="P66" s="397"/>
      <c r="Q66" s="398"/>
    </row>
    <row r="67" spans="1:17" ht="43.5" customHeight="1" x14ac:dyDescent="0.25">
      <c r="A67" s="115" t="s">
        <v>299</v>
      </c>
      <c r="B67" s="856"/>
      <c r="C67" s="862" t="str">
        <f>IF('Mapa final SI'!G70="","",'Mapa final SI'!G70)</f>
        <v/>
      </c>
      <c r="D67" s="860"/>
      <c r="E67" s="862" t="str">
        <f>IF('Mapa final SI'!F70="","",'Mapa final SI'!F70)</f>
        <v/>
      </c>
      <c r="F67" s="864" t="str">
        <f>IF('Mapa final SI'!L70="","",'Mapa final SI'!L70)</f>
        <v/>
      </c>
      <c r="G67" s="864" t="str">
        <f>IF('Mapa final SI'!P70="","",'Mapa final SI'!P70)</f>
        <v/>
      </c>
      <c r="H67" s="107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0" t="str">
        <f>IF('Mapa final SI'!AC70="","",'Mapa final SI'!AC70)</f>
        <v/>
      </c>
      <c r="J67" s="400" t="str">
        <f>IF('Mapa final SI'!AE70="","",'Mapa final SI'!AE70)</f>
        <v/>
      </c>
      <c r="K67" s="400" t="str">
        <f t="shared" si="0"/>
        <v/>
      </c>
      <c r="L67" s="400" t="str">
        <f>IF('Mapa final SI'!AH70="","",'Mapa final SI'!AH70)</f>
        <v/>
      </c>
      <c r="M67" s="339" t="str">
        <f>IF('Mapa final SI'!T70="","",'Mapa final SI'!T70)</f>
        <v/>
      </c>
      <c r="N67" s="397"/>
      <c r="O67" s="397"/>
      <c r="P67" s="397"/>
      <c r="Q67" s="398"/>
    </row>
    <row r="68" spans="1:17" ht="43.5" customHeight="1" x14ac:dyDescent="0.25">
      <c r="A68" s="115" t="s">
        <v>300</v>
      </c>
      <c r="B68" s="857"/>
      <c r="C68" s="863"/>
      <c r="D68" s="861"/>
      <c r="E68" s="863"/>
      <c r="F68" s="865"/>
      <c r="G68" s="865"/>
      <c r="H68" s="1073"/>
      <c r="I68" s="400" t="str">
        <f>IF('Mapa final SI'!AC71="","",'Mapa final SI'!AC71)</f>
        <v/>
      </c>
      <c r="J68" s="400" t="str">
        <f>IF('Mapa final SI'!AE71="","",'Mapa final SI'!AE71)</f>
        <v/>
      </c>
      <c r="K68" s="400" t="str">
        <f t="shared" si="0"/>
        <v/>
      </c>
      <c r="L68" s="400" t="str">
        <f>IF('Mapa final SI'!AH71="","",'Mapa final SI'!AH71)</f>
        <v/>
      </c>
      <c r="M68" s="339" t="str">
        <f>IF('Mapa final SI'!T71="","",'Mapa final SI'!T71)</f>
        <v/>
      </c>
      <c r="N68" s="397"/>
      <c r="O68" s="397"/>
      <c r="P68" s="397"/>
      <c r="Q68" s="398"/>
    </row>
    <row r="69" spans="1:17" ht="43.5" customHeight="1" x14ac:dyDescent="0.25">
      <c r="A69" s="115" t="s">
        <v>301</v>
      </c>
      <c r="B69" s="857"/>
      <c r="C69" s="863"/>
      <c r="D69" s="861"/>
      <c r="E69" s="863"/>
      <c r="F69" s="865"/>
      <c r="G69" s="865"/>
      <c r="H69" s="1073"/>
      <c r="I69" s="400" t="str">
        <f>IF('Mapa final SI'!AC72="","",'Mapa final SI'!AC72)</f>
        <v/>
      </c>
      <c r="J69" s="400" t="str">
        <f>IF('Mapa final SI'!AE72="","",'Mapa final SI'!AE72)</f>
        <v/>
      </c>
      <c r="K69" s="400" t="str">
        <f t="shared" si="0"/>
        <v/>
      </c>
      <c r="L69" s="400" t="str">
        <f>IF('Mapa final SI'!AH72="","",'Mapa final SI'!AH72)</f>
        <v/>
      </c>
      <c r="M69" s="339" t="str">
        <f>IF('Mapa final SI'!T72="","",'Mapa final SI'!T72)</f>
        <v/>
      </c>
      <c r="N69" s="397"/>
      <c r="O69" s="397"/>
      <c r="P69" s="397"/>
      <c r="Q69" s="398"/>
    </row>
    <row r="70" spans="1:17" ht="43.5" customHeight="1" x14ac:dyDescent="0.25">
      <c r="A70" s="115" t="s">
        <v>302</v>
      </c>
      <c r="B70" s="857"/>
      <c r="C70" s="863"/>
      <c r="D70" s="861"/>
      <c r="E70" s="863"/>
      <c r="F70" s="865"/>
      <c r="G70" s="865"/>
      <c r="H70" s="1073"/>
      <c r="I70" s="400" t="str">
        <f>IF('Mapa final SI'!AC73="","",'Mapa final SI'!AC73)</f>
        <v/>
      </c>
      <c r="J70" s="400" t="str">
        <f>IF('Mapa final SI'!AE73="","",'Mapa final SI'!AE73)</f>
        <v/>
      </c>
      <c r="K70" s="400" t="str">
        <f t="shared" si="0"/>
        <v/>
      </c>
      <c r="L70" s="400" t="str">
        <f>IF('Mapa final SI'!AH73="","",'Mapa final SI'!AH73)</f>
        <v/>
      </c>
      <c r="M70" s="339" t="str">
        <f>IF('Mapa final SI'!T73="","",'Mapa final SI'!T73)</f>
        <v/>
      </c>
      <c r="N70" s="397"/>
      <c r="O70" s="397"/>
      <c r="P70" s="397"/>
      <c r="Q70" s="398"/>
    </row>
    <row r="71" spans="1:17" ht="43.5" customHeight="1" x14ac:dyDescent="0.25">
      <c r="A71" s="115" t="s">
        <v>303</v>
      </c>
      <c r="B71" s="857"/>
      <c r="C71" s="863"/>
      <c r="D71" s="861"/>
      <c r="E71" s="863"/>
      <c r="F71" s="865"/>
      <c r="G71" s="865"/>
      <c r="H71" s="1073"/>
      <c r="I71" s="400" t="str">
        <f>IF('Mapa final SI'!AC74="","",'Mapa final SI'!AC74)</f>
        <v/>
      </c>
      <c r="J71" s="400" t="str">
        <f>IF('Mapa final SI'!AE74="","",'Mapa final SI'!AE74)</f>
        <v/>
      </c>
      <c r="K71" s="400" t="str">
        <f t="shared" si="0"/>
        <v/>
      </c>
      <c r="L71" s="400" t="str">
        <f>IF('Mapa final SI'!AH74="","",'Mapa final SI'!AH74)</f>
        <v/>
      </c>
      <c r="M71" s="339" t="str">
        <f>IF('Mapa final SI'!T74="","",'Mapa final SI'!T74)</f>
        <v/>
      </c>
      <c r="N71" s="397"/>
      <c r="O71" s="397"/>
      <c r="P71" s="397"/>
      <c r="Q71" s="398"/>
    </row>
    <row r="72" spans="1:17" ht="43.5" customHeight="1" x14ac:dyDescent="0.25">
      <c r="A72" s="115" t="s">
        <v>304</v>
      </c>
      <c r="B72" s="857"/>
      <c r="C72" s="863"/>
      <c r="D72" s="861"/>
      <c r="E72" s="863"/>
      <c r="F72" s="865"/>
      <c r="G72" s="865"/>
      <c r="H72" s="866"/>
      <c r="I72" s="400" t="str">
        <f>IF('Mapa final SI'!AC75="","",'Mapa final SI'!AC75)</f>
        <v/>
      </c>
      <c r="J72" s="400" t="str">
        <f>IF('Mapa final SI'!AE75="","",'Mapa final SI'!AE75)</f>
        <v/>
      </c>
      <c r="K72" s="40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0" t="str">
        <f>IF('Mapa final SI'!AH75="","",'Mapa final SI'!AH75)</f>
        <v/>
      </c>
      <c r="M72" s="339" t="str">
        <f>IF('Mapa final SI'!T75="","",'Mapa final SI'!T75)</f>
        <v/>
      </c>
      <c r="N72" s="397"/>
      <c r="O72" s="397"/>
      <c r="P72" s="397"/>
      <c r="Q72" s="398"/>
    </row>
    <row r="73" spans="1:17" ht="43.5" customHeight="1" x14ac:dyDescent="0.25">
      <c r="A73" s="115" t="s">
        <v>305</v>
      </c>
      <c r="B73" s="856"/>
      <c r="C73" s="862" t="str">
        <f>IF('Mapa final SI'!G76="","",'Mapa final SI'!G76)</f>
        <v/>
      </c>
      <c r="D73" s="860"/>
      <c r="E73" s="862" t="str">
        <f>IF('Mapa final SI'!F76="","",'Mapa final SI'!F76)</f>
        <v/>
      </c>
      <c r="F73" s="864" t="str">
        <f>IF('Mapa final SI'!L76="","",'Mapa final SI'!L76)</f>
        <v/>
      </c>
      <c r="G73" s="864" t="str">
        <f>IF('Mapa final SI'!P76="","",'Mapa final SI'!P76)</f>
        <v/>
      </c>
      <c r="H73" s="107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0" t="str">
        <f>IF('Mapa final SI'!AC76="","",'Mapa final SI'!AC76)</f>
        <v/>
      </c>
      <c r="J73" s="400" t="str">
        <f>IF('Mapa final SI'!AE76="","",'Mapa final SI'!AE76)</f>
        <v/>
      </c>
      <c r="K73" s="400" t="str">
        <f t="shared" si="1"/>
        <v/>
      </c>
      <c r="L73" s="400" t="str">
        <f>IF('Mapa final SI'!AH76="","",'Mapa final SI'!AH76)</f>
        <v/>
      </c>
      <c r="M73" s="339" t="str">
        <f>IF('Mapa final SI'!T76="","",'Mapa final SI'!T76)</f>
        <v/>
      </c>
      <c r="N73" s="397"/>
      <c r="O73" s="397"/>
      <c r="P73" s="397"/>
      <c r="Q73" s="398"/>
    </row>
    <row r="74" spans="1:17" ht="43.5" customHeight="1" x14ac:dyDescent="0.25">
      <c r="A74" s="115" t="s">
        <v>306</v>
      </c>
      <c r="B74" s="857"/>
      <c r="C74" s="863"/>
      <c r="D74" s="861"/>
      <c r="E74" s="863"/>
      <c r="F74" s="865"/>
      <c r="G74" s="865"/>
      <c r="H74" s="1073"/>
      <c r="I74" s="400" t="str">
        <f>IF('Mapa final SI'!AC77="","",'Mapa final SI'!AC77)</f>
        <v/>
      </c>
      <c r="J74" s="400" t="str">
        <f>IF('Mapa final SI'!AE77="","",'Mapa final SI'!AE77)</f>
        <v/>
      </c>
      <c r="K74" s="400" t="str">
        <f t="shared" si="1"/>
        <v/>
      </c>
      <c r="L74" s="400" t="str">
        <f>IF('Mapa final SI'!AH77="","",'Mapa final SI'!AH77)</f>
        <v/>
      </c>
      <c r="M74" s="339" t="str">
        <f>IF('Mapa final SI'!T77="","",'Mapa final SI'!T77)</f>
        <v/>
      </c>
      <c r="N74" s="397"/>
      <c r="O74" s="397"/>
      <c r="P74" s="397"/>
      <c r="Q74" s="398"/>
    </row>
    <row r="75" spans="1:17" ht="43.5" customHeight="1" x14ac:dyDescent="0.25">
      <c r="A75" s="115" t="s">
        <v>307</v>
      </c>
      <c r="B75" s="857"/>
      <c r="C75" s="863"/>
      <c r="D75" s="861"/>
      <c r="E75" s="863"/>
      <c r="F75" s="865"/>
      <c r="G75" s="865"/>
      <c r="H75" s="1073"/>
      <c r="I75" s="400" t="str">
        <f>IF('Mapa final SI'!AC78="","",'Mapa final SI'!AC78)</f>
        <v/>
      </c>
      <c r="J75" s="400" t="str">
        <f>IF('Mapa final SI'!AE78="","",'Mapa final SI'!AE78)</f>
        <v/>
      </c>
      <c r="K75" s="400" t="str">
        <f t="shared" si="1"/>
        <v/>
      </c>
      <c r="L75" s="400" t="str">
        <f>IF('Mapa final SI'!AH78="","",'Mapa final SI'!AH78)</f>
        <v/>
      </c>
      <c r="M75" s="339" t="str">
        <f>IF('Mapa final SI'!T78="","",'Mapa final SI'!T78)</f>
        <v/>
      </c>
      <c r="N75" s="397"/>
      <c r="O75" s="397"/>
      <c r="P75" s="397"/>
      <c r="Q75" s="398"/>
    </row>
    <row r="76" spans="1:17" ht="43.5" customHeight="1" x14ac:dyDescent="0.25">
      <c r="A76" s="115" t="s">
        <v>308</v>
      </c>
      <c r="B76" s="857"/>
      <c r="C76" s="863"/>
      <c r="D76" s="861"/>
      <c r="E76" s="863"/>
      <c r="F76" s="865"/>
      <c r="G76" s="865"/>
      <c r="H76" s="1073"/>
      <c r="I76" s="400" t="str">
        <f>IF('Mapa final SI'!AC79="","",'Mapa final SI'!AC79)</f>
        <v/>
      </c>
      <c r="J76" s="400" t="str">
        <f>IF('Mapa final SI'!AE79="","",'Mapa final SI'!AE79)</f>
        <v/>
      </c>
      <c r="K76" s="400" t="str">
        <f t="shared" si="1"/>
        <v/>
      </c>
      <c r="L76" s="400" t="str">
        <f>IF('Mapa final SI'!AH79="","",'Mapa final SI'!AH79)</f>
        <v/>
      </c>
      <c r="M76" s="339" t="str">
        <f>IF('Mapa final SI'!T79="","",'Mapa final SI'!T79)</f>
        <v/>
      </c>
      <c r="N76" s="397"/>
      <c r="O76" s="397"/>
      <c r="P76" s="397"/>
      <c r="Q76" s="398"/>
    </row>
    <row r="77" spans="1:17" ht="43.5" customHeight="1" x14ac:dyDescent="0.25">
      <c r="A77" s="115" t="s">
        <v>309</v>
      </c>
      <c r="B77" s="857"/>
      <c r="C77" s="863"/>
      <c r="D77" s="861"/>
      <c r="E77" s="863"/>
      <c r="F77" s="865"/>
      <c r="G77" s="865"/>
      <c r="H77" s="1073"/>
      <c r="I77" s="400" t="str">
        <f>IF('Mapa final SI'!AC80="","",'Mapa final SI'!AC80)</f>
        <v/>
      </c>
      <c r="J77" s="400" t="str">
        <f>IF('Mapa final SI'!AE80="","",'Mapa final SI'!AE80)</f>
        <v/>
      </c>
      <c r="K77" s="400" t="str">
        <f t="shared" si="1"/>
        <v/>
      </c>
      <c r="L77" s="400" t="str">
        <f>IF('Mapa final SI'!AH80="","",'Mapa final SI'!AH80)</f>
        <v/>
      </c>
      <c r="M77" s="339" t="str">
        <f>IF('Mapa final SI'!T80="","",'Mapa final SI'!T80)</f>
        <v/>
      </c>
      <c r="N77" s="397"/>
      <c r="O77" s="397"/>
      <c r="P77" s="397"/>
      <c r="Q77" s="398"/>
    </row>
    <row r="78" spans="1:17" ht="43.5" customHeight="1" x14ac:dyDescent="0.25">
      <c r="A78" s="115" t="s">
        <v>310</v>
      </c>
      <c r="B78" s="857"/>
      <c r="C78" s="863"/>
      <c r="D78" s="861"/>
      <c r="E78" s="863"/>
      <c r="F78" s="865"/>
      <c r="G78" s="865"/>
      <c r="H78" s="866"/>
      <c r="I78" s="400" t="str">
        <f>IF('Mapa final SI'!AC81="","",'Mapa final SI'!AC81)</f>
        <v/>
      </c>
      <c r="J78" s="400" t="str">
        <f>IF('Mapa final SI'!AE81="","",'Mapa final SI'!AE81)</f>
        <v/>
      </c>
      <c r="K78" s="400" t="str">
        <f t="shared" si="1"/>
        <v/>
      </c>
      <c r="L78" s="400" t="str">
        <f>IF('Mapa final SI'!AH81="","",'Mapa final SI'!AH81)</f>
        <v/>
      </c>
      <c r="M78" s="339" t="str">
        <f>IF('Mapa final SI'!T81="","",'Mapa final SI'!T81)</f>
        <v/>
      </c>
      <c r="N78" s="397"/>
      <c r="O78" s="397"/>
      <c r="P78" s="397"/>
      <c r="Q78" s="398"/>
    </row>
    <row r="79" spans="1:17" ht="43.5" customHeight="1" x14ac:dyDescent="0.25">
      <c r="A79" s="115" t="s">
        <v>311</v>
      </c>
      <c r="B79" s="856"/>
      <c r="C79" s="862" t="str">
        <f>IF('Mapa final SI'!G82="","",'Mapa final SI'!G82)</f>
        <v/>
      </c>
      <c r="D79" s="860"/>
      <c r="E79" s="862" t="str">
        <f>IF('Mapa final SI'!F82="","",'Mapa final SI'!F82)</f>
        <v/>
      </c>
      <c r="F79" s="864" t="str">
        <f>IF('Mapa final SI'!L82="","",'Mapa final SI'!L82)</f>
        <v/>
      </c>
      <c r="G79" s="864" t="str">
        <f>IF('Mapa final SI'!P82="","",'Mapa final SI'!P82)</f>
        <v/>
      </c>
      <c r="H79" s="107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0" t="str">
        <f>IF('Mapa final SI'!AC82="","",'Mapa final SI'!AC82)</f>
        <v/>
      </c>
      <c r="J79" s="400" t="str">
        <f>IF('Mapa final SI'!AE82="","",'Mapa final SI'!AE82)</f>
        <v/>
      </c>
      <c r="K79" s="400" t="str">
        <f t="shared" si="1"/>
        <v/>
      </c>
      <c r="L79" s="400" t="str">
        <f>IF('Mapa final SI'!AH82="","",'Mapa final SI'!AH82)</f>
        <v/>
      </c>
      <c r="M79" s="339" t="str">
        <f>IF('Mapa final SI'!T82="","",'Mapa final SI'!T82)</f>
        <v/>
      </c>
      <c r="N79" s="397"/>
      <c r="O79" s="397"/>
      <c r="P79" s="397"/>
      <c r="Q79" s="398"/>
    </row>
    <row r="80" spans="1:17" ht="43.5" customHeight="1" x14ac:dyDescent="0.25">
      <c r="A80" s="115" t="s">
        <v>312</v>
      </c>
      <c r="B80" s="857"/>
      <c r="C80" s="863"/>
      <c r="D80" s="861"/>
      <c r="E80" s="863"/>
      <c r="F80" s="865"/>
      <c r="G80" s="865"/>
      <c r="H80" s="1073"/>
      <c r="I80" s="400" t="str">
        <f>IF('Mapa final SI'!AC83="","",'Mapa final SI'!AC83)</f>
        <v/>
      </c>
      <c r="J80" s="400" t="str">
        <f>IF('Mapa final SI'!AE83="","",'Mapa final SI'!AE83)</f>
        <v/>
      </c>
      <c r="K80" s="400" t="str">
        <f t="shared" si="1"/>
        <v/>
      </c>
      <c r="L80" s="400" t="str">
        <f>IF('Mapa final SI'!AH83="","",'Mapa final SI'!AH83)</f>
        <v/>
      </c>
      <c r="M80" s="339" t="str">
        <f>IF('Mapa final SI'!T83="","",'Mapa final SI'!T83)</f>
        <v/>
      </c>
      <c r="N80" s="397"/>
      <c r="O80" s="397"/>
      <c r="P80" s="397"/>
      <c r="Q80" s="398"/>
    </row>
    <row r="81" spans="1:17" ht="43.5" customHeight="1" x14ac:dyDescent="0.25">
      <c r="A81" s="115" t="s">
        <v>313</v>
      </c>
      <c r="B81" s="857"/>
      <c r="C81" s="863"/>
      <c r="D81" s="861"/>
      <c r="E81" s="863"/>
      <c r="F81" s="865"/>
      <c r="G81" s="865"/>
      <c r="H81" s="1073"/>
      <c r="I81" s="400" t="str">
        <f>IF('Mapa final SI'!AC84="","",'Mapa final SI'!AC84)</f>
        <v/>
      </c>
      <c r="J81" s="400" t="str">
        <f>IF('Mapa final SI'!AE84="","",'Mapa final SI'!AE84)</f>
        <v/>
      </c>
      <c r="K81" s="400" t="str">
        <f t="shared" si="1"/>
        <v/>
      </c>
      <c r="L81" s="400" t="str">
        <f>IF('Mapa final SI'!AH84="","",'Mapa final SI'!AH84)</f>
        <v/>
      </c>
      <c r="M81" s="339" t="str">
        <f>IF('Mapa final SI'!T84="","",'Mapa final SI'!T84)</f>
        <v/>
      </c>
      <c r="N81" s="397"/>
      <c r="O81" s="397"/>
      <c r="P81" s="397"/>
      <c r="Q81" s="398"/>
    </row>
    <row r="82" spans="1:17" ht="43.5" customHeight="1" x14ac:dyDescent="0.25">
      <c r="A82" s="115" t="s">
        <v>314</v>
      </c>
      <c r="B82" s="857"/>
      <c r="C82" s="863"/>
      <c r="D82" s="861"/>
      <c r="E82" s="863"/>
      <c r="F82" s="865"/>
      <c r="G82" s="865"/>
      <c r="H82" s="1073"/>
      <c r="I82" s="400" t="str">
        <f>IF('Mapa final SI'!AC85="","",'Mapa final SI'!AC85)</f>
        <v/>
      </c>
      <c r="J82" s="400" t="str">
        <f>IF('Mapa final SI'!AE85="","",'Mapa final SI'!AE85)</f>
        <v/>
      </c>
      <c r="K82" s="400" t="str">
        <f t="shared" si="1"/>
        <v/>
      </c>
      <c r="L82" s="400" t="str">
        <f>IF('Mapa final SI'!AH85="","",'Mapa final SI'!AH85)</f>
        <v/>
      </c>
      <c r="M82" s="339" t="str">
        <f>IF('Mapa final SI'!T85="","",'Mapa final SI'!T85)</f>
        <v/>
      </c>
      <c r="N82" s="397"/>
      <c r="O82" s="397"/>
      <c r="P82" s="397"/>
      <c r="Q82" s="398"/>
    </row>
    <row r="83" spans="1:17" ht="43.5" customHeight="1" x14ac:dyDescent="0.25">
      <c r="A83" s="115" t="s">
        <v>315</v>
      </c>
      <c r="B83" s="857"/>
      <c r="C83" s="863"/>
      <c r="D83" s="861"/>
      <c r="E83" s="863"/>
      <c r="F83" s="865"/>
      <c r="G83" s="865"/>
      <c r="H83" s="1073"/>
      <c r="I83" s="400" t="str">
        <f>IF('Mapa final SI'!AC86="","",'Mapa final SI'!AC86)</f>
        <v/>
      </c>
      <c r="J83" s="400" t="str">
        <f>IF('Mapa final SI'!AE86="","",'Mapa final SI'!AE86)</f>
        <v/>
      </c>
      <c r="K83" s="400" t="str">
        <f t="shared" si="1"/>
        <v/>
      </c>
      <c r="L83" s="400" t="str">
        <f>IF('Mapa final SI'!AH86="","",'Mapa final SI'!AH86)</f>
        <v/>
      </c>
      <c r="M83" s="339" t="str">
        <f>IF('Mapa final SI'!T86="","",'Mapa final SI'!T86)</f>
        <v/>
      </c>
      <c r="N83" s="397"/>
      <c r="O83" s="397"/>
      <c r="P83" s="397"/>
      <c r="Q83" s="398"/>
    </row>
    <row r="84" spans="1:17" ht="43.5" customHeight="1" x14ac:dyDescent="0.25">
      <c r="A84" s="115" t="s">
        <v>316</v>
      </c>
      <c r="B84" s="857"/>
      <c r="C84" s="863"/>
      <c r="D84" s="861"/>
      <c r="E84" s="863"/>
      <c r="F84" s="865"/>
      <c r="G84" s="865"/>
      <c r="H84" s="866"/>
      <c r="I84" s="400" t="str">
        <f>IF('Mapa final SI'!AC87="","",'Mapa final SI'!AC87)</f>
        <v/>
      </c>
      <c r="J84" s="400" t="str">
        <f>IF('Mapa final SI'!AE87="","",'Mapa final SI'!AE87)</f>
        <v/>
      </c>
      <c r="K84" s="400" t="str">
        <f t="shared" si="1"/>
        <v/>
      </c>
      <c r="L84" s="400" t="str">
        <f>IF('Mapa final SI'!AH87="","",'Mapa final SI'!AH87)</f>
        <v/>
      </c>
      <c r="M84" s="339" t="str">
        <f>IF('Mapa final SI'!T87="","",'Mapa final SI'!T87)</f>
        <v/>
      </c>
      <c r="N84" s="397"/>
      <c r="O84" s="397"/>
      <c r="P84" s="397"/>
      <c r="Q84" s="398"/>
    </row>
    <row r="85" spans="1:17" ht="43.5" customHeight="1" x14ac:dyDescent="0.25">
      <c r="A85" s="115" t="s">
        <v>317</v>
      </c>
      <c r="B85" s="856"/>
      <c r="C85" s="862" t="str">
        <f>IF('Mapa final SI'!G88="","",'Mapa final SI'!G88)</f>
        <v/>
      </c>
      <c r="D85" s="860"/>
      <c r="E85" s="862" t="str">
        <f>IF('Mapa final SI'!F88="","",'Mapa final SI'!F88)</f>
        <v/>
      </c>
      <c r="F85" s="864" t="str">
        <f>IF('Mapa final SI'!L88="","",'Mapa final SI'!L88)</f>
        <v/>
      </c>
      <c r="G85" s="864" t="str">
        <f>IF('Mapa final SI'!P88="","",'Mapa final SI'!P88)</f>
        <v/>
      </c>
      <c r="H85" s="107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0" t="str">
        <f>IF('Mapa final SI'!AC88="","",'Mapa final SI'!AC88)</f>
        <v/>
      </c>
      <c r="J85" s="400" t="str">
        <f>IF('Mapa final SI'!AE88="","",'Mapa final SI'!AE88)</f>
        <v/>
      </c>
      <c r="K85" s="400" t="str">
        <f t="shared" si="1"/>
        <v/>
      </c>
      <c r="L85" s="400" t="str">
        <f>IF('Mapa final SI'!AH88="","",'Mapa final SI'!AH88)</f>
        <v/>
      </c>
      <c r="M85" s="339" t="str">
        <f>IF('Mapa final SI'!T88="","",'Mapa final SI'!T88)</f>
        <v/>
      </c>
      <c r="N85" s="397"/>
      <c r="O85" s="397"/>
      <c r="P85" s="397"/>
      <c r="Q85" s="398"/>
    </row>
    <row r="86" spans="1:17" ht="43.5" customHeight="1" x14ac:dyDescent="0.25">
      <c r="A86" s="115" t="s">
        <v>318</v>
      </c>
      <c r="B86" s="857"/>
      <c r="C86" s="863"/>
      <c r="D86" s="861"/>
      <c r="E86" s="863"/>
      <c r="F86" s="865"/>
      <c r="G86" s="865"/>
      <c r="H86" s="1073"/>
      <c r="I86" s="400" t="str">
        <f>IF('Mapa final SI'!AC89="","",'Mapa final SI'!AC89)</f>
        <v/>
      </c>
      <c r="J86" s="400" t="str">
        <f>IF('Mapa final SI'!AE89="","",'Mapa final SI'!AE89)</f>
        <v/>
      </c>
      <c r="K86" s="400" t="str">
        <f t="shared" si="1"/>
        <v/>
      </c>
      <c r="L86" s="400" t="str">
        <f>IF('Mapa final SI'!AH89="","",'Mapa final SI'!AH89)</f>
        <v/>
      </c>
      <c r="M86" s="339" t="str">
        <f>IF('Mapa final SI'!T89="","",'Mapa final SI'!T89)</f>
        <v/>
      </c>
      <c r="N86" s="397"/>
      <c r="O86" s="397"/>
      <c r="P86" s="397"/>
      <c r="Q86" s="398"/>
    </row>
    <row r="87" spans="1:17" ht="43.5" customHeight="1" x14ac:dyDescent="0.25">
      <c r="A87" s="115" t="s">
        <v>319</v>
      </c>
      <c r="B87" s="857"/>
      <c r="C87" s="863"/>
      <c r="D87" s="861"/>
      <c r="E87" s="863"/>
      <c r="F87" s="865"/>
      <c r="G87" s="865"/>
      <c r="H87" s="1073"/>
      <c r="I87" s="400" t="str">
        <f>IF('Mapa final SI'!AC90="","",'Mapa final SI'!AC90)</f>
        <v/>
      </c>
      <c r="J87" s="400" t="str">
        <f>IF('Mapa final SI'!AE90="","",'Mapa final SI'!AE90)</f>
        <v/>
      </c>
      <c r="K87" s="400" t="str">
        <f t="shared" si="1"/>
        <v/>
      </c>
      <c r="L87" s="400" t="str">
        <f>IF('Mapa final SI'!AH90="","",'Mapa final SI'!AH90)</f>
        <v/>
      </c>
      <c r="M87" s="339" t="str">
        <f>IF('Mapa final SI'!T90="","",'Mapa final SI'!T90)</f>
        <v/>
      </c>
      <c r="N87" s="397"/>
      <c r="O87" s="397"/>
      <c r="P87" s="397"/>
      <c r="Q87" s="398"/>
    </row>
    <row r="88" spans="1:17" ht="43.5" customHeight="1" x14ac:dyDescent="0.25">
      <c r="A88" s="115" t="s">
        <v>320</v>
      </c>
      <c r="B88" s="857"/>
      <c r="C88" s="863"/>
      <c r="D88" s="861"/>
      <c r="E88" s="863"/>
      <c r="F88" s="865"/>
      <c r="G88" s="865"/>
      <c r="H88" s="1073"/>
      <c r="I88" s="400" t="str">
        <f>IF('Mapa final SI'!AC91="","",'Mapa final SI'!AC91)</f>
        <v/>
      </c>
      <c r="J88" s="400" t="str">
        <f>IF('Mapa final SI'!AE91="","",'Mapa final SI'!AE91)</f>
        <v/>
      </c>
      <c r="K88" s="400" t="str">
        <f t="shared" si="1"/>
        <v/>
      </c>
      <c r="L88" s="400" t="str">
        <f>IF('Mapa final SI'!AH91="","",'Mapa final SI'!AH91)</f>
        <v/>
      </c>
      <c r="M88" s="339" t="str">
        <f>IF('Mapa final SI'!T91="","",'Mapa final SI'!T91)</f>
        <v/>
      </c>
      <c r="N88" s="397"/>
      <c r="O88" s="397"/>
      <c r="P88" s="397"/>
      <c r="Q88" s="398"/>
    </row>
    <row r="89" spans="1:17" ht="43.5" customHeight="1" x14ac:dyDescent="0.25">
      <c r="A89" s="115" t="s">
        <v>321</v>
      </c>
      <c r="B89" s="857"/>
      <c r="C89" s="863"/>
      <c r="D89" s="861"/>
      <c r="E89" s="863"/>
      <c r="F89" s="865"/>
      <c r="G89" s="865"/>
      <c r="H89" s="1073"/>
      <c r="I89" s="400" t="str">
        <f>IF('Mapa final SI'!AC92="","",'Mapa final SI'!AC92)</f>
        <v/>
      </c>
      <c r="J89" s="400" t="str">
        <f>IF('Mapa final SI'!AE92="","",'Mapa final SI'!AE92)</f>
        <v/>
      </c>
      <c r="K89" s="400" t="str">
        <f t="shared" si="1"/>
        <v/>
      </c>
      <c r="L89" s="400" t="str">
        <f>IF('Mapa final SI'!AH92="","",'Mapa final SI'!AH92)</f>
        <v/>
      </c>
      <c r="M89" s="339" t="str">
        <f>IF('Mapa final SI'!T92="","",'Mapa final SI'!T92)</f>
        <v/>
      </c>
      <c r="N89" s="397"/>
      <c r="O89" s="397"/>
      <c r="P89" s="397"/>
      <c r="Q89" s="398"/>
    </row>
    <row r="90" spans="1:17" ht="43.5" customHeight="1" x14ac:dyDescent="0.25">
      <c r="A90" s="115" t="s">
        <v>322</v>
      </c>
      <c r="B90" s="857"/>
      <c r="C90" s="863"/>
      <c r="D90" s="861"/>
      <c r="E90" s="863"/>
      <c r="F90" s="865"/>
      <c r="G90" s="865"/>
      <c r="H90" s="866"/>
      <c r="I90" s="400" t="str">
        <f>IF('Mapa final SI'!AC93="","",'Mapa final SI'!AC93)</f>
        <v/>
      </c>
      <c r="J90" s="400" t="str">
        <f>IF('Mapa final SI'!AE93="","",'Mapa final SI'!AE93)</f>
        <v/>
      </c>
      <c r="K90" s="400" t="str">
        <f t="shared" si="1"/>
        <v/>
      </c>
      <c r="L90" s="400" t="str">
        <f>IF('Mapa final SI'!AH93="","",'Mapa final SI'!AH93)</f>
        <v/>
      </c>
      <c r="M90" s="339" t="str">
        <f>IF('Mapa final SI'!T93="","",'Mapa final SI'!T93)</f>
        <v/>
      </c>
      <c r="N90" s="397"/>
      <c r="O90" s="397"/>
      <c r="P90" s="397"/>
      <c r="Q90" s="398"/>
    </row>
    <row r="91" spans="1:17" ht="43.5" customHeight="1" x14ac:dyDescent="0.25">
      <c r="A91" s="115" t="s">
        <v>323</v>
      </c>
      <c r="B91" s="856"/>
      <c r="C91" s="862" t="str">
        <f>IF('Mapa final SI'!G94="","",'Mapa final SI'!G94)</f>
        <v/>
      </c>
      <c r="D91" s="860"/>
      <c r="E91" s="862" t="str">
        <f>IF('Mapa final SI'!F94="","",'Mapa final SI'!F94)</f>
        <v/>
      </c>
      <c r="F91" s="864" t="str">
        <f>IF('Mapa final SI'!L94="","",'Mapa final SI'!L94)</f>
        <v/>
      </c>
      <c r="G91" s="864" t="str">
        <f>IF('Mapa final SI'!P94="","",'Mapa final SI'!P94)</f>
        <v/>
      </c>
      <c r="H91" s="107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0" t="str">
        <f>IF('Mapa final SI'!AC94="","",'Mapa final SI'!AC94)</f>
        <v/>
      </c>
      <c r="J91" s="400" t="str">
        <f>IF('Mapa final SI'!AE94="","",'Mapa final SI'!AE94)</f>
        <v/>
      </c>
      <c r="K91" s="400" t="str">
        <f t="shared" si="1"/>
        <v/>
      </c>
      <c r="L91" s="400" t="str">
        <f>IF('Mapa final SI'!AH94="","",'Mapa final SI'!AH94)</f>
        <v/>
      </c>
      <c r="M91" s="339" t="str">
        <f>IF('Mapa final SI'!T94="","",'Mapa final SI'!T94)</f>
        <v/>
      </c>
      <c r="N91" s="397"/>
      <c r="O91" s="397"/>
      <c r="P91" s="397"/>
      <c r="Q91" s="398"/>
    </row>
    <row r="92" spans="1:17" ht="43.5" customHeight="1" x14ac:dyDescent="0.25">
      <c r="A92" s="115" t="s">
        <v>324</v>
      </c>
      <c r="B92" s="857"/>
      <c r="C92" s="863"/>
      <c r="D92" s="861"/>
      <c r="E92" s="863"/>
      <c r="F92" s="865"/>
      <c r="G92" s="865"/>
      <c r="H92" s="1073"/>
      <c r="I92" s="400" t="str">
        <f>IF('Mapa final SI'!AC95="","",'Mapa final SI'!AC95)</f>
        <v/>
      </c>
      <c r="J92" s="400" t="str">
        <f>IF('Mapa final SI'!AE95="","",'Mapa final SI'!AE95)</f>
        <v/>
      </c>
      <c r="K92" s="400" t="str">
        <f t="shared" si="1"/>
        <v/>
      </c>
      <c r="L92" s="400" t="str">
        <f>IF('Mapa final SI'!AH95="","",'Mapa final SI'!AH95)</f>
        <v/>
      </c>
      <c r="M92" s="339" t="str">
        <f>IF('Mapa final SI'!T95="","",'Mapa final SI'!T95)</f>
        <v/>
      </c>
      <c r="N92" s="397"/>
      <c r="O92" s="397"/>
      <c r="P92" s="397"/>
      <c r="Q92" s="398"/>
    </row>
    <row r="93" spans="1:17" ht="43.5" customHeight="1" x14ac:dyDescent="0.25">
      <c r="A93" s="115" t="s">
        <v>325</v>
      </c>
      <c r="B93" s="857"/>
      <c r="C93" s="863"/>
      <c r="D93" s="861"/>
      <c r="E93" s="863"/>
      <c r="F93" s="865"/>
      <c r="G93" s="865"/>
      <c r="H93" s="1073"/>
      <c r="I93" s="400" t="str">
        <f>IF('Mapa final SI'!AC96="","",'Mapa final SI'!AC96)</f>
        <v/>
      </c>
      <c r="J93" s="400" t="str">
        <f>IF('Mapa final SI'!AE96="","",'Mapa final SI'!AE96)</f>
        <v/>
      </c>
      <c r="K93" s="400" t="str">
        <f t="shared" si="1"/>
        <v/>
      </c>
      <c r="L93" s="400" t="str">
        <f>IF('Mapa final SI'!AH96="","",'Mapa final SI'!AH96)</f>
        <v/>
      </c>
      <c r="M93" s="339" t="str">
        <f>IF('Mapa final SI'!T96="","",'Mapa final SI'!T96)</f>
        <v/>
      </c>
      <c r="N93" s="397"/>
      <c r="O93" s="397"/>
      <c r="P93" s="397"/>
      <c r="Q93" s="398"/>
    </row>
    <row r="94" spans="1:17" ht="43.5" customHeight="1" x14ac:dyDescent="0.25">
      <c r="A94" s="115" t="s">
        <v>326</v>
      </c>
      <c r="B94" s="857"/>
      <c r="C94" s="863"/>
      <c r="D94" s="861"/>
      <c r="E94" s="863"/>
      <c r="F94" s="865"/>
      <c r="G94" s="865"/>
      <c r="H94" s="1073"/>
      <c r="I94" s="400" t="str">
        <f>IF('Mapa final SI'!AC97="","",'Mapa final SI'!AC97)</f>
        <v/>
      </c>
      <c r="J94" s="400" t="str">
        <f>IF('Mapa final SI'!AE97="","",'Mapa final SI'!AE97)</f>
        <v/>
      </c>
      <c r="K94" s="400" t="str">
        <f t="shared" si="1"/>
        <v/>
      </c>
      <c r="L94" s="400" t="str">
        <f>IF('Mapa final SI'!AH97="","",'Mapa final SI'!AH97)</f>
        <v/>
      </c>
      <c r="M94" s="339" t="str">
        <f>IF('Mapa final SI'!T97="","",'Mapa final SI'!T97)</f>
        <v/>
      </c>
      <c r="N94" s="397"/>
      <c r="O94" s="397"/>
      <c r="P94" s="397"/>
      <c r="Q94" s="398"/>
    </row>
    <row r="95" spans="1:17" ht="43.5" customHeight="1" x14ac:dyDescent="0.25">
      <c r="A95" s="115" t="s">
        <v>327</v>
      </c>
      <c r="B95" s="857"/>
      <c r="C95" s="863"/>
      <c r="D95" s="861"/>
      <c r="E95" s="863"/>
      <c r="F95" s="865"/>
      <c r="G95" s="865"/>
      <c r="H95" s="1073"/>
      <c r="I95" s="400" t="str">
        <f>IF('Mapa final SI'!AC98="","",'Mapa final SI'!AC98)</f>
        <v/>
      </c>
      <c r="J95" s="400" t="str">
        <f>IF('Mapa final SI'!AE98="","",'Mapa final SI'!AE98)</f>
        <v/>
      </c>
      <c r="K95" s="400" t="str">
        <f t="shared" si="1"/>
        <v/>
      </c>
      <c r="L95" s="400" t="str">
        <f>IF('Mapa final SI'!AH98="","",'Mapa final SI'!AH98)</f>
        <v/>
      </c>
      <c r="M95" s="339" t="str">
        <f>IF('Mapa final SI'!T98="","",'Mapa final SI'!T98)</f>
        <v/>
      </c>
      <c r="N95" s="397"/>
      <c r="O95" s="397"/>
      <c r="P95" s="397"/>
      <c r="Q95" s="398"/>
    </row>
    <row r="96" spans="1:17" ht="43.5" customHeight="1" x14ac:dyDescent="0.25">
      <c r="A96" s="115" t="s">
        <v>328</v>
      </c>
      <c r="B96" s="857"/>
      <c r="C96" s="863"/>
      <c r="D96" s="861"/>
      <c r="E96" s="863"/>
      <c r="F96" s="865"/>
      <c r="G96" s="865"/>
      <c r="H96" s="866"/>
      <c r="I96" s="400" t="str">
        <f>IF('Mapa final SI'!AC99="","",'Mapa final SI'!AC99)</f>
        <v/>
      </c>
      <c r="J96" s="400" t="str">
        <f>IF('Mapa final SI'!AE99="","",'Mapa final SI'!AE99)</f>
        <v/>
      </c>
      <c r="K96" s="400" t="str">
        <f t="shared" si="1"/>
        <v/>
      </c>
      <c r="L96" s="400" t="str">
        <f>IF('Mapa final SI'!AH99="","",'Mapa final SI'!AH99)</f>
        <v/>
      </c>
      <c r="M96" s="339" t="str">
        <f>IF('Mapa final SI'!T99="","",'Mapa final SI'!T99)</f>
        <v/>
      </c>
      <c r="N96" s="397"/>
      <c r="O96" s="397"/>
      <c r="P96" s="397"/>
      <c r="Q96" s="398"/>
    </row>
    <row r="97" spans="1:17" ht="43.5" customHeight="1" x14ac:dyDescent="0.25">
      <c r="A97" s="115" t="s">
        <v>329</v>
      </c>
      <c r="B97" s="856"/>
      <c r="C97" s="862" t="str">
        <f>IF('Mapa final SI'!G100="","",'Mapa final SI'!G100)</f>
        <v/>
      </c>
      <c r="D97" s="860"/>
      <c r="E97" s="862" t="str">
        <f>IF('Mapa final SI'!F100="","",'Mapa final SI'!F100)</f>
        <v/>
      </c>
      <c r="F97" s="864" t="str">
        <f>IF('Mapa final SI'!L100="","",'Mapa final SI'!L100)</f>
        <v/>
      </c>
      <c r="G97" s="864" t="str">
        <f>IF('Mapa final SI'!P100="","",'Mapa final SI'!P100)</f>
        <v/>
      </c>
      <c r="H97" s="107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0" t="str">
        <f>IF('Mapa final SI'!AC100="","",'Mapa final SI'!AC100)</f>
        <v/>
      </c>
      <c r="J97" s="400" t="str">
        <f>IF('Mapa final SI'!AE100="","",'Mapa final SI'!AE100)</f>
        <v/>
      </c>
      <c r="K97" s="400" t="str">
        <f t="shared" si="1"/>
        <v/>
      </c>
      <c r="L97" s="400" t="str">
        <f>IF('Mapa final SI'!AH100="","",'Mapa final SI'!AH100)</f>
        <v/>
      </c>
      <c r="M97" s="339" t="str">
        <f>IF('Mapa final SI'!T100="","",'Mapa final SI'!T100)</f>
        <v/>
      </c>
      <c r="N97" s="397"/>
      <c r="O97" s="397"/>
      <c r="P97" s="397"/>
      <c r="Q97" s="398"/>
    </row>
    <row r="98" spans="1:17" ht="43.5" customHeight="1" x14ac:dyDescent="0.25">
      <c r="A98" s="115" t="s">
        <v>330</v>
      </c>
      <c r="B98" s="857"/>
      <c r="C98" s="863"/>
      <c r="D98" s="861"/>
      <c r="E98" s="863"/>
      <c r="F98" s="865"/>
      <c r="G98" s="865"/>
      <c r="H98" s="1073"/>
      <c r="I98" s="400" t="str">
        <f>IF('Mapa final SI'!AC101="","",'Mapa final SI'!AC101)</f>
        <v/>
      </c>
      <c r="J98" s="400" t="str">
        <f>IF('Mapa final SI'!AE101="","",'Mapa final SI'!AE101)</f>
        <v/>
      </c>
      <c r="K98" s="400" t="str">
        <f t="shared" si="1"/>
        <v/>
      </c>
      <c r="L98" s="400" t="str">
        <f>IF('Mapa final SI'!AH101="","",'Mapa final SI'!AH101)</f>
        <v/>
      </c>
      <c r="M98" s="339" t="str">
        <f>IF('Mapa final SI'!T101="","",'Mapa final SI'!T101)</f>
        <v/>
      </c>
      <c r="N98" s="397"/>
      <c r="O98" s="397"/>
      <c r="P98" s="397"/>
      <c r="Q98" s="398"/>
    </row>
    <row r="99" spans="1:17" ht="43.5" customHeight="1" x14ac:dyDescent="0.25">
      <c r="A99" s="115" t="s">
        <v>331</v>
      </c>
      <c r="B99" s="857"/>
      <c r="C99" s="863"/>
      <c r="D99" s="861"/>
      <c r="E99" s="863"/>
      <c r="F99" s="865"/>
      <c r="G99" s="865"/>
      <c r="H99" s="1073"/>
      <c r="I99" s="400" t="str">
        <f>IF('Mapa final SI'!AC102="","",'Mapa final SI'!AC102)</f>
        <v/>
      </c>
      <c r="J99" s="400" t="str">
        <f>IF('Mapa final SI'!AE102="","",'Mapa final SI'!AE102)</f>
        <v/>
      </c>
      <c r="K99" s="400" t="str">
        <f t="shared" si="1"/>
        <v/>
      </c>
      <c r="L99" s="400" t="str">
        <f>IF('Mapa final SI'!AH102="","",'Mapa final SI'!AH102)</f>
        <v/>
      </c>
      <c r="M99" s="339" t="str">
        <f>IF('Mapa final SI'!T102="","",'Mapa final SI'!T102)</f>
        <v/>
      </c>
      <c r="N99" s="397"/>
      <c r="O99" s="397"/>
      <c r="P99" s="397"/>
      <c r="Q99" s="398"/>
    </row>
    <row r="100" spans="1:17" ht="43.5" customHeight="1" x14ac:dyDescent="0.25">
      <c r="A100" s="115" t="s">
        <v>332</v>
      </c>
      <c r="B100" s="857"/>
      <c r="C100" s="863"/>
      <c r="D100" s="861"/>
      <c r="E100" s="863"/>
      <c r="F100" s="865"/>
      <c r="G100" s="865"/>
      <c r="H100" s="1073"/>
      <c r="I100" s="400" t="str">
        <f>IF('Mapa final SI'!AC103="","",'Mapa final SI'!AC103)</f>
        <v/>
      </c>
      <c r="J100" s="400" t="str">
        <f>IF('Mapa final SI'!AE103="","",'Mapa final SI'!AE103)</f>
        <v/>
      </c>
      <c r="K100" s="400" t="str">
        <f t="shared" si="1"/>
        <v/>
      </c>
      <c r="L100" s="400" t="str">
        <f>IF('Mapa final SI'!AH103="","",'Mapa final SI'!AH103)</f>
        <v/>
      </c>
      <c r="M100" s="339" t="str">
        <f>IF('Mapa final SI'!T103="","",'Mapa final SI'!T103)</f>
        <v/>
      </c>
      <c r="N100" s="397"/>
      <c r="O100" s="397"/>
      <c r="P100" s="397"/>
      <c r="Q100" s="398"/>
    </row>
    <row r="101" spans="1:17" ht="43.5" customHeight="1" x14ac:dyDescent="0.25">
      <c r="A101" s="115" t="s">
        <v>333</v>
      </c>
      <c r="B101" s="857"/>
      <c r="C101" s="863"/>
      <c r="D101" s="861"/>
      <c r="E101" s="863"/>
      <c r="F101" s="865"/>
      <c r="G101" s="865"/>
      <c r="H101" s="1073"/>
      <c r="I101" s="400" t="str">
        <f>IF('Mapa final SI'!AC104="","",'Mapa final SI'!AC104)</f>
        <v/>
      </c>
      <c r="J101" s="400" t="str">
        <f>IF('Mapa final SI'!AE104="","",'Mapa final SI'!AE104)</f>
        <v/>
      </c>
      <c r="K101" s="400" t="str">
        <f t="shared" si="1"/>
        <v/>
      </c>
      <c r="L101" s="400" t="str">
        <f>IF('Mapa final SI'!AH104="","",'Mapa final SI'!AH104)</f>
        <v/>
      </c>
      <c r="M101" s="339" t="str">
        <f>IF('Mapa final SI'!T104="","",'Mapa final SI'!T104)</f>
        <v/>
      </c>
      <c r="N101" s="397"/>
      <c r="O101" s="397"/>
      <c r="P101" s="397"/>
      <c r="Q101" s="398"/>
    </row>
    <row r="102" spans="1:17" ht="43.5" customHeight="1" x14ac:dyDescent="0.25">
      <c r="A102" s="115" t="s">
        <v>334</v>
      </c>
      <c r="B102" s="857"/>
      <c r="C102" s="863"/>
      <c r="D102" s="861"/>
      <c r="E102" s="863"/>
      <c r="F102" s="865"/>
      <c r="G102" s="865"/>
      <c r="H102" s="866"/>
      <c r="I102" s="400" t="str">
        <f>IF('Mapa final SI'!AC105="","",'Mapa final SI'!AC105)</f>
        <v/>
      </c>
      <c r="J102" s="400" t="str">
        <f>IF('Mapa final SI'!AE105="","",'Mapa final SI'!AE105)</f>
        <v/>
      </c>
      <c r="K102" s="400" t="str">
        <f t="shared" si="1"/>
        <v/>
      </c>
      <c r="L102" s="400" t="str">
        <f>IF('Mapa final SI'!AH105="","",'Mapa final SI'!AH105)</f>
        <v/>
      </c>
      <c r="M102" s="339" t="str">
        <f>IF('Mapa final SI'!T105="","",'Mapa final SI'!T105)</f>
        <v/>
      </c>
      <c r="N102" s="397"/>
      <c r="O102" s="397"/>
      <c r="P102" s="397"/>
      <c r="Q102" s="398"/>
    </row>
    <row r="103" spans="1:17" ht="43.5" customHeight="1" x14ac:dyDescent="0.25">
      <c r="A103" s="115" t="s">
        <v>335</v>
      </c>
      <c r="B103" s="856"/>
      <c r="C103" s="862" t="str">
        <f>IF('Mapa final SI'!G106="","",'Mapa final SI'!G106)</f>
        <v/>
      </c>
      <c r="D103" s="860"/>
      <c r="E103" s="862" t="str">
        <f>IF('Mapa final SI'!F106="","",'Mapa final SI'!F106)</f>
        <v/>
      </c>
      <c r="F103" s="864" t="str">
        <f>IF('Mapa final SI'!L106="","",'Mapa final SI'!L106)</f>
        <v/>
      </c>
      <c r="G103" s="864" t="str">
        <f>IF('Mapa final SI'!P106="","",'Mapa final SI'!P106)</f>
        <v/>
      </c>
      <c r="H103" s="107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0" t="str">
        <f>IF('Mapa final SI'!AC106="","",'Mapa final SI'!AC106)</f>
        <v/>
      </c>
      <c r="J103" s="400" t="str">
        <f>IF('Mapa final SI'!AE106="","",'Mapa final SI'!AE106)</f>
        <v/>
      </c>
      <c r="K103" s="400" t="str">
        <f t="shared" si="1"/>
        <v/>
      </c>
      <c r="L103" s="400" t="str">
        <f>IF('Mapa final SI'!AH106="","",'Mapa final SI'!AH106)</f>
        <v/>
      </c>
      <c r="M103" s="339" t="str">
        <f>IF('Mapa final SI'!T106="","",'Mapa final SI'!T106)</f>
        <v/>
      </c>
      <c r="N103" s="397"/>
      <c r="O103" s="397"/>
      <c r="P103" s="397"/>
      <c r="Q103" s="398"/>
    </row>
    <row r="104" spans="1:17" ht="43.5" customHeight="1" x14ac:dyDescent="0.25">
      <c r="A104" s="115" t="s">
        <v>336</v>
      </c>
      <c r="B104" s="857"/>
      <c r="C104" s="863"/>
      <c r="D104" s="861"/>
      <c r="E104" s="863"/>
      <c r="F104" s="865"/>
      <c r="G104" s="865"/>
      <c r="H104" s="1073"/>
      <c r="I104" s="400" t="str">
        <f>IF('Mapa final SI'!AC107="","",'Mapa final SI'!AC107)</f>
        <v/>
      </c>
      <c r="J104" s="400" t="str">
        <f>IF('Mapa final SI'!AE107="","",'Mapa final SI'!AE107)</f>
        <v/>
      </c>
      <c r="K104" s="400" t="str">
        <f t="shared" si="1"/>
        <v/>
      </c>
      <c r="L104" s="400" t="str">
        <f>IF('Mapa final SI'!AH107="","",'Mapa final SI'!AH107)</f>
        <v/>
      </c>
      <c r="M104" s="339" t="str">
        <f>IF('Mapa final SI'!T107="","",'Mapa final SI'!T107)</f>
        <v/>
      </c>
      <c r="N104" s="397"/>
      <c r="O104" s="397"/>
      <c r="P104" s="397"/>
      <c r="Q104" s="398"/>
    </row>
    <row r="105" spans="1:17" ht="43.5" customHeight="1" x14ac:dyDescent="0.25">
      <c r="A105" s="115" t="s">
        <v>337</v>
      </c>
      <c r="B105" s="857"/>
      <c r="C105" s="863"/>
      <c r="D105" s="861"/>
      <c r="E105" s="863"/>
      <c r="F105" s="865"/>
      <c r="G105" s="865"/>
      <c r="H105" s="1073"/>
      <c r="I105" s="400" t="str">
        <f>IF('Mapa final SI'!AC108="","",'Mapa final SI'!AC108)</f>
        <v/>
      </c>
      <c r="J105" s="400" t="str">
        <f>IF('Mapa final SI'!AE108="","",'Mapa final SI'!AE108)</f>
        <v/>
      </c>
      <c r="K105" s="400" t="str">
        <f t="shared" si="1"/>
        <v/>
      </c>
      <c r="L105" s="400" t="str">
        <f>IF('Mapa final SI'!AH108="","",'Mapa final SI'!AH108)</f>
        <v/>
      </c>
      <c r="M105" s="339" t="str">
        <f>IF('Mapa final SI'!T108="","",'Mapa final SI'!T108)</f>
        <v/>
      </c>
      <c r="N105" s="397"/>
      <c r="O105" s="397"/>
      <c r="P105" s="397"/>
      <c r="Q105" s="398"/>
    </row>
    <row r="106" spans="1:17" ht="43.5" customHeight="1" x14ac:dyDescent="0.25">
      <c r="A106" s="115" t="s">
        <v>338</v>
      </c>
      <c r="B106" s="857"/>
      <c r="C106" s="863"/>
      <c r="D106" s="861"/>
      <c r="E106" s="863"/>
      <c r="F106" s="865"/>
      <c r="G106" s="865"/>
      <c r="H106" s="1073"/>
      <c r="I106" s="400" t="str">
        <f>IF('Mapa final SI'!AC109="","",'Mapa final SI'!AC109)</f>
        <v/>
      </c>
      <c r="J106" s="400" t="str">
        <f>IF('Mapa final SI'!AE109="","",'Mapa final SI'!AE109)</f>
        <v/>
      </c>
      <c r="K106" s="400" t="str">
        <f t="shared" si="1"/>
        <v/>
      </c>
      <c r="L106" s="400" t="str">
        <f>IF('Mapa final SI'!AH109="","",'Mapa final SI'!AH109)</f>
        <v/>
      </c>
      <c r="M106" s="339" t="str">
        <f>IF('Mapa final SI'!T109="","",'Mapa final SI'!T109)</f>
        <v/>
      </c>
      <c r="N106" s="397"/>
      <c r="O106" s="397"/>
      <c r="P106" s="397"/>
      <c r="Q106" s="398"/>
    </row>
    <row r="107" spans="1:17" ht="43.5" customHeight="1" x14ac:dyDescent="0.25">
      <c r="A107" s="115" t="s">
        <v>339</v>
      </c>
      <c r="B107" s="857"/>
      <c r="C107" s="863"/>
      <c r="D107" s="861"/>
      <c r="E107" s="863"/>
      <c r="F107" s="865"/>
      <c r="G107" s="865"/>
      <c r="H107" s="1073"/>
      <c r="I107" s="400" t="str">
        <f>IF('Mapa final SI'!AC110="","",'Mapa final SI'!AC110)</f>
        <v/>
      </c>
      <c r="J107" s="400" t="str">
        <f>IF('Mapa final SI'!AE110="","",'Mapa final SI'!AE110)</f>
        <v/>
      </c>
      <c r="K107" s="400" t="str">
        <f t="shared" si="1"/>
        <v/>
      </c>
      <c r="L107" s="400" t="str">
        <f>IF('Mapa final SI'!AH110="","",'Mapa final SI'!AH110)</f>
        <v/>
      </c>
      <c r="M107" s="339" t="str">
        <f>IF('Mapa final SI'!T110="","",'Mapa final SI'!T110)</f>
        <v/>
      </c>
      <c r="N107" s="397"/>
      <c r="O107" s="397"/>
      <c r="P107" s="397"/>
      <c r="Q107" s="398"/>
    </row>
    <row r="108" spans="1:17" ht="43.5" customHeight="1" x14ac:dyDescent="0.25">
      <c r="A108" s="115" t="s">
        <v>340</v>
      </c>
      <c r="B108" s="857"/>
      <c r="C108" s="863"/>
      <c r="D108" s="861"/>
      <c r="E108" s="863"/>
      <c r="F108" s="865"/>
      <c r="G108" s="865"/>
      <c r="H108" s="866"/>
      <c r="I108" s="400" t="str">
        <f>IF('Mapa final SI'!AC111="","",'Mapa final SI'!AC111)</f>
        <v/>
      </c>
      <c r="J108" s="400" t="str">
        <f>IF('Mapa final SI'!AE111="","",'Mapa final SI'!AE111)</f>
        <v/>
      </c>
      <c r="K108" s="400" t="str">
        <f t="shared" si="1"/>
        <v/>
      </c>
      <c r="L108" s="400" t="str">
        <f>IF('Mapa final SI'!AH111="","",'Mapa final SI'!AH111)</f>
        <v/>
      </c>
      <c r="M108" s="339" t="str">
        <f>IF('Mapa final SI'!T111="","",'Mapa final SI'!T111)</f>
        <v/>
      </c>
      <c r="N108" s="397"/>
      <c r="O108" s="397"/>
      <c r="P108" s="397"/>
      <c r="Q108" s="398"/>
    </row>
    <row r="109" spans="1:17" ht="43.5" customHeight="1" x14ac:dyDescent="0.25">
      <c r="A109" s="115" t="s">
        <v>341</v>
      </c>
      <c r="B109" s="856"/>
      <c r="C109" s="862" t="str">
        <f>IF('Mapa final SI'!G112="","",'Mapa final SI'!G112)</f>
        <v/>
      </c>
      <c r="D109" s="860"/>
      <c r="E109" s="862" t="str">
        <f>IF('Mapa final SI'!F112="","",'Mapa final SI'!F112)</f>
        <v/>
      </c>
      <c r="F109" s="864" t="str">
        <f>IF('Mapa final SI'!L112="","",'Mapa final SI'!L112)</f>
        <v/>
      </c>
      <c r="G109" s="864" t="str">
        <f>IF('Mapa final SI'!P112="","",'Mapa final SI'!P112)</f>
        <v/>
      </c>
      <c r="H109" s="107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0" t="str">
        <f>IF('Mapa final SI'!AC112="","",'Mapa final SI'!AC112)</f>
        <v/>
      </c>
      <c r="J109" s="400" t="str">
        <f>IF('Mapa final SI'!AE112="","",'Mapa final SI'!AE112)</f>
        <v/>
      </c>
      <c r="K109" s="400" t="str">
        <f t="shared" si="1"/>
        <v/>
      </c>
      <c r="L109" s="400" t="str">
        <f>IF('Mapa final SI'!AH112="","",'Mapa final SI'!AH112)</f>
        <v/>
      </c>
      <c r="M109" s="339" t="str">
        <f>IF('Mapa final SI'!T112="","",'Mapa final SI'!T112)</f>
        <v/>
      </c>
      <c r="N109" s="397"/>
      <c r="O109" s="397"/>
      <c r="P109" s="397"/>
      <c r="Q109" s="398"/>
    </row>
    <row r="110" spans="1:17" ht="43.5" customHeight="1" x14ac:dyDescent="0.25">
      <c r="A110" s="115" t="s">
        <v>342</v>
      </c>
      <c r="B110" s="857"/>
      <c r="C110" s="863"/>
      <c r="D110" s="861"/>
      <c r="E110" s="863"/>
      <c r="F110" s="865"/>
      <c r="G110" s="865"/>
      <c r="H110" s="1073"/>
      <c r="I110" s="400" t="str">
        <f>IF('Mapa final SI'!AC113="","",'Mapa final SI'!AC113)</f>
        <v/>
      </c>
      <c r="J110" s="400" t="str">
        <f>IF('Mapa final SI'!AE113="","",'Mapa final SI'!AE113)</f>
        <v/>
      </c>
      <c r="K110" s="400" t="str">
        <f t="shared" si="1"/>
        <v/>
      </c>
      <c r="L110" s="400" t="str">
        <f>IF('Mapa final SI'!AH113="","",'Mapa final SI'!AH113)</f>
        <v/>
      </c>
      <c r="M110" s="339" t="str">
        <f>IF('Mapa final SI'!T113="","",'Mapa final SI'!T113)</f>
        <v/>
      </c>
      <c r="N110" s="397"/>
      <c r="O110" s="397"/>
      <c r="P110" s="397"/>
      <c r="Q110" s="398"/>
    </row>
    <row r="111" spans="1:17" ht="43.5" customHeight="1" x14ac:dyDescent="0.25">
      <c r="A111" s="115" t="s">
        <v>343</v>
      </c>
      <c r="B111" s="857"/>
      <c r="C111" s="863"/>
      <c r="D111" s="861"/>
      <c r="E111" s="863"/>
      <c r="F111" s="865"/>
      <c r="G111" s="865"/>
      <c r="H111" s="1073"/>
      <c r="I111" s="400" t="str">
        <f>IF('Mapa final SI'!AC114="","",'Mapa final SI'!AC114)</f>
        <v/>
      </c>
      <c r="J111" s="400" t="str">
        <f>IF('Mapa final SI'!AE114="","",'Mapa final SI'!AE114)</f>
        <v/>
      </c>
      <c r="K111" s="400" t="str">
        <f t="shared" si="1"/>
        <v/>
      </c>
      <c r="L111" s="400" t="str">
        <f>IF('Mapa final SI'!AH114="","",'Mapa final SI'!AH114)</f>
        <v/>
      </c>
      <c r="M111" s="339" t="str">
        <f>IF('Mapa final SI'!T114="","",'Mapa final SI'!T114)</f>
        <v/>
      </c>
      <c r="N111" s="397"/>
      <c r="O111" s="397"/>
      <c r="P111" s="397"/>
      <c r="Q111" s="398"/>
    </row>
    <row r="112" spans="1:17" ht="43.5" customHeight="1" x14ac:dyDescent="0.25">
      <c r="A112" s="115" t="s">
        <v>344</v>
      </c>
      <c r="B112" s="857"/>
      <c r="C112" s="863"/>
      <c r="D112" s="861"/>
      <c r="E112" s="863"/>
      <c r="F112" s="865"/>
      <c r="G112" s="865"/>
      <c r="H112" s="1073"/>
      <c r="I112" s="400" t="str">
        <f>IF('Mapa final SI'!AC115="","",'Mapa final SI'!AC115)</f>
        <v/>
      </c>
      <c r="J112" s="400" t="str">
        <f>IF('Mapa final SI'!AE115="","",'Mapa final SI'!AE115)</f>
        <v/>
      </c>
      <c r="K112" s="400" t="str">
        <f t="shared" si="1"/>
        <v/>
      </c>
      <c r="L112" s="400" t="str">
        <f>IF('Mapa final SI'!AH115="","",'Mapa final SI'!AH115)</f>
        <v/>
      </c>
      <c r="M112" s="339" t="str">
        <f>IF('Mapa final SI'!T115="","",'Mapa final SI'!T115)</f>
        <v/>
      </c>
      <c r="N112" s="397"/>
      <c r="O112" s="397"/>
      <c r="P112" s="397"/>
      <c r="Q112" s="398"/>
    </row>
    <row r="113" spans="1:17" ht="43.5" customHeight="1" x14ac:dyDescent="0.25">
      <c r="A113" s="115" t="s">
        <v>345</v>
      </c>
      <c r="B113" s="857"/>
      <c r="C113" s="863"/>
      <c r="D113" s="861"/>
      <c r="E113" s="863"/>
      <c r="F113" s="865"/>
      <c r="G113" s="865"/>
      <c r="H113" s="1073"/>
      <c r="I113" s="400" t="str">
        <f>IF('Mapa final SI'!AC116="","",'Mapa final SI'!AC116)</f>
        <v/>
      </c>
      <c r="J113" s="400" t="str">
        <f>IF('Mapa final SI'!AE116="","",'Mapa final SI'!AE116)</f>
        <v/>
      </c>
      <c r="K113" s="400" t="str">
        <f t="shared" si="1"/>
        <v/>
      </c>
      <c r="L113" s="400" t="str">
        <f>IF('Mapa final SI'!AH116="","",'Mapa final SI'!AH116)</f>
        <v/>
      </c>
      <c r="M113" s="339" t="str">
        <f>IF('Mapa final SI'!T116="","",'Mapa final SI'!T116)</f>
        <v/>
      </c>
      <c r="N113" s="397"/>
      <c r="O113" s="397"/>
      <c r="P113" s="397"/>
      <c r="Q113" s="398"/>
    </row>
    <row r="114" spans="1:17" ht="43.5" customHeight="1" x14ac:dyDescent="0.25">
      <c r="A114" s="115" t="s">
        <v>346</v>
      </c>
      <c r="B114" s="857"/>
      <c r="C114" s="863"/>
      <c r="D114" s="861"/>
      <c r="E114" s="863"/>
      <c r="F114" s="865"/>
      <c r="G114" s="865"/>
      <c r="H114" s="866"/>
      <c r="I114" s="400" t="str">
        <f>IF('Mapa final SI'!AC117="","",'Mapa final SI'!AC117)</f>
        <v/>
      </c>
      <c r="J114" s="400" t="str">
        <f>IF('Mapa final SI'!AE117="","",'Mapa final SI'!AE117)</f>
        <v/>
      </c>
      <c r="K114" s="400" t="str">
        <f t="shared" si="1"/>
        <v/>
      </c>
      <c r="L114" s="400" t="str">
        <f>IF('Mapa final SI'!AH117="","",'Mapa final SI'!AH117)</f>
        <v/>
      </c>
      <c r="M114" s="339" t="str">
        <f>IF('Mapa final SI'!T117="","",'Mapa final SI'!T117)</f>
        <v/>
      </c>
      <c r="N114" s="397"/>
      <c r="O114" s="397"/>
      <c r="P114" s="397"/>
      <c r="Q114" s="398"/>
    </row>
    <row r="115" spans="1:17" ht="43.5" customHeight="1" x14ac:dyDescent="0.25">
      <c r="A115" s="115" t="s">
        <v>347</v>
      </c>
      <c r="B115" s="856"/>
      <c r="C115" s="862" t="str">
        <f>IF('Mapa final SI'!G118="","",'Mapa final SI'!G118)</f>
        <v/>
      </c>
      <c r="D115" s="860"/>
      <c r="E115" s="862" t="str">
        <f>IF('Mapa final SI'!F118="","",'Mapa final SI'!F118)</f>
        <v/>
      </c>
      <c r="F115" s="864" t="str">
        <f>IF('Mapa final SI'!L118="","",'Mapa final SI'!L118)</f>
        <v/>
      </c>
      <c r="G115" s="864" t="str">
        <f>IF('Mapa final SI'!P118="","",'Mapa final SI'!P118)</f>
        <v/>
      </c>
      <c r="H115" s="107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0" t="str">
        <f>IF('Mapa final SI'!AC118="","",'Mapa final SI'!AC118)</f>
        <v/>
      </c>
      <c r="J115" s="400" t="str">
        <f>IF('Mapa final SI'!AE118="","",'Mapa final SI'!AE118)</f>
        <v/>
      </c>
      <c r="K115" s="400" t="str">
        <f t="shared" si="1"/>
        <v/>
      </c>
      <c r="L115" s="400" t="str">
        <f>IF('Mapa final SI'!AH118="","",'Mapa final SI'!AH118)</f>
        <v/>
      </c>
      <c r="M115" s="339" t="str">
        <f>IF('Mapa final SI'!T118="","",'Mapa final SI'!T118)</f>
        <v/>
      </c>
      <c r="N115" s="397"/>
      <c r="O115" s="397"/>
      <c r="P115" s="397"/>
      <c r="Q115" s="398"/>
    </row>
    <row r="116" spans="1:17" ht="43.5" customHeight="1" x14ac:dyDescent="0.25">
      <c r="A116" s="115" t="s">
        <v>348</v>
      </c>
      <c r="B116" s="857"/>
      <c r="C116" s="863"/>
      <c r="D116" s="861"/>
      <c r="E116" s="863"/>
      <c r="F116" s="865"/>
      <c r="G116" s="865"/>
      <c r="H116" s="1073"/>
      <c r="I116" s="400" t="str">
        <f>IF('Mapa final SI'!AC119="","",'Mapa final SI'!AC119)</f>
        <v/>
      </c>
      <c r="J116" s="400" t="str">
        <f>IF('Mapa final SI'!AE119="","",'Mapa final SI'!AE119)</f>
        <v/>
      </c>
      <c r="K116" s="400" t="str">
        <f t="shared" si="1"/>
        <v/>
      </c>
      <c r="L116" s="400" t="str">
        <f>IF('Mapa final SI'!AH119="","",'Mapa final SI'!AH119)</f>
        <v/>
      </c>
      <c r="M116" s="339" t="str">
        <f>IF('Mapa final SI'!T119="","",'Mapa final SI'!T119)</f>
        <v/>
      </c>
      <c r="N116" s="397"/>
      <c r="O116" s="397"/>
      <c r="P116" s="397"/>
      <c r="Q116" s="398"/>
    </row>
    <row r="117" spans="1:17" ht="43.5" customHeight="1" x14ac:dyDescent="0.25">
      <c r="A117" s="115" t="s">
        <v>349</v>
      </c>
      <c r="B117" s="857"/>
      <c r="C117" s="863"/>
      <c r="D117" s="861"/>
      <c r="E117" s="863"/>
      <c r="F117" s="865"/>
      <c r="G117" s="865"/>
      <c r="H117" s="1073"/>
      <c r="I117" s="400" t="str">
        <f>IF('Mapa final SI'!AC120="","",'Mapa final SI'!AC120)</f>
        <v/>
      </c>
      <c r="J117" s="400" t="str">
        <f>IF('Mapa final SI'!AE120="","",'Mapa final SI'!AE120)</f>
        <v/>
      </c>
      <c r="K117" s="400" t="str">
        <f t="shared" si="1"/>
        <v/>
      </c>
      <c r="L117" s="400" t="str">
        <f>IF('Mapa final SI'!AH120="","",'Mapa final SI'!AH120)</f>
        <v/>
      </c>
      <c r="M117" s="339" t="str">
        <f>IF('Mapa final SI'!T120="","",'Mapa final SI'!T120)</f>
        <v/>
      </c>
      <c r="N117" s="397"/>
      <c r="O117" s="397"/>
      <c r="P117" s="397"/>
      <c r="Q117" s="398"/>
    </row>
    <row r="118" spans="1:17" ht="43.5" customHeight="1" x14ac:dyDescent="0.25">
      <c r="A118" s="115" t="s">
        <v>350</v>
      </c>
      <c r="B118" s="857"/>
      <c r="C118" s="863"/>
      <c r="D118" s="861"/>
      <c r="E118" s="863"/>
      <c r="F118" s="865"/>
      <c r="G118" s="865"/>
      <c r="H118" s="1073"/>
      <c r="I118" s="400" t="str">
        <f>IF('Mapa final SI'!AC121="","",'Mapa final SI'!AC121)</f>
        <v/>
      </c>
      <c r="J118" s="400" t="str">
        <f>IF('Mapa final SI'!AE121="","",'Mapa final SI'!AE121)</f>
        <v/>
      </c>
      <c r="K118" s="400" t="str">
        <f t="shared" si="1"/>
        <v/>
      </c>
      <c r="L118" s="400" t="str">
        <f>IF('Mapa final SI'!AH121="","",'Mapa final SI'!AH121)</f>
        <v/>
      </c>
      <c r="M118" s="339" t="str">
        <f>IF('Mapa final SI'!T121="","",'Mapa final SI'!T121)</f>
        <v/>
      </c>
      <c r="N118" s="397"/>
      <c r="O118" s="397"/>
      <c r="P118" s="397"/>
      <c r="Q118" s="398"/>
    </row>
    <row r="119" spans="1:17" ht="43.5" customHeight="1" x14ac:dyDescent="0.25">
      <c r="A119" s="115" t="s">
        <v>351</v>
      </c>
      <c r="B119" s="857"/>
      <c r="C119" s="863"/>
      <c r="D119" s="861"/>
      <c r="E119" s="863"/>
      <c r="F119" s="865"/>
      <c r="G119" s="865"/>
      <c r="H119" s="1073"/>
      <c r="I119" s="400" t="str">
        <f>IF('Mapa final SI'!AC122="","",'Mapa final SI'!AC122)</f>
        <v/>
      </c>
      <c r="J119" s="400" t="str">
        <f>IF('Mapa final SI'!AE122="","",'Mapa final SI'!AE122)</f>
        <v/>
      </c>
      <c r="K119" s="400" t="str">
        <f t="shared" si="1"/>
        <v/>
      </c>
      <c r="L119" s="400" t="str">
        <f>IF('Mapa final SI'!AH122="","",'Mapa final SI'!AH122)</f>
        <v/>
      </c>
      <c r="M119" s="339" t="str">
        <f>IF('Mapa final SI'!T122="","",'Mapa final SI'!T122)</f>
        <v/>
      </c>
      <c r="N119" s="397"/>
      <c r="O119" s="397"/>
      <c r="P119" s="397"/>
      <c r="Q119" s="398"/>
    </row>
    <row r="120" spans="1:17" ht="43.5" customHeight="1" x14ac:dyDescent="0.25">
      <c r="A120" s="115" t="s">
        <v>352</v>
      </c>
      <c r="B120" s="857"/>
      <c r="C120" s="863"/>
      <c r="D120" s="861"/>
      <c r="E120" s="863"/>
      <c r="F120" s="865"/>
      <c r="G120" s="865"/>
      <c r="H120" s="866"/>
      <c r="I120" s="400" t="str">
        <f>IF('Mapa final SI'!AC123="","",'Mapa final SI'!AC123)</f>
        <v/>
      </c>
      <c r="J120" s="400" t="str">
        <f>IF('Mapa final SI'!AE123="","",'Mapa final SI'!AE123)</f>
        <v/>
      </c>
      <c r="K120" s="400" t="str">
        <f t="shared" si="1"/>
        <v/>
      </c>
      <c r="L120" s="400" t="str">
        <f>IF('Mapa final SI'!AH123="","",'Mapa final SI'!AH123)</f>
        <v/>
      </c>
      <c r="M120" s="339" t="str">
        <f>IF('Mapa final SI'!T123="","",'Mapa final SI'!T123)</f>
        <v/>
      </c>
      <c r="N120" s="397"/>
      <c r="O120" s="397"/>
      <c r="P120" s="397"/>
      <c r="Q120" s="398"/>
    </row>
    <row r="121" spans="1:17" ht="43.5" customHeight="1" x14ac:dyDescent="0.25">
      <c r="A121" s="115" t="s">
        <v>353</v>
      </c>
      <c r="B121" s="856"/>
      <c r="C121" s="862" t="str">
        <f>IF('Mapa final SI'!G124="","",'Mapa final SI'!G124)</f>
        <v/>
      </c>
      <c r="D121" s="860"/>
      <c r="E121" s="862" t="str">
        <f>IF('Mapa final SI'!F124="","",'Mapa final SI'!F124)</f>
        <v/>
      </c>
      <c r="F121" s="864" t="str">
        <f>IF('Mapa final SI'!L124="","",'Mapa final SI'!L124)</f>
        <v/>
      </c>
      <c r="G121" s="864" t="str">
        <f>IF('Mapa final SI'!P124="","",'Mapa final SI'!P124)</f>
        <v/>
      </c>
      <c r="H121" s="107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0" t="str">
        <f>IF('Mapa final SI'!AC124="","",'Mapa final SI'!AC124)</f>
        <v/>
      </c>
      <c r="J121" s="400" t="str">
        <f>IF('Mapa final SI'!AE124="","",'Mapa final SI'!AE124)</f>
        <v/>
      </c>
      <c r="K121" s="400" t="str">
        <f t="shared" si="1"/>
        <v/>
      </c>
      <c r="L121" s="400" t="str">
        <f>IF('Mapa final SI'!AH124="","",'Mapa final SI'!AH124)</f>
        <v/>
      </c>
      <c r="M121" s="339" t="str">
        <f>IF('Mapa final SI'!T124="","",'Mapa final SI'!T124)</f>
        <v/>
      </c>
      <c r="N121" s="397"/>
      <c r="O121" s="397"/>
      <c r="P121" s="397"/>
      <c r="Q121" s="398"/>
    </row>
    <row r="122" spans="1:17" ht="43.5" customHeight="1" x14ac:dyDescent="0.25">
      <c r="A122" s="115" t="s">
        <v>354</v>
      </c>
      <c r="B122" s="857"/>
      <c r="C122" s="863"/>
      <c r="D122" s="861"/>
      <c r="E122" s="863"/>
      <c r="F122" s="865"/>
      <c r="G122" s="865"/>
      <c r="H122" s="1073"/>
      <c r="I122" s="400" t="str">
        <f>IF('Mapa final SI'!AC125="","",'Mapa final SI'!AC125)</f>
        <v/>
      </c>
      <c r="J122" s="400" t="str">
        <f>IF('Mapa final SI'!AE125="","",'Mapa final SI'!AE125)</f>
        <v/>
      </c>
      <c r="K122" s="400" t="str">
        <f t="shared" si="1"/>
        <v/>
      </c>
      <c r="L122" s="400" t="str">
        <f>IF('Mapa final SI'!AH125="","",'Mapa final SI'!AH125)</f>
        <v/>
      </c>
      <c r="M122" s="339" t="str">
        <f>IF('Mapa final SI'!T125="","",'Mapa final SI'!T125)</f>
        <v/>
      </c>
      <c r="N122" s="397"/>
      <c r="O122" s="397"/>
      <c r="P122" s="397"/>
      <c r="Q122" s="398"/>
    </row>
    <row r="123" spans="1:17" ht="43.5" customHeight="1" x14ac:dyDescent="0.25">
      <c r="A123" s="115" t="s">
        <v>355</v>
      </c>
      <c r="B123" s="857"/>
      <c r="C123" s="863"/>
      <c r="D123" s="861"/>
      <c r="E123" s="863"/>
      <c r="F123" s="865"/>
      <c r="G123" s="865"/>
      <c r="H123" s="1073"/>
      <c r="I123" s="400" t="str">
        <f>IF('Mapa final SI'!AC126="","",'Mapa final SI'!AC126)</f>
        <v/>
      </c>
      <c r="J123" s="400" t="str">
        <f>IF('Mapa final SI'!AE126="","",'Mapa final SI'!AE126)</f>
        <v/>
      </c>
      <c r="K123" s="400" t="str">
        <f t="shared" si="1"/>
        <v/>
      </c>
      <c r="L123" s="400" t="str">
        <f>IF('Mapa final SI'!AH126="","",'Mapa final SI'!AH126)</f>
        <v/>
      </c>
      <c r="M123" s="339" t="str">
        <f>IF('Mapa final SI'!T126="","",'Mapa final SI'!T126)</f>
        <v/>
      </c>
      <c r="N123" s="397"/>
      <c r="O123" s="397"/>
      <c r="P123" s="397"/>
      <c r="Q123" s="398"/>
    </row>
    <row r="124" spans="1:17" ht="43.5" customHeight="1" x14ac:dyDescent="0.25">
      <c r="A124" s="115" t="s">
        <v>356</v>
      </c>
      <c r="B124" s="857"/>
      <c r="C124" s="863"/>
      <c r="D124" s="861"/>
      <c r="E124" s="863"/>
      <c r="F124" s="865"/>
      <c r="G124" s="865"/>
      <c r="H124" s="1073"/>
      <c r="I124" s="400" t="str">
        <f>IF('Mapa final SI'!AC127="","",'Mapa final SI'!AC127)</f>
        <v/>
      </c>
      <c r="J124" s="400" t="str">
        <f>IF('Mapa final SI'!AE127="","",'Mapa final SI'!AE127)</f>
        <v/>
      </c>
      <c r="K124" s="400" t="str">
        <f t="shared" si="1"/>
        <v/>
      </c>
      <c r="L124" s="400" t="str">
        <f>IF('Mapa final SI'!AH127="","",'Mapa final SI'!AH127)</f>
        <v/>
      </c>
      <c r="M124" s="339" t="str">
        <f>IF('Mapa final SI'!T127="","",'Mapa final SI'!T127)</f>
        <v/>
      </c>
      <c r="N124" s="397"/>
      <c r="O124" s="397"/>
      <c r="P124" s="397"/>
      <c r="Q124" s="398"/>
    </row>
    <row r="125" spans="1:17" ht="43.5" customHeight="1" x14ac:dyDescent="0.25">
      <c r="A125" s="115" t="s">
        <v>357</v>
      </c>
      <c r="B125" s="857"/>
      <c r="C125" s="863"/>
      <c r="D125" s="861"/>
      <c r="E125" s="863"/>
      <c r="F125" s="865"/>
      <c r="G125" s="865"/>
      <c r="H125" s="1073"/>
      <c r="I125" s="400" t="str">
        <f>IF('Mapa final SI'!AC128="","",'Mapa final SI'!AC128)</f>
        <v/>
      </c>
      <c r="J125" s="400" t="str">
        <f>IF('Mapa final SI'!AE128="","",'Mapa final SI'!AE128)</f>
        <v/>
      </c>
      <c r="K125" s="400" t="str">
        <f t="shared" si="1"/>
        <v/>
      </c>
      <c r="L125" s="400" t="str">
        <f>IF('Mapa final SI'!AH128="","",'Mapa final SI'!AH128)</f>
        <v/>
      </c>
      <c r="M125" s="339" t="str">
        <f>IF('Mapa final SI'!T128="","",'Mapa final SI'!T128)</f>
        <v/>
      </c>
      <c r="N125" s="397"/>
      <c r="O125" s="397"/>
      <c r="P125" s="397"/>
      <c r="Q125" s="398"/>
    </row>
    <row r="126" spans="1:17" ht="43.5" customHeight="1" x14ac:dyDescent="0.25">
      <c r="A126" s="115" t="s">
        <v>358</v>
      </c>
      <c r="B126" s="857"/>
      <c r="C126" s="863"/>
      <c r="D126" s="861"/>
      <c r="E126" s="863"/>
      <c r="F126" s="865"/>
      <c r="G126" s="865"/>
      <c r="H126" s="866"/>
      <c r="I126" s="400" t="str">
        <f>IF('Mapa final SI'!AC129="","",'Mapa final SI'!AC129)</f>
        <v/>
      </c>
      <c r="J126" s="400" t="str">
        <f>IF('Mapa final SI'!AE129="","",'Mapa final SI'!AE129)</f>
        <v/>
      </c>
      <c r="K126" s="400" t="str">
        <f t="shared" si="1"/>
        <v/>
      </c>
      <c r="L126" s="400" t="str">
        <f>IF('Mapa final SI'!AH129="","",'Mapa final SI'!AH129)</f>
        <v/>
      </c>
      <c r="M126" s="339" t="str">
        <f>IF('Mapa final SI'!T129="","",'Mapa final SI'!T129)</f>
        <v/>
      </c>
      <c r="N126" s="397"/>
      <c r="O126" s="397"/>
      <c r="P126" s="397"/>
      <c r="Q126" s="398"/>
    </row>
    <row r="127" spans="1:17" ht="43.5" customHeight="1" x14ac:dyDescent="0.25">
      <c r="A127" s="115" t="s">
        <v>359</v>
      </c>
      <c r="B127" s="856"/>
      <c r="C127" s="862" t="str">
        <f>IF('Mapa final SI'!G130="","",'Mapa final SI'!G130)</f>
        <v/>
      </c>
      <c r="D127" s="860"/>
      <c r="E127" s="862" t="str">
        <f>IF('Mapa final SI'!F130="","",'Mapa final SI'!F130)</f>
        <v/>
      </c>
      <c r="F127" s="864" t="str">
        <f>IF('Mapa final SI'!L130="","",'Mapa final SI'!L130)</f>
        <v/>
      </c>
      <c r="G127" s="864" t="str">
        <f>IF('Mapa final SI'!P130="","",'Mapa final SI'!P130)</f>
        <v/>
      </c>
      <c r="H127" s="107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0" t="str">
        <f>IF('Mapa final SI'!AC130="","",'Mapa final SI'!AC130)</f>
        <v/>
      </c>
      <c r="J127" s="400" t="str">
        <f>IF('Mapa final SI'!AE130="","",'Mapa final SI'!AE130)</f>
        <v/>
      </c>
      <c r="K127" s="400" t="str">
        <f t="shared" si="1"/>
        <v/>
      </c>
      <c r="L127" s="400" t="str">
        <f>IF('Mapa final SI'!AH130="","",'Mapa final SI'!AH130)</f>
        <v/>
      </c>
      <c r="M127" s="339" t="str">
        <f>IF('Mapa final SI'!T130="","",'Mapa final SI'!T130)</f>
        <v/>
      </c>
      <c r="N127" s="397"/>
      <c r="O127" s="397"/>
      <c r="P127" s="397"/>
      <c r="Q127" s="398"/>
    </row>
    <row r="128" spans="1:17" ht="43.5" customHeight="1" x14ac:dyDescent="0.25">
      <c r="A128" s="115" t="s">
        <v>360</v>
      </c>
      <c r="B128" s="857"/>
      <c r="C128" s="863"/>
      <c r="D128" s="861"/>
      <c r="E128" s="863"/>
      <c r="F128" s="865"/>
      <c r="G128" s="865"/>
      <c r="H128" s="1073"/>
      <c r="I128" s="400" t="str">
        <f>IF('Mapa final SI'!AC131="","",'Mapa final SI'!AC131)</f>
        <v/>
      </c>
      <c r="J128" s="400" t="str">
        <f>IF('Mapa final SI'!AE131="","",'Mapa final SI'!AE131)</f>
        <v/>
      </c>
      <c r="K128" s="400" t="str">
        <f t="shared" si="1"/>
        <v/>
      </c>
      <c r="L128" s="400" t="str">
        <f>IF('Mapa final SI'!AH131="","",'Mapa final SI'!AH131)</f>
        <v/>
      </c>
      <c r="M128" s="339" t="str">
        <f>IF('Mapa final SI'!T131="","",'Mapa final SI'!T131)</f>
        <v/>
      </c>
      <c r="N128" s="397"/>
      <c r="O128" s="397"/>
      <c r="P128" s="397"/>
      <c r="Q128" s="398"/>
    </row>
    <row r="129" spans="1:17" ht="43.5" customHeight="1" x14ac:dyDescent="0.25">
      <c r="A129" s="115" t="s">
        <v>361</v>
      </c>
      <c r="B129" s="857"/>
      <c r="C129" s="863"/>
      <c r="D129" s="861"/>
      <c r="E129" s="863"/>
      <c r="F129" s="865"/>
      <c r="G129" s="865"/>
      <c r="H129" s="1073"/>
      <c r="I129" s="400" t="str">
        <f>IF('Mapa final SI'!AC132="","",'Mapa final SI'!AC132)</f>
        <v/>
      </c>
      <c r="J129" s="400" t="str">
        <f>IF('Mapa final SI'!AE132="","",'Mapa final SI'!AE132)</f>
        <v/>
      </c>
      <c r="K129" s="400" t="str">
        <f t="shared" si="1"/>
        <v/>
      </c>
      <c r="L129" s="400" t="str">
        <f>IF('Mapa final SI'!AH132="","",'Mapa final SI'!AH132)</f>
        <v/>
      </c>
      <c r="M129" s="339" t="str">
        <f>IF('Mapa final SI'!T132="","",'Mapa final SI'!T132)</f>
        <v/>
      </c>
      <c r="N129" s="397"/>
      <c r="O129" s="397"/>
      <c r="P129" s="397"/>
      <c r="Q129" s="398"/>
    </row>
    <row r="130" spans="1:17" ht="43.5" customHeight="1" x14ac:dyDescent="0.25">
      <c r="A130" s="115" t="s">
        <v>362</v>
      </c>
      <c r="B130" s="857"/>
      <c r="C130" s="863"/>
      <c r="D130" s="861"/>
      <c r="E130" s="863"/>
      <c r="F130" s="865"/>
      <c r="G130" s="865"/>
      <c r="H130" s="1073"/>
      <c r="I130" s="400" t="str">
        <f>IF('Mapa final SI'!AC133="","",'Mapa final SI'!AC133)</f>
        <v/>
      </c>
      <c r="J130" s="400" t="str">
        <f>IF('Mapa final SI'!AE133="","",'Mapa final SI'!AE133)</f>
        <v/>
      </c>
      <c r="K130" s="400" t="str">
        <f t="shared" si="1"/>
        <v/>
      </c>
      <c r="L130" s="400" t="str">
        <f>IF('Mapa final SI'!AH133="","",'Mapa final SI'!AH133)</f>
        <v/>
      </c>
      <c r="M130" s="339" t="str">
        <f>IF('Mapa final SI'!T133="","",'Mapa final SI'!T133)</f>
        <v/>
      </c>
      <c r="N130" s="397"/>
      <c r="O130" s="397"/>
      <c r="P130" s="397"/>
      <c r="Q130" s="398"/>
    </row>
    <row r="131" spans="1:17" ht="43.5" customHeight="1" x14ac:dyDescent="0.25">
      <c r="A131" s="115" t="s">
        <v>363</v>
      </c>
      <c r="B131" s="857"/>
      <c r="C131" s="863"/>
      <c r="D131" s="861"/>
      <c r="E131" s="863"/>
      <c r="F131" s="865"/>
      <c r="G131" s="865"/>
      <c r="H131" s="1073"/>
      <c r="I131" s="400" t="str">
        <f>IF('Mapa final SI'!AC134="","",'Mapa final SI'!AC134)</f>
        <v/>
      </c>
      <c r="J131" s="400" t="str">
        <f>IF('Mapa final SI'!AE134="","",'Mapa final SI'!AE134)</f>
        <v/>
      </c>
      <c r="K131" s="400" t="str">
        <f t="shared" si="1"/>
        <v/>
      </c>
      <c r="L131" s="400" t="str">
        <f>IF('Mapa final SI'!AH134="","",'Mapa final SI'!AH134)</f>
        <v/>
      </c>
      <c r="M131" s="339" t="str">
        <f>IF('Mapa final SI'!T134="","",'Mapa final SI'!T134)</f>
        <v/>
      </c>
      <c r="N131" s="397"/>
      <c r="O131" s="397"/>
      <c r="P131" s="397"/>
      <c r="Q131" s="398"/>
    </row>
    <row r="132" spans="1:17" ht="43.5" customHeight="1" x14ac:dyDescent="0.25">
      <c r="A132" s="115" t="s">
        <v>364</v>
      </c>
      <c r="B132" s="857"/>
      <c r="C132" s="863"/>
      <c r="D132" s="861"/>
      <c r="E132" s="863"/>
      <c r="F132" s="865"/>
      <c r="G132" s="865"/>
      <c r="H132" s="866"/>
      <c r="I132" s="400" t="str">
        <f>IF('Mapa final SI'!AC135="","",'Mapa final SI'!AC135)</f>
        <v/>
      </c>
      <c r="J132" s="400" t="str">
        <f>IF('Mapa final SI'!AE135="","",'Mapa final SI'!AE135)</f>
        <v/>
      </c>
      <c r="K132" s="400" t="str">
        <f t="shared" si="1"/>
        <v/>
      </c>
      <c r="L132" s="400" t="str">
        <f>IF('Mapa final SI'!AH135="","",'Mapa final SI'!AH135)</f>
        <v/>
      </c>
      <c r="M132" s="339" t="str">
        <f>IF('Mapa final SI'!T135="","",'Mapa final SI'!T135)</f>
        <v/>
      </c>
      <c r="N132" s="397"/>
      <c r="O132" s="397"/>
      <c r="P132" s="397"/>
      <c r="Q132" s="398"/>
    </row>
    <row r="133" spans="1:17" ht="43.5" customHeight="1" x14ac:dyDescent="0.25">
      <c r="A133" s="115" t="s">
        <v>365</v>
      </c>
      <c r="B133" s="856"/>
      <c r="C133" s="862" t="str">
        <f>IF('Mapa final SI'!G136="","",'Mapa final SI'!G136)</f>
        <v/>
      </c>
      <c r="D133" s="860"/>
      <c r="E133" s="862" t="str">
        <f>IF('Mapa final SI'!F136="","",'Mapa final SI'!F136)</f>
        <v/>
      </c>
      <c r="F133" s="864" t="str">
        <f>IF('Mapa final SI'!L136="","",'Mapa final SI'!L136)</f>
        <v/>
      </c>
      <c r="G133" s="864" t="str">
        <f>IF('Mapa final SI'!P136="","",'Mapa final SI'!P136)</f>
        <v/>
      </c>
      <c r="H133" s="107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0" t="str">
        <f>IF('Mapa final SI'!AC136="","",'Mapa final SI'!AC136)</f>
        <v/>
      </c>
      <c r="J133" s="400" t="str">
        <f>IF('Mapa final SI'!AE136="","",'Mapa final SI'!AE136)</f>
        <v/>
      </c>
      <c r="K133" s="400" t="str">
        <f t="shared" si="1"/>
        <v/>
      </c>
      <c r="L133" s="400" t="str">
        <f>IF('Mapa final SI'!AH136="","",'Mapa final SI'!AH136)</f>
        <v/>
      </c>
      <c r="M133" s="339" t="str">
        <f>IF('Mapa final SI'!T136="","",'Mapa final SI'!T136)</f>
        <v/>
      </c>
      <c r="N133" s="397"/>
      <c r="O133" s="397"/>
      <c r="P133" s="397"/>
      <c r="Q133" s="398"/>
    </row>
    <row r="134" spans="1:17" ht="43.5" customHeight="1" x14ac:dyDescent="0.25">
      <c r="A134" s="115" t="s">
        <v>366</v>
      </c>
      <c r="B134" s="857"/>
      <c r="C134" s="863"/>
      <c r="D134" s="861"/>
      <c r="E134" s="863"/>
      <c r="F134" s="865"/>
      <c r="G134" s="865"/>
      <c r="H134" s="1073"/>
      <c r="I134" s="400" t="str">
        <f>IF('Mapa final SI'!AC137="","",'Mapa final SI'!AC137)</f>
        <v/>
      </c>
      <c r="J134" s="400" t="str">
        <f>IF('Mapa final SI'!AE137="","",'Mapa final SI'!AE137)</f>
        <v/>
      </c>
      <c r="K134" s="400" t="str">
        <f t="shared" si="1"/>
        <v/>
      </c>
      <c r="L134" s="400" t="str">
        <f>IF('Mapa final SI'!AH137="","",'Mapa final SI'!AH137)</f>
        <v/>
      </c>
      <c r="M134" s="339" t="str">
        <f>IF('Mapa final SI'!T137="","",'Mapa final SI'!T137)</f>
        <v/>
      </c>
      <c r="N134" s="397"/>
      <c r="O134" s="397"/>
      <c r="P134" s="397"/>
      <c r="Q134" s="398"/>
    </row>
    <row r="135" spans="1:17" ht="43.5" customHeight="1" x14ac:dyDescent="0.25">
      <c r="A135" s="115" t="s">
        <v>367</v>
      </c>
      <c r="B135" s="857"/>
      <c r="C135" s="863"/>
      <c r="D135" s="861"/>
      <c r="E135" s="863"/>
      <c r="F135" s="865"/>
      <c r="G135" s="865"/>
      <c r="H135" s="1073"/>
      <c r="I135" s="400" t="str">
        <f>IF('Mapa final SI'!AC138="","",'Mapa final SI'!AC138)</f>
        <v/>
      </c>
      <c r="J135" s="400" t="str">
        <f>IF('Mapa final SI'!AE138="","",'Mapa final SI'!AE138)</f>
        <v/>
      </c>
      <c r="K135" s="400" t="str">
        <f t="shared" si="1"/>
        <v/>
      </c>
      <c r="L135" s="400" t="str">
        <f>IF('Mapa final SI'!AH138="","",'Mapa final SI'!AH138)</f>
        <v/>
      </c>
      <c r="M135" s="339" t="str">
        <f>IF('Mapa final SI'!T138="","",'Mapa final SI'!T138)</f>
        <v/>
      </c>
      <c r="N135" s="397"/>
      <c r="O135" s="397"/>
      <c r="P135" s="397"/>
      <c r="Q135" s="398"/>
    </row>
    <row r="136" spans="1:17" ht="43.5" customHeight="1" x14ac:dyDescent="0.25">
      <c r="A136" s="115" t="s">
        <v>368</v>
      </c>
      <c r="B136" s="857"/>
      <c r="C136" s="863"/>
      <c r="D136" s="861"/>
      <c r="E136" s="863"/>
      <c r="F136" s="865"/>
      <c r="G136" s="865"/>
      <c r="H136" s="1073"/>
      <c r="I136" s="400" t="str">
        <f>IF('Mapa final SI'!AC139="","",'Mapa final SI'!AC139)</f>
        <v/>
      </c>
      <c r="J136" s="400" t="str">
        <f>IF('Mapa final SI'!AE139="","",'Mapa final SI'!AE139)</f>
        <v/>
      </c>
      <c r="K136" s="40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0" t="str">
        <f>IF('Mapa final SI'!AH139="","",'Mapa final SI'!AH139)</f>
        <v/>
      </c>
      <c r="M136" s="339" t="str">
        <f>IF('Mapa final SI'!T139="","",'Mapa final SI'!T139)</f>
        <v/>
      </c>
      <c r="N136" s="397"/>
      <c r="O136" s="397"/>
      <c r="P136" s="397"/>
      <c r="Q136" s="398"/>
    </row>
    <row r="137" spans="1:17" ht="43.5" customHeight="1" x14ac:dyDescent="0.25">
      <c r="A137" s="115" t="s">
        <v>369</v>
      </c>
      <c r="B137" s="857"/>
      <c r="C137" s="863"/>
      <c r="D137" s="861"/>
      <c r="E137" s="863"/>
      <c r="F137" s="865"/>
      <c r="G137" s="865"/>
      <c r="H137" s="1073"/>
      <c r="I137" s="400" t="str">
        <f>IF('Mapa final SI'!AC140="","",'Mapa final SI'!AC140)</f>
        <v/>
      </c>
      <c r="J137" s="400" t="str">
        <f>IF('Mapa final SI'!AE140="","",'Mapa final SI'!AE140)</f>
        <v/>
      </c>
      <c r="K137" s="400" t="str">
        <f t="shared" si="2"/>
        <v/>
      </c>
      <c r="L137" s="400" t="str">
        <f>IF('Mapa final SI'!AH140="","",'Mapa final SI'!AH140)</f>
        <v/>
      </c>
      <c r="M137" s="339" t="str">
        <f>IF('Mapa final SI'!T140="","",'Mapa final SI'!T140)</f>
        <v/>
      </c>
      <c r="N137" s="397"/>
      <c r="O137" s="397"/>
      <c r="P137" s="397"/>
      <c r="Q137" s="398"/>
    </row>
    <row r="138" spans="1:17" ht="43.5" customHeight="1" x14ac:dyDescent="0.25">
      <c r="A138" s="115" t="s">
        <v>370</v>
      </c>
      <c r="B138" s="857"/>
      <c r="C138" s="863"/>
      <c r="D138" s="861"/>
      <c r="E138" s="863"/>
      <c r="F138" s="865"/>
      <c r="G138" s="865"/>
      <c r="H138" s="866"/>
      <c r="I138" s="400" t="str">
        <f>IF('Mapa final SI'!AC141="","",'Mapa final SI'!AC141)</f>
        <v/>
      </c>
      <c r="J138" s="400" t="str">
        <f>IF('Mapa final SI'!AE141="","",'Mapa final SI'!AE141)</f>
        <v/>
      </c>
      <c r="K138" s="400" t="str">
        <f t="shared" si="2"/>
        <v/>
      </c>
      <c r="L138" s="400" t="str">
        <f>IF('Mapa final SI'!AH141="","",'Mapa final SI'!AH141)</f>
        <v/>
      </c>
      <c r="M138" s="339" t="str">
        <f>IF('Mapa final SI'!T141="","",'Mapa final SI'!T141)</f>
        <v/>
      </c>
      <c r="N138" s="397"/>
      <c r="O138" s="397"/>
      <c r="P138" s="397"/>
      <c r="Q138" s="398"/>
    </row>
    <row r="139" spans="1:17" ht="43.5" customHeight="1" x14ac:dyDescent="0.25">
      <c r="A139" s="115" t="s">
        <v>371</v>
      </c>
      <c r="B139" s="856"/>
      <c r="C139" s="862" t="str">
        <f>IF('Mapa final SI'!G142="","",'Mapa final SI'!G142)</f>
        <v/>
      </c>
      <c r="D139" s="860"/>
      <c r="E139" s="862" t="str">
        <f>IF('Mapa final SI'!F142="","",'Mapa final SI'!F142)</f>
        <v/>
      </c>
      <c r="F139" s="864" t="str">
        <f>IF('Mapa final SI'!L142="","",'Mapa final SI'!L142)</f>
        <v/>
      </c>
      <c r="G139" s="864" t="str">
        <f>IF('Mapa final SI'!P142="","",'Mapa final SI'!P142)</f>
        <v/>
      </c>
      <c r="H139" s="107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0" t="str">
        <f>IF('Mapa final SI'!AC142="","",'Mapa final SI'!AC142)</f>
        <v/>
      </c>
      <c r="J139" s="400" t="str">
        <f>IF('Mapa final SI'!AE142="","",'Mapa final SI'!AE142)</f>
        <v/>
      </c>
      <c r="K139" s="400" t="str">
        <f t="shared" si="2"/>
        <v/>
      </c>
      <c r="L139" s="400" t="str">
        <f>IF('Mapa final SI'!AH142="","",'Mapa final SI'!AH142)</f>
        <v/>
      </c>
      <c r="M139" s="339" t="str">
        <f>IF('Mapa final SI'!T142="","",'Mapa final SI'!T142)</f>
        <v/>
      </c>
      <c r="N139" s="397"/>
      <c r="O139" s="397"/>
      <c r="P139" s="397"/>
      <c r="Q139" s="398"/>
    </row>
    <row r="140" spans="1:17" ht="43.5" customHeight="1" x14ac:dyDescent="0.25">
      <c r="A140" s="115" t="s">
        <v>372</v>
      </c>
      <c r="B140" s="857"/>
      <c r="C140" s="863"/>
      <c r="D140" s="861"/>
      <c r="E140" s="863"/>
      <c r="F140" s="865"/>
      <c r="G140" s="865"/>
      <c r="H140" s="1073"/>
      <c r="I140" s="400" t="str">
        <f>IF('Mapa final SI'!AC143="","",'Mapa final SI'!AC143)</f>
        <v/>
      </c>
      <c r="J140" s="400" t="str">
        <f>IF('Mapa final SI'!AE143="","",'Mapa final SI'!AE143)</f>
        <v/>
      </c>
      <c r="K140" s="400" t="str">
        <f t="shared" si="2"/>
        <v/>
      </c>
      <c r="L140" s="400" t="str">
        <f>IF('Mapa final SI'!AH143="","",'Mapa final SI'!AH143)</f>
        <v/>
      </c>
      <c r="M140" s="339" t="str">
        <f>IF('Mapa final SI'!T143="","",'Mapa final SI'!T143)</f>
        <v/>
      </c>
      <c r="N140" s="397"/>
      <c r="O140" s="397"/>
      <c r="P140" s="397"/>
      <c r="Q140" s="398"/>
    </row>
    <row r="141" spans="1:17" ht="43.5" customHeight="1" x14ac:dyDescent="0.25">
      <c r="A141" s="115" t="s">
        <v>373</v>
      </c>
      <c r="B141" s="857"/>
      <c r="C141" s="863"/>
      <c r="D141" s="861"/>
      <c r="E141" s="863"/>
      <c r="F141" s="865"/>
      <c r="G141" s="865"/>
      <c r="H141" s="1073"/>
      <c r="I141" s="400" t="str">
        <f>IF('Mapa final SI'!AC144="","",'Mapa final SI'!AC144)</f>
        <v/>
      </c>
      <c r="J141" s="400" t="str">
        <f>IF('Mapa final SI'!AE144="","",'Mapa final SI'!AE144)</f>
        <v/>
      </c>
      <c r="K141" s="400" t="str">
        <f t="shared" si="2"/>
        <v/>
      </c>
      <c r="L141" s="400" t="str">
        <f>IF('Mapa final SI'!AH144="","",'Mapa final SI'!AH144)</f>
        <v/>
      </c>
      <c r="M141" s="339" t="str">
        <f>IF('Mapa final SI'!T144="","",'Mapa final SI'!T144)</f>
        <v/>
      </c>
      <c r="N141" s="397"/>
      <c r="O141" s="397"/>
      <c r="P141" s="397"/>
      <c r="Q141" s="398"/>
    </row>
    <row r="142" spans="1:17" ht="43.5" customHeight="1" x14ac:dyDescent="0.25">
      <c r="A142" s="115" t="s">
        <v>374</v>
      </c>
      <c r="B142" s="857"/>
      <c r="C142" s="863"/>
      <c r="D142" s="861"/>
      <c r="E142" s="863"/>
      <c r="F142" s="865"/>
      <c r="G142" s="865"/>
      <c r="H142" s="1073"/>
      <c r="I142" s="400" t="str">
        <f>IF('Mapa final SI'!AC145="","",'Mapa final SI'!AC145)</f>
        <v/>
      </c>
      <c r="J142" s="400" t="str">
        <f>IF('Mapa final SI'!AE145="","",'Mapa final SI'!AE145)</f>
        <v/>
      </c>
      <c r="K142" s="400" t="str">
        <f t="shared" si="2"/>
        <v/>
      </c>
      <c r="L142" s="400" t="str">
        <f>IF('Mapa final SI'!AH145="","",'Mapa final SI'!AH145)</f>
        <v/>
      </c>
      <c r="M142" s="339" t="str">
        <f>IF('Mapa final SI'!T145="","",'Mapa final SI'!T145)</f>
        <v/>
      </c>
      <c r="N142" s="397"/>
      <c r="O142" s="397"/>
      <c r="P142" s="397"/>
      <c r="Q142" s="398"/>
    </row>
    <row r="143" spans="1:17" ht="43.5" customHeight="1" x14ac:dyDescent="0.25">
      <c r="A143" s="115" t="s">
        <v>375</v>
      </c>
      <c r="B143" s="857"/>
      <c r="C143" s="863"/>
      <c r="D143" s="861"/>
      <c r="E143" s="863"/>
      <c r="F143" s="865"/>
      <c r="G143" s="865"/>
      <c r="H143" s="1073"/>
      <c r="I143" s="400" t="str">
        <f>IF('Mapa final SI'!AC146="","",'Mapa final SI'!AC146)</f>
        <v/>
      </c>
      <c r="J143" s="400" t="str">
        <f>IF('Mapa final SI'!AE146="","",'Mapa final SI'!AE146)</f>
        <v/>
      </c>
      <c r="K143" s="400" t="str">
        <f t="shared" si="2"/>
        <v/>
      </c>
      <c r="L143" s="400" t="str">
        <f>IF('Mapa final SI'!AH146="","",'Mapa final SI'!AH146)</f>
        <v/>
      </c>
      <c r="M143" s="339" t="str">
        <f>IF('Mapa final SI'!T146="","",'Mapa final SI'!T146)</f>
        <v/>
      </c>
      <c r="N143" s="397"/>
      <c r="O143" s="397"/>
      <c r="P143" s="397"/>
      <c r="Q143" s="398"/>
    </row>
    <row r="144" spans="1:17" ht="43.5" customHeight="1" x14ac:dyDescent="0.25">
      <c r="A144" s="115" t="s">
        <v>376</v>
      </c>
      <c r="B144" s="857"/>
      <c r="C144" s="863"/>
      <c r="D144" s="861"/>
      <c r="E144" s="863"/>
      <c r="F144" s="865"/>
      <c r="G144" s="865"/>
      <c r="H144" s="866"/>
      <c r="I144" s="400" t="str">
        <f>IF('Mapa final SI'!AC147="","",'Mapa final SI'!AC147)</f>
        <v/>
      </c>
      <c r="J144" s="400" t="str">
        <f>IF('Mapa final SI'!AE147="","",'Mapa final SI'!AE147)</f>
        <v/>
      </c>
      <c r="K144" s="400" t="str">
        <f t="shared" si="2"/>
        <v/>
      </c>
      <c r="L144" s="400" t="str">
        <f>IF('Mapa final SI'!AH147="","",'Mapa final SI'!AH147)</f>
        <v/>
      </c>
      <c r="M144" s="339" t="str">
        <f>IF('Mapa final SI'!T147="","",'Mapa final SI'!T147)</f>
        <v/>
      </c>
      <c r="N144" s="397"/>
      <c r="O144" s="397"/>
      <c r="P144" s="397"/>
      <c r="Q144" s="398"/>
    </row>
    <row r="145" spans="1:17" ht="43.5" customHeight="1" x14ac:dyDescent="0.25">
      <c r="A145" s="115" t="s">
        <v>377</v>
      </c>
      <c r="B145" s="856"/>
      <c r="C145" s="862" t="str">
        <f>IF('Mapa final SI'!G148="","",'Mapa final SI'!G148)</f>
        <v/>
      </c>
      <c r="D145" s="860"/>
      <c r="E145" s="862" t="str">
        <f>IF('Mapa final SI'!F148="","",'Mapa final SI'!F148)</f>
        <v/>
      </c>
      <c r="F145" s="864" t="str">
        <f>IF('Mapa final SI'!L148="","",'Mapa final SI'!L148)</f>
        <v/>
      </c>
      <c r="G145" s="864" t="str">
        <f>IF('Mapa final SI'!P148="","",'Mapa final SI'!P148)</f>
        <v/>
      </c>
      <c r="H145" s="107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0" t="str">
        <f>IF('Mapa final SI'!AC148="","",'Mapa final SI'!AC148)</f>
        <v/>
      </c>
      <c r="J145" s="400" t="str">
        <f>IF('Mapa final SI'!AE148="","",'Mapa final SI'!AE148)</f>
        <v/>
      </c>
      <c r="K145" s="400" t="str">
        <f t="shared" si="2"/>
        <v/>
      </c>
      <c r="L145" s="400" t="str">
        <f>IF('Mapa final SI'!AH148="","",'Mapa final SI'!AH148)</f>
        <v/>
      </c>
      <c r="M145" s="339" t="str">
        <f>IF('Mapa final SI'!T148="","",'Mapa final SI'!T148)</f>
        <v/>
      </c>
      <c r="N145" s="397"/>
      <c r="O145" s="397"/>
      <c r="P145" s="397"/>
      <c r="Q145" s="398"/>
    </row>
    <row r="146" spans="1:17" ht="43.5" customHeight="1" x14ac:dyDescent="0.25">
      <c r="A146" s="115" t="s">
        <v>378</v>
      </c>
      <c r="B146" s="857"/>
      <c r="C146" s="863"/>
      <c r="D146" s="861"/>
      <c r="E146" s="863"/>
      <c r="F146" s="865"/>
      <c r="G146" s="865"/>
      <c r="H146" s="1073"/>
      <c r="I146" s="400" t="str">
        <f>IF('Mapa final SI'!AC149="","",'Mapa final SI'!AC149)</f>
        <v/>
      </c>
      <c r="J146" s="400" t="str">
        <f>IF('Mapa final SI'!AE149="","",'Mapa final SI'!AE149)</f>
        <v/>
      </c>
      <c r="K146" s="400" t="str">
        <f t="shared" si="2"/>
        <v/>
      </c>
      <c r="L146" s="400" t="str">
        <f>IF('Mapa final SI'!AH149="","",'Mapa final SI'!AH149)</f>
        <v/>
      </c>
      <c r="M146" s="339" t="str">
        <f>IF('Mapa final SI'!T149="","",'Mapa final SI'!T149)</f>
        <v/>
      </c>
      <c r="N146" s="397"/>
      <c r="O146" s="397"/>
      <c r="P146" s="397"/>
      <c r="Q146" s="398"/>
    </row>
    <row r="147" spans="1:17" ht="43.5" customHeight="1" x14ac:dyDescent="0.25">
      <c r="A147" s="115" t="s">
        <v>379</v>
      </c>
      <c r="B147" s="857"/>
      <c r="C147" s="863"/>
      <c r="D147" s="861"/>
      <c r="E147" s="863"/>
      <c r="F147" s="865"/>
      <c r="G147" s="865"/>
      <c r="H147" s="1073"/>
      <c r="I147" s="400" t="str">
        <f>IF('Mapa final SI'!AC150="","",'Mapa final SI'!AC150)</f>
        <v/>
      </c>
      <c r="J147" s="400" t="str">
        <f>IF('Mapa final SI'!AE150="","",'Mapa final SI'!AE150)</f>
        <v/>
      </c>
      <c r="K147" s="400" t="str">
        <f t="shared" si="2"/>
        <v/>
      </c>
      <c r="L147" s="400" t="str">
        <f>IF('Mapa final SI'!AH150="","",'Mapa final SI'!AH150)</f>
        <v/>
      </c>
      <c r="M147" s="339" t="str">
        <f>IF('Mapa final SI'!T150="","",'Mapa final SI'!T150)</f>
        <v/>
      </c>
      <c r="N147" s="397"/>
      <c r="O147" s="397"/>
      <c r="P147" s="397"/>
      <c r="Q147" s="398"/>
    </row>
    <row r="148" spans="1:17" ht="43.5" customHeight="1" x14ac:dyDescent="0.25">
      <c r="A148" s="115" t="s">
        <v>380</v>
      </c>
      <c r="B148" s="857"/>
      <c r="C148" s="863"/>
      <c r="D148" s="861"/>
      <c r="E148" s="863"/>
      <c r="F148" s="865"/>
      <c r="G148" s="865"/>
      <c r="H148" s="1073"/>
      <c r="I148" s="400" t="str">
        <f>IF('Mapa final SI'!AC151="","",'Mapa final SI'!AC151)</f>
        <v/>
      </c>
      <c r="J148" s="400" t="str">
        <f>IF('Mapa final SI'!AE151="","",'Mapa final SI'!AE151)</f>
        <v/>
      </c>
      <c r="K148" s="400" t="str">
        <f t="shared" si="2"/>
        <v/>
      </c>
      <c r="L148" s="400" t="str">
        <f>IF('Mapa final SI'!AH151="","",'Mapa final SI'!AH151)</f>
        <v/>
      </c>
      <c r="M148" s="339" t="str">
        <f>IF('Mapa final SI'!T151="","",'Mapa final SI'!T151)</f>
        <v/>
      </c>
      <c r="N148" s="397"/>
      <c r="O148" s="397"/>
      <c r="P148" s="397"/>
      <c r="Q148" s="398"/>
    </row>
    <row r="149" spans="1:17" ht="43.5" customHeight="1" x14ac:dyDescent="0.25">
      <c r="A149" s="115" t="s">
        <v>381</v>
      </c>
      <c r="B149" s="857"/>
      <c r="C149" s="863"/>
      <c r="D149" s="861"/>
      <c r="E149" s="863"/>
      <c r="F149" s="865"/>
      <c r="G149" s="865"/>
      <c r="H149" s="1073"/>
      <c r="I149" s="400" t="str">
        <f>IF('Mapa final SI'!AC152="","",'Mapa final SI'!AC152)</f>
        <v/>
      </c>
      <c r="J149" s="400" t="str">
        <f>IF('Mapa final SI'!AE152="","",'Mapa final SI'!AE152)</f>
        <v/>
      </c>
      <c r="K149" s="400" t="str">
        <f t="shared" si="2"/>
        <v/>
      </c>
      <c r="L149" s="400" t="str">
        <f>IF('Mapa final SI'!AH152="","",'Mapa final SI'!AH152)</f>
        <v/>
      </c>
      <c r="M149" s="339" t="str">
        <f>IF('Mapa final SI'!T152="","",'Mapa final SI'!T152)</f>
        <v/>
      </c>
      <c r="N149" s="397"/>
      <c r="O149" s="397"/>
      <c r="P149" s="397"/>
      <c r="Q149" s="398"/>
    </row>
    <row r="150" spans="1:17" ht="43.5" customHeight="1" x14ac:dyDescent="0.25">
      <c r="A150" s="115" t="s">
        <v>382</v>
      </c>
      <c r="B150" s="857"/>
      <c r="C150" s="863"/>
      <c r="D150" s="861"/>
      <c r="E150" s="863"/>
      <c r="F150" s="865"/>
      <c r="G150" s="865"/>
      <c r="H150" s="866"/>
      <c r="I150" s="400" t="str">
        <f>IF('Mapa final SI'!AC153="","",'Mapa final SI'!AC153)</f>
        <v/>
      </c>
      <c r="J150" s="400" t="str">
        <f>IF('Mapa final SI'!AE153="","",'Mapa final SI'!AE153)</f>
        <v/>
      </c>
      <c r="K150" s="400" t="str">
        <f t="shared" si="2"/>
        <v/>
      </c>
      <c r="L150" s="400" t="str">
        <f>IF('Mapa final SI'!AH153="","",'Mapa final SI'!AH153)</f>
        <v/>
      </c>
      <c r="M150" s="339" t="str">
        <f>IF('Mapa final SI'!T153="","",'Mapa final SI'!T153)</f>
        <v/>
      </c>
      <c r="N150" s="397"/>
      <c r="O150" s="397"/>
      <c r="P150" s="397"/>
      <c r="Q150" s="398"/>
    </row>
    <row r="151" spans="1:17" ht="43.5" customHeight="1" x14ac:dyDescent="0.25">
      <c r="A151" s="115" t="s">
        <v>383</v>
      </c>
      <c r="B151" s="856"/>
      <c r="C151" s="862" t="str">
        <f>IF('Mapa final SI'!G154="","",'Mapa final SI'!G154)</f>
        <v/>
      </c>
      <c r="D151" s="860"/>
      <c r="E151" s="862" t="str">
        <f>IF('Mapa final SI'!F154="","",'Mapa final SI'!F154)</f>
        <v/>
      </c>
      <c r="F151" s="864" t="str">
        <f>IF('Mapa final SI'!L154="","",'Mapa final SI'!L154)</f>
        <v/>
      </c>
      <c r="G151" s="864" t="str">
        <f>IF('Mapa final SI'!P154="","",'Mapa final SI'!P154)</f>
        <v/>
      </c>
      <c r="H151" s="107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0" t="str">
        <f>IF('Mapa final SI'!AC154="","",'Mapa final SI'!AC154)</f>
        <v/>
      </c>
      <c r="J151" s="400" t="str">
        <f>IF('Mapa final SI'!AE154="","",'Mapa final SI'!AE154)</f>
        <v/>
      </c>
      <c r="K151" s="400" t="str">
        <f t="shared" si="2"/>
        <v/>
      </c>
      <c r="L151" s="400" t="str">
        <f>IF('Mapa final SI'!AH154="","",'Mapa final SI'!AH154)</f>
        <v/>
      </c>
      <c r="M151" s="339" t="str">
        <f>IF('Mapa final SI'!T154="","",'Mapa final SI'!T154)</f>
        <v/>
      </c>
      <c r="N151" s="397"/>
      <c r="O151" s="397"/>
      <c r="P151" s="397"/>
      <c r="Q151" s="398"/>
    </row>
    <row r="152" spans="1:17" ht="43.5" customHeight="1" x14ac:dyDescent="0.25">
      <c r="A152" s="115" t="s">
        <v>384</v>
      </c>
      <c r="B152" s="857"/>
      <c r="C152" s="863"/>
      <c r="D152" s="861"/>
      <c r="E152" s="863"/>
      <c r="F152" s="865"/>
      <c r="G152" s="865"/>
      <c r="H152" s="1073"/>
      <c r="I152" s="400" t="str">
        <f>IF('Mapa final SI'!AC155="","",'Mapa final SI'!AC155)</f>
        <v/>
      </c>
      <c r="J152" s="400" t="str">
        <f>IF('Mapa final SI'!AE155="","",'Mapa final SI'!AE155)</f>
        <v/>
      </c>
      <c r="K152" s="400" t="str">
        <f t="shared" si="2"/>
        <v/>
      </c>
      <c r="L152" s="400" t="str">
        <f>IF('Mapa final SI'!AH155="","",'Mapa final SI'!AH155)</f>
        <v/>
      </c>
      <c r="M152" s="339" t="str">
        <f>IF('Mapa final SI'!T155="","",'Mapa final SI'!T155)</f>
        <v/>
      </c>
      <c r="N152" s="397"/>
      <c r="O152" s="397"/>
      <c r="P152" s="397"/>
      <c r="Q152" s="398"/>
    </row>
    <row r="153" spans="1:17" ht="43.5" customHeight="1" x14ac:dyDescent="0.25">
      <c r="A153" s="115" t="s">
        <v>385</v>
      </c>
      <c r="B153" s="857"/>
      <c r="C153" s="863"/>
      <c r="D153" s="861"/>
      <c r="E153" s="863"/>
      <c r="F153" s="865"/>
      <c r="G153" s="865"/>
      <c r="H153" s="1073"/>
      <c r="I153" s="400" t="str">
        <f>IF('Mapa final SI'!AC156="","",'Mapa final SI'!AC156)</f>
        <v/>
      </c>
      <c r="J153" s="400" t="str">
        <f>IF('Mapa final SI'!AE156="","",'Mapa final SI'!AE156)</f>
        <v/>
      </c>
      <c r="K153" s="400" t="str">
        <f t="shared" si="2"/>
        <v/>
      </c>
      <c r="L153" s="400" t="str">
        <f>IF('Mapa final SI'!AH156="","",'Mapa final SI'!AH156)</f>
        <v/>
      </c>
      <c r="M153" s="339" t="str">
        <f>IF('Mapa final SI'!T156="","",'Mapa final SI'!T156)</f>
        <v/>
      </c>
      <c r="N153" s="397"/>
      <c r="O153" s="397"/>
      <c r="P153" s="397"/>
      <c r="Q153" s="398"/>
    </row>
    <row r="154" spans="1:17" ht="43.5" customHeight="1" x14ac:dyDescent="0.25">
      <c r="A154" s="115" t="s">
        <v>386</v>
      </c>
      <c r="B154" s="857"/>
      <c r="C154" s="863"/>
      <c r="D154" s="861"/>
      <c r="E154" s="863"/>
      <c r="F154" s="865"/>
      <c r="G154" s="865"/>
      <c r="H154" s="1073"/>
      <c r="I154" s="400" t="str">
        <f>IF('Mapa final SI'!AC157="","",'Mapa final SI'!AC157)</f>
        <v/>
      </c>
      <c r="J154" s="400" t="str">
        <f>IF('Mapa final SI'!AE157="","",'Mapa final SI'!AE157)</f>
        <v/>
      </c>
      <c r="K154" s="400" t="str">
        <f t="shared" si="2"/>
        <v/>
      </c>
      <c r="L154" s="400" t="str">
        <f>IF('Mapa final SI'!AH157="","",'Mapa final SI'!AH157)</f>
        <v/>
      </c>
      <c r="M154" s="339" t="str">
        <f>IF('Mapa final SI'!T157="","",'Mapa final SI'!T157)</f>
        <v/>
      </c>
      <c r="N154" s="397"/>
      <c r="O154" s="397"/>
      <c r="P154" s="397"/>
      <c r="Q154" s="398"/>
    </row>
    <row r="155" spans="1:17" ht="43.5" customHeight="1" x14ac:dyDescent="0.25">
      <c r="A155" s="115" t="s">
        <v>387</v>
      </c>
      <c r="B155" s="857"/>
      <c r="C155" s="863"/>
      <c r="D155" s="861"/>
      <c r="E155" s="863"/>
      <c r="F155" s="865"/>
      <c r="G155" s="865"/>
      <c r="H155" s="1073"/>
      <c r="I155" s="400" t="str">
        <f>IF('Mapa final SI'!AC158="","",'Mapa final SI'!AC158)</f>
        <v/>
      </c>
      <c r="J155" s="400" t="str">
        <f>IF('Mapa final SI'!AE158="","",'Mapa final SI'!AE158)</f>
        <v/>
      </c>
      <c r="K155" s="400" t="str">
        <f t="shared" si="2"/>
        <v/>
      </c>
      <c r="L155" s="400" t="str">
        <f>IF('Mapa final SI'!AH158="","",'Mapa final SI'!AH158)</f>
        <v/>
      </c>
      <c r="M155" s="339" t="str">
        <f>IF('Mapa final SI'!T158="","",'Mapa final SI'!T158)</f>
        <v/>
      </c>
      <c r="N155" s="397"/>
      <c r="O155" s="397"/>
      <c r="P155" s="397"/>
      <c r="Q155" s="398"/>
    </row>
    <row r="156" spans="1:17" ht="43.5" customHeight="1" x14ac:dyDescent="0.25">
      <c r="A156" s="115" t="s">
        <v>388</v>
      </c>
      <c r="B156" s="857"/>
      <c r="C156" s="863"/>
      <c r="D156" s="861"/>
      <c r="E156" s="863"/>
      <c r="F156" s="865"/>
      <c r="G156" s="865"/>
      <c r="H156" s="866"/>
      <c r="I156" s="400" t="str">
        <f>IF('Mapa final SI'!AC159="","",'Mapa final SI'!AC159)</f>
        <v/>
      </c>
      <c r="J156" s="400" t="str">
        <f>IF('Mapa final SI'!AE159="","",'Mapa final SI'!AE159)</f>
        <v/>
      </c>
      <c r="K156" s="400" t="str">
        <f t="shared" si="2"/>
        <v/>
      </c>
      <c r="L156" s="400" t="str">
        <f>IF('Mapa final SI'!AH159="","",'Mapa final SI'!AH159)</f>
        <v/>
      </c>
      <c r="M156" s="339" t="str">
        <f>IF('Mapa final SI'!T159="","",'Mapa final SI'!T159)</f>
        <v/>
      </c>
      <c r="N156" s="397"/>
      <c r="O156" s="397"/>
      <c r="P156" s="397"/>
      <c r="Q156" s="398"/>
    </row>
    <row r="157" spans="1:17" ht="43.5" customHeight="1" x14ac:dyDescent="0.25">
      <c r="A157" s="115" t="s">
        <v>389</v>
      </c>
      <c r="B157" s="856"/>
      <c r="C157" s="862" t="str">
        <f>IF('Mapa final SI'!G160="","",'Mapa final SI'!G160)</f>
        <v/>
      </c>
      <c r="D157" s="860"/>
      <c r="E157" s="862" t="str">
        <f>IF('Mapa final SI'!F160="","",'Mapa final SI'!F160)</f>
        <v/>
      </c>
      <c r="F157" s="864" t="str">
        <f>IF('Mapa final SI'!L160="","",'Mapa final SI'!L160)</f>
        <v/>
      </c>
      <c r="G157" s="864" t="str">
        <f>IF('Mapa final SI'!P160="","",'Mapa final SI'!P160)</f>
        <v/>
      </c>
      <c r="H157" s="107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0" t="str">
        <f>IF('Mapa final SI'!AC160="","",'Mapa final SI'!AC160)</f>
        <v/>
      </c>
      <c r="J157" s="400" t="str">
        <f>IF('Mapa final SI'!AE160="","",'Mapa final SI'!AE160)</f>
        <v/>
      </c>
      <c r="K157" s="400" t="str">
        <f t="shared" si="2"/>
        <v/>
      </c>
      <c r="L157" s="400" t="str">
        <f>IF('Mapa final SI'!AH160="","",'Mapa final SI'!AH160)</f>
        <v/>
      </c>
      <c r="M157" s="339" t="str">
        <f>IF('Mapa final SI'!T160="","",'Mapa final SI'!T160)</f>
        <v/>
      </c>
      <c r="N157" s="397"/>
      <c r="O157" s="397"/>
      <c r="P157" s="397"/>
      <c r="Q157" s="398"/>
    </row>
    <row r="158" spans="1:17" ht="43.5" customHeight="1" x14ac:dyDescent="0.25">
      <c r="A158" s="115" t="s">
        <v>390</v>
      </c>
      <c r="B158" s="857"/>
      <c r="C158" s="863"/>
      <c r="D158" s="861"/>
      <c r="E158" s="863"/>
      <c r="F158" s="865"/>
      <c r="G158" s="865"/>
      <c r="H158" s="1073"/>
      <c r="I158" s="400" t="str">
        <f>IF('Mapa final SI'!AC161="","",'Mapa final SI'!AC161)</f>
        <v/>
      </c>
      <c r="J158" s="400" t="str">
        <f>IF('Mapa final SI'!AE161="","",'Mapa final SI'!AE161)</f>
        <v/>
      </c>
      <c r="K158" s="400" t="str">
        <f t="shared" si="2"/>
        <v/>
      </c>
      <c r="L158" s="400" t="str">
        <f>IF('Mapa final SI'!AH161="","",'Mapa final SI'!AH161)</f>
        <v/>
      </c>
      <c r="M158" s="339" t="str">
        <f>IF('Mapa final SI'!T161="","",'Mapa final SI'!T161)</f>
        <v/>
      </c>
      <c r="N158" s="397"/>
      <c r="O158" s="397"/>
      <c r="P158" s="397"/>
      <c r="Q158" s="398"/>
    </row>
    <row r="159" spans="1:17" ht="43.5" customHeight="1" x14ac:dyDescent="0.25">
      <c r="A159" s="115" t="s">
        <v>391</v>
      </c>
      <c r="B159" s="857"/>
      <c r="C159" s="863"/>
      <c r="D159" s="861"/>
      <c r="E159" s="863"/>
      <c r="F159" s="865"/>
      <c r="G159" s="865"/>
      <c r="H159" s="1073"/>
      <c r="I159" s="400" t="str">
        <f>IF('Mapa final SI'!AC162="","",'Mapa final SI'!AC162)</f>
        <v/>
      </c>
      <c r="J159" s="400" t="str">
        <f>IF('Mapa final SI'!AE162="","",'Mapa final SI'!AE162)</f>
        <v/>
      </c>
      <c r="K159" s="400" t="str">
        <f t="shared" si="2"/>
        <v/>
      </c>
      <c r="L159" s="400" t="str">
        <f>IF('Mapa final SI'!AH162="","",'Mapa final SI'!AH162)</f>
        <v/>
      </c>
      <c r="M159" s="339" t="str">
        <f>IF('Mapa final SI'!T162="","",'Mapa final SI'!T162)</f>
        <v/>
      </c>
      <c r="N159" s="397"/>
      <c r="O159" s="397"/>
      <c r="P159" s="397"/>
      <c r="Q159" s="398"/>
    </row>
    <row r="160" spans="1:17" ht="43.5" customHeight="1" x14ac:dyDescent="0.25">
      <c r="A160" s="115" t="s">
        <v>392</v>
      </c>
      <c r="B160" s="857"/>
      <c r="C160" s="863"/>
      <c r="D160" s="861"/>
      <c r="E160" s="863"/>
      <c r="F160" s="865"/>
      <c r="G160" s="865"/>
      <c r="H160" s="1073"/>
      <c r="I160" s="400" t="str">
        <f>IF('Mapa final SI'!AC163="","",'Mapa final SI'!AC163)</f>
        <v/>
      </c>
      <c r="J160" s="400" t="str">
        <f>IF('Mapa final SI'!AE163="","",'Mapa final SI'!AE163)</f>
        <v/>
      </c>
      <c r="K160" s="400" t="str">
        <f t="shared" si="2"/>
        <v/>
      </c>
      <c r="L160" s="400" t="str">
        <f>IF('Mapa final SI'!AH163="","",'Mapa final SI'!AH163)</f>
        <v/>
      </c>
      <c r="M160" s="339" t="str">
        <f>IF('Mapa final SI'!T163="","",'Mapa final SI'!T163)</f>
        <v/>
      </c>
      <c r="N160" s="397"/>
      <c r="O160" s="397"/>
      <c r="P160" s="397"/>
      <c r="Q160" s="398"/>
    </row>
    <row r="161" spans="1:17" ht="43.5" customHeight="1" x14ac:dyDescent="0.25">
      <c r="A161" s="115" t="s">
        <v>393</v>
      </c>
      <c r="B161" s="857"/>
      <c r="C161" s="863"/>
      <c r="D161" s="861"/>
      <c r="E161" s="863"/>
      <c r="F161" s="865"/>
      <c r="G161" s="865"/>
      <c r="H161" s="1073"/>
      <c r="I161" s="400" t="str">
        <f>IF('Mapa final SI'!AC164="","",'Mapa final SI'!AC164)</f>
        <v/>
      </c>
      <c r="J161" s="400" t="str">
        <f>IF('Mapa final SI'!AE164="","",'Mapa final SI'!AE164)</f>
        <v/>
      </c>
      <c r="K161" s="400" t="str">
        <f t="shared" si="2"/>
        <v/>
      </c>
      <c r="L161" s="400" t="str">
        <f>IF('Mapa final SI'!AH164="","",'Mapa final SI'!AH164)</f>
        <v/>
      </c>
      <c r="M161" s="339" t="str">
        <f>IF('Mapa final SI'!T164="","",'Mapa final SI'!T164)</f>
        <v/>
      </c>
      <c r="N161" s="397"/>
      <c r="O161" s="397"/>
      <c r="P161" s="397"/>
      <c r="Q161" s="398"/>
    </row>
    <row r="162" spans="1:17" ht="43.5" customHeight="1" x14ac:dyDescent="0.25">
      <c r="A162" s="115" t="s">
        <v>394</v>
      </c>
      <c r="B162" s="857"/>
      <c r="C162" s="863"/>
      <c r="D162" s="861"/>
      <c r="E162" s="863"/>
      <c r="F162" s="865"/>
      <c r="G162" s="865"/>
      <c r="H162" s="866"/>
      <c r="I162" s="400" t="str">
        <f>IF('Mapa final SI'!AC165="","",'Mapa final SI'!AC165)</f>
        <v/>
      </c>
      <c r="J162" s="400" t="str">
        <f>IF('Mapa final SI'!AE165="","",'Mapa final SI'!AE165)</f>
        <v/>
      </c>
      <c r="K162" s="400" t="str">
        <f t="shared" si="2"/>
        <v/>
      </c>
      <c r="L162" s="400" t="str">
        <f>IF('Mapa final SI'!AH165="","",'Mapa final SI'!AH165)</f>
        <v/>
      </c>
      <c r="M162" s="339" t="str">
        <f>IF('Mapa final SI'!T165="","",'Mapa final SI'!T165)</f>
        <v/>
      </c>
      <c r="N162" s="397"/>
      <c r="O162" s="397"/>
      <c r="P162" s="397"/>
      <c r="Q162" s="398"/>
    </row>
    <row r="163" spans="1:17" ht="43.5" customHeight="1" x14ac:dyDescent="0.25">
      <c r="A163" s="115" t="s">
        <v>395</v>
      </c>
      <c r="B163" s="856"/>
      <c r="C163" s="862" t="str">
        <f>IF('Mapa final SI'!G166="","",'Mapa final SI'!G166)</f>
        <v/>
      </c>
      <c r="D163" s="860"/>
      <c r="E163" s="862" t="str">
        <f>IF('Mapa final SI'!F166="","",'Mapa final SI'!F166)</f>
        <v/>
      </c>
      <c r="F163" s="864" t="str">
        <f>IF('Mapa final SI'!L166="","",'Mapa final SI'!L166)</f>
        <v/>
      </c>
      <c r="G163" s="864" t="str">
        <f>IF('Mapa final SI'!P166="","",'Mapa final SI'!P166)</f>
        <v/>
      </c>
      <c r="H163" s="107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0" t="str">
        <f>IF('Mapa final SI'!AC166="","",'Mapa final SI'!AC166)</f>
        <v/>
      </c>
      <c r="J163" s="400" t="str">
        <f>IF('Mapa final SI'!AE166="","",'Mapa final SI'!AE166)</f>
        <v/>
      </c>
      <c r="K163" s="400" t="str">
        <f t="shared" si="2"/>
        <v/>
      </c>
      <c r="L163" s="400" t="str">
        <f>IF('Mapa final SI'!AH166="","",'Mapa final SI'!AH166)</f>
        <v/>
      </c>
      <c r="M163" s="339" t="str">
        <f>IF('Mapa final SI'!T166="","",'Mapa final SI'!T166)</f>
        <v/>
      </c>
      <c r="N163" s="397"/>
      <c r="O163" s="397"/>
      <c r="P163" s="397"/>
      <c r="Q163" s="398"/>
    </row>
    <row r="164" spans="1:17" ht="43.5" customHeight="1" x14ac:dyDescent="0.25">
      <c r="A164" s="115" t="s">
        <v>396</v>
      </c>
      <c r="B164" s="857"/>
      <c r="C164" s="863"/>
      <c r="D164" s="861"/>
      <c r="E164" s="863"/>
      <c r="F164" s="865"/>
      <c r="G164" s="865"/>
      <c r="H164" s="1073"/>
      <c r="I164" s="400" t="str">
        <f>IF('Mapa final SI'!AC167="","",'Mapa final SI'!AC167)</f>
        <v/>
      </c>
      <c r="J164" s="400" t="str">
        <f>IF('Mapa final SI'!AE167="","",'Mapa final SI'!AE167)</f>
        <v/>
      </c>
      <c r="K164" s="400" t="str">
        <f t="shared" si="2"/>
        <v/>
      </c>
      <c r="L164" s="400" t="str">
        <f>IF('Mapa final SI'!AH167="","",'Mapa final SI'!AH167)</f>
        <v/>
      </c>
      <c r="M164" s="339" t="str">
        <f>IF('Mapa final SI'!T167="","",'Mapa final SI'!T167)</f>
        <v/>
      </c>
      <c r="N164" s="397"/>
      <c r="O164" s="397"/>
      <c r="P164" s="397"/>
      <c r="Q164" s="398"/>
    </row>
    <row r="165" spans="1:17" ht="43.5" customHeight="1" x14ac:dyDescent="0.25">
      <c r="A165" s="115" t="s">
        <v>397</v>
      </c>
      <c r="B165" s="857"/>
      <c r="C165" s="863"/>
      <c r="D165" s="861"/>
      <c r="E165" s="863"/>
      <c r="F165" s="865"/>
      <c r="G165" s="865"/>
      <c r="H165" s="1073"/>
      <c r="I165" s="400" t="str">
        <f>IF('Mapa final SI'!AC168="","",'Mapa final SI'!AC168)</f>
        <v/>
      </c>
      <c r="J165" s="400" t="str">
        <f>IF('Mapa final SI'!AE168="","",'Mapa final SI'!AE168)</f>
        <v/>
      </c>
      <c r="K165" s="400" t="str">
        <f t="shared" si="2"/>
        <v/>
      </c>
      <c r="L165" s="400" t="str">
        <f>IF('Mapa final SI'!AH168="","",'Mapa final SI'!AH168)</f>
        <v/>
      </c>
      <c r="M165" s="339" t="str">
        <f>IF('Mapa final SI'!T168="","",'Mapa final SI'!T168)</f>
        <v/>
      </c>
      <c r="N165" s="397"/>
      <c r="O165" s="397"/>
      <c r="P165" s="397"/>
      <c r="Q165" s="398"/>
    </row>
    <row r="166" spans="1:17" ht="43.5" customHeight="1" x14ac:dyDescent="0.25">
      <c r="A166" s="115" t="s">
        <v>398</v>
      </c>
      <c r="B166" s="857"/>
      <c r="C166" s="863"/>
      <c r="D166" s="861"/>
      <c r="E166" s="863"/>
      <c r="F166" s="865"/>
      <c r="G166" s="865"/>
      <c r="H166" s="1073"/>
      <c r="I166" s="400" t="str">
        <f>IF('Mapa final SI'!AC169="","",'Mapa final SI'!AC169)</f>
        <v/>
      </c>
      <c r="J166" s="400" t="str">
        <f>IF('Mapa final SI'!AE169="","",'Mapa final SI'!AE169)</f>
        <v/>
      </c>
      <c r="K166" s="400" t="str">
        <f t="shared" si="2"/>
        <v/>
      </c>
      <c r="L166" s="400" t="str">
        <f>IF('Mapa final SI'!AH169="","",'Mapa final SI'!AH169)</f>
        <v/>
      </c>
      <c r="M166" s="339" t="str">
        <f>IF('Mapa final SI'!T169="","",'Mapa final SI'!T169)</f>
        <v/>
      </c>
      <c r="N166" s="397"/>
      <c r="O166" s="397"/>
      <c r="P166" s="397"/>
      <c r="Q166" s="398"/>
    </row>
    <row r="167" spans="1:17" ht="43.5" customHeight="1" x14ac:dyDescent="0.25">
      <c r="A167" s="115" t="s">
        <v>399</v>
      </c>
      <c r="B167" s="857"/>
      <c r="C167" s="863"/>
      <c r="D167" s="861"/>
      <c r="E167" s="863"/>
      <c r="F167" s="865"/>
      <c r="G167" s="865"/>
      <c r="H167" s="1073"/>
      <c r="I167" s="400" t="str">
        <f>IF('Mapa final SI'!AC170="","",'Mapa final SI'!AC170)</f>
        <v/>
      </c>
      <c r="J167" s="400" t="str">
        <f>IF('Mapa final SI'!AE170="","",'Mapa final SI'!AE170)</f>
        <v/>
      </c>
      <c r="K167" s="400" t="str">
        <f t="shared" si="2"/>
        <v/>
      </c>
      <c r="L167" s="400" t="str">
        <f>IF('Mapa final SI'!AH170="","",'Mapa final SI'!AH170)</f>
        <v/>
      </c>
      <c r="M167" s="339" t="str">
        <f>IF('Mapa final SI'!T170="","",'Mapa final SI'!T170)</f>
        <v/>
      </c>
      <c r="N167" s="397"/>
      <c r="O167" s="397"/>
      <c r="P167" s="397"/>
      <c r="Q167" s="398"/>
    </row>
    <row r="168" spans="1:17" ht="43.5" customHeight="1" x14ac:dyDescent="0.25">
      <c r="A168" s="115" t="s">
        <v>400</v>
      </c>
      <c r="B168" s="857"/>
      <c r="C168" s="863"/>
      <c r="D168" s="861"/>
      <c r="E168" s="863"/>
      <c r="F168" s="865"/>
      <c r="G168" s="865"/>
      <c r="H168" s="866"/>
      <c r="I168" s="400" t="str">
        <f>IF('Mapa final SI'!AC171="","",'Mapa final SI'!AC171)</f>
        <v/>
      </c>
      <c r="J168" s="400" t="str">
        <f>IF('Mapa final SI'!AE171="","",'Mapa final SI'!AE171)</f>
        <v/>
      </c>
      <c r="K168" s="400" t="str">
        <f t="shared" si="2"/>
        <v/>
      </c>
      <c r="L168" s="400" t="str">
        <f>IF('Mapa final SI'!AH171="","",'Mapa final SI'!AH171)</f>
        <v/>
      </c>
      <c r="M168" s="339" t="str">
        <f>IF('Mapa final SI'!T171="","",'Mapa final SI'!T171)</f>
        <v/>
      </c>
      <c r="N168" s="397"/>
      <c r="O168" s="397"/>
      <c r="P168" s="397"/>
      <c r="Q168" s="398"/>
    </row>
    <row r="169" spans="1:17" ht="43.5" customHeight="1" x14ac:dyDescent="0.25">
      <c r="A169" s="115" t="s">
        <v>401</v>
      </c>
      <c r="B169" s="856"/>
      <c r="C169" s="862" t="str">
        <f>IF('Mapa final SI'!G172="","",'Mapa final SI'!G172)</f>
        <v/>
      </c>
      <c r="D169" s="860"/>
      <c r="E169" s="862" t="str">
        <f>IF('Mapa final SI'!F172="","",'Mapa final SI'!F172)</f>
        <v/>
      </c>
      <c r="F169" s="864" t="str">
        <f>IF('Mapa final SI'!L172="","",'Mapa final SI'!L172)</f>
        <v/>
      </c>
      <c r="G169" s="864" t="str">
        <f>IF('Mapa final SI'!P172="","",'Mapa final SI'!P172)</f>
        <v/>
      </c>
      <c r="H169" s="107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0" t="str">
        <f>IF('Mapa final SI'!AC172="","",'Mapa final SI'!AC172)</f>
        <v/>
      </c>
      <c r="J169" s="400" t="str">
        <f>IF('Mapa final SI'!AE172="","",'Mapa final SI'!AE172)</f>
        <v/>
      </c>
      <c r="K169" s="400" t="str">
        <f t="shared" si="2"/>
        <v/>
      </c>
      <c r="L169" s="400" t="str">
        <f>IF('Mapa final SI'!AH172="","",'Mapa final SI'!AH172)</f>
        <v/>
      </c>
      <c r="M169" s="339" t="str">
        <f>IF('Mapa final SI'!T172="","",'Mapa final SI'!T172)</f>
        <v/>
      </c>
      <c r="N169" s="397"/>
      <c r="O169" s="397"/>
      <c r="P169" s="397"/>
      <c r="Q169" s="398"/>
    </row>
    <row r="170" spans="1:17" ht="43.5" customHeight="1" x14ac:dyDescent="0.25">
      <c r="A170" s="115" t="s">
        <v>402</v>
      </c>
      <c r="B170" s="857"/>
      <c r="C170" s="863"/>
      <c r="D170" s="861"/>
      <c r="E170" s="863"/>
      <c r="F170" s="865"/>
      <c r="G170" s="865"/>
      <c r="H170" s="1073"/>
      <c r="I170" s="400" t="str">
        <f>IF('Mapa final SI'!AC173="","",'Mapa final SI'!AC173)</f>
        <v/>
      </c>
      <c r="J170" s="400" t="str">
        <f>IF('Mapa final SI'!AE173="","",'Mapa final SI'!AE173)</f>
        <v/>
      </c>
      <c r="K170" s="400" t="str">
        <f t="shared" si="2"/>
        <v/>
      </c>
      <c r="L170" s="400" t="str">
        <f>IF('Mapa final SI'!AH173="","",'Mapa final SI'!AH173)</f>
        <v/>
      </c>
      <c r="M170" s="339" t="str">
        <f>IF('Mapa final SI'!T173="","",'Mapa final SI'!T173)</f>
        <v/>
      </c>
      <c r="N170" s="397"/>
      <c r="O170" s="397"/>
      <c r="P170" s="397"/>
      <c r="Q170" s="398"/>
    </row>
    <row r="171" spans="1:17" ht="43.5" customHeight="1" x14ac:dyDescent="0.25">
      <c r="A171" s="115" t="s">
        <v>403</v>
      </c>
      <c r="B171" s="857"/>
      <c r="C171" s="863"/>
      <c r="D171" s="861"/>
      <c r="E171" s="863"/>
      <c r="F171" s="865"/>
      <c r="G171" s="865"/>
      <c r="H171" s="1073"/>
      <c r="I171" s="400" t="str">
        <f>IF('Mapa final SI'!AC174="","",'Mapa final SI'!AC174)</f>
        <v/>
      </c>
      <c r="J171" s="400" t="str">
        <f>IF('Mapa final SI'!AE174="","",'Mapa final SI'!AE174)</f>
        <v/>
      </c>
      <c r="K171" s="400" t="str">
        <f t="shared" si="2"/>
        <v/>
      </c>
      <c r="L171" s="400" t="str">
        <f>IF('Mapa final SI'!AH174="","",'Mapa final SI'!AH174)</f>
        <v/>
      </c>
      <c r="M171" s="339" t="str">
        <f>IF('Mapa final SI'!T174="","",'Mapa final SI'!T174)</f>
        <v/>
      </c>
      <c r="N171" s="397"/>
      <c r="O171" s="397"/>
      <c r="P171" s="397"/>
      <c r="Q171" s="398"/>
    </row>
    <row r="172" spans="1:17" ht="43.5" customHeight="1" x14ac:dyDescent="0.25">
      <c r="A172" s="115" t="s">
        <v>404</v>
      </c>
      <c r="B172" s="857"/>
      <c r="C172" s="863"/>
      <c r="D172" s="861"/>
      <c r="E172" s="863"/>
      <c r="F172" s="865"/>
      <c r="G172" s="865"/>
      <c r="H172" s="1073"/>
      <c r="I172" s="400" t="str">
        <f>IF('Mapa final SI'!AC175="","",'Mapa final SI'!AC175)</f>
        <v/>
      </c>
      <c r="J172" s="400" t="str">
        <f>IF('Mapa final SI'!AE175="","",'Mapa final SI'!AE175)</f>
        <v/>
      </c>
      <c r="K172" s="400" t="str">
        <f t="shared" si="2"/>
        <v/>
      </c>
      <c r="L172" s="400" t="str">
        <f>IF('Mapa final SI'!AH175="","",'Mapa final SI'!AH175)</f>
        <v/>
      </c>
      <c r="M172" s="339" t="str">
        <f>IF('Mapa final SI'!T175="","",'Mapa final SI'!T175)</f>
        <v/>
      </c>
      <c r="N172" s="397"/>
      <c r="O172" s="397"/>
      <c r="P172" s="397"/>
      <c r="Q172" s="398"/>
    </row>
    <row r="173" spans="1:17" ht="43.5" customHeight="1" x14ac:dyDescent="0.25">
      <c r="A173" s="115" t="s">
        <v>405</v>
      </c>
      <c r="B173" s="857"/>
      <c r="C173" s="863"/>
      <c r="D173" s="861"/>
      <c r="E173" s="863"/>
      <c r="F173" s="865"/>
      <c r="G173" s="865"/>
      <c r="H173" s="1073"/>
      <c r="I173" s="400" t="str">
        <f>IF('Mapa final SI'!AC176="","",'Mapa final SI'!AC176)</f>
        <v/>
      </c>
      <c r="J173" s="400" t="str">
        <f>IF('Mapa final SI'!AE176="","",'Mapa final SI'!AE176)</f>
        <v/>
      </c>
      <c r="K173" s="400" t="str">
        <f t="shared" si="2"/>
        <v/>
      </c>
      <c r="L173" s="400" t="str">
        <f>IF('Mapa final SI'!AH176="","",'Mapa final SI'!AH176)</f>
        <v/>
      </c>
      <c r="M173" s="339" t="str">
        <f>IF('Mapa final SI'!T176="","",'Mapa final SI'!T176)</f>
        <v/>
      </c>
      <c r="N173" s="397"/>
      <c r="O173" s="397"/>
      <c r="P173" s="397"/>
      <c r="Q173" s="398"/>
    </row>
    <row r="174" spans="1:17" ht="43.5" customHeight="1" x14ac:dyDescent="0.25">
      <c r="A174" s="115" t="s">
        <v>406</v>
      </c>
      <c r="B174" s="857"/>
      <c r="C174" s="863"/>
      <c r="D174" s="861"/>
      <c r="E174" s="863"/>
      <c r="F174" s="865"/>
      <c r="G174" s="865"/>
      <c r="H174" s="866"/>
      <c r="I174" s="400" t="str">
        <f>IF('Mapa final SI'!AC177="","",'Mapa final SI'!AC177)</f>
        <v/>
      </c>
      <c r="J174" s="400" t="str">
        <f>IF('Mapa final SI'!AE177="","",'Mapa final SI'!AE177)</f>
        <v/>
      </c>
      <c r="K174" s="400" t="str">
        <f t="shared" si="2"/>
        <v/>
      </c>
      <c r="L174" s="400" t="str">
        <f>IF('Mapa final SI'!AH177="","",'Mapa final SI'!AH177)</f>
        <v/>
      </c>
      <c r="M174" s="339" t="str">
        <f>IF('Mapa final SI'!T177="","",'Mapa final SI'!T177)</f>
        <v/>
      </c>
      <c r="N174" s="397"/>
      <c r="O174" s="397"/>
      <c r="P174" s="397"/>
      <c r="Q174" s="398"/>
    </row>
    <row r="175" spans="1:17" ht="43.5" customHeight="1" x14ac:dyDescent="0.25">
      <c r="A175" s="115" t="s">
        <v>407</v>
      </c>
      <c r="B175" s="856"/>
      <c r="C175" s="862" t="str">
        <f>IF('Mapa final SI'!G178="","",'Mapa final SI'!G178)</f>
        <v/>
      </c>
      <c r="D175" s="860"/>
      <c r="E175" s="862" t="str">
        <f>IF('Mapa final SI'!F178="","",'Mapa final SI'!F178)</f>
        <v/>
      </c>
      <c r="F175" s="864" t="str">
        <f>IF('Mapa final SI'!L178="","",'Mapa final SI'!L178)</f>
        <v/>
      </c>
      <c r="G175" s="864" t="str">
        <f>IF('Mapa final SI'!P178="","",'Mapa final SI'!P178)</f>
        <v/>
      </c>
      <c r="H175" s="107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0" t="str">
        <f>IF('Mapa final SI'!AC178="","",'Mapa final SI'!AC178)</f>
        <v/>
      </c>
      <c r="J175" s="400" t="str">
        <f>IF('Mapa final SI'!AE178="","",'Mapa final SI'!AE178)</f>
        <v/>
      </c>
      <c r="K175" s="400" t="str">
        <f t="shared" si="2"/>
        <v/>
      </c>
      <c r="L175" s="400" t="str">
        <f>IF('Mapa final SI'!AH178="","",'Mapa final SI'!AH178)</f>
        <v/>
      </c>
      <c r="M175" s="339" t="str">
        <f>IF('Mapa final SI'!T178="","",'Mapa final SI'!T178)</f>
        <v/>
      </c>
      <c r="N175" s="397"/>
      <c r="O175" s="397"/>
      <c r="P175" s="397"/>
      <c r="Q175" s="398"/>
    </row>
    <row r="176" spans="1:17" ht="43.5" customHeight="1" x14ac:dyDescent="0.25">
      <c r="A176" s="115" t="s">
        <v>408</v>
      </c>
      <c r="B176" s="857"/>
      <c r="C176" s="863"/>
      <c r="D176" s="861"/>
      <c r="E176" s="863"/>
      <c r="F176" s="865"/>
      <c r="G176" s="865"/>
      <c r="H176" s="1073"/>
      <c r="I176" s="400" t="str">
        <f>IF('Mapa final SI'!AC179="","",'Mapa final SI'!AC179)</f>
        <v/>
      </c>
      <c r="J176" s="400" t="str">
        <f>IF('Mapa final SI'!AE179="","",'Mapa final SI'!AE179)</f>
        <v/>
      </c>
      <c r="K176" s="400" t="str">
        <f t="shared" si="2"/>
        <v/>
      </c>
      <c r="L176" s="400" t="str">
        <f>IF('Mapa final SI'!AH179="","",'Mapa final SI'!AH179)</f>
        <v/>
      </c>
      <c r="M176" s="339" t="str">
        <f>IF('Mapa final SI'!T179="","",'Mapa final SI'!T179)</f>
        <v/>
      </c>
      <c r="N176" s="397"/>
      <c r="O176" s="397"/>
      <c r="P176" s="397"/>
      <c r="Q176" s="398"/>
    </row>
    <row r="177" spans="1:17" ht="43.5" customHeight="1" x14ac:dyDescent="0.25">
      <c r="A177" s="115" t="s">
        <v>409</v>
      </c>
      <c r="B177" s="857"/>
      <c r="C177" s="863"/>
      <c r="D177" s="861"/>
      <c r="E177" s="863"/>
      <c r="F177" s="865"/>
      <c r="G177" s="865"/>
      <c r="H177" s="1073"/>
      <c r="I177" s="400" t="str">
        <f>IF('Mapa final SI'!AC180="","",'Mapa final SI'!AC180)</f>
        <v/>
      </c>
      <c r="J177" s="400" t="str">
        <f>IF('Mapa final SI'!AE180="","",'Mapa final SI'!AE180)</f>
        <v/>
      </c>
      <c r="K177" s="400" t="str">
        <f t="shared" si="2"/>
        <v/>
      </c>
      <c r="L177" s="400" t="str">
        <f>IF('Mapa final SI'!AH180="","",'Mapa final SI'!AH180)</f>
        <v/>
      </c>
      <c r="M177" s="339" t="str">
        <f>IF('Mapa final SI'!T180="","",'Mapa final SI'!T180)</f>
        <v/>
      </c>
      <c r="N177" s="397"/>
      <c r="O177" s="397"/>
      <c r="P177" s="397"/>
      <c r="Q177" s="398"/>
    </row>
    <row r="178" spans="1:17" ht="43.5" customHeight="1" x14ac:dyDescent="0.25">
      <c r="A178" s="115" t="s">
        <v>410</v>
      </c>
      <c r="B178" s="857"/>
      <c r="C178" s="863"/>
      <c r="D178" s="861"/>
      <c r="E178" s="863"/>
      <c r="F178" s="865"/>
      <c r="G178" s="865"/>
      <c r="H178" s="1073"/>
      <c r="I178" s="400" t="str">
        <f>IF('Mapa final SI'!AC181="","",'Mapa final SI'!AC181)</f>
        <v/>
      </c>
      <c r="J178" s="400" t="str">
        <f>IF('Mapa final SI'!AE181="","",'Mapa final SI'!AE181)</f>
        <v/>
      </c>
      <c r="K178" s="400" t="str">
        <f t="shared" si="2"/>
        <v/>
      </c>
      <c r="L178" s="400" t="str">
        <f>IF('Mapa final SI'!AH181="","",'Mapa final SI'!AH181)</f>
        <v/>
      </c>
      <c r="M178" s="339" t="str">
        <f>IF('Mapa final SI'!T181="","",'Mapa final SI'!T181)</f>
        <v/>
      </c>
      <c r="N178" s="397"/>
      <c r="O178" s="397"/>
      <c r="P178" s="397"/>
      <c r="Q178" s="398"/>
    </row>
    <row r="179" spans="1:17" ht="43.5" customHeight="1" x14ac:dyDescent="0.25">
      <c r="A179" s="115" t="s">
        <v>411</v>
      </c>
      <c r="B179" s="857"/>
      <c r="C179" s="863"/>
      <c r="D179" s="861"/>
      <c r="E179" s="863"/>
      <c r="F179" s="865"/>
      <c r="G179" s="865"/>
      <c r="H179" s="1073"/>
      <c r="I179" s="400" t="str">
        <f>IF('Mapa final SI'!AC182="","",'Mapa final SI'!AC182)</f>
        <v/>
      </c>
      <c r="J179" s="400" t="str">
        <f>IF('Mapa final SI'!AE182="","",'Mapa final SI'!AE182)</f>
        <v/>
      </c>
      <c r="K179" s="400" t="str">
        <f t="shared" si="2"/>
        <v/>
      </c>
      <c r="L179" s="400" t="str">
        <f>IF('Mapa final SI'!AH182="","",'Mapa final SI'!AH182)</f>
        <v/>
      </c>
      <c r="M179" s="339" t="str">
        <f>IF('Mapa final SI'!T182="","",'Mapa final SI'!T182)</f>
        <v/>
      </c>
      <c r="N179" s="397"/>
      <c r="O179" s="397"/>
      <c r="P179" s="397"/>
      <c r="Q179" s="398"/>
    </row>
    <row r="180" spans="1:17" ht="43.5" customHeight="1" x14ac:dyDescent="0.25">
      <c r="A180" s="115" t="s">
        <v>412</v>
      </c>
      <c r="B180" s="857"/>
      <c r="C180" s="863"/>
      <c r="D180" s="861"/>
      <c r="E180" s="863"/>
      <c r="F180" s="865"/>
      <c r="G180" s="865"/>
      <c r="H180" s="866"/>
      <c r="I180" s="400" t="str">
        <f>IF('Mapa final SI'!AC183="","",'Mapa final SI'!AC183)</f>
        <v/>
      </c>
      <c r="J180" s="400" t="str">
        <f>IF('Mapa final SI'!AE183="","",'Mapa final SI'!AE183)</f>
        <v/>
      </c>
      <c r="K180" s="400" t="str">
        <f t="shared" si="2"/>
        <v/>
      </c>
      <c r="L180" s="400" t="str">
        <f>IF('Mapa final SI'!AH183="","",'Mapa final SI'!AH183)</f>
        <v/>
      </c>
      <c r="M180" s="339" t="str">
        <f>IF('Mapa final SI'!T183="","",'Mapa final SI'!T183)</f>
        <v/>
      </c>
      <c r="N180" s="397"/>
      <c r="O180" s="397"/>
      <c r="P180" s="397"/>
      <c r="Q180" s="398"/>
    </row>
    <row r="181" spans="1:17" ht="43.5" customHeight="1" x14ac:dyDescent="0.25">
      <c r="A181" s="115" t="s">
        <v>413</v>
      </c>
      <c r="B181" s="856"/>
      <c r="C181" s="862" t="str">
        <f>IF('Mapa final SI'!G184="","",'Mapa final SI'!G184)</f>
        <v/>
      </c>
      <c r="D181" s="860"/>
      <c r="E181" s="862" t="str">
        <f>IF('Mapa final SI'!F184="","",'Mapa final SI'!F184)</f>
        <v/>
      </c>
      <c r="F181" s="864" t="str">
        <f>IF('Mapa final SI'!L184="","",'Mapa final SI'!L184)</f>
        <v/>
      </c>
      <c r="G181" s="864" t="str">
        <f>IF('Mapa final SI'!P184="","",'Mapa final SI'!P184)</f>
        <v/>
      </c>
      <c r="H181" s="107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0" t="str">
        <f>IF('Mapa final SI'!AC184="","",'Mapa final SI'!AC184)</f>
        <v/>
      </c>
      <c r="J181" s="400" t="str">
        <f>IF('Mapa final SI'!AE184="","",'Mapa final SI'!AE184)</f>
        <v/>
      </c>
      <c r="K181" s="400" t="str">
        <f t="shared" si="2"/>
        <v/>
      </c>
      <c r="L181" s="400" t="str">
        <f>IF('Mapa final SI'!AH184="","",'Mapa final SI'!AH184)</f>
        <v/>
      </c>
      <c r="M181" s="339" t="str">
        <f>IF('Mapa final SI'!T184="","",'Mapa final SI'!T184)</f>
        <v/>
      </c>
      <c r="N181" s="397"/>
      <c r="O181" s="397"/>
      <c r="P181" s="397"/>
      <c r="Q181" s="398"/>
    </row>
    <row r="182" spans="1:17" ht="43.5" customHeight="1" x14ac:dyDescent="0.25">
      <c r="A182" s="115" t="s">
        <v>414</v>
      </c>
      <c r="B182" s="857"/>
      <c r="C182" s="863"/>
      <c r="D182" s="861"/>
      <c r="E182" s="863"/>
      <c r="F182" s="865"/>
      <c r="G182" s="865"/>
      <c r="H182" s="1073"/>
      <c r="I182" s="400" t="str">
        <f>IF('Mapa final SI'!AC185="","",'Mapa final SI'!AC185)</f>
        <v/>
      </c>
      <c r="J182" s="400" t="str">
        <f>IF('Mapa final SI'!AE185="","",'Mapa final SI'!AE185)</f>
        <v/>
      </c>
      <c r="K182" s="400" t="str">
        <f t="shared" si="2"/>
        <v/>
      </c>
      <c r="L182" s="400" t="str">
        <f>IF('Mapa final SI'!AH185="","",'Mapa final SI'!AH185)</f>
        <v/>
      </c>
      <c r="M182" s="339" t="str">
        <f>IF('Mapa final SI'!T185="","",'Mapa final SI'!T185)</f>
        <v/>
      </c>
      <c r="N182" s="397"/>
      <c r="O182" s="397"/>
      <c r="P182" s="397"/>
      <c r="Q182" s="398"/>
    </row>
    <row r="183" spans="1:17" ht="43.5" customHeight="1" x14ac:dyDescent="0.25">
      <c r="A183" s="115" t="s">
        <v>415</v>
      </c>
      <c r="B183" s="857"/>
      <c r="C183" s="863"/>
      <c r="D183" s="861"/>
      <c r="E183" s="863"/>
      <c r="F183" s="865"/>
      <c r="G183" s="865"/>
      <c r="H183" s="1073"/>
      <c r="I183" s="400" t="str">
        <f>IF('Mapa final SI'!AC186="","",'Mapa final SI'!AC186)</f>
        <v/>
      </c>
      <c r="J183" s="400" t="str">
        <f>IF('Mapa final SI'!AE186="","",'Mapa final SI'!AE186)</f>
        <v/>
      </c>
      <c r="K183" s="400" t="str">
        <f t="shared" si="2"/>
        <v/>
      </c>
      <c r="L183" s="400" t="str">
        <f>IF('Mapa final SI'!AH186="","",'Mapa final SI'!AH186)</f>
        <v/>
      </c>
      <c r="M183" s="339" t="str">
        <f>IF('Mapa final SI'!T186="","",'Mapa final SI'!T186)</f>
        <v/>
      </c>
      <c r="N183" s="397"/>
      <c r="O183" s="397"/>
      <c r="P183" s="397"/>
      <c r="Q183" s="398"/>
    </row>
    <row r="184" spans="1:17" ht="43.5" customHeight="1" x14ac:dyDescent="0.25">
      <c r="A184" s="115" t="s">
        <v>416</v>
      </c>
      <c r="B184" s="857"/>
      <c r="C184" s="863"/>
      <c r="D184" s="861"/>
      <c r="E184" s="863"/>
      <c r="F184" s="865"/>
      <c r="G184" s="865"/>
      <c r="H184" s="1073"/>
      <c r="I184" s="400" t="str">
        <f>IF('Mapa final SI'!AC187="","",'Mapa final SI'!AC187)</f>
        <v/>
      </c>
      <c r="J184" s="400" t="str">
        <f>IF('Mapa final SI'!AE187="","",'Mapa final SI'!AE187)</f>
        <v/>
      </c>
      <c r="K184" s="400" t="str">
        <f t="shared" si="2"/>
        <v/>
      </c>
      <c r="L184" s="400" t="str">
        <f>IF('Mapa final SI'!AH187="","",'Mapa final SI'!AH187)</f>
        <v/>
      </c>
      <c r="M184" s="339" t="str">
        <f>IF('Mapa final SI'!T187="","",'Mapa final SI'!T187)</f>
        <v/>
      </c>
      <c r="N184" s="397"/>
      <c r="O184" s="397"/>
      <c r="P184" s="397"/>
      <c r="Q184" s="398"/>
    </row>
    <row r="185" spans="1:17" ht="43.5" customHeight="1" x14ac:dyDescent="0.25">
      <c r="A185" s="115" t="s">
        <v>417</v>
      </c>
      <c r="B185" s="857"/>
      <c r="C185" s="863"/>
      <c r="D185" s="861"/>
      <c r="E185" s="863"/>
      <c r="F185" s="865"/>
      <c r="G185" s="865"/>
      <c r="H185" s="1073"/>
      <c r="I185" s="400" t="str">
        <f>IF('Mapa final SI'!AC188="","",'Mapa final SI'!AC188)</f>
        <v/>
      </c>
      <c r="J185" s="400" t="str">
        <f>IF('Mapa final SI'!AE188="","",'Mapa final SI'!AE188)</f>
        <v/>
      </c>
      <c r="K185" s="400" t="str">
        <f t="shared" si="2"/>
        <v/>
      </c>
      <c r="L185" s="400" t="str">
        <f>IF('Mapa final SI'!AH188="","",'Mapa final SI'!AH188)</f>
        <v/>
      </c>
      <c r="M185" s="339" t="str">
        <f>IF('Mapa final SI'!T188="","",'Mapa final SI'!T188)</f>
        <v/>
      </c>
      <c r="N185" s="397"/>
      <c r="O185" s="397"/>
      <c r="P185" s="397"/>
      <c r="Q185" s="398"/>
    </row>
    <row r="186" spans="1:17" ht="43.5" customHeight="1" x14ac:dyDescent="0.25">
      <c r="A186" s="115" t="s">
        <v>418</v>
      </c>
      <c r="B186" s="857"/>
      <c r="C186" s="863"/>
      <c r="D186" s="861"/>
      <c r="E186" s="863"/>
      <c r="F186" s="865"/>
      <c r="G186" s="865"/>
      <c r="H186" s="866"/>
      <c r="I186" s="400" t="str">
        <f>IF('Mapa final SI'!AC189="","",'Mapa final SI'!AC189)</f>
        <v/>
      </c>
      <c r="J186" s="400" t="str">
        <f>IF('Mapa final SI'!AE189="","",'Mapa final SI'!AE189)</f>
        <v/>
      </c>
      <c r="K186" s="400" t="str">
        <f t="shared" si="2"/>
        <v/>
      </c>
      <c r="L186" s="400" t="str">
        <f>IF('Mapa final SI'!AH189="","",'Mapa final SI'!AH189)</f>
        <v/>
      </c>
      <c r="M186" s="339" t="str">
        <f>IF('Mapa final SI'!T189="","",'Mapa final SI'!T189)</f>
        <v/>
      </c>
      <c r="N186" s="397"/>
      <c r="O186" s="397"/>
      <c r="P186" s="397"/>
      <c r="Q186" s="398"/>
    </row>
    <row r="187" spans="1:17" ht="43.5" customHeight="1" x14ac:dyDescent="0.25">
      <c r="A187" s="115" t="s">
        <v>419</v>
      </c>
      <c r="B187" s="856"/>
      <c r="C187" s="862" t="str">
        <f>IF('Mapa final SI'!G190="","",'Mapa final SI'!G190)</f>
        <v/>
      </c>
      <c r="D187" s="860"/>
      <c r="E187" s="862" t="str">
        <f>IF('Mapa final SI'!F190="","",'Mapa final SI'!F190)</f>
        <v/>
      </c>
      <c r="F187" s="864" t="str">
        <f>IF('Mapa final SI'!L190="","",'Mapa final SI'!L190)</f>
        <v/>
      </c>
      <c r="G187" s="864" t="str">
        <f>IF('Mapa final SI'!P190="","",'Mapa final SI'!P190)</f>
        <v/>
      </c>
      <c r="H187" s="107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0" t="str">
        <f>IF('Mapa final SI'!AC190="","",'Mapa final SI'!AC190)</f>
        <v/>
      </c>
      <c r="J187" s="400" t="str">
        <f>IF('Mapa final SI'!AE190="","",'Mapa final SI'!AE190)</f>
        <v/>
      </c>
      <c r="K187" s="400" t="str">
        <f t="shared" si="2"/>
        <v/>
      </c>
      <c r="L187" s="400" t="str">
        <f>IF('Mapa final SI'!AH190="","",'Mapa final SI'!AH190)</f>
        <v/>
      </c>
      <c r="M187" s="339" t="str">
        <f>IF('Mapa final SI'!T190="","",'Mapa final SI'!T190)</f>
        <v/>
      </c>
      <c r="N187" s="397"/>
      <c r="O187" s="397"/>
      <c r="P187" s="397"/>
      <c r="Q187" s="398"/>
    </row>
    <row r="188" spans="1:17" ht="43.5" customHeight="1" x14ac:dyDescent="0.25">
      <c r="A188" s="115" t="s">
        <v>420</v>
      </c>
      <c r="B188" s="857"/>
      <c r="C188" s="863"/>
      <c r="D188" s="861"/>
      <c r="E188" s="863"/>
      <c r="F188" s="865"/>
      <c r="G188" s="865"/>
      <c r="H188" s="1073"/>
      <c r="I188" s="400" t="str">
        <f>IF('Mapa final SI'!AC191="","",'Mapa final SI'!AC191)</f>
        <v/>
      </c>
      <c r="J188" s="400" t="str">
        <f>IF('Mapa final SI'!AE191="","",'Mapa final SI'!AE191)</f>
        <v/>
      </c>
      <c r="K188" s="400" t="str">
        <f t="shared" si="2"/>
        <v/>
      </c>
      <c r="L188" s="400" t="str">
        <f>IF('Mapa final SI'!AH191="","",'Mapa final SI'!AH191)</f>
        <v/>
      </c>
      <c r="M188" s="339" t="str">
        <f>IF('Mapa final SI'!T191="","",'Mapa final SI'!T191)</f>
        <v/>
      </c>
      <c r="N188" s="397"/>
      <c r="O188" s="397"/>
      <c r="P188" s="397"/>
      <c r="Q188" s="398"/>
    </row>
    <row r="189" spans="1:17" ht="43.5" customHeight="1" x14ac:dyDescent="0.25">
      <c r="A189" s="115" t="s">
        <v>421</v>
      </c>
      <c r="B189" s="857"/>
      <c r="C189" s="863"/>
      <c r="D189" s="861"/>
      <c r="E189" s="863"/>
      <c r="F189" s="865"/>
      <c r="G189" s="865"/>
      <c r="H189" s="1073"/>
      <c r="I189" s="400" t="str">
        <f>IF('Mapa final SI'!AC192="","",'Mapa final SI'!AC192)</f>
        <v/>
      </c>
      <c r="J189" s="400" t="str">
        <f>IF('Mapa final SI'!AE192="","",'Mapa final SI'!AE192)</f>
        <v/>
      </c>
      <c r="K189" s="400" t="str">
        <f t="shared" si="2"/>
        <v/>
      </c>
      <c r="L189" s="400" t="str">
        <f>IF('Mapa final SI'!AH192="","",'Mapa final SI'!AH192)</f>
        <v/>
      </c>
      <c r="M189" s="339" t="str">
        <f>IF('Mapa final SI'!T192="","",'Mapa final SI'!T192)</f>
        <v/>
      </c>
      <c r="N189" s="397"/>
      <c r="O189" s="397"/>
      <c r="P189" s="397"/>
      <c r="Q189" s="398"/>
    </row>
    <row r="190" spans="1:17" ht="43.5" customHeight="1" x14ac:dyDescent="0.25">
      <c r="A190" s="115" t="s">
        <v>422</v>
      </c>
      <c r="B190" s="857"/>
      <c r="C190" s="863"/>
      <c r="D190" s="861"/>
      <c r="E190" s="863"/>
      <c r="F190" s="865"/>
      <c r="G190" s="865"/>
      <c r="H190" s="1073"/>
      <c r="I190" s="400" t="str">
        <f>IF('Mapa final SI'!AC193="","",'Mapa final SI'!AC193)</f>
        <v/>
      </c>
      <c r="J190" s="400" t="str">
        <f>IF('Mapa final SI'!AE193="","",'Mapa final SI'!AE193)</f>
        <v/>
      </c>
      <c r="K190" s="400" t="str">
        <f t="shared" si="2"/>
        <v/>
      </c>
      <c r="L190" s="400" t="str">
        <f>IF('Mapa final SI'!AH193="","",'Mapa final SI'!AH193)</f>
        <v/>
      </c>
      <c r="M190" s="339" t="str">
        <f>IF('Mapa final SI'!T193="","",'Mapa final SI'!T193)</f>
        <v/>
      </c>
      <c r="N190" s="397"/>
      <c r="O190" s="397"/>
      <c r="P190" s="397"/>
      <c r="Q190" s="398"/>
    </row>
    <row r="191" spans="1:17" ht="43.5" customHeight="1" x14ac:dyDescent="0.25">
      <c r="A191" s="115" t="s">
        <v>423</v>
      </c>
      <c r="B191" s="857"/>
      <c r="C191" s="863"/>
      <c r="D191" s="861"/>
      <c r="E191" s="863"/>
      <c r="F191" s="865"/>
      <c r="G191" s="865"/>
      <c r="H191" s="1073"/>
      <c r="I191" s="400" t="str">
        <f>IF('Mapa final SI'!AC194="","",'Mapa final SI'!AC194)</f>
        <v/>
      </c>
      <c r="J191" s="400" t="str">
        <f>IF('Mapa final SI'!AE194="","",'Mapa final SI'!AE194)</f>
        <v/>
      </c>
      <c r="K191" s="400" t="str">
        <f t="shared" si="2"/>
        <v/>
      </c>
      <c r="L191" s="400" t="str">
        <f>IF('Mapa final SI'!AH194="","",'Mapa final SI'!AH194)</f>
        <v/>
      </c>
      <c r="M191" s="339" t="str">
        <f>IF('Mapa final SI'!T194="","",'Mapa final SI'!T194)</f>
        <v/>
      </c>
      <c r="N191" s="397"/>
      <c r="O191" s="397"/>
      <c r="P191" s="397"/>
      <c r="Q191" s="398"/>
    </row>
    <row r="192" spans="1:17" ht="43.5" customHeight="1" x14ac:dyDescent="0.25">
      <c r="A192" s="115" t="s">
        <v>424</v>
      </c>
      <c r="B192" s="857"/>
      <c r="C192" s="863"/>
      <c r="D192" s="861"/>
      <c r="E192" s="863"/>
      <c r="F192" s="865"/>
      <c r="G192" s="865"/>
      <c r="H192" s="866"/>
      <c r="I192" s="400" t="str">
        <f>IF('Mapa final SI'!AC195="","",'Mapa final SI'!AC195)</f>
        <v/>
      </c>
      <c r="J192" s="400" t="str">
        <f>IF('Mapa final SI'!AE195="","",'Mapa final SI'!AE195)</f>
        <v/>
      </c>
      <c r="K192" s="400" t="str">
        <f t="shared" si="2"/>
        <v/>
      </c>
      <c r="L192" s="400" t="str">
        <f>IF('Mapa final SI'!AH195="","",'Mapa final SI'!AH195)</f>
        <v/>
      </c>
      <c r="M192" s="339" t="str">
        <f>IF('Mapa final SI'!T195="","",'Mapa final SI'!T195)</f>
        <v/>
      </c>
      <c r="N192" s="397"/>
      <c r="O192" s="397"/>
      <c r="P192" s="397"/>
      <c r="Q192" s="398"/>
    </row>
    <row r="193" spans="1:17" ht="43.5" customHeight="1" x14ac:dyDescent="0.25">
      <c r="A193" s="115" t="s">
        <v>425</v>
      </c>
      <c r="B193" s="856"/>
      <c r="C193" s="862" t="str">
        <f>IF('Mapa final SI'!G196="","",'Mapa final SI'!G196)</f>
        <v/>
      </c>
      <c r="D193" s="860"/>
      <c r="E193" s="862" t="str">
        <f>IF('Mapa final SI'!F196="","",'Mapa final SI'!F196)</f>
        <v/>
      </c>
      <c r="F193" s="864" t="str">
        <f>IF('Mapa final SI'!L196="","",'Mapa final SI'!L196)</f>
        <v/>
      </c>
      <c r="G193" s="864" t="str">
        <f>IF('Mapa final SI'!P196="","",'Mapa final SI'!P196)</f>
        <v/>
      </c>
      <c r="H193" s="107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0" t="str">
        <f>IF('Mapa final SI'!AC196="","",'Mapa final SI'!AC196)</f>
        <v/>
      </c>
      <c r="J193" s="400" t="str">
        <f>IF('Mapa final SI'!AE196="","",'Mapa final SI'!AE196)</f>
        <v/>
      </c>
      <c r="K193" s="400" t="str">
        <f t="shared" si="2"/>
        <v/>
      </c>
      <c r="L193" s="400" t="str">
        <f>IF('Mapa final SI'!AH196="","",'Mapa final SI'!AH196)</f>
        <v/>
      </c>
      <c r="M193" s="339" t="str">
        <f>IF('Mapa final SI'!T196="","",'Mapa final SI'!T196)</f>
        <v/>
      </c>
      <c r="N193" s="397"/>
      <c r="O193" s="397"/>
      <c r="P193" s="397"/>
      <c r="Q193" s="398"/>
    </row>
    <row r="194" spans="1:17" ht="43.5" customHeight="1" x14ac:dyDescent="0.25">
      <c r="A194" s="115" t="s">
        <v>426</v>
      </c>
      <c r="B194" s="857"/>
      <c r="C194" s="863"/>
      <c r="D194" s="861"/>
      <c r="E194" s="863"/>
      <c r="F194" s="865"/>
      <c r="G194" s="865"/>
      <c r="H194" s="1073"/>
      <c r="I194" s="400" t="str">
        <f>IF('Mapa final SI'!AC197="","",'Mapa final SI'!AC197)</f>
        <v/>
      </c>
      <c r="J194" s="400" t="str">
        <f>IF('Mapa final SI'!AE197="","",'Mapa final SI'!AE197)</f>
        <v/>
      </c>
      <c r="K194" s="400" t="str">
        <f t="shared" si="2"/>
        <v/>
      </c>
      <c r="L194" s="400" t="str">
        <f>IF('Mapa final SI'!AH197="","",'Mapa final SI'!AH197)</f>
        <v/>
      </c>
      <c r="M194" s="339" t="str">
        <f>IF('Mapa final SI'!T197="","",'Mapa final SI'!T197)</f>
        <v/>
      </c>
      <c r="N194" s="397"/>
      <c r="O194" s="397"/>
      <c r="P194" s="397"/>
      <c r="Q194" s="398"/>
    </row>
    <row r="195" spans="1:17" ht="43.5" customHeight="1" x14ac:dyDescent="0.25">
      <c r="A195" s="115" t="s">
        <v>427</v>
      </c>
      <c r="B195" s="857"/>
      <c r="C195" s="863"/>
      <c r="D195" s="861"/>
      <c r="E195" s="863"/>
      <c r="F195" s="865"/>
      <c r="G195" s="865"/>
      <c r="H195" s="1073"/>
      <c r="I195" s="400" t="str">
        <f>IF('Mapa final SI'!AC198="","",'Mapa final SI'!AC198)</f>
        <v/>
      </c>
      <c r="J195" s="400" t="str">
        <f>IF('Mapa final SI'!AE198="","",'Mapa final SI'!AE198)</f>
        <v/>
      </c>
      <c r="K195" s="400" t="str">
        <f t="shared" si="2"/>
        <v/>
      </c>
      <c r="L195" s="400" t="str">
        <f>IF('Mapa final SI'!AH198="","",'Mapa final SI'!AH198)</f>
        <v/>
      </c>
      <c r="M195" s="339" t="str">
        <f>IF('Mapa final SI'!T198="","",'Mapa final SI'!T198)</f>
        <v/>
      </c>
      <c r="N195" s="397"/>
      <c r="O195" s="397"/>
      <c r="P195" s="397"/>
      <c r="Q195" s="398"/>
    </row>
    <row r="196" spans="1:17" ht="43.5" customHeight="1" x14ac:dyDescent="0.25">
      <c r="A196" s="115" t="s">
        <v>428</v>
      </c>
      <c r="B196" s="857"/>
      <c r="C196" s="863"/>
      <c r="D196" s="861"/>
      <c r="E196" s="863"/>
      <c r="F196" s="865"/>
      <c r="G196" s="865"/>
      <c r="H196" s="1073"/>
      <c r="I196" s="400" t="str">
        <f>IF('Mapa final SI'!AC199="","",'Mapa final SI'!AC199)</f>
        <v/>
      </c>
      <c r="J196" s="400" t="str">
        <f>IF('Mapa final SI'!AE199="","",'Mapa final SI'!AE199)</f>
        <v/>
      </c>
      <c r="K196" s="400" t="str">
        <f t="shared" si="2"/>
        <v/>
      </c>
      <c r="L196" s="400" t="str">
        <f>IF('Mapa final SI'!AH199="","",'Mapa final SI'!AH199)</f>
        <v/>
      </c>
      <c r="M196" s="339" t="str">
        <f>IF('Mapa final SI'!T199="","",'Mapa final SI'!T199)</f>
        <v/>
      </c>
      <c r="N196" s="397"/>
      <c r="O196" s="397"/>
      <c r="P196" s="397"/>
      <c r="Q196" s="398"/>
    </row>
    <row r="197" spans="1:17" ht="43.5" customHeight="1" x14ac:dyDescent="0.25">
      <c r="A197" s="115" t="s">
        <v>429</v>
      </c>
      <c r="B197" s="857"/>
      <c r="C197" s="863"/>
      <c r="D197" s="861"/>
      <c r="E197" s="863"/>
      <c r="F197" s="865"/>
      <c r="G197" s="865"/>
      <c r="H197" s="1073"/>
      <c r="I197" s="400" t="str">
        <f>IF('Mapa final SI'!AC200="","",'Mapa final SI'!AC200)</f>
        <v/>
      </c>
      <c r="J197" s="400" t="str">
        <f>IF('Mapa final SI'!AE200="","",'Mapa final SI'!AE200)</f>
        <v/>
      </c>
      <c r="K197" s="400" t="str">
        <f t="shared" si="2"/>
        <v/>
      </c>
      <c r="L197" s="400" t="str">
        <f>IF('Mapa final SI'!AH200="","",'Mapa final SI'!AH200)</f>
        <v/>
      </c>
      <c r="M197" s="339" t="str">
        <f>IF('Mapa final SI'!T200="","",'Mapa final SI'!T200)</f>
        <v/>
      </c>
      <c r="N197" s="397"/>
      <c r="O197" s="397"/>
      <c r="P197" s="397"/>
      <c r="Q197" s="398"/>
    </row>
    <row r="198" spans="1:17" ht="43.5" customHeight="1" x14ac:dyDescent="0.25">
      <c r="A198" s="115" t="s">
        <v>430</v>
      </c>
      <c r="B198" s="857"/>
      <c r="C198" s="863"/>
      <c r="D198" s="861"/>
      <c r="E198" s="863"/>
      <c r="F198" s="865"/>
      <c r="G198" s="865"/>
      <c r="H198" s="866"/>
      <c r="I198" s="400" t="str">
        <f>IF('Mapa final SI'!AC201="","",'Mapa final SI'!AC201)</f>
        <v/>
      </c>
      <c r="J198" s="400" t="str">
        <f>IF('Mapa final SI'!AE201="","",'Mapa final SI'!AE201)</f>
        <v/>
      </c>
      <c r="K198" s="400" t="str">
        <f t="shared" si="2"/>
        <v/>
      </c>
      <c r="L198" s="400" t="str">
        <f>IF('Mapa final SI'!AH201="","",'Mapa final SI'!AH201)</f>
        <v/>
      </c>
      <c r="M198" s="339" t="str">
        <f>IF('Mapa final SI'!T201="","",'Mapa final SI'!T201)</f>
        <v/>
      </c>
      <c r="N198" s="397"/>
      <c r="O198" s="397"/>
      <c r="P198" s="397"/>
      <c r="Q198" s="398"/>
    </row>
    <row r="199" spans="1:17" ht="43.5" customHeight="1" x14ac:dyDescent="0.25">
      <c r="A199" s="115" t="s">
        <v>431</v>
      </c>
      <c r="B199" s="856"/>
      <c r="C199" s="862" t="str">
        <f>IF('Mapa final SI'!G202="","",'Mapa final SI'!G202)</f>
        <v/>
      </c>
      <c r="D199" s="860"/>
      <c r="E199" s="862" t="str">
        <f>IF('Mapa final SI'!F202="","",'Mapa final SI'!F202)</f>
        <v/>
      </c>
      <c r="F199" s="864" t="str">
        <f>IF('Mapa final SI'!L202="","",'Mapa final SI'!L202)</f>
        <v/>
      </c>
      <c r="G199" s="864" t="str">
        <f>IF('Mapa final SI'!P202="","",'Mapa final SI'!P202)</f>
        <v/>
      </c>
      <c r="H199" s="107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0" t="str">
        <f>IF('Mapa final SI'!AC202="","",'Mapa final SI'!AC202)</f>
        <v/>
      </c>
      <c r="J199" s="400" t="str">
        <f>IF('Mapa final SI'!AE202="","",'Mapa final SI'!AE202)</f>
        <v/>
      </c>
      <c r="K199" s="400" t="str">
        <f t="shared" si="2"/>
        <v/>
      </c>
      <c r="L199" s="400" t="str">
        <f>IF('Mapa final SI'!AH202="","",'Mapa final SI'!AH202)</f>
        <v/>
      </c>
      <c r="M199" s="339" t="str">
        <f>IF('Mapa final SI'!T202="","",'Mapa final SI'!T202)</f>
        <v/>
      </c>
      <c r="N199" s="397"/>
      <c r="O199" s="397"/>
      <c r="P199" s="397"/>
      <c r="Q199" s="398"/>
    </row>
    <row r="200" spans="1:17" ht="43.5" customHeight="1" x14ac:dyDescent="0.25">
      <c r="A200" s="115" t="s">
        <v>432</v>
      </c>
      <c r="B200" s="857"/>
      <c r="C200" s="863"/>
      <c r="D200" s="861"/>
      <c r="E200" s="863"/>
      <c r="F200" s="865"/>
      <c r="G200" s="865"/>
      <c r="H200" s="1073"/>
      <c r="I200" s="400" t="str">
        <f>IF('Mapa final SI'!AC203="","",'Mapa final SI'!AC203)</f>
        <v/>
      </c>
      <c r="J200" s="400" t="str">
        <f>IF('Mapa final SI'!AE203="","",'Mapa final SI'!AE203)</f>
        <v/>
      </c>
      <c r="K200" s="40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0" t="str">
        <f>IF('Mapa final SI'!AH203="","",'Mapa final SI'!AH203)</f>
        <v/>
      </c>
      <c r="M200" s="339" t="str">
        <f>IF('Mapa final SI'!T203="","",'Mapa final SI'!T203)</f>
        <v/>
      </c>
      <c r="N200" s="397"/>
      <c r="O200" s="397"/>
      <c r="P200" s="397"/>
      <c r="Q200" s="398"/>
    </row>
    <row r="201" spans="1:17" ht="43.5" customHeight="1" x14ac:dyDescent="0.25">
      <c r="A201" s="115" t="s">
        <v>433</v>
      </c>
      <c r="B201" s="857"/>
      <c r="C201" s="863"/>
      <c r="D201" s="861"/>
      <c r="E201" s="863"/>
      <c r="F201" s="865"/>
      <c r="G201" s="865"/>
      <c r="H201" s="1073"/>
      <c r="I201" s="400" t="str">
        <f>IF('Mapa final SI'!AC204="","",'Mapa final SI'!AC204)</f>
        <v/>
      </c>
      <c r="J201" s="400" t="str">
        <f>IF('Mapa final SI'!AE204="","",'Mapa final SI'!AE204)</f>
        <v/>
      </c>
      <c r="K201" s="400" t="str">
        <f t="shared" si="3"/>
        <v/>
      </c>
      <c r="L201" s="400" t="str">
        <f>IF('Mapa final SI'!AH204="","",'Mapa final SI'!AH204)</f>
        <v/>
      </c>
      <c r="M201" s="339" t="str">
        <f>IF('Mapa final SI'!T204="","",'Mapa final SI'!T204)</f>
        <v/>
      </c>
      <c r="N201" s="397"/>
      <c r="O201" s="397"/>
      <c r="P201" s="397"/>
      <c r="Q201" s="398"/>
    </row>
    <row r="202" spans="1:17" ht="43.5" customHeight="1" x14ac:dyDescent="0.25">
      <c r="A202" s="115" t="s">
        <v>434</v>
      </c>
      <c r="B202" s="857"/>
      <c r="C202" s="863"/>
      <c r="D202" s="861"/>
      <c r="E202" s="863"/>
      <c r="F202" s="865"/>
      <c r="G202" s="865"/>
      <c r="H202" s="1073"/>
      <c r="I202" s="400" t="str">
        <f>IF('Mapa final SI'!AC205="","",'Mapa final SI'!AC205)</f>
        <v/>
      </c>
      <c r="J202" s="400" t="str">
        <f>IF('Mapa final SI'!AE205="","",'Mapa final SI'!AE205)</f>
        <v/>
      </c>
      <c r="K202" s="400" t="str">
        <f t="shared" si="3"/>
        <v/>
      </c>
      <c r="L202" s="400" t="str">
        <f>IF('Mapa final SI'!AH205="","",'Mapa final SI'!AH205)</f>
        <v/>
      </c>
      <c r="M202" s="339" t="str">
        <f>IF('Mapa final SI'!T205="","",'Mapa final SI'!T205)</f>
        <v/>
      </c>
      <c r="N202" s="397"/>
      <c r="O202" s="397"/>
      <c r="P202" s="397"/>
      <c r="Q202" s="398"/>
    </row>
    <row r="203" spans="1:17" ht="43.5" customHeight="1" x14ac:dyDescent="0.25">
      <c r="A203" s="115" t="s">
        <v>435</v>
      </c>
      <c r="B203" s="857"/>
      <c r="C203" s="863"/>
      <c r="D203" s="861"/>
      <c r="E203" s="863"/>
      <c r="F203" s="865"/>
      <c r="G203" s="865"/>
      <c r="H203" s="1073"/>
      <c r="I203" s="400" t="str">
        <f>IF('Mapa final SI'!AC206="","",'Mapa final SI'!AC206)</f>
        <v/>
      </c>
      <c r="J203" s="400" t="str">
        <f>IF('Mapa final SI'!AE206="","",'Mapa final SI'!AE206)</f>
        <v/>
      </c>
      <c r="K203" s="400" t="str">
        <f t="shared" si="3"/>
        <v/>
      </c>
      <c r="L203" s="400" t="str">
        <f>IF('Mapa final SI'!AH206="","",'Mapa final SI'!AH206)</f>
        <v/>
      </c>
      <c r="M203" s="339" t="str">
        <f>IF('Mapa final SI'!T206="","",'Mapa final SI'!T206)</f>
        <v/>
      </c>
      <c r="N203" s="397"/>
      <c r="O203" s="397"/>
      <c r="P203" s="397"/>
      <c r="Q203" s="398"/>
    </row>
    <row r="204" spans="1:17" ht="43.5" customHeight="1" x14ac:dyDescent="0.25">
      <c r="A204" s="115" t="s">
        <v>436</v>
      </c>
      <c r="B204" s="857"/>
      <c r="C204" s="863"/>
      <c r="D204" s="861"/>
      <c r="E204" s="863"/>
      <c r="F204" s="865"/>
      <c r="G204" s="865"/>
      <c r="H204" s="866"/>
      <c r="I204" s="400" t="str">
        <f>IF('Mapa final SI'!AC207="","",'Mapa final SI'!AC207)</f>
        <v/>
      </c>
      <c r="J204" s="400" t="str">
        <f>IF('Mapa final SI'!AE207="","",'Mapa final SI'!AE207)</f>
        <v/>
      </c>
      <c r="K204" s="400" t="str">
        <f t="shared" si="3"/>
        <v/>
      </c>
      <c r="L204" s="400" t="str">
        <f>IF('Mapa final SI'!AH207="","",'Mapa final SI'!AH207)</f>
        <v/>
      </c>
      <c r="M204" s="339" t="str">
        <f>IF('Mapa final SI'!T207="","",'Mapa final SI'!T207)</f>
        <v/>
      </c>
      <c r="N204" s="397"/>
      <c r="O204" s="397"/>
      <c r="P204" s="397"/>
      <c r="Q204" s="398"/>
    </row>
    <row r="205" spans="1:17" ht="43.5" customHeight="1" x14ac:dyDescent="0.25">
      <c r="A205" s="115" t="s">
        <v>437</v>
      </c>
      <c r="B205" s="856"/>
      <c r="C205" s="862" t="str">
        <f>IF('Mapa final SI'!G208="","",'Mapa final SI'!G208)</f>
        <v/>
      </c>
      <c r="D205" s="860"/>
      <c r="E205" s="862" t="str">
        <f>IF('Mapa final SI'!F208="","",'Mapa final SI'!F208)</f>
        <v/>
      </c>
      <c r="F205" s="864" t="str">
        <f>IF('Mapa final SI'!L208="","",'Mapa final SI'!L208)</f>
        <v/>
      </c>
      <c r="G205" s="864" t="str">
        <f>IF('Mapa final SI'!P208="","",'Mapa final SI'!P208)</f>
        <v/>
      </c>
      <c r="H205" s="107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0" t="str">
        <f>IF('Mapa final SI'!AC208="","",'Mapa final SI'!AC208)</f>
        <v/>
      </c>
      <c r="J205" s="400" t="str">
        <f>IF('Mapa final SI'!AE208="","",'Mapa final SI'!AE208)</f>
        <v/>
      </c>
      <c r="K205" s="400" t="str">
        <f t="shared" si="3"/>
        <v/>
      </c>
      <c r="L205" s="400" t="str">
        <f>IF('Mapa final SI'!AH208="","",'Mapa final SI'!AH208)</f>
        <v/>
      </c>
      <c r="M205" s="339" t="str">
        <f>IF('Mapa final SI'!T208="","",'Mapa final SI'!T208)</f>
        <v/>
      </c>
      <c r="N205" s="397"/>
      <c r="O205" s="397"/>
      <c r="P205" s="397"/>
      <c r="Q205" s="398"/>
    </row>
    <row r="206" spans="1:17" ht="43.5" customHeight="1" x14ac:dyDescent="0.25">
      <c r="A206" s="115" t="s">
        <v>438</v>
      </c>
      <c r="B206" s="857"/>
      <c r="C206" s="863"/>
      <c r="D206" s="861"/>
      <c r="E206" s="863"/>
      <c r="F206" s="865"/>
      <c r="G206" s="865"/>
      <c r="H206" s="1073"/>
      <c r="I206" s="400" t="str">
        <f>IF('Mapa final SI'!AC209="","",'Mapa final SI'!AC209)</f>
        <v/>
      </c>
      <c r="J206" s="400" t="str">
        <f>IF('Mapa final SI'!AE209="","",'Mapa final SI'!AE209)</f>
        <v/>
      </c>
      <c r="K206" s="400" t="str">
        <f t="shared" si="3"/>
        <v/>
      </c>
      <c r="L206" s="400" t="str">
        <f>IF('Mapa final SI'!AH209="","",'Mapa final SI'!AH209)</f>
        <v/>
      </c>
      <c r="M206" s="339" t="str">
        <f>IF('Mapa final SI'!T209="","",'Mapa final SI'!T209)</f>
        <v/>
      </c>
      <c r="N206" s="397"/>
      <c r="O206" s="397"/>
      <c r="P206" s="397"/>
      <c r="Q206" s="398"/>
    </row>
    <row r="207" spans="1:17" ht="43.5" customHeight="1" x14ac:dyDescent="0.25">
      <c r="A207" s="115" t="s">
        <v>439</v>
      </c>
      <c r="B207" s="857"/>
      <c r="C207" s="863"/>
      <c r="D207" s="861"/>
      <c r="E207" s="863"/>
      <c r="F207" s="865"/>
      <c r="G207" s="865"/>
      <c r="H207" s="1073"/>
      <c r="I207" s="400" t="str">
        <f>IF('Mapa final SI'!AC210="","",'Mapa final SI'!AC210)</f>
        <v/>
      </c>
      <c r="J207" s="400" t="str">
        <f>IF('Mapa final SI'!AE210="","",'Mapa final SI'!AE210)</f>
        <v/>
      </c>
      <c r="K207" s="400" t="str">
        <f t="shared" si="3"/>
        <v/>
      </c>
      <c r="L207" s="400" t="str">
        <f>IF('Mapa final SI'!AH210="","",'Mapa final SI'!AH210)</f>
        <v/>
      </c>
      <c r="M207" s="339" t="str">
        <f>IF('Mapa final SI'!T210="","",'Mapa final SI'!T210)</f>
        <v/>
      </c>
      <c r="N207" s="397"/>
      <c r="O207" s="397"/>
      <c r="P207" s="397"/>
      <c r="Q207" s="398"/>
    </row>
    <row r="208" spans="1:17" ht="43.5" customHeight="1" x14ac:dyDescent="0.25">
      <c r="A208" s="115" t="s">
        <v>440</v>
      </c>
      <c r="B208" s="857"/>
      <c r="C208" s="863"/>
      <c r="D208" s="861"/>
      <c r="E208" s="863"/>
      <c r="F208" s="865"/>
      <c r="G208" s="865"/>
      <c r="H208" s="1073"/>
      <c r="I208" s="400" t="str">
        <f>IF('Mapa final SI'!AC211="","",'Mapa final SI'!AC211)</f>
        <v/>
      </c>
      <c r="J208" s="400" t="str">
        <f>IF('Mapa final SI'!AE211="","",'Mapa final SI'!AE211)</f>
        <v/>
      </c>
      <c r="K208" s="400" t="str">
        <f t="shared" si="3"/>
        <v/>
      </c>
      <c r="L208" s="400" t="str">
        <f>IF('Mapa final SI'!AH211="","",'Mapa final SI'!AH211)</f>
        <v/>
      </c>
      <c r="M208" s="339" t="str">
        <f>IF('Mapa final SI'!T211="","",'Mapa final SI'!T211)</f>
        <v/>
      </c>
      <c r="N208" s="397"/>
      <c r="O208" s="397"/>
      <c r="P208" s="397"/>
      <c r="Q208" s="398"/>
    </row>
    <row r="209" spans="1:17" ht="43.5" customHeight="1" x14ac:dyDescent="0.25">
      <c r="A209" s="115" t="s">
        <v>441</v>
      </c>
      <c r="B209" s="857"/>
      <c r="C209" s="863"/>
      <c r="D209" s="861"/>
      <c r="E209" s="863"/>
      <c r="F209" s="865"/>
      <c r="G209" s="865"/>
      <c r="H209" s="1073"/>
      <c r="I209" s="400" t="str">
        <f>IF('Mapa final SI'!AC212="","",'Mapa final SI'!AC212)</f>
        <v/>
      </c>
      <c r="J209" s="400" t="str">
        <f>IF('Mapa final SI'!AE212="","",'Mapa final SI'!AE212)</f>
        <v/>
      </c>
      <c r="K209" s="400" t="str">
        <f t="shared" si="3"/>
        <v/>
      </c>
      <c r="L209" s="400" t="str">
        <f>IF('Mapa final SI'!AH212="","",'Mapa final SI'!AH212)</f>
        <v/>
      </c>
      <c r="M209" s="339" t="str">
        <f>IF('Mapa final SI'!T212="","",'Mapa final SI'!T212)</f>
        <v/>
      </c>
      <c r="N209" s="397"/>
      <c r="O209" s="397"/>
      <c r="P209" s="397"/>
      <c r="Q209" s="398"/>
    </row>
    <row r="210" spans="1:17" ht="43.5" customHeight="1" x14ac:dyDescent="0.25">
      <c r="A210" s="115" t="s">
        <v>442</v>
      </c>
      <c r="B210" s="857"/>
      <c r="C210" s="863"/>
      <c r="D210" s="861"/>
      <c r="E210" s="863"/>
      <c r="F210" s="865"/>
      <c r="G210" s="865"/>
      <c r="H210" s="866"/>
      <c r="I210" s="400" t="str">
        <f>IF('Mapa final SI'!AC213="","",'Mapa final SI'!AC213)</f>
        <v/>
      </c>
      <c r="J210" s="400" t="str">
        <f>IF('Mapa final SI'!AE213="","",'Mapa final SI'!AE213)</f>
        <v/>
      </c>
      <c r="K210" s="400" t="str">
        <f t="shared" si="3"/>
        <v/>
      </c>
      <c r="L210" s="400" t="str">
        <f>IF('Mapa final SI'!AH213="","",'Mapa final SI'!AH213)</f>
        <v/>
      </c>
      <c r="M210" s="339" t="str">
        <f>IF('Mapa final SI'!T213="","",'Mapa final SI'!T213)</f>
        <v/>
      </c>
      <c r="N210" s="397"/>
      <c r="O210" s="397"/>
      <c r="P210" s="397"/>
      <c r="Q210" s="398"/>
    </row>
    <row r="211" spans="1:17" ht="43.5" customHeight="1" x14ac:dyDescent="0.25">
      <c r="A211" s="115" t="s">
        <v>443</v>
      </c>
      <c r="B211" s="856"/>
      <c r="C211" s="862" t="str">
        <f>IF('Mapa final SI'!G214="","",'Mapa final SI'!G214)</f>
        <v/>
      </c>
      <c r="D211" s="860"/>
      <c r="E211" s="862" t="str">
        <f>IF('Mapa final SI'!F214="","",'Mapa final SI'!F214)</f>
        <v/>
      </c>
      <c r="F211" s="864" t="str">
        <f>IF('Mapa final SI'!L214="","",'Mapa final SI'!L214)</f>
        <v/>
      </c>
      <c r="G211" s="864" t="str">
        <f>IF('Mapa final SI'!P214="","",'Mapa final SI'!P214)</f>
        <v/>
      </c>
      <c r="H211" s="107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0" t="str">
        <f>IF('Mapa final SI'!AC214="","",'Mapa final SI'!AC214)</f>
        <v/>
      </c>
      <c r="J211" s="400" t="str">
        <f>IF('Mapa final SI'!AE214="","",'Mapa final SI'!AE214)</f>
        <v/>
      </c>
      <c r="K211" s="400" t="str">
        <f t="shared" si="3"/>
        <v/>
      </c>
      <c r="L211" s="400" t="str">
        <f>IF('Mapa final SI'!AH214="","",'Mapa final SI'!AH214)</f>
        <v/>
      </c>
      <c r="M211" s="339" t="str">
        <f>IF('Mapa final SI'!T214="","",'Mapa final SI'!T214)</f>
        <v/>
      </c>
      <c r="N211" s="397"/>
      <c r="O211" s="397"/>
      <c r="P211" s="397"/>
      <c r="Q211" s="398"/>
    </row>
    <row r="212" spans="1:17" ht="43.5" customHeight="1" x14ac:dyDescent="0.25">
      <c r="A212" s="115" t="s">
        <v>444</v>
      </c>
      <c r="B212" s="857"/>
      <c r="C212" s="863"/>
      <c r="D212" s="861"/>
      <c r="E212" s="863"/>
      <c r="F212" s="865"/>
      <c r="G212" s="865"/>
      <c r="H212" s="1073"/>
      <c r="I212" s="400" t="str">
        <f>IF('Mapa final SI'!AC215="","",'Mapa final SI'!AC215)</f>
        <v/>
      </c>
      <c r="J212" s="400" t="str">
        <f>IF('Mapa final SI'!AE215="","",'Mapa final SI'!AE215)</f>
        <v/>
      </c>
      <c r="K212" s="400" t="str">
        <f t="shared" si="3"/>
        <v/>
      </c>
      <c r="L212" s="400" t="str">
        <f>IF('Mapa final SI'!AH215="","",'Mapa final SI'!AH215)</f>
        <v/>
      </c>
      <c r="M212" s="339" t="str">
        <f>IF('Mapa final SI'!T215="","",'Mapa final SI'!T215)</f>
        <v/>
      </c>
      <c r="N212" s="397"/>
      <c r="O212" s="397"/>
      <c r="P212" s="397"/>
      <c r="Q212" s="398"/>
    </row>
    <row r="213" spans="1:17" ht="43.5" customHeight="1" x14ac:dyDescent="0.25">
      <c r="A213" s="115" t="s">
        <v>445</v>
      </c>
      <c r="B213" s="857"/>
      <c r="C213" s="863"/>
      <c r="D213" s="861"/>
      <c r="E213" s="863"/>
      <c r="F213" s="865"/>
      <c r="G213" s="865"/>
      <c r="H213" s="1073"/>
      <c r="I213" s="400" t="str">
        <f>IF('Mapa final SI'!AC216="","",'Mapa final SI'!AC216)</f>
        <v/>
      </c>
      <c r="J213" s="400" t="str">
        <f>IF('Mapa final SI'!AE216="","",'Mapa final SI'!AE216)</f>
        <v/>
      </c>
      <c r="K213" s="400" t="str">
        <f t="shared" si="3"/>
        <v/>
      </c>
      <c r="L213" s="400" t="str">
        <f>IF('Mapa final SI'!AH216="","",'Mapa final SI'!AH216)</f>
        <v/>
      </c>
      <c r="M213" s="339" t="str">
        <f>IF('Mapa final SI'!T216="","",'Mapa final SI'!T216)</f>
        <v/>
      </c>
      <c r="N213" s="397"/>
      <c r="O213" s="397"/>
      <c r="P213" s="397"/>
      <c r="Q213" s="398"/>
    </row>
    <row r="214" spans="1:17" ht="43.5" customHeight="1" x14ac:dyDescent="0.25">
      <c r="A214" s="115" t="s">
        <v>446</v>
      </c>
      <c r="B214" s="857"/>
      <c r="C214" s="863"/>
      <c r="D214" s="861"/>
      <c r="E214" s="863"/>
      <c r="F214" s="865"/>
      <c r="G214" s="865"/>
      <c r="H214" s="1073"/>
      <c r="I214" s="400" t="str">
        <f>IF('Mapa final SI'!AC217="","",'Mapa final SI'!AC217)</f>
        <v/>
      </c>
      <c r="J214" s="400" t="str">
        <f>IF('Mapa final SI'!AE217="","",'Mapa final SI'!AE217)</f>
        <v/>
      </c>
      <c r="K214" s="400" t="str">
        <f t="shared" si="3"/>
        <v/>
      </c>
      <c r="L214" s="400" t="str">
        <f>IF('Mapa final SI'!AH217="","",'Mapa final SI'!AH217)</f>
        <v/>
      </c>
      <c r="M214" s="339" t="str">
        <f>IF('Mapa final SI'!T217="","",'Mapa final SI'!T217)</f>
        <v/>
      </c>
      <c r="N214" s="397"/>
      <c r="O214" s="397"/>
      <c r="P214" s="397"/>
      <c r="Q214" s="398"/>
    </row>
    <row r="215" spans="1:17" ht="43.5" customHeight="1" x14ac:dyDescent="0.25">
      <c r="A215" s="115" t="s">
        <v>447</v>
      </c>
      <c r="B215" s="857"/>
      <c r="C215" s="863"/>
      <c r="D215" s="861"/>
      <c r="E215" s="863"/>
      <c r="F215" s="865"/>
      <c r="G215" s="865"/>
      <c r="H215" s="1073"/>
      <c r="I215" s="400" t="str">
        <f>IF('Mapa final SI'!AC218="","",'Mapa final SI'!AC218)</f>
        <v/>
      </c>
      <c r="J215" s="400" t="str">
        <f>IF('Mapa final SI'!AE218="","",'Mapa final SI'!AE218)</f>
        <v/>
      </c>
      <c r="K215" s="400" t="str">
        <f t="shared" si="3"/>
        <v/>
      </c>
      <c r="L215" s="400" t="str">
        <f>IF('Mapa final SI'!AH218="","",'Mapa final SI'!AH218)</f>
        <v/>
      </c>
      <c r="M215" s="339" t="str">
        <f>IF('Mapa final SI'!T218="","",'Mapa final SI'!T218)</f>
        <v/>
      </c>
      <c r="N215" s="397"/>
      <c r="O215" s="397"/>
      <c r="P215" s="397"/>
      <c r="Q215" s="398"/>
    </row>
    <row r="216" spans="1:17" ht="43.5" customHeight="1" x14ac:dyDescent="0.25">
      <c r="A216" s="115" t="s">
        <v>448</v>
      </c>
      <c r="B216" s="857"/>
      <c r="C216" s="863"/>
      <c r="D216" s="861"/>
      <c r="E216" s="863"/>
      <c r="F216" s="865"/>
      <c r="G216" s="865"/>
      <c r="H216" s="866"/>
      <c r="I216" s="400" t="str">
        <f>IF('Mapa final SI'!AC219="","",'Mapa final SI'!AC219)</f>
        <v/>
      </c>
      <c r="J216" s="400" t="str">
        <f>IF('Mapa final SI'!AE219="","",'Mapa final SI'!AE219)</f>
        <v/>
      </c>
      <c r="K216" s="400" t="str">
        <f t="shared" si="3"/>
        <v/>
      </c>
      <c r="L216" s="400" t="str">
        <f>IF('Mapa final SI'!AH219="","",'Mapa final SI'!AH219)</f>
        <v/>
      </c>
      <c r="M216" s="339" t="str">
        <f>IF('Mapa final SI'!T219="","",'Mapa final SI'!T219)</f>
        <v/>
      </c>
      <c r="N216" s="397"/>
      <c r="O216" s="397"/>
      <c r="P216" s="397"/>
      <c r="Q216" s="398"/>
    </row>
    <row r="217" spans="1:17" ht="43.5" customHeight="1" x14ac:dyDescent="0.25">
      <c r="A217" s="115" t="s">
        <v>449</v>
      </c>
      <c r="B217" s="856"/>
      <c r="C217" s="862" t="str">
        <f>IF('Mapa final SI'!G220="","",'Mapa final SI'!G220)</f>
        <v/>
      </c>
      <c r="D217" s="860"/>
      <c r="E217" s="862" t="str">
        <f>IF('Mapa final SI'!F220="","",'Mapa final SI'!F220)</f>
        <v/>
      </c>
      <c r="F217" s="864" t="str">
        <f>IF('Mapa final SI'!L220="","",'Mapa final SI'!L220)</f>
        <v/>
      </c>
      <c r="G217" s="864" t="str">
        <f>IF('Mapa final SI'!P220="","",'Mapa final SI'!P220)</f>
        <v/>
      </c>
      <c r="H217" s="107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0" t="str">
        <f>IF('Mapa final SI'!AC220="","",'Mapa final SI'!AC220)</f>
        <v/>
      </c>
      <c r="J217" s="400" t="str">
        <f>IF('Mapa final SI'!AE220="","",'Mapa final SI'!AE220)</f>
        <v/>
      </c>
      <c r="K217" s="400" t="str">
        <f t="shared" si="3"/>
        <v/>
      </c>
      <c r="L217" s="400" t="str">
        <f>IF('Mapa final SI'!AH220="","",'Mapa final SI'!AH220)</f>
        <v/>
      </c>
      <c r="M217" s="339" t="str">
        <f>IF('Mapa final SI'!T220="","",'Mapa final SI'!T220)</f>
        <v/>
      </c>
      <c r="N217" s="397"/>
      <c r="O217" s="397"/>
      <c r="P217" s="397"/>
      <c r="Q217" s="398"/>
    </row>
    <row r="218" spans="1:17" ht="43.5" customHeight="1" x14ac:dyDescent="0.25">
      <c r="A218" s="115" t="s">
        <v>450</v>
      </c>
      <c r="B218" s="857"/>
      <c r="C218" s="863"/>
      <c r="D218" s="861"/>
      <c r="E218" s="863"/>
      <c r="F218" s="865"/>
      <c r="G218" s="865"/>
      <c r="H218" s="1073"/>
      <c r="I218" s="400" t="str">
        <f>IF('Mapa final SI'!AC221="","",'Mapa final SI'!AC221)</f>
        <v/>
      </c>
      <c r="J218" s="400" t="str">
        <f>IF('Mapa final SI'!AE221="","",'Mapa final SI'!AE221)</f>
        <v/>
      </c>
      <c r="K218" s="400" t="str">
        <f t="shared" si="3"/>
        <v/>
      </c>
      <c r="L218" s="400" t="str">
        <f>IF('Mapa final SI'!AH221="","",'Mapa final SI'!AH221)</f>
        <v/>
      </c>
      <c r="M218" s="339" t="str">
        <f>IF('Mapa final SI'!T221="","",'Mapa final SI'!T221)</f>
        <v/>
      </c>
      <c r="N218" s="397"/>
      <c r="O218" s="397"/>
      <c r="P218" s="397"/>
      <c r="Q218" s="398"/>
    </row>
    <row r="219" spans="1:17" ht="43.5" customHeight="1" x14ac:dyDescent="0.25">
      <c r="A219" s="115" t="s">
        <v>451</v>
      </c>
      <c r="B219" s="857"/>
      <c r="C219" s="863"/>
      <c r="D219" s="861"/>
      <c r="E219" s="863"/>
      <c r="F219" s="865"/>
      <c r="G219" s="865"/>
      <c r="H219" s="1073"/>
      <c r="I219" s="400" t="str">
        <f>IF('Mapa final SI'!AC222="","",'Mapa final SI'!AC222)</f>
        <v/>
      </c>
      <c r="J219" s="400" t="str">
        <f>IF('Mapa final SI'!AE222="","",'Mapa final SI'!AE222)</f>
        <v/>
      </c>
      <c r="K219" s="400" t="str">
        <f t="shared" si="3"/>
        <v/>
      </c>
      <c r="L219" s="400" t="str">
        <f>IF('Mapa final SI'!AH222="","",'Mapa final SI'!AH222)</f>
        <v/>
      </c>
      <c r="M219" s="339" t="str">
        <f>IF('Mapa final SI'!T222="","",'Mapa final SI'!T222)</f>
        <v/>
      </c>
      <c r="N219" s="397"/>
      <c r="O219" s="397"/>
      <c r="P219" s="397"/>
      <c r="Q219" s="398"/>
    </row>
    <row r="220" spans="1:17" ht="43.5" customHeight="1" x14ac:dyDescent="0.25">
      <c r="A220" s="115" t="s">
        <v>452</v>
      </c>
      <c r="B220" s="857"/>
      <c r="C220" s="863"/>
      <c r="D220" s="861"/>
      <c r="E220" s="863"/>
      <c r="F220" s="865"/>
      <c r="G220" s="865"/>
      <c r="H220" s="1073"/>
      <c r="I220" s="400" t="str">
        <f>IF('Mapa final SI'!AC223="","",'Mapa final SI'!AC223)</f>
        <v/>
      </c>
      <c r="J220" s="400" t="str">
        <f>IF('Mapa final SI'!AE223="","",'Mapa final SI'!AE223)</f>
        <v/>
      </c>
      <c r="K220" s="400" t="str">
        <f t="shared" si="3"/>
        <v/>
      </c>
      <c r="L220" s="400" t="str">
        <f>IF('Mapa final SI'!AH223="","",'Mapa final SI'!AH223)</f>
        <v/>
      </c>
      <c r="M220" s="339" t="str">
        <f>IF('Mapa final SI'!T223="","",'Mapa final SI'!T223)</f>
        <v/>
      </c>
      <c r="N220" s="397"/>
      <c r="O220" s="397"/>
      <c r="P220" s="397"/>
      <c r="Q220" s="398"/>
    </row>
    <row r="221" spans="1:17" ht="43.5" customHeight="1" x14ac:dyDescent="0.25">
      <c r="A221" s="115" t="s">
        <v>453</v>
      </c>
      <c r="B221" s="857"/>
      <c r="C221" s="863"/>
      <c r="D221" s="861"/>
      <c r="E221" s="863"/>
      <c r="F221" s="865"/>
      <c r="G221" s="865"/>
      <c r="H221" s="1073"/>
      <c r="I221" s="400" t="str">
        <f>IF('Mapa final SI'!AC224="","",'Mapa final SI'!AC224)</f>
        <v/>
      </c>
      <c r="J221" s="400" t="str">
        <f>IF('Mapa final SI'!AE224="","",'Mapa final SI'!AE224)</f>
        <v/>
      </c>
      <c r="K221" s="400" t="str">
        <f t="shared" si="3"/>
        <v/>
      </c>
      <c r="L221" s="400" t="str">
        <f>IF('Mapa final SI'!AH224="","",'Mapa final SI'!AH224)</f>
        <v/>
      </c>
      <c r="M221" s="339" t="str">
        <f>IF('Mapa final SI'!T224="","",'Mapa final SI'!T224)</f>
        <v/>
      </c>
      <c r="N221" s="397"/>
      <c r="O221" s="397"/>
      <c r="P221" s="397"/>
      <c r="Q221" s="398"/>
    </row>
    <row r="222" spans="1:17" ht="43.5" customHeight="1" x14ac:dyDescent="0.25">
      <c r="A222" s="115" t="s">
        <v>454</v>
      </c>
      <c r="B222" s="857"/>
      <c r="C222" s="863"/>
      <c r="D222" s="861"/>
      <c r="E222" s="863"/>
      <c r="F222" s="865"/>
      <c r="G222" s="865"/>
      <c r="H222" s="866"/>
      <c r="I222" s="400" t="str">
        <f>IF('Mapa final SI'!AC225="","",'Mapa final SI'!AC225)</f>
        <v/>
      </c>
      <c r="J222" s="400" t="str">
        <f>IF('Mapa final SI'!AE225="","",'Mapa final SI'!AE225)</f>
        <v/>
      </c>
      <c r="K222" s="400" t="str">
        <f t="shared" si="3"/>
        <v/>
      </c>
      <c r="L222" s="400" t="str">
        <f>IF('Mapa final SI'!AH225="","",'Mapa final SI'!AH225)</f>
        <v/>
      </c>
      <c r="M222" s="339" t="str">
        <f>IF('Mapa final SI'!T225="","",'Mapa final SI'!T225)</f>
        <v/>
      </c>
      <c r="N222" s="397"/>
      <c r="O222" s="397"/>
      <c r="P222" s="397"/>
      <c r="Q222" s="398"/>
    </row>
    <row r="223" spans="1:17" ht="43.5" customHeight="1" x14ac:dyDescent="0.25">
      <c r="A223" s="115" t="s">
        <v>455</v>
      </c>
      <c r="B223" s="856"/>
      <c r="C223" s="862" t="str">
        <f>IF('Mapa final SI'!G226="","",'Mapa final SI'!G226)</f>
        <v/>
      </c>
      <c r="D223" s="860"/>
      <c r="E223" s="862" t="str">
        <f>IF('Mapa final SI'!F226="","",'Mapa final SI'!F226)</f>
        <v/>
      </c>
      <c r="F223" s="864" t="str">
        <f>IF('Mapa final SI'!L226="","",'Mapa final SI'!L226)</f>
        <v/>
      </c>
      <c r="G223" s="864" t="str">
        <f>IF('Mapa final SI'!P226="","",'Mapa final SI'!P226)</f>
        <v/>
      </c>
      <c r="H223" s="107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0" t="str">
        <f>IF('Mapa final SI'!AC226="","",'Mapa final SI'!AC226)</f>
        <v/>
      </c>
      <c r="J223" s="400" t="str">
        <f>IF('Mapa final SI'!AE226="","",'Mapa final SI'!AE226)</f>
        <v/>
      </c>
      <c r="K223" s="400" t="str">
        <f t="shared" si="3"/>
        <v/>
      </c>
      <c r="L223" s="400" t="str">
        <f>IF('Mapa final SI'!AH226="","",'Mapa final SI'!AH226)</f>
        <v/>
      </c>
      <c r="M223" s="339" t="str">
        <f>IF('Mapa final SI'!T226="","",'Mapa final SI'!T226)</f>
        <v/>
      </c>
      <c r="N223" s="397"/>
      <c r="O223" s="397"/>
      <c r="P223" s="397"/>
      <c r="Q223" s="398"/>
    </row>
    <row r="224" spans="1:17" ht="43.5" customHeight="1" x14ac:dyDescent="0.25">
      <c r="A224" s="115" t="s">
        <v>456</v>
      </c>
      <c r="B224" s="857"/>
      <c r="C224" s="863"/>
      <c r="D224" s="861"/>
      <c r="E224" s="863"/>
      <c r="F224" s="865"/>
      <c r="G224" s="865"/>
      <c r="H224" s="1073"/>
      <c r="I224" s="400" t="str">
        <f>IF('Mapa final SI'!AC227="","",'Mapa final SI'!AC227)</f>
        <v/>
      </c>
      <c r="J224" s="400" t="str">
        <f>IF('Mapa final SI'!AE227="","",'Mapa final SI'!AE227)</f>
        <v/>
      </c>
      <c r="K224" s="400" t="str">
        <f t="shared" si="3"/>
        <v/>
      </c>
      <c r="L224" s="400" t="str">
        <f>IF('Mapa final SI'!AH227="","",'Mapa final SI'!AH227)</f>
        <v/>
      </c>
      <c r="M224" s="339" t="str">
        <f>IF('Mapa final SI'!T227="","",'Mapa final SI'!T227)</f>
        <v/>
      </c>
      <c r="N224" s="397"/>
      <c r="O224" s="397"/>
      <c r="P224" s="397"/>
      <c r="Q224" s="398"/>
    </row>
    <row r="225" spans="1:17" ht="43.5" customHeight="1" x14ac:dyDescent="0.25">
      <c r="A225" s="115" t="s">
        <v>457</v>
      </c>
      <c r="B225" s="857"/>
      <c r="C225" s="863"/>
      <c r="D225" s="861"/>
      <c r="E225" s="863"/>
      <c r="F225" s="865"/>
      <c r="G225" s="865"/>
      <c r="H225" s="1073"/>
      <c r="I225" s="400" t="str">
        <f>IF('Mapa final SI'!AC228="","",'Mapa final SI'!AC228)</f>
        <v/>
      </c>
      <c r="J225" s="400" t="str">
        <f>IF('Mapa final SI'!AE228="","",'Mapa final SI'!AE228)</f>
        <v/>
      </c>
      <c r="K225" s="400" t="str">
        <f t="shared" si="3"/>
        <v/>
      </c>
      <c r="L225" s="400" t="str">
        <f>IF('Mapa final SI'!AH228="","",'Mapa final SI'!AH228)</f>
        <v/>
      </c>
      <c r="M225" s="339" t="str">
        <f>IF('Mapa final SI'!T228="","",'Mapa final SI'!T228)</f>
        <v/>
      </c>
      <c r="N225" s="397"/>
      <c r="O225" s="397"/>
      <c r="P225" s="397"/>
      <c r="Q225" s="398"/>
    </row>
    <row r="226" spans="1:17" ht="43.5" customHeight="1" x14ac:dyDescent="0.25">
      <c r="A226" s="115" t="s">
        <v>458</v>
      </c>
      <c r="B226" s="857"/>
      <c r="C226" s="863"/>
      <c r="D226" s="861"/>
      <c r="E226" s="863"/>
      <c r="F226" s="865"/>
      <c r="G226" s="865"/>
      <c r="H226" s="1073"/>
      <c r="I226" s="400" t="str">
        <f>IF('Mapa final SI'!AC229="","",'Mapa final SI'!AC229)</f>
        <v/>
      </c>
      <c r="J226" s="400" t="str">
        <f>IF('Mapa final SI'!AE229="","",'Mapa final SI'!AE229)</f>
        <v/>
      </c>
      <c r="K226" s="400" t="str">
        <f t="shared" si="3"/>
        <v/>
      </c>
      <c r="L226" s="400" t="str">
        <f>IF('Mapa final SI'!AH229="","",'Mapa final SI'!AH229)</f>
        <v/>
      </c>
      <c r="M226" s="339" t="str">
        <f>IF('Mapa final SI'!T229="","",'Mapa final SI'!T229)</f>
        <v/>
      </c>
      <c r="N226" s="397"/>
      <c r="O226" s="397"/>
      <c r="P226" s="397"/>
      <c r="Q226" s="398"/>
    </row>
    <row r="227" spans="1:17" ht="43.5" customHeight="1" x14ac:dyDescent="0.25">
      <c r="A227" s="115" t="s">
        <v>459</v>
      </c>
      <c r="B227" s="857"/>
      <c r="C227" s="863"/>
      <c r="D227" s="861"/>
      <c r="E227" s="863"/>
      <c r="F227" s="865"/>
      <c r="G227" s="865"/>
      <c r="H227" s="1073"/>
      <c r="I227" s="400" t="str">
        <f>IF('Mapa final SI'!AC230="","",'Mapa final SI'!AC230)</f>
        <v/>
      </c>
      <c r="J227" s="400" t="str">
        <f>IF('Mapa final SI'!AE230="","",'Mapa final SI'!AE230)</f>
        <v/>
      </c>
      <c r="K227" s="400" t="str">
        <f t="shared" si="3"/>
        <v/>
      </c>
      <c r="L227" s="400" t="str">
        <f>IF('Mapa final SI'!AH230="","",'Mapa final SI'!AH230)</f>
        <v/>
      </c>
      <c r="M227" s="339" t="str">
        <f>IF('Mapa final SI'!T230="","",'Mapa final SI'!T230)</f>
        <v/>
      </c>
      <c r="N227" s="397"/>
      <c r="O227" s="397"/>
      <c r="P227" s="397"/>
      <c r="Q227" s="398"/>
    </row>
    <row r="228" spans="1:17" ht="43.5" customHeight="1" x14ac:dyDescent="0.25">
      <c r="A228" s="115" t="s">
        <v>460</v>
      </c>
      <c r="B228" s="857"/>
      <c r="C228" s="863"/>
      <c r="D228" s="861"/>
      <c r="E228" s="863"/>
      <c r="F228" s="865"/>
      <c r="G228" s="865"/>
      <c r="H228" s="866"/>
      <c r="I228" s="400" t="str">
        <f>IF('Mapa final SI'!AC231="","",'Mapa final SI'!AC231)</f>
        <v/>
      </c>
      <c r="J228" s="400" t="str">
        <f>IF('Mapa final SI'!AE231="","",'Mapa final SI'!AE231)</f>
        <v/>
      </c>
      <c r="K228" s="400" t="str">
        <f t="shared" si="3"/>
        <v/>
      </c>
      <c r="L228" s="400" t="str">
        <f>IF('Mapa final SI'!AH231="","",'Mapa final SI'!AH231)</f>
        <v/>
      </c>
      <c r="M228" s="339" t="str">
        <f>IF('Mapa final SI'!T231="","",'Mapa final SI'!T231)</f>
        <v/>
      </c>
      <c r="N228" s="397"/>
      <c r="O228" s="397"/>
      <c r="P228" s="397"/>
      <c r="Q228" s="398"/>
    </row>
    <row r="229" spans="1:17" ht="43.5" customHeight="1" x14ac:dyDescent="0.25">
      <c r="A229" s="115" t="s">
        <v>461</v>
      </c>
      <c r="B229" s="856"/>
      <c r="C229" s="862" t="str">
        <f>IF('Mapa final SI'!G232="","",'Mapa final SI'!G232)</f>
        <v/>
      </c>
      <c r="D229" s="860"/>
      <c r="E229" s="862" t="str">
        <f>IF('Mapa final SI'!F232="","",'Mapa final SI'!F232)</f>
        <v/>
      </c>
      <c r="F229" s="864" t="str">
        <f>IF('Mapa final SI'!L232="","",'Mapa final SI'!L232)</f>
        <v/>
      </c>
      <c r="G229" s="864" t="str">
        <f>IF('Mapa final SI'!P232="","",'Mapa final SI'!P232)</f>
        <v/>
      </c>
      <c r="H229" s="107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0" t="str">
        <f>IF('Mapa final SI'!AC232="","",'Mapa final SI'!AC232)</f>
        <v/>
      </c>
      <c r="J229" s="400" t="str">
        <f>IF('Mapa final SI'!AE232="","",'Mapa final SI'!AE232)</f>
        <v/>
      </c>
      <c r="K229" s="400" t="str">
        <f t="shared" si="3"/>
        <v/>
      </c>
      <c r="L229" s="400" t="str">
        <f>IF('Mapa final SI'!AH232="","",'Mapa final SI'!AH232)</f>
        <v/>
      </c>
      <c r="M229" s="339" t="str">
        <f>IF('Mapa final SI'!T232="","",'Mapa final SI'!T232)</f>
        <v/>
      </c>
      <c r="N229" s="397"/>
      <c r="O229" s="397"/>
      <c r="P229" s="397"/>
      <c r="Q229" s="398"/>
    </row>
    <row r="230" spans="1:17" ht="43.5" customHeight="1" x14ac:dyDescent="0.25">
      <c r="A230" s="115" t="s">
        <v>462</v>
      </c>
      <c r="B230" s="857"/>
      <c r="C230" s="863"/>
      <c r="D230" s="861"/>
      <c r="E230" s="863"/>
      <c r="F230" s="865"/>
      <c r="G230" s="865"/>
      <c r="H230" s="1073"/>
      <c r="I230" s="400" t="str">
        <f>IF('Mapa final SI'!AC233="","",'Mapa final SI'!AC233)</f>
        <v/>
      </c>
      <c r="J230" s="400" t="str">
        <f>IF('Mapa final SI'!AE233="","",'Mapa final SI'!AE233)</f>
        <v/>
      </c>
      <c r="K230" s="400" t="str">
        <f t="shared" si="3"/>
        <v/>
      </c>
      <c r="L230" s="400" t="str">
        <f>IF('Mapa final SI'!AH233="","",'Mapa final SI'!AH233)</f>
        <v/>
      </c>
      <c r="M230" s="339" t="str">
        <f>IF('Mapa final SI'!T233="","",'Mapa final SI'!T233)</f>
        <v/>
      </c>
      <c r="N230" s="397"/>
      <c r="O230" s="397"/>
      <c r="P230" s="397"/>
      <c r="Q230" s="398"/>
    </row>
    <row r="231" spans="1:17" ht="43.5" customHeight="1" x14ac:dyDescent="0.25">
      <c r="A231" s="115" t="s">
        <v>463</v>
      </c>
      <c r="B231" s="857"/>
      <c r="C231" s="863"/>
      <c r="D231" s="861"/>
      <c r="E231" s="863"/>
      <c r="F231" s="865"/>
      <c r="G231" s="865"/>
      <c r="H231" s="1073"/>
      <c r="I231" s="400" t="str">
        <f>IF('Mapa final SI'!AC234="","",'Mapa final SI'!AC234)</f>
        <v/>
      </c>
      <c r="J231" s="400" t="str">
        <f>IF('Mapa final SI'!AE234="","",'Mapa final SI'!AE234)</f>
        <v/>
      </c>
      <c r="K231" s="400" t="str">
        <f t="shared" si="3"/>
        <v/>
      </c>
      <c r="L231" s="400" t="str">
        <f>IF('Mapa final SI'!AH234="","",'Mapa final SI'!AH234)</f>
        <v/>
      </c>
      <c r="M231" s="339" t="str">
        <f>IF('Mapa final SI'!T234="","",'Mapa final SI'!T234)</f>
        <v/>
      </c>
      <c r="N231" s="397"/>
      <c r="O231" s="397"/>
      <c r="P231" s="397"/>
      <c r="Q231" s="398"/>
    </row>
    <row r="232" spans="1:17" ht="43.5" customHeight="1" x14ac:dyDescent="0.25">
      <c r="A232" s="115" t="s">
        <v>464</v>
      </c>
      <c r="B232" s="857"/>
      <c r="C232" s="863"/>
      <c r="D232" s="861"/>
      <c r="E232" s="863"/>
      <c r="F232" s="865"/>
      <c r="G232" s="865"/>
      <c r="H232" s="1073"/>
      <c r="I232" s="400" t="str">
        <f>IF('Mapa final SI'!AC235="","",'Mapa final SI'!AC235)</f>
        <v/>
      </c>
      <c r="J232" s="400" t="str">
        <f>IF('Mapa final SI'!AE235="","",'Mapa final SI'!AE235)</f>
        <v/>
      </c>
      <c r="K232" s="400" t="str">
        <f t="shared" si="3"/>
        <v/>
      </c>
      <c r="L232" s="400" t="str">
        <f>IF('Mapa final SI'!AH235="","",'Mapa final SI'!AH235)</f>
        <v/>
      </c>
      <c r="M232" s="339" t="str">
        <f>IF('Mapa final SI'!T235="","",'Mapa final SI'!T235)</f>
        <v/>
      </c>
      <c r="N232" s="397"/>
      <c r="O232" s="397"/>
      <c r="P232" s="397"/>
      <c r="Q232" s="398"/>
    </row>
    <row r="233" spans="1:17" ht="43.5" customHeight="1" x14ac:dyDescent="0.25">
      <c r="A233" s="115" t="s">
        <v>465</v>
      </c>
      <c r="B233" s="857"/>
      <c r="C233" s="863"/>
      <c r="D233" s="861"/>
      <c r="E233" s="863"/>
      <c r="F233" s="865"/>
      <c r="G233" s="865"/>
      <c r="H233" s="1073"/>
      <c r="I233" s="400" t="str">
        <f>IF('Mapa final SI'!AC236="","",'Mapa final SI'!AC236)</f>
        <v/>
      </c>
      <c r="J233" s="400" t="str">
        <f>IF('Mapa final SI'!AE236="","",'Mapa final SI'!AE236)</f>
        <v/>
      </c>
      <c r="K233" s="400" t="str">
        <f t="shared" si="3"/>
        <v/>
      </c>
      <c r="L233" s="400" t="str">
        <f>IF('Mapa final SI'!AH236="","",'Mapa final SI'!AH236)</f>
        <v/>
      </c>
      <c r="M233" s="339" t="str">
        <f>IF('Mapa final SI'!T236="","",'Mapa final SI'!T236)</f>
        <v/>
      </c>
      <c r="N233" s="397"/>
      <c r="O233" s="397"/>
      <c r="P233" s="397"/>
      <c r="Q233" s="398"/>
    </row>
    <row r="234" spans="1:17" ht="43.5" customHeight="1" x14ac:dyDescent="0.25">
      <c r="A234" s="115" t="s">
        <v>466</v>
      </c>
      <c r="B234" s="857"/>
      <c r="C234" s="863"/>
      <c r="D234" s="861"/>
      <c r="E234" s="863"/>
      <c r="F234" s="865"/>
      <c r="G234" s="865"/>
      <c r="H234" s="866"/>
      <c r="I234" s="400" t="str">
        <f>IF('Mapa final SI'!AC237="","",'Mapa final SI'!AC237)</f>
        <v/>
      </c>
      <c r="J234" s="400" t="str">
        <f>IF('Mapa final SI'!AE237="","",'Mapa final SI'!AE237)</f>
        <v/>
      </c>
      <c r="K234" s="400" t="str">
        <f t="shared" si="3"/>
        <v/>
      </c>
      <c r="L234" s="400" t="str">
        <f>IF('Mapa final SI'!AH237="","",'Mapa final SI'!AH237)</f>
        <v/>
      </c>
      <c r="M234" s="339" t="str">
        <f>IF('Mapa final SI'!T237="","",'Mapa final SI'!T237)</f>
        <v/>
      </c>
      <c r="N234" s="397"/>
      <c r="O234" s="397"/>
      <c r="P234" s="397"/>
      <c r="Q234" s="398"/>
    </row>
    <row r="235" spans="1:17" ht="43.5" customHeight="1" x14ac:dyDescent="0.25">
      <c r="A235" s="115" t="s">
        <v>467</v>
      </c>
      <c r="B235" s="856"/>
      <c r="C235" s="862" t="str">
        <f>IF('Mapa final SI'!G238="","",'Mapa final SI'!G238)</f>
        <v/>
      </c>
      <c r="D235" s="860"/>
      <c r="E235" s="862" t="str">
        <f>IF('Mapa final SI'!F238="","",'Mapa final SI'!F238)</f>
        <v/>
      </c>
      <c r="F235" s="864" t="str">
        <f>IF('Mapa final SI'!L238="","",'Mapa final SI'!L238)</f>
        <v/>
      </c>
      <c r="G235" s="864" t="str">
        <f>IF('Mapa final SI'!P238="","",'Mapa final SI'!P238)</f>
        <v/>
      </c>
      <c r="H235" s="107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0" t="str">
        <f>IF('Mapa final SI'!AC238="","",'Mapa final SI'!AC238)</f>
        <v/>
      </c>
      <c r="J235" s="400" t="str">
        <f>IF('Mapa final SI'!AE238="","",'Mapa final SI'!AE238)</f>
        <v/>
      </c>
      <c r="K235" s="400" t="str">
        <f t="shared" si="3"/>
        <v/>
      </c>
      <c r="L235" s="400" t="str">
        <f>IF('Mapa final SI'!AH238="","",'Mapa final SI'!AH238)</f>
        <v/>
      </c>
      <c r="M235" s="339" t="str">
        <f>IF('Mapa final SI'!T238="","",'Mapa final SI'!T238)</f>
        <v/>
      </c>
      <c r="N235" s="397"/>
      <c r="O235" s="397"/>
      <c r="P235" s="397"/>
      <c r="Q235" s="398"/>
    </row>
    <row r="236" spans="1:17" ht="43.5" customHeight="1" x14ac:dyDescent="0.25">
      <c r="A236" s="115" t="s">
        <v>468</v>
      </c>
      <c r="B236" s="857"/>
      <c r="C236" s="863"/>
      <c r="D236" s="861"/>
      <c r="E236" s="863"/>
      <c r="F236" s="865"/>
      <c r="G236" s="865"/>
      <c r="H236" s="1073"/>
      <c r="I236" s="400" t="str">
        <f>IF('Mapa final SI'!AC239="","",'Mapa final SI'!AC239)</f>
        <v/>
      </c>
      <c r="J236" s="400" t="str">
        <f>IF('Mapa final SI'!AE239="","",'Mapa final SI'!AE239)</f>
        <v/>
      </c>
      <c r="K236" s="400" t="str">
        <f t="shared" si="3"/>
        <v/>
      </c>
      <c r="L236" s="400" t="str">
        <f>IF('Mapa final SI'!AH239="","",'Mapa final SI'!AH239)</f>
        <v/>
      </c>
      <c r="M236" s="339" t="str">
        <f>IF('Mapa final SI'!T239="","",'Mapa final SI'!T239)</f>
        <v/>
      </c>
      <c r="N236" s="397"/>
      <c r="O236" s="397"/>
      <c r="P236" s="397"/>
      <c r="Q236" s="398"/>
    </row>
    <row r="237" spans="1:17" ht="43.5" customHeight="1" x14ac:dyDescent="0.25">
      <c r="A237" s="115" t="s">
        <v>469</v>
      </c>
      <c r="B237" s="857"/>
      <c r="C237" s="863"/>
      <c r="D237" s="861"/>
      <c r="E237" s="863"/>
      <c r="F237" s="865"/>
      <c r="G237" s="865"/>
      <c r="H237" s="1073"/>
      <c r="I237" s="400" t="str">
        <f>IF('Mapa final SI'!AC240="","",'Mapa final SI'!AC240)</f>
        <v/>
      </c>
      <c r="J237" s="400" t="str">
        <f>IF('Mapa final SI'!AE240="","",'Mapa final SI'!AE240)</f>
        <v/>
      </c>
      <c r="K237" s="400" t="str">
        <f t="shared" si="3"/>
        <v/>
      </c>
      <c r="L237" s="400" t="str">
        <f>IF('Mapa final SI'!AH240="","",'Mapa final SI'!AH240)</f>
        <v/>
      </c>
      <c r="M237" s="339" t="str">
        <f>IF('Mapa final SI'!T240="","",'Mapa final SI'!T240)</f>
        <v/>
      </c>
      <c r="N237" s="397"/>
      <c r="O237" s="397"/>
      <c r="P237" s="397"/>
      <c r="Q237" s="398"/>
    </row>
    <row r="238" spans="1:17" ht="43.5" customHeight="1" x14ac:dyDescent="0.25">
      <c r="A238" s="115" t="s">
        <v>470</v>
      </c>
      <c r="B238" s="857"/>
      <c r="C238" s="863"/>
      <c r="D238" s="861"/>
      <c r="E238" s="863"/>
      <c r="F238" s="865"/>
      <c r="G238" s="865"/>
      <c r="H238" s="1073"/>
      <c r="I238" s="400" t="str">
        <f>IF('Mapa final SI'!AC241="","",'Mapa final SI'!AC241)</f>
        <v/>
      </c>
      <c r="J238" s="400" t="str">
        <f>IF('Mapa final SI'!AE241="","",'Mapa final SI'!AE241)</f>
        <v/>
      </c>
      <c r="K238" s="400" t="str">
        <f t="shared" si="3"/>
        <v/>
      </c>
      <c r="L238" s="400" t="str">
        <f>IF('Mapa final SI'!AH241="","",'Mapa final SI'!AH241)</f>
        <v/>
      </c>
      <c r="M238" s="339" t="str">
        <f>IF('Mapa final SI'!T241="","",'Mapa final SI'!T241)</f>
        <v/>
      </c>
      <c r="N238" s="397"/>
      <c r="O238" s="397"/>
      <c r="P238" s="397"/>
      <c r="Q238" s="398"/>
    </row>
    <row r="239" spans="1:17" ht="43.5" customHeight="1" x14ac:dyDescent="0.25">
      <c r="A239" s="115" t="s">
        <v>471</v>
      </c>
      <c r="B239" s="857"/>
      <c r="C239" s="863"/>
      <c r="D239" s="861"/>
      <c r="E239" s="863"/>
      <c r="F239" s="865"/>
      <c r="G239" s="865"/>
      <c r="H239" s="1073"/>
      <c r="I239" s="400" t="str">
        <f>IF('Mapa final SI'!AC242="","",'Mapa final SI'!AC242)</f>
        <v/>
      </c>
      <c r="J239" s="400" t="str">
        <f>IF('Mapa final SI'!AE242="","",'Mapa final SI'!AE242)</f>
        <v/>
      </c>
      <c r="K239" s="400" t="str">
        <f t="shared" si="3"/>
        <v/>
      </c>
      <c r="L239" s="400" t="str">
        <f>IF('Mapa final SI'!AH242="","",'Mapa final SI'!AH242)</f>
        <v/>
      </c>
      <c r="M239" s="339" t="str">
        <f>IF('Mapa final SI'!T242="","",'Mapa final SI'!T242)</f>
        <v/>
      </c>
      <c r="N239" s="397"/>
      <c r="O239" s="397"/>
      <c r="P239" s="397"/>
      <c r="Q239" s="398"/>
    </row>
    <row r="240" spans="1:17" ht="43.5" customHeight="1" x14ac:dyDescent="0.25">
      <c r="A240" s="115" t="s">
        <v>472</v>
      </c>
      <c r="B240" s="857"/>
      <c r="C240" s="863"/>
      <c r="D240" s="861"/>
      <c r="E240" s="863"/>
      <c r="F240" s="865"/>
      <c r="G240" s="865"/>
      <c r="H240" s="866"/>
      <c r="I240" s="400" t="str">
        <f>IF('Mapa final SI'!AC243="","",'Mapa final SI'!AC243)</f>
        <v/>
      </c>
      <c r="J240" s="400" t="str">
        <f>IF('Mapa final SI'!AE243="","",'Mapa final SI'!AE243)</f>
        <v/>
      </c>
      <c r="K240" s="400" t="str">
        <f t="shared" si="3"/>
        <v/>
      </c>
      <c r="L240" s="400" t="str">
        <f>IF('Mapa final SI'!AH243="","",'Mapa final SI'!AH243)</f>
        <v/>
      </c>
      <c r="M240" s="339" t="str">
        <f>IF('Mapa final SI'!T243="","",'Mapa final SI'!T243)</f>
        <v/>
      </c>
      <c r="N240" s="397"/>
      <c r="O240" s="397"/>
      <c r="P240" s="397"/>
      <c r="Q240" s="398"/>
    </row>
    <row r="241" spans="1:17" ht="43.5" customHeight="1" x14ac:dyDescent="0.25">
      <c r="A241" s="115" t="s">
        <v>473</v>
      </c>
      <c r="B241" s="856"/>
      <c r="C241" s="862" t="str">
        <f>IF('Mapa final SI'!G244="","",'Mapa final SI'!G244)</f>
        <v/>
      </c>
      <c r="D241" s="860"/>
      <c r="E241" s="862" t="str">
        <f>IF('Mapa final SI'!F244="","",'Mapa final SI'!F244)</f>
        <v/>
      </c>
      <c r="F241" s="864" t="str">
        <f>IF('Mapa final SI'!L244="","",'Mapa final SI'!L244)</f>
        <v/>
      </c>
      <c r="G241" s="864" t="str">
        <f>IF('Mapa final SI'!P244="","",'Mapa final SI'!P244)</f>
        <v/>
      </c>
      <c r="H241" s="107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0" t="str">
        <f>IF('Mapa final SI'!AC244="","",'Mapa final SI'!AC244)</f>
        <v/>
      </c>
      <c r="J241" s="400" t="str">
        <f>IF('Mapa final SI'!AE244="","",'Mapa final SI'!AE244)</f>
        <v/>
      </c>
      <c r="K241" s="400" t="str">
        <f t="shared" si="3"/>
        <v/>
      </c>
      <c r="L241" s="400" t="str">
        <f>IF('Mapa final SI'!AH244="","",'Mapa final SI'!AH244)</f>
        <v/>
      </c>
      <c r="M241" s="339" t="str">
        <f>IF('Mapa final SI'!T244="","",'Mapa final SI'!T244)</f>
        <v/>
      </c>
      <c r="N241" s="397"/>
      <c r="O241" s="397"/>
      <c r="P241" s="397"/>
      <c r="Q241" s="398"/>
    </row>
    <row r="242" spans="1:17" ht="43.5" customHeight="1" x14ac:dyDescent="0.25">
      <c r="A242" s="115" t="s">
        <v>474</v>
      </c>
      <c r="B242" s="857"/>
      <c r="C242" s="863"/>
      <c r="D242" s="861"/>
      <c r="E242" s="863"/>
      <c r="F242" s="865"/>
      <c r="G242" s="865"/>
      <c r="H242" s="1073"/>
      <c r="I242" s="400" t="str">
        <f>IF('Mapa final SI'!AC245="","",'Mapa final SI'!AC245)</f>
        <v/>
      </c>
      <c r="J242" s="400" t="str">
        <f>IF('Mapa final SI'!AE245="","",'Mapa final SI'!AE245)</f>
        <v/>
      </c>
      <c r="K242" s="400" t="str">
        <f t="shared" si="3"/>
        <v/>
      </c>
      <c r="L242" s="400" t="str">
        <f>IF('Mapa final SI'!AH245="","",'Mapa final SI'!AH245)</f>
        <v/>
      </c>
      <c r="M242" s="339" t="str">
        <f>IF('Mapa final SI'!T245="","",'Mapa final SI'!T245)</f>
        <v/>
      </c>
      <c r="N242" s="397"/>
      <c r="O242" s="397"/>
      <c r="P242" s="397"/>
      <c r="Q242" s="398"/>
    </row>
    <row r="243" spans="1:17" ht="43.5" customHeight="1" x14ac:dyDescent="0.25">
      <c r="A243" s="115" t="s">
        <v>475</v>
      </c>
      <c r="B243" s="857"/>
      <c r="C243" s="863"/>
      <c r="D243" s="861"/>
      <c r="E243" s="863"/>
      <c r="F243" s="865"/>
      <c r="G243" s="865"/>
      <c r="H243" s="1073"/>
      <c r="I243" s="400" t="str">
        <f>IF('Mapa final SI'!AC246="","",'Mapa final SI'!AC246)</f>
        <v/>
      </c>
      <c r="J243" s="400" t="str">
        <f>IF('Mapa final SI'!AE246="","",'Mapa final SI'!AE246)</f>
        <v/>
      </c>
      <c r="K243" s="400" t="str">
        <f t="shared" si="3"/>
        <v/>
      </c>
      <c r="L243" s="400" t="str">
        <f>IF('Mapa final SI'!AH246="","",'Mapa final SI'!AH246)</f>
        <v/>
      </c>
      <c r="M243" s="339" t="str">
        <f>IF('Mapa final SI'!T246="","",'Mapa final SI'!T246)</f>
        <v/>
      </c>
      <c r="N243" s="397"/>
      <c r="O243" s="397"/>
      <c r="P243" s="397"/>
      <c r="Q243" s="398"/>
    </row>
    <row r="244" spans="1:17" ht="43.5" customHeight="1" x14ac:dyDescent="0.25">
      <c r="A244" s="115" t="s">
        <v>476</v>
      </c>
      <c r="B244" s="857"/>
      <c r="C244" s="863"/>
      <c r="D244" s="861"/>
      <c r="E244" s="863"/>
      <c r="F244" s="865"/>
      <c r="G244" s="865"/>
      <c r="H244" s="1073"/>
      <c r="I244" s="400" t="str">
        <f>IF('Mapa final SI'!AC247="","",'Mapa final SI'!AC247)</f>
        <v/>
      </c>
      <c r="J244" s="400" t="str">
        <f>IF('Mapa final SI'!AE247="","",'Mapa final SI'!AE247)</f>
        <v/>
      </c>
      <c r="K244" s="400" t="str">
        <f t="shared" si="3"/>
        <v/>
      </c>
      <c r="L244" s="400" t="str">
        <f>IF('Mapa final SI'!AH247="","",'Mapa final SI'!AH247)</f>
        <v/>
      </c>
      <c r="M244" s="339" t="str">
        <f>IF('Mapa final SI'!T247="","",'Mapa final SI'!T247)</f>
        <v/>
      </c>
      <c r="N244" s="397"/>
      <c r="O244" s="397"/>
      <c r="P244" s="397"/>
      <c r="Q244" s="398"/>
    </row>
    <row r="245" spans="1:17" ht="43.5" customHeight="1" x14ac:dyDescent="0.25">
      <c r="A245" s="115" t="s">
        <v>477</v>
      </c>
      <c r="B245" s="857"/>
      <c r="C245" s="863"/>
      <c r="D245" s="861"/>
      <c r="E245" s="863"/>
      <c r="F245" s="865"/>
      <c r="G245" s="865"/>
      <c r="H245" s="1073"/>
      <c r="I245" s="400" t="str">
        <f>IF('Mapa final SI'!AC248="","",'Mapa final SI'!AC248)</f>
        <v/>
      </c>
      <c r="J245" s="400" t="str">
        <f>IF('Mapa final SI'!AE248="","",'Mapa final SI'!AE248)</f>
        <v/>
      </c>
      <c r="K245" s="400" t="str">
        <f t="shared" si="3"/>
        <v/>
      </c>
      <c r="L245" s="400" t="str">
        <f>IF('Mapa final SI'!AH248="","",'Mapa final SI'!AH248)</f>
        <v/>
      </c>
      <c r="M245" s="339" t="str">
        <f>IF('Mapa final SI'!T248="","",'Mapa final SI'!T248)</f>
        <v/>
      </c>
      <c r="N245" s="397"/>
      <c r="O245" s="397"/>
      <c r="P245" s="397"/>
      <c r="Q245" s="398"/>
    </row>
    <row r="246" spans="1:17" ht="43.5" customHeight="1" x14ac:dyDescent="0.25">
      <c r="A246" s="115" t="s">
        <v>478</v>
      </c>
      <c r="B246" s="857"/>
      <c r="C246" s="863"/>
      <c r="D246" s="861"/>
      <c r="E246" s="863"/>
      <c r="F246" s="865"/>
      <c r="G246" s="865"/>
      <c r="H246" s="866"/>
      <c r="I246" s="400" t="str">
        <f>IF('Mapa final SI'!AC249="","",'Mapa final SI'!AC249)</f>
        <v/>
      </c>
      <c r="J246" s="400" t="str">
        <f>IF('Mapa final SI'!AE249="","",'Mapa final SI'!AE249)</f>
        <v/>
      </c>
      <c r="K246" s="400" t="str">
        <f t="shared" si="3"/>
        <v/>
      </c>
      <c r="L246" s="400" t="str">
        <f>IF('Mapa final SI'!AH249="","",'Mapa final SI'!AH249)</f>
        <v/>
      </c>
      <c r="M246" s="339" t="str">
        <f>IF('Mapa final SI'!T249="","",'Mapa final SI'!T249)</f>
        <v/>
      </c>
      <c r="N246" s="397"/>
      <c r="O246" s="397"/>
      <c r="P246" s="397"/>
      <c r="Q246" s="398"/>
    </row>
    <row r="247" spans="1:17" ht="43.5" customHeight="1" x14ac:dyDescent="0.25">
      <c r="A247" s="115" t="s">
        <v>479</v>
      </c>
      <c r="B247" s="856"/>
      <c r="C247" s="862" t="str">
        <f>IF('Mapa final SI'!G250="","",'Mapa final SI'!G250)</f>
        <v/>
      </c>
      <c r="D247" s="860"/>
      <c r="E247" s="862" t="str">
        <f>IF('Mapa final SI'!F250="","",'Mapa final SI'!F250)</f>
        <v/>
      </c>
      <c r="F247" s="864" t="str">
        <f>IF('Mapa final SI'!L250="","",'Mapa final SI'!L250)</f>
        <v/>
      </c>
      <c r="G247" s="864" t="str">
        <f>IF('Mapa final SI'!P250="","",'Mapa final SI'!P250)</f>
        <v/>
      </c>
      <c r="H247" s="107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0" t="str">
        <f>IF('Mapa final SI'!AC250="","",'Mapa final SI'!AC250)</f>
        <v/>
      </c>
      <c r="J247" s="400" t="str">
        <f>IF('Mapa final SI'!AE250="","",'Mapa final SI'!AE250)</f>
        <v/>
      </c>
      <c r="K247" s="400" t="str">
        <f t="shared" si="3"/>
        <v/>
      </c>
      <c r="L247" s="400" t="str">
        <f>IF('Mapa final SI'!AH250="","",'Mapa final SI'!AH250)</f>
        <v/>
      </c>
      <c r="M247" s="339" t="str">
        <f>IF('Mapa final SI'!T250="","",'Mapa final SI'!T250)</f>
        <v/>
      </c>
      <c r="N247" s="397"/>
      <c r="O247" s="397"/>
      <c r="P247" s="397"/>
      <c r="Q247" s="398"/>
    </row>
    <row r="248" spans="1:17" ht="43.5" customHeight="1" x14ac:dyDescent="0.25">
      <c r="A248" s="115" t="s">
        <v>480</v>
      </c>
      <c r="B248" s="857"/>
      <c r="C248" s="863"/>
      <c r="D248" s="861"/>
      <c r="E248" s="863"/>
      <c r="F248" s="865"/>
      <c r="G248" s="865"/>
      <c r="H248" s="1073"/>
      <c r="I248" s="400" t="str">
        <f>IF('Mapa final SI'!AC251="","",'Mapa final SI'!AC251)</f>
        <v/>
      </c>
      <c r="J248" s="400" t="str">
        <f>IF('Mapa final SI'!AE251="","",'Mapa final SI'!AE251)</f>
        <v/>
      </c>
      <c r="K248" s="400" t="str">
        <f t="shared" si="3"/>
        <v/>
      </c>
      <c r="L248" s="400" t="str">
        <f>IF('Mapa final SI'!AH251="","",'Mapa final SI'!AH251)</f>
        <v/>
      </c>
      <c r="M248" s="339" t="str">
        <f>IF('Mapa final SI'!T251="","",'Mapa final SI'!T251)</f>
        <v/>
      </c>
      <c r="N248" s="397"/>
      <c r="O248" s="397"/>
      <c r="P248" s="397"/>
      <c r="Q248" s="398"/>
    </row>
    <row r="249" spans="1:17" ht="43.5" customHeight="1" x14ac:dyDescent="0.25">
      <c r="A249" s="115" t="s">
        <v>481</v>
      </c>
      <c r="B249" s="857"/>
      <c r="C249" s="863"/>
      <c r="D249" s="861"/>
      <c r="E249" s="863"/>
      <c r="F249" s="865"/>
      <c r="G249" s="865"/>
      <c r="H249" s="1073"/>
      <c r="I249" s="400" t="str">
        <f>IF('Mapa final SI'!AC252="","",'Mapa final SI'!AC252)</f>
        <v/>
      </c>
      <c r="J249" s="400" t="str">
        <f>IF('Mapa final SI'!AE252="","",'Mapa final SI'!AE252)</f>
        <v/>
      </c>
      <c r="K249" s="400" t="str">
        <f t="shared" si="3"/>
        <v/>
      </c>
      <c r="L249" s="400" t="str">
        <f>IF('Mapa final SI'!AH252="","",'Mapa final SI'!AH252)</f>
        <v/>
      </c>
      <c r="M249" s="339" t="str">
        <f>IF('Mapa final SI'!T252="","",'Mapa final SI'!T252)</f>
        <v/>
      </c>
      <c r="N249" s="397"/>
      <c r="O249" s="397"/>
      <c r="P249" s="397"/>
      <c r="Q249" s="398"/>
    </row>
    <row r="250" spans="1:17" ht="43.5" customHeight="1" x14ac:dyDescent="0.25">
      <c r="A250" s="115" t="s">
        <v>482</v>
      </c>
      <c r="B250" s="857"/>
      <c r="C250" s="863"/>
      <c r="D250" s="861"/>
      <c r="E250" s="863"/>
      <c r="F250" s="865"/>
      <c r="G250" s="865"/>
      <c r="H250" s="1073"/>
      <c r="I250" s="400" t="str">
        <f>IF('Mapa final SI'!AC253="","",'Mapa final SI'!AC253)</f>
        <v/>
      </c>
      <c r="J250" s="400" t="str">
        <f>IF('Mapa final SI'!AE253="","",'Mapa final SI'!AE253)</f>
        <v/>
      </c>
      <c r="K250" s="400" t="str">
        <f t="shared" si="3"/>
        <v/>
      </c>
      <c r="L250" s="400" t="str">
        <f>IF('Mapa final SI'!AH253="","",'Mapa final SI'!AH253)</f>
        <v/>
      </c>
      <c r="M250" s="339" t="str">
        <f>IF('Mapa final SI'!T253="","",'Mapa final SI'!T253)</f>
        <v/>
      </c>
      <c r="N250" s="397"/>
      <c r="O250" s="397"/>
      <c r="P250" s="397"/>
      <c r="Q250" s="398"/>
    </row>
    <row r="251" spans="1:17" ht="43.5" customHeight="1" x14ac:dyDescent="0.25">
      <c r="A251" s="115" t="s">
        <v>483</v>
      </c>
      <c r="B251" s="857"/>
      <c r="C251" s="863"/>
      <c r="D251" s="861"/>
      <c r="E251" s="863"/>
      <c r="F251" s="865"/>
      <c r="G251" s="865"/>
      <c r="H251" s="1073"/>
      <c r="I251" s="400" t="str">
        <f>IF('Mapa final SI'!AC254="","",'Mapa final SI'!AC254)</f>
        <v/>
      </c>
      <c r="J251" s="400" t="str">
        <f>IF('Mapa final SI'!AE254="","",'Mapa final SI'!AE254)</f>
        <v/>
      </c>
      <c r="K251" s="400" t="str">
        <f t="shared" si="3"/>
        <v/>
      </c>
      <c r="L251" s="400" t="str">
        <f>IF('Mapa final SI'!AH254="","",'Mapa final SI'!AH254)</f>
        <v/>
      </c>
      <c r="M251" s="339" t="str">
        <f>IF('Mapa final SI'!T254="","",'Mapa final SI'!T254)</f>
        <v/>
      </c>
      <c r="N251" s="397"/>
      <c r="O251" s="397"/>
      <c r="P251" s="397"/>
      <c r="Q251" s="398"/>
    </row>
    <row r="252" spans="1:17" ht="43.5" customHeight="1" x14ac:dyDescent="0.25">
      <c r="A252" s="115" t="s">
        <v>484</v>
      </c>
      <c r="B252" s="857"/>
      <c r="C252" s="863"/>
      <c r="D252" s="861"/>
      <c r="E252" s="863"/>
      <c r="F252" s="865"/>
      <c r="G252" s="865"/>
      <c r="H252" s="866"/>
      <c r="I252" s="400" t="str">
        <f>IF('Mapa final SI'!AC255="","",'Mapa final SI'!AC255)</f>
        <v/>
      </c>
      <c r="J252" s="400" t="str">
        <f>IF('Mapa final SI'!AE255="","",'Mapa final SI'!AE255)</f>
        <v/>
      </c>
      <c r="K252" s="400" t="str">
        <f t="shared" si="3"/>
        <v/>
      </c>
      <c r="L252" s="400" t="str">
        <f>IF('Mapa final SI'!AH255="","",'Mapa final SI'!AH255)</f>
        <v/>
      </c>
      <c r="M252" s="339" t="str">
        <f>IF('Mapa final SI'!T255="","",'Mapa final SI'!T255)</f>
        <v/>
      </c>
      <c r="N252" s="397"/>
      <c r="O252" s="397"/>
      <c r="P252" s="397"/>
      <c r="Q252" s="398"/>
    </row>
    <row r="253" spans="1:17" ht="43.5" customHeight="1" x14ac:dyDescent="0.25">
      <c r="A253" s="115" t="s">
        <v>485</v>
      </c>
      <c r="B253" s="856"/>
      <c r="C253" s="862" t="str">
        <f>IF('Mapa final SI'!G256="","",'Mapa final SI'!G256)</f>
        <v/>
      </c>
      <c r="D253" s="860"/>
      <c r="E253" s="862" t="str">
        <f>IF('Mapa final SI'!F256="","",'Mapa final SI'!F256)</f>
        <v/>
      </c>
      <c r="F253" s="864" t="str">
        <f>IF('Mapa final SI'!L256="","",'Mapa final SI'!L256)</f>
        <v/>
      </c>
      <c r="G253" s="864" t="str">
        <f>IF('Mapa final SI'!P256="","",'Mapa final SI'!P256)</f>
        <v/>
      </c>
      <c r="H253" s="107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0" t="str">
        <f>IF('Mapa final SI'!AC256="","",'Mapa final SI'!AC256)</f>
        <v/>
      </c>
      <c r="J253" s="400" t="str">
        <f>IF('Mapa final SI'!AE256="","",'Mapa final SI'!AE256)</f>
        <v/>
      </c>
      <c r="K253" s="400" t="str">
        <f t="shared" si="3"/>
        <v/>
      </c>
      <c r="L253" s="400" t="str">
        <f>IF('Mapa final SI'!AH256="","",'Mapa final SI'!AH256)</f>
        <v/>
      </c>
      <c r="M253" s="339" t="str">
        <f>IF('Mapa final SI'!T256="","",'Mapa final SI'!T256)</f>
        <v/>
      </c>
      <c r="N253" s="397"/>
      <c r="O253" s="397"/>
      <c r="P253" s="397"/>
      <c r="Q253" s="398"/>
    </row>
    <row r="254" spans="1:17" ht="43.5" customHeight="1" x14ac:dyDescent="0.25">
      <c r="A254" s="115" t="s">
        <v>486</v>
      </c>
      <c r="B254" s="857"/>
      <c r="C254" s="863"/>
      <c r="D254" s="861"/>
      <c r="E254" s="863"/>
      <c r="F254" s="865"/>
      <c r="G254" s="865"/>
      <c r="H254" s="1073"/>
      <c r="I254" s="400" t="str">
        <f>IF('Mapa final SI'!AC257="","",'Mapa final SI'!AC257)</f>
        <v/>
      </c>
      <c r="J254" s="400" t="str">
        <f>IF('Mapa final SI'!AE257="","",'Mapa final SI'!AE257)</f>
        <v/>
      </c>
      <c r="K254" s="400" t="str">
        <f t="shared" si="3"/>
        <v/>
      </c>
      <c r="L254" s="400" t="str">
        <f>IF('Mapa final SI'!AH257="","",'Mapa final SI'!AH257)</f>
        <v/>
      </c>
      <c r="M254" s="339" t="str">
        <f>IF('Mapa final SI'!T257="","",'Mapa final SI'!T257)</f>
        <v/>
      </c>
      <c r="N254" s="397"/>
      <c r="O254" s="397"/>
      <c r="P254" s="397"/>
      <c r="Q254" s="398"/>
    </row>
    <row r="255" spans="1:17" ht="43.5" customHeight="1" x14ac:dyDescent="0.25">
      <c r="A255" s="115" t="s">
        <v>487</v>
      </c>
      <c r="B255" s="857"/>
      <c r="C255" s="863"/>
      <c r="D255" s="861"/>
      <c r="E255" s="863"/>
      <c r="F255" s="865"/>
      <c r="G255" s="865"/>
      <c r="H255" s="1073"/>
      <c r="I255" s="400" t="str">
        <f>IF('Mapa final SI'!AC258="","",'Mapa final SI'!AC258)</f>
        <v/>
      </c>
      <c r="J255" s="400" t="str">
        <f>IF('Mapa final SI'!AE258="","",'Mapa final SI'!AE258)</f>
        <v/>
      </c>
      <c r="K255" s="400" t="str">
        <f t="shared" si="3"/>
        <v/>
      </c>
      <c r="L255" s="400" t="str">
        <f>IF('Mapa final SI'!AH258="","",'Mapa final SI'!AH258)</f>
        <v/>
      </c>
      <c r="M255" s="339" t="str">
        <f>IF('Mapa final SI'!T258="","",'Mapa final SI'!T258)</f>
        <v/>
      </c>
      <c r="N255" s="397"/>
      <c r="O255" s="397"/>
      <c r="P255" s="397"/>
      <c r="Q255" s="398"/>
    </row>
    <row r="256" spans="1:17" ht="43.5" customHeight="1" x14ac:dyDescent="0.25">
      <c r="A256" s="115" t="s">
        <v>488</v>
      </c>
      <c r="B256" s="857"/>
      <c r="C256" s="863"/>
      <c r="D256" s="861"/>
      <c r="E256" s="863"/>
      <c r="F256" s="865"/>
      <c r="G256" s="865"/>
      <c r="H256" s="1073"/>
      <c r="I256" s="400" t="str">
        <f>IF('Mapa final SI'!AC259="","",'Mapa final SI'!AC259)</f>
        <v/>
      </c>
      <c r="J256" s="400" t="str">
        <f>IF('Mapa final SI'!AE259="","",'Mapa final SI'!AE259)</f>
        <v/>
      </c>
      <c r="K256" s="400" t="str">
        <f t="shared" si="3"/>
        <v/>
      </c>
      <c r="L256" s="400" t="str">
        <f>IF('Mapa final SI'!AH259="","",'Mapa final SI'!AH259)</f>
        <v/>
      </c>
      <c r="M256" s="339" t="str">
        <f>IF('Mapa final SI'!T259="","",'Mapa final SI'!T259)</f>
        <v/>
      </c>
      <c r="N256" s="397"/>
      <c r="O256" s="397"/>
      <c r="P256" s="397"/>
      <c r="Q256" s="398"/>
    </row>
    <row r="257" spans="1:17" ht="43.5" customHeight="1" x14ac:dyDescent="0.25">
      <c r="A257" s="115" t="s">
        <v>489</v>
      </c>
      <c r="B257" s="857"/>
      <c r="C257" s="863"/>
      <c r="D257" s="861"/>
      <c r="E257" s="863"/>
      <c r="F257" s="865"/>
      <c r="G257" s="865"/>
      <c r="H257" s="1073"/>
      <c r="I257" s="400" t="str">
        <f>IF('Mapa final SI'!AC260="","",'Mapa final SI'!AC260)</f>
        <v/>
      </c>
      <c r="J257" s="400" t="str">
        <f>IF('Mapa final SI'!AE260="","",'Mapa final SI'!AE260)</f>
        <v/>
      </c>
      <c r="K257" s="400" t="str">
        <f t="shared" si="3"/>
        <v/>
      </c>
      <c r="L257" s="400" t="str">
        <f>IF('Mapa final SI'!AH260="","",'Mapa final SI'!AH260)</f>
        <v/>
      </c>
      <c r="M257" s="339" t="str">
        <f>IF('Mapa final SI'!T260="","",'Mapa final SI'!T260)</f>
        <v/>
      </c>
      <c r="N257" s="397"/>
      <c r="O257" s="397"/>
      <c r="P257" s="397"/>
      <c r="Q257" s="398"/>
    </row>
    <row r="258" spans="1:17" ht="43.5" customHeight="1" x14ac:dyDescent="0.25">
      <c r="A258" s="115" t="s">
        <v>490</v>
      </c>
      <c r="B258" s="857"/>
      <c r="C258" s="863"/>
      <c r="D258" s="861"/>
      <c r="E258" s="863"/>
      <c r="F258" s="865"/>
      <c r="G258" s="865"/>
      <c r="H258" s="866"/>
      <c r="I258" s="400" t="str">
        <f>IF('Mapa final SI'!AC261="","",'Mapa final SI'!AC261)</f>
        <v/>
      </c>
      <c r="J258" s="400" t="str">
        <f>IF('Mapa final SI'!AE261="","",'Mapa final SI'!AE261)</f>
        <v/>
      </c>
      <c r="K258" s="400" t="str">
        <f t="shared" si="3"/>
        <v/>
      </c>
      <c r="L258" s="400" t="str">
        <f>IF('Mapa final SI'!AH261="","",'Mapa final SI'!AH261)</f>
        <v/>
      </c>
      <c r="M258" s="339" t="str">
        <f>IF('Mapa final SI'!T261="","",'Mapa final SI'!T261)</f>
        <v/>
      </c>
      <c r="N258" s="397"/>
      <c r="O258" s="397"/>
      <c r="P258" s="397"/>
      <c r="Q258" s="398"/>
    </row>
    <row r="259" spans="1:17" ht="43.5" customHeight="1" x14ac:dyDescent="0.25">
      <c r="A259" s="115" t="s">
        <v>491</v>
      </c>
      <c r="B259" s="856"/>
      <c r="C259" s="862" t="str">
        <f>IF('Mapa final SI'!G262="","",'Mapa final SI'!G262)</f>
        <v/>
      </c>
      <c r="D259" s="860"/>
      <c r="E259" s="862" t="str">
        <f>IF('Mapa final SI'!F262="","",'Mapa final SI'!F262)</f>
        <v/>
      </c>
      <c r="F259" s="864" t="str">
        <f>IF('Mapa final SI'!L262="","",'Mapa final SI'!L262)</f>
        <v/>
      </c>
      <c r="G259" s="864" t="str">
        <f>IF('Mapa final SI'!P262="","",'Mapa final SI'!P262)</f>
        <v/>
      </c>
      <c r="H259" s="107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0" t="str">
        <f>IF('Mapa final SI'!AC262="","",'Mapa final SI'!AC262)</f>
        <v/>
      </c>
      <c r="J259" s="400" t="str">
        <f>IF('Mapa final SI'!AE262="","",'Mapa final SI'!AE262)</f>
        <v/>
      </c>
      <c r="K259" s="400" t="str">
        <f t="shared" si="3"/>
        <v/>
      </c>
      <c r="L259" s="400" t="str">
        <f>IF('Mapa final SI'!AH262="","",'Mapa final SI'!AH262)</f>
        <v/>
      </c>
      <c r="M259" s="339" t="str">
        <f>IF('Mapa final SI'!T262="","",'Mapa final SI'!T262)</f>
        <v/>
      </c>
      <c r="N259" s="397"/>
      <c r="O259" s="397"/>
      <c r="P259" s="397"/>
      <c r="Q259" s="398"/>
    </row>
    <row r="260" spans="1:17" ht="43.5" customHeight="1" x14ac:dyDescent="0.25">
      <c r="A260" s="115" t="s">
        <v>492</v>
      </c>
      <c r="B260" s="857"/>
      <c r="C260" s="863"/>
      <c r="D260" s="861"/>
      <c r="E260" s="863"/>
      <c r="F260" s="865"/>
      <c r="G260" s="865"/>
      <c r="H260" s="1073"/>
      <c r="I260" s="400" t="str">
        <f>IF('Mapa final SI'!AC263="","",'Mapa final SI'!AC263)</f>
        <v/>
      </c>
      <c r="J260" s="400" t="str">
        <f>IF('Mapa final SI'!AE263="","",'Mapa final SI'!AE263)</f>
        <v/>
      </c>
      <c r="K260" s="400" t="str">
        <f t="shared" si="3"/>
        <v/>
      </c>
      <c r="L260" s="400" t="str">
        <f>IF('Mapa final SI'!AH263="","",'Mapa final SI'!AH263)</f>
        <v/>
      </c>
      <c r="M260" s="339" t="str">
        <f>IF('Mapa final SI'!T263="","",'Mapa final SI'!T263)</f>
        <v/>
      </c>
      <c r="N260" s="397"/>
      <c r="O260" s="397"/>
      <c r="P260" s="397"/>
      <c r="Q260" s="398"/>
    </row>
    <row r="261" spans="1:17" ht="43.5" customHeight="1" x14ac:dyDescent="0.25">
      <c r="A261" s="115" t="s">
        <v>493</v>
      </c>
      <c r="B261" s="857"/>
      <c r="C261" s="863"/>
      <c r="D261" s="861"/>
      <c r="E261" s="863"/>
      <c r="F261" s="865"/>
      <c r="G261" s="865"/>
      <c r="H261" s="1073"/>
      <c r="I261" s="400" t="str">
        <f>IF('Mapa final SI'!AC264="","",'Mapa final SI'!AC264)</f>
        <v/>
      </c>
      <c r="J261" s="400" t="str">
        <f>IF('Mapa final SI'!AE264="","",'Mapa final SI'!AE264)</f>
        <v/>
      </c>
      <c r="K261" s="400" t="str">
        <f t="shared" si="3"/>
        <v/>
      </c>
      <c r="L261" s="400" t="str">
        <f>IF('Mapa final SI'!AH264="","",'Mapa final SI'!AH264)</f>
        <v/>
      </c>
      <c r="M261" s="339" t="str">
        <f>IF('Mapa final SI'!T264="","",'Mapa final SI'!T264)</f>
        <v/>
      </c>
      <c r="N261" s="397"/>
      <c r="O261" s="397"/>
      <c r="P261" s="397"/>
      <c r="Q261" s="398"/>
    </row>
    <row r="262" spans="1:17" ht="43.5" customHeight="1" x14ac:dyDescent="0.25">
      <c r="A262" s="115" t="s">
        <v>494</v>
      </c>
      <c r="B262" s="857"/>
      <c r="C262" s="863"/>
      <c r="D262" s="861"/>
      <c r="E262" s="863"/>
      <c r="F262" s="865"/>
      <c r="G262" s="865"/>
      <c r="H262" s="1073"/>
      <c r="I262" s="400" t="str">
        <f>IF('Mapa final SI'!AC265="","",'Mapa final SI'!AC265)</f>
        <v/>
      </c>
      <c r="J262" s="400" t="str">
        <f>IF('Mapa final SI'!AE265="","",'Mapa final SI'!AE265)</f>
        <v/>
      </c>
      <c r="K262" s="400" t="str">
        <f t="shared" si="3"/>
        <v/>
      </c>
      <c r="L262" s="400" t="str">
        <f>IF('Mapa final SI'!AH265="","",'Mapa final SI'!AH265)</f>
        <v/>
      </c>
      <c r="M262" s="339" t="str">
        <f>IF('Mapa final SI'!T265="","",'Mapa final SI'!T265)</f>
        <v/>
      </c>
      <c r="N262" s="397"/>
      <c r="O262" s="397"/>
      <c r="P262" s="397"/>
      <c r="Q262" s="398"/>
    </row>
    <row r="263" spans="1:17" ht="43.5" customHeight="1" x14ac:dyDescent="0.25">
      <c r="A263" s="115" t="s">
        <v>495</v>
      </c>
      <c r="B263" s="857"/>
      <c r="C263" s="863"/>
      <c r="D263" s="861"/>
      <c r="E263" s="863"/>
      <c r="F263" s="865"/>
      <c r="G263" s="865"/>
      <c r="H263" s="1073"/>
      <c r="I263" s="400" t="str">
        <f>IF('Mapa final SI'!AC266="","",'Mapa final SI'!AC266)</f>
        <v/>
      </c>
      <c r="J263" s="400" t="str">
        <f>IF('Mapa final SI'!AE266="","",'Mapa final SI'!AE266)</f>
        <v/>
      </c>
      <c r="K263" s="400" t="str">
        <f t="shared" si="3"/>
        <v/>
      </c>
      <c r="L263" s="400" t="str">
        <f>IF('Mapa final SI'!AH266="","",'Mapa final SI'!AH266)</f>
        <v/>
      </c>
      <c r="M263" s="339" t="str">
        <f>IF('Mapa final SI'!T266="","",'Mapa final SI'!T266)</f>
        <v/>
      </c>
      <c r="N263" s="397"/>
      <c r="O263" s="397"/>
      <c r="P263" s="397"/>
      <c r="Q263" s="398"/>
    </row>
    <row r="264" spans="1:17" ht="43.5" customHeight="1" x14ac:dyDescent="0.25">
      <c r="A264" s="115" t="s">
        <v>496</v>
      </c>
      <c r="B264" s="857"/>
      <c r="C264" s="863"/>
      <c r="D264" s="861"/>
      <c r="E264" s="863"/>
      <c r="F264" s="865"/>
      <c r="G264" s="865"/>
      <c r="H264" s="866"/>
      <c r="I264" s="400" t="str">
        <f>IF('Mapa final SI'!AC267="","",'Mapa final SI'!AC267)</f>
        <v/>
      </c>
      <c r="J264" s="400" t="str">
        <f>IF('Mapa final SI'!AE267="","",'Mapa final SI'!AE267)</f>
        <v/>
      </c>
      <c r="K264" s="40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0" t="str">
        <f>IF('Mapa final SI'!AH267="","",'Mapa final SI'!AH267)</f>
        <v/>
      </c>
      <c r="M264" s="339" t="str">
        <f>IF('Mapa final SI'!T267="","",'Mapa final SI'!T267)</f>
        <v/>
      </c>
      <c r="N264" s="397"/>
      <c r="O264" s="397"/>
      <c r="P264" s="397"/>
      <c r="Q264" s="398"/>
    </row>
    <row r="265" spans="1:17" ht="43.5" customHeight="1" x14ac:dyDescent="0.25">
      <c r="A265" s="115" t="s">
        <v>497</v>
      </c>
      <c r="B265" s="856"/>
      <c r="C265" s="862" t="str">
        <f>IF('Mapa final SI'!G268="","",'Mapa final SI'!G268)</f>
        <v/>
      </c>
      <c r="D265" s="860"/>
      <c r="E265" s="862" t="str">
        <f>IF('Mapa final SI'!F268="","",'Mapa final SI'!F268)</f>
        <v/>
      </c>
      <c r="F265" s="864" t="str">
        <f>IF('Mapa final SI'!L268="","",'Mapa final SI'!L268)</f>
        <v/>
      </c>
      <c r="G265" s="864" t="str">
        <f>IF('Mapa final SI'!P268="","",'Mapa final SI'!P268)</f>
        <v/>
      </c>
      <c r="H265" s="107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0" t="str">
        <f>IF('Mapa final SI'!AC268="","",'Mapa final SI'!AC268)</f>
        <v/>
      </c>
      <c r="J265" s="400" t="str">
        <f>IF('Mapa final SI'!AE268="","",'Mapa final SI'!AE268)</f>
        <v/>
      </c>
      <c r="K265" s="400" t="str">
        <f t="shared" si="4"/>
        <v/>
      </c>
      <c r="L265" s="400" t="str">
        <f>IF('Mapa final SI'!AH268="","",'Mapa final SI'!AH268)</f>
        <v/>
      </c>
      <c r="M265" s="339" t="str">
        <f>IF('Mapa final SI'!T268="","",'Mapa final SI'!T268)</f>
        <v/>
      </c>
      <c r="N265" s="397"/>
      <c r="O265" s="397"/>
      <c r="P265" s="397"/>
      <c r="Q265" s="398"/>
    </row>
    <row r="266" spans="1:17" ht="43.5" customHeight="1" x14ac:dyDescent="0.25">
      <c r="A266" s="115" t="s">
        <v>498</v>
      </c>
      <c r="B266" s="857"/>
      <c r="C266" s="863"/>
      <c r="D266" s="861"/>
      <c r="E266" s="863"/>
      <c r="F266" s="865"/>
      <c r="G266" s="865"/>
      <c r="H266" s="1073"/>
      <c r="I266" s="400" t="str">
        <f>IF('Mapa final SI'!AC269="","",'Mapa final SI'!AC269)</f>
        <v/>
      </c>
      <c r="J266" s="400" t="str">
        <f>IF('Mapa final SI'!AE269="","",'Mapa final SI'!AE269)</f>
        <v/>
      </c>
      <c r="K266" s="400" t="str">
        <f t="shared" si="4"/>
        <v/>
      </c>
      <c r="L266" s="400" t="str">
        <f>IF('Mapa final SI'!AH269="","",'Mapa final SI'!AH269)</f>
        <v/>
      </c>
      <c r="M266" s="339" t="str">
        <f>IF('Mapa final SI'!T269="","",'Mapa final SI'!T269)</f>
        <v/>
      </c>
      <c r="N266" s="397"/>
      <c r="O266" s="397"/>
      <c r="P266" s="397"/>
      <c r="Q266" s="398"/>
    </row>
    <row r="267" spans="1:17" ht="43.5" customHeight="1" x14ac:dyDescent="0.25">
      <c r="A267" s="115" t="s">
        <v>499</v>
      </c>
      <c r="B267" s="857"/>
      <c r="C267" s="863"/>
      <c r="D267" s="861"/>
      <c r="E267" s="863"/>
      <c r="F267" s="865"/>
      <c r="G267" s="865"/>
      <c r="H267" s="1073"/>
      <c r="I267" s="400" t="str">
        <f>IF('Mapa final SI'!AC270="","",'Mapa final SI'!AC270)</f>
        <v/>
      </c>
      <c r="J267" s="400" t="str">
        <f>IF('Mapa final SI'!AE270="","",'Mapa final SI'!AE270)</f>
        <v/>
      </c>
      <c r="K267" s="400" t="str">
        <f t="shared" si="4"/>
        <v/>
      </c>
      <c r="L267" s="400" t="str">
        <f>IF('Mapa final SI'!AH270="","",'Mapa final SI'!AH270)</f>
        <v/>
      </c>
      <c r="M267" s="339" t="str">
        <f>IF('Mapa final SI'!T270="","",'Mapa final SI'!T270)</f>
        <v/>
      </c>
      <c r="N267" s="397"/>
      <c r="O267" s="397"/>
      <c r="P267" s="397"/>
      <c r="Q267" s="398"/>
    </row>
    <row r="268" spans="1:17" ht="43.5" customHeight="1" x14ac:dyDescent="0.25">
      <c r="A268" s="115" t="s">
        <v>500</v>
      </c>
      <c r="B268" s="857"/>
      <c r="C268" s="863"/>
      <c r="D268" s="861"/>
      <c r="E268" s="863"/>
      <c r="F268" s="865"/>
      <c r="G268" s="865"/>
      <c r="H268" s="1073"/>
      <c r="I268" s="400" t="str">
        <f>IF('Mapa final SI'!AC271="","",'Mapa final SI'!AC271)</f>
        <v/>
      </c>
      <c r="J268" s="400" t="str">
        <f>IF('Mapa final SI'!AE271="","",'Mapa final SI'!AE271)</f>
        <v/>
      </c>
      <c r="K268" s="400" t="str">
        <f t="shared" si="4"/>
        <v/>
      </c>
      <c r="L268" s="400" t="str">
        <f>IF('Mapa final SI'!AH271="","",'Mapa final SI'!AH271)</f>
        <v/>
      </c>
      <c r="M268" s="339" t="str">
        <f>IF('Mapa final SI'!T271="","",'Mapa final SI'!T271)</f>
        <v/>
      </c>
      <c r="N268" s="397"/>
      <c r="O268" s="397"/>
      <c r="P268" s="397"/>
      <c r="Q268" s="398"/>
    </row>
    <row r="269" spans="1:17" ht="43.5" customHeight="1" x14ac:dyDescent="0.25">
      <c r="A269" s="115" t="s">
        <v>501</v>
      </c>
      <c r="B269" s="857"/>
      <c r="C269" s="863"/>
      <c r="D269" s="861"/>
      <c r="E269" s="863"/>
      <c r="F269" s="865"/>
      <c r="G269" s="865"/>
      <c r="H269" s="1073"/>
      <c r="I269" s="400" t="str">
        <f>IF('Mapa final SI'!AC272="","",'Mapa final SI'!AC272)</f>
        <v/>
      </c>
      <c r="J269" s="400" t="str">
        <f>IF('Mapa final SI'!AE272="","",'Mapa final SI'!AE272)</f>
        <v/>
      </c>
      <c r="K269" s="400" t="str">
        <f t="shared" si="4"/>
        <v/>
      </c>
      <c r="L269" s="400" t="str">
        <f>IF('Mapa final SI'!AH272="","",'Mapa final SI'!AH272)</f>
        <v/>
      </c>
      <c r="M269" s="339" t="str">
        <f>IF('Mapa final SI'!T272="","",'Mapa final SI'!T272)</f>
        <v/>
      </c>
      <c r="N269" s="397"/>
      <c r="O269" s="397"/>
      <c r="P269" s="397"/>
      <c r="Q269" s="398"/>
    </row>
    <row r="270" spans="1:17" ht="43.5" customHeight="1" x14ac:dyDescent="0.25">
      <c r="A270" s="115" t="s">
        <v>502</v>
      </c>
      <c r="B270" s="857"/>
      <c r="C270" s="863"/>
      <c r="D270" s="861"/>
      <c r="E270" s="863"/>
      <c r="F270" s="865"/>
      <c r="G270" s="865"/>
      <c r="H270" s="866"/>
      <c r="I270" s="400" t="str">
        <f>IF('Mapa final SI'!AC273="","",'Mapa final SI'!AC273)</f>
        <v/>
      </c>
      <c r="J270" s="400" t="str">
        <f>IF('Mapa final SI'!AE273="","",'Mapa final SI'!AE273)</f>
        <v/>
      </c>
      <c r="K270" s="400" t="str">
        <f t="shared" si="4"/>
        <v/>
      </c>
      <c r="L270" s="400" t="str">
        <f>IF('Mapa final SI'!AH273="","",'Mapa final SI'!AH273)</f>
        <v/>
      </c>
      <c r="M270" s="339" t="str">
        <f>IF('Mapa final SI'!T273="","",'Mapa final SI'!T273)</f>
        <v/>
      </c>
      <c r="N270" s="397"/>
      <c r="O270" s="397"/>
      <c r="P270" s="397"/>
      <c r="Q270" s="398"/>
    </row>
    <row r="271" spans="1:17" ht="43.5" customHeight="1" x14ac:dyDescent="0.25">
      <c r="A271" s="115" t="s">
        <v>503</v>
      </c>
      <c r="B271" s="856"/>
      <c r="C271" s="862" t="str">
        <f>IF('Mapa final SI'!G274="","",'Mapa final SI'!G274)</f>
        <v/>
      </c>
      <c r="D271" s="860"/>
      <c r="E271" s="862" t="str">
        <f>IF('Mapa final SI'!F274="","",'Mapa final SI'!F274)</f>
        <v/>
      </c>
      <c r="F271" s="864" t="str">
        <f>IF('Mapa final SI'!L274="","",'Mapa final SI'!L274)</f>
        <v/>
      </c>
      <c r="G271" s="864" t="str">
        <f>IF('Mapa final SI'!P274="","",'Mapa final SI'!P274)</f>
        <v/>
      </c>
      <c r="H271" s="107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0" t="str">
        <f>IF('Mapa final SI'!AC274="","",'Mapa final SI'!AC274)</f>
        <v/>
      </c>
      <c r="J271" s="400" t="str">
        <f>IF('Mapa final SI'!AE274="","",'Mapa final SI'!AE274)</f>
        <v/>
      </c>
      <c r="K271" s="400" t="str">
        <f t="shared" si="4"/>
        <v/>
      </c>
      <c r="L271" s="400" t="str">
        <f>IF('Mapa final SI'!AH274="","",'Mapa final SI'!AH274)</f>
        <v/>
      </c>
      <c r="M271" s="339" t="str">
        <f>IF('Mapa final SI'!T274="","",'Mapa final SI'!T274)</f>
        <v/>
      </c>
      <c r="N271" s="397"/>
      <c r="O271" s="397"/>
      <c r="P271" s="397"/>
      <c r="Q271" s="398"/>
    </row>
    <row r="272" spans="1:17" ht="43.5" customHeight="1" x14ac:dyDescent="0.25">
      <c r="A272" s="115" t="s">
        <v>504</v>
      </c>
      <c r="B272" s="857"/>
      <c r="C272" s="863"/>
      <c r="D272" s="861"/>
      <c r="E272" s="863"/>
      <c r="F272" s="865"/>
      <c r="G272" s="865"/>
      <c r="H272" s="1073"/>
      <c r="I272" s="400" t="str">
        <f>IF('Mapa final SI'!AC275="","",'Mapa final SI'!AC275)</f>
        <v/>
      </c>
      <c r="J272" s="400" t="str">
        <f>IF('Mapa final SI'!AE275="","",'Mapa final SI'!AE275)</f>
        <v/>
      </c>
      <c r="K272" s="400" t="str">
        <f t="shared" si="4"/>
        <v/>
      </c>
      <c r="L272" s="400" t="str">
        <f>IF('Mapa final SI'!AH275="","",'Mapa final SI'!AH275)</f>
        <v/>
      </c>
      <c r="M272" s="339" t="str">
        <f>IF('Mapa final SI'!T275="","",'Mapa final SI'!T275)</f>
        <v/>
      </c>
      <c r="N272" s="397"/>
      <c r="O272" s="397"/>
      <c r="P272" s="397"/>
      <c r="Q272" s="398"/>
    </row>
    <row r="273" spans="1:17" ht="43.5" customHeight="1" x14ac:dyDescent="0.25">
      <c r="A273" s="115" t="s">
        <v>505</v>
      </c>
      <c r="B273" s="857"/>
      <c r="C273" s="863"/>
      <c r="D273" s="861"/>
      <c r="E273" s="863"/>
      <c r="F273" s="865"/>
      <c r="G273" s="865"/>
      <c r="H273" s="1073"/>
      <c r="I273" s="400" t="str">
        <f>IF('Mapa final SI'!AC276="","",'Mapa final SI'!AC276)</f>
        <v/>
      </c>
      <c r="J273" s="400" t="str">
        <f>IF('Mapa final SI'!AE276="","",'Mapa final SI'!AE276)</f>
        <v/>
      </c>
      <c r="K273" s="400" t="str">
        <f t="shared" si="4"/>
        <v/>
      </c>
      <c r="L273" s="400" t="str">
        <f>IF('Mapa final SI'!AH276="","",'Mapa final SI'!AH276)</f>
        <v/>
      </c>
      <c r="M273" s="339" t="str">
        <f>IF('Mapa final SI'!T276="","",'Mapa final SI'!T276)</f>
        <v/>
      </c>
      <c r="N273" s="397"/>
      <c r="O273" s="397"/>
      <c r="P273" s="397"/>
      <c r="Q273" s="398"/>
    </row>
    <row r="274" spans="1:17" ht="43.5" customHeight="1" x14ac:dyDescent="0.25">
      <c r="A274" s="115" t="s">
        <v>506</v>
      </c>
      <c r="B274" s="857"/>
      <c r="C274" s="863"/>
      <c r="D274" s="861"/>
      <c r="E274" s="863"/>
      <c r="F274" s="865"/>
      <c r="G274" s="865"/>
      <c r="H274" s="1073"/>
      <c r="I274" s="400" t="str">
        <f>IF('Mapa final SI'!AC277="","",'Mapa final SI'!AC277)</f>
        <v/>
      </c>
      <c r="J274" s="400" t="str">
        <f>IF('Mapa final SI'!AE277="","",'Mapa final SI'!AE277)</f>
        <v/>
      </c>
      <c r="K274" s="400" t="str">
        <f t="shared" si="4"/>
        <v/>
      </c>
      <c r="L274" s="400" t="str">
        <f>IF('Mapa final SI'!AH277="","",'Mapa final SI'!AH277)</f>
        <v/>
      </c>
      <c r="M274" s="339" t="str">
        <f>IF('Mapa final SI'!T277="","",'Mapa final SI'!T277)</f>
        <v/>
      </c>
      <c r="N274" s="397"/>
      <c r="O274" s="397"/>
      <c r="P274" s="397"/>
      <c r="Q274" s="398"/>
    </row>
    <row r="275" spans="1:17" ht="43.5" customHeight="1" x14ac:dyDescent="0.25">
      <c r="A275" s="115" t="s">
        <v>507</v>
      </c>
      <c r="B275" s="857"/>
      <c r="C275" s="863"/>
      <c r="D275" s="861"/>
      <c r="E275" s="863"/>
      <c r="F275" s="865"/>
      <c r="G275" s="865"/>
      <c r="H275" s="1073"/>
      <c r="I275" s="400" t="str">
        <f>IF('Mapa final SI'!AC278="","",'Mapa final SI'!AC278)</f>
        <v/>
      </c>
      <c r="J275" s="400" t="str">
        <f>IF('Mapa final SI'!AE278="","",'Mapa final SI'!AE278)</f>
        <v/>
      </c>
      <c r="K275" s="400" t="str">
        <f t="shared" si="4"/>
        <v/>
      </c>
      <c r="L275" s="400" t="str">
        <f>IF('Mapa final SI'!AH278="","",'Mapa final SI'!AH278)</f>
        <v/>
      </c>
      <c r="M275" s="339" t="str">
        <f>IF('Mapa final SI'!T278="","",'Mapa final SI'!T278)</f>
        <v/>
      </c>
      <c r="N275" s="397"/>
      <c r="O275" s="397"/>
      <c r="P275" s="397"/>
      <c r="Q275" s="398"/>
    </row>
    <row r="276" spans="1:17" ht="43.5" customHeight="1" x14ac:dyDescent="0.25">
      <c r="A276" s="115" t="s">
        <v>508</v>
      </c>
      <c r="B276" s="857"/>
      <c r="C276" s="863"/>
      <c r="D276" s="861"/>
      <c r="E276" s="863"/>
      <c r="F276" s="865"/>
      <c r="G276" s="865"/>
      <c r="H276" s="866"/>
      <c r="I276" s="400" t="str">
        <f>IF('Mapa final SI'!AC279="","",'Mapa final SI'!AC279)</f>
        <v/>
      </c>
      <c r="J276" s="400" t="str">
        <f>IF('Mapa final SI'!AE279="","",'Mapa final SI'!AE279)</f>
        <v/>
      </c>
      <c r="K276" s="400" t="str">
        <f t="shared" si="4"/>
        <v/>
      </c>
      <c r="L276" s="400" t="str">
        <f>IF('Mapa final SI'!AH279="","",'Mapa final SI'!AH279)</f>
        <v/>
      </c>
      <c r="M276" s="339" t="str">
        <f>IF('Mapa final SI'!T279="","",'Mapa final SI'!T279)</f>
        <v/>
      </c>
      <c r="N276" s="397"/>
      <c r="O276" s="397"/>
      <c r="P276" s="397"/>
      <c r="Q276" s="398"/>
    </row>
    <row r="277" spans="1:17" ht="43.5" customHeight="1" x14ac:dyDescent="0.25">
      <c r="A277" s="115" t="s">
        <v>509</v>
      </c>
      <c r="B277" s="856"/>
      <c r="C277" s="862" t="str">
        <f>IF('Mapa final SI'!G280="","",'Mapa final SI'!G280)</f>
        <v/>
      </c>
      <c r="D277" s="860"/>
      <c r="E277" s="862" t="str">
        <f>IF('Mapa final SI'!F280="","",'Mapa final SI'!F280)</f>
        <v/>
      </c>
      <c r="F277" s="864" t="str">
        <f>IF('Mapa final SI'!L280="","",'Mapa final SI'!L280)</f>
        <v/>
      </c>
      <c r="G277" s="864" t="str">
        <f>IF('Mapa final SI'!P280="","",'Mapa final SI'!P280)</f>
        <v/>
      </c>
      <c r="H277" s="107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0" t="str">
        <f>IF('Mapa final SI'!AC280="","",'Mapa final SI'!AC280)</f>
        <v/>
      </c>
      <c r="J277" s="400" t="str">
        <f>IF('Mapa final SI'!AE280="","",'Mapa final SI'!AE280)</f>
        <v/>
      </c>
      <c r="K277" s="400" t="str">
        <f t="shared" si="4"/>
        <v/>
      </c>
      <c r="L277" s="400" t="str">
        <f>IF('Mapa final SI'!AH280="","",'Mapa final SI'!AH280)</f>
        <v/>
      </c>
      <c r="M277" s="339" t="str">
        <f>IF('Mapa final SI'!T280="","",'Mapa final SI'!T280)</f>
        <v/>
      </c>
      <c r="N277" s="397"/>
      <c r="O277" s="397"/>
      <c r="P277" s="397"/>
      <c r="Q277" s="398"/>
    </row>
    <row r="278" spans="1:17" ht="43.5" customHeight="1" x14ac:dyDescent="0.25">
      <c r="A278" s="115" t="s">
        <v>510</v>
      </c>
      <c r="B278" s="857"/>
      <c r="C278" s="863"/>
      <c r="D278" s="861"/>
      <c r="E278" s="863"/>
      <c r="F278" s="865"/>
      <c r="G278" s="865"/>
      <c r="H278" s="1073"/>
      <c r="I278" s="400" t="str">
        <f>IF('Mapa final SI'!AC281="","",'Mapa final SI'!AC281)</f>
        <v/>
      </c>
      <c r="J278" s="400" t="str">
        <f>IF('Mapa final SI'!AE281="","",'Mapa final SI'!AE281)</f>
        <v/>
      </c>
      <c r="K278" s="400" t="str">
        <f t="shared" si="4"/>
        <v/>
      </c>
      <c r="L278" s="400" t="str">
        <f>IF('Mapa final SI'!AH281="","",'Mapa final SI'!AH281)</f>
        <v/>
      </c>
      <c r="M278" s="339" t="str">
        <f>IF('Mapa final SI'!T281="","",'Mapa final SI'!T281)</f>
        <v/>
      </c>
      <c r="N278" s="397"/>
      <c r="O278" s="397"/>
      <c r="P278" s="397"/>
      <c r="Q278" s="398"/>
    </row>
    <row r="279" spans="1:17" ht="43.5" customHeight="1" x14ac:dyDescent="0.25">
      <c r="A279" s="115" t="s">
        <v>511</v>
      </c>
      <c r="B279" s="857"/>
      <c r="C279" s="863"/>
      <c r="D279" s="861"/>
      <c r="E279" s="863"/>
      <c r="F279" s="865"/>
      <c r="G279" s="865"/>
      <c r="H279" s="1073"/>
      <c r="I279" s="400" t="str">
        <f>IF('Mapa final SI'!AC282="","",'Mapa final SI'!AC282)</f>
        <v/>
      </c>
      <c r="J279" s="400" t="str">
        <f>IF('Mapa final SI'!AE282="","",'Mapa final SI'!AE282)</f>
        <v/>
      </c>
      <c r="K279" s="400" t="str">
        <f t="shared" si="4"/>
        <v/>
      </c>
      <c r="L279" s="400" t="str">
        <f>IF('Mapa final SI'!AH282="","",'Mapa final SI'!AH282)</f>
        <v/>
      </c>
      <c r="M279" s="339" t="str">
        <f>IF('Mapa final SI'!T282="","",'Mapa final SI'!T282)</f>
        <v/>
      </c>
      <c r="N279" s="397"/>
      <c r="O279" s="397"/>
      <c r="P279" s="397"/>
      <c r="Q279" s="398"/>
    </row>
    <row r="280" spans="1:17" ht="43.5" customHeight="1" x14ac:dyDescent="0.25">
      <c r="A280" s="115" t="s">
        <v>512</v>
      </c>
      <c r="B280" s="857"/>
      <c r="C280" s="863"/>
      <c r="D280" s="861"/>
      <c r="E280" s="863"/>
      <c r="F280" s="865"/>
      <c r="G280" s="865"/>
      <c r="H280" s="1073"/>
      <c r="I280" s="400" t="str">
        <f>IF('Mapa final SI'!AC283="","",'Mapa final SI'!AC283)</f>
        <v/>
      </c>
      <c r="J280" s="400" t="str">
        <f>IF('Mapa final SI'!AE283="","",'Mapa final SI'!AE283)</f>
        <v/>
      </c>
      <c r="K280" s="400" t="str">
        <f t="shared" si="4"/>
        <v/>
      </c>
      <c r="L280" s="400" t="str">
        <f>IF('Mapa final SI'!AH283="","",'Mapa final SI'!AH283)</f>
        <v/>
      </c>
      <c r="M280" s="339" t="str">
        <f>IF('Mapa final SI'!T283="","",'Mapa final SI'!T283)</f>
        <v/>
      </c>
      <c r="N280" s="397"/>
      <c r="O280" s="397"/>
      <c r="P280" s="397"/>
      <c r="Q280" s="398"/>
    </row>
    <row r="281" spans="1:17" ht="43.5" customHeight="1" x14ac:dyDescent="0.25">
      <c r="A281" s="115" t="s">
        <v>513</v>
      </c>
      <c r="B281" s="857"/>
      <c r="C281" s="863"/>
      <c r="D281" s="861"/>
      <c r="E281" s="863"/>
      <c r="F281" s="865"/>
      <c r="G281" s="865"/>
      <c r="H281" s="1073"/>
      <c r="I281" s="400" t="str">
        <f>IF('Mapa final SI'!AC284="","",'Mapa final SI'!AC284)</f>
        <v/>
      </c>
      <c r="J281" s="400" t="str">
        <f>IF('Mapa final SI'!AE284="","",'Mapa final SI'!AE284)</f>
        <v/>
      </c>
      <c r="K281" s="400" t="str">
        <f t="shared" si="4"/>
        <v/>
      </c>
      <c r="L281" s="400" t="str">
        <f>IF('Mapa final SI'!AH284="","",'Mapa final SI'!AH284)</f>
        <v/>
      </c>
      <c r="M281" s="339" t="str">
        <f>IF('Mapa final SI'!T284="","",'Mapa final SI'!T284)</f>
        <v/>
      </c>
      <c r="N281" s="397"/>
      <c r="O281" s="397"/>
      <c r="P281" s="397"/>
      <c r="Q281" s="398"/>
    </row>
    <row r="282" spans="1:17" ht="43.5" customHeight="1" x14ac:dyDescent="0.25">
      <c r="A282" s="115" t="s">
        <v>514</v>
      </c>
      <c r="B282" s="857"/>
      <c r="C282" s="863"/>
      <c r="D282" s="861"/>
      <c r="E282" s="863"/>
      <c r="F282" s="865"/>
      <c r="G282" s="865"/>
      <c r="H282" s="866"/>
      <c r="I282" s="400" t="str">
        <f>IF('Mapa final SI'!AC285="","",'Mapa final SI'!AC285)</f>
        <v/>
      </c>
      <c r="J282" s="400" t="str">
        <f>IF('Mapa final SI'!AE285="","",'Mapa final SI'!AE285)</f>
        <v/>
      </c>
      <c r="K282" s="400" t="str">
        <f t="shared" si="4"/>
        <v/>
      </c>
      <c r="L282" s="400" t="str">
        <f>IF('Mapa final SI'!AH285="","",'Mapa final SI'!AH285)</f>
        <v/>
      </c>
      <c r="M282" s="339" t="str">
        <f>IF('Mapa final SI'!T285="","",'Mapa final SI'!T285)</f>
        <v/>
      </c>
      <c r="N282" s="397"/>
      <c r="O282" s="397"/>
      <c r="P282" s="397"/>
      <c r="Q282" s="398"/>
    </row>
    <row r="283" spans="1:17" ht="43.5" customHeight="1" x14ac:dyDescent="0.25">
      <c r="A283" s="115" t="s">
        <v>515</v>
      </c>
      <c r="B283" s="856"/>
      <c r="C283" s="862" t="str">
        <f>IF('Mapa final SI'!G286="","",'Mapa final SI'!G286)</f>
        <v/>
      </c>
      <c r="D283" s="860"/>
      <c r="E283" s="862" t="str">
        <f>IF('Mapa final SI'!F286="","",'Mapa final SI'!F286)</f>
        <v/>
      </c>
      <c r="F283" s="864" t="str">
        <f>IF('Mapa final SI'!L286="","",'Mapa final SI'!L286)</f>
        <v/>
      </c>
      <c r="G283" s="864" t="str">
        <f>IF('Mapa final SI'!P286="","",'Mapa final SI'!P286)</f>
        <v/>
      </c>
      <c r="H283" s="107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0" t="str">
        <f>IF('Mapa final SI'!AC286="","",'Mapa final SI'!AC286)</f>
        <v/>
      </c>
      <c r="J283" s="400" t="str">
        <f>IF('Mapa final SI'!AE286="","",'Mapa final SI'!AE286)</f>
        <v/>
      </c>
      <c r="K283" s="400" t="str">
        <f t="shared" si="4"/>
        <v/>
      </c>
      <c r="L283" s="400" t="str">
        <f>IF('Mapa final SI'!AH286="","",'Mapa final SI'!AH286)</f>
        <v/>
      </c>
      <c r="M283" s="339" t="str">
        <f>IF('Mapa final SI'!T286="","",'Mapa final SI'!T286)</f>
        <v/>
      </c>
      <c r="N283" s="397"/>
      <c r="O283" s="397"/>
      <c r="P283" s="397"/>
      <c r="Q283" s="398"/>
    </row>
    <row r="284" spans="1:17" ht="43.5" customHeight="1" x14ac:dyDescent="0.25">
      <c r="A284" s="115" t="s">
        <v>516</v>
      </c>
      <c r="B284" s="857"/>
      <c r="C284" s="863"/>
      <c r="D284" s="861"/>
      <c r="E284" s="863"/>
      <c r="F284" s="865"/>
      <c r="G284" s="865"/>
      <c r="H284" s="1073"/>
      <c r="I284" s="400" t="str">
        <f>IF('Mapa final SI'!AC287="","",'Mapa final SI'!AC287)</f>
        <v/>
      </c>
      <c r="J284" s="400" t="str">
        <f>IF('Mapa final SI'!AE287="","",'Mapa final SI'!AE287)</f>
        <v/>
      </c>
      <c r="K284" s="400" t="str">
        <f t="shared" si="4"/>
        <v/>
      </c>
      <c r="L284" s="400" t="str">
        <f>IF('Mapa final SI'!AH287="","",'Mapa final SI'!AH287)</f>
        <v/>
      </c>
      <c r="M284" s="339" t="str">
        <f>IF('Mapa final SI'!T287="","",'Mapa final SI'!T287)</f>
        <v/>
      </c>
      <c r="N284" s="397"/>
      <c r="O284" s="397"/>
      <c r="P284" s="397"/>
      <c r="Q284" s="398"/>
    </row>
    <row r="285" spans="1:17" ht="43.5" customHeight="1" x14ac:dyDescent="0.25">
      <c r="A285" s="115" t="s">
        <v>517</v>
      </c>
      <c r="B285" s="857"/>
      <c r="C285" s="863"/>
      <c r="D285" s="861"/>
      <c r="E285" s="863"/>
      <c r="F285" s="865"/>
      <c r="G285" s="865"/>
      <c r="H285" s="1073"/>
      <c r="I285" s="400" t="str">
        <f>IF('Mapa final SI'!AC288="","",'Mapa final SI'!AC288)</f>
        <v/>
      </c>
      <c r="J285" s="400" t="str">
        <f>IF('Mapa final SI'!AE288="","",'Mapa final SI'!AE288)</f>
        <v/>
      </c>
      <c r="K285" s="400" t="str">
        <f t="shared" si="4"/>
        <v/>
      </c>
      <c r="L285" s="400" t="str">
        <f>IF('Mapa final SI'!AH288="","",'Mapa final SI'!AH288)</f>
        <v/>
      </c>
      <c r="M285" s="339" t="str">
        <f>IF('Mapa final SI'!T288="","",'Mapa final SI'!T288)</f>
        <v/>
      </c>
      <c r="N285" s="397"/>
      <c r="O285" s="397"/>
      <c r="P285" s="397"/>
      <c r="Q285" s="398"/>
    </row>
    <row r="286" spans="1:17" ht="43.5" customHeight="1" x14ac:dyDescent="0.25">
      <c r="A286" s="115" t="s">
        <v>518</v>
      </c>
      <c r="B286" s="857"/>
      <c r="C286" s="863"/>
      <c r="D286" s="861"/>
      <c r="E286" s="863"/>
      <c r="F286" s="865"/>
      <c r="G286" s="865"/>
      <c r="H286" s="1073"/>
      <c r="I286" s="400" t="str">
        <f>IF('Mapa final SI'!AC289="","",'Mapa final SI'!AC289)</f>
        <v/>
      </c>
      <c r="J286" s="400" t="str">
        <f>IF('Mapa final SI'!AE289="","",'Mapa final SI'!AE289)</f>
        <v/>
      </c>
      <c r="K286" s="400" t="str">
        <f t="shared" si="4"/>
        <v/>
      </c>
      <c r="L286" s="400" t="str">
        <f>IF('Mapa final SI'!AH289="","",'Mapa final SI'!AH289)</f>
        <v/>
      </c>
      <c r="M286" s="339" t="str">
        <f>IF('Mapa final SI'!T289="","",'Mapa final SI'!T289)</f>
        <v/>
      </c>
      <c r="N286" s="397"/>
      <c r="O286" s="397"/>
      <c r="P286" s="397"/>
      <c r="Q286" s="398"/>
    </row>
    <row r="287" spans="1:17" ht="43.5" customHeight="1" x14ac:dyDescent="0.25">
      <c r="A287" s="115" t="s">
        <v>519</v>
      </c>
      <c r="B287" s="857"/>
      <c r="C287" s="863"/>
      <c r="D287" s="861"/>
      <c r="E287" s="863"/>
      <c r="F287" s="865"/>
      <c r="G287" s="865"/>
      <c r="H287" s="1073"/>
      <c r="I287" s="400" t="str">
        <f>IF('Mapa final SI'!AC290="","",'Mapa final SI'!AC290)</f>
        <v/>
      </c>
      <c r="J287" s="400" t="str">
        <f>IF('Mapa final SI'!AE290="","",'Mapa final SI'!AE290)</f>
        <v/>
      </c>
      <c r="K287" s="400" t="str">
        <f t="shared" si="4"/>
        <v/>
      </c>
      <c r="L287" s="400" t="str">
        <f>IF('Mapa final SI'!AH290="","",'Mapa final SI'!AH290)</f>
        <v/>
      </c>
      <c r="M287" s="339" t="str">
        <f>IF('Mapa final SI'!T290="","",'Mapa final SI'!T290)</f>
        <v/>
      </c>
      <c r="N287" s="397"/>
      <c r="O287" s="397"/>
      <c r="P287" s="397"/>
      <c r="Q287" s="398"/>
    </row>
    <row r="288" spans="1:17" ht="43.5" customHeight="1" x14ac:dyDescent="0.25">
      <c r="A288" s="115" t="s">
        <v>520</v>
      </c>
      <c r="B288" s="857"/>
      <c r="C288" s="863"/>
      <c r="D288" s="861"/>
      <c r="E288" s="863"/>
      <c r="F288" s="865"/>
      <c r="G288" s="865"/>
      <c r="H288" s="866"/>
      <c r="I288" s="400" t="str">
        <f>IF('Mapa final SI'!AC291="","",'Mapa final SI'!AC291)</f>
        <v/>
      </c>
      <c r="J288" s="400" t="str">
        <f>IF('Mapa final SI'!AE291="","",'Mapa final SI'!AE291)</f>
        <v/>
      </c>
      <c r="K288" s="400" t="str">
        <f t="shared" si="4"/>
        <v/>
      </c>
      <c r="L288" s="400" t="str">
        <f>IF('Mapa final SI'!AH291="","",'Mapa final SI'!AH291)</f>
        <v/>
      </c>
      <c r="M288" s="339" t="str">
        <f>IF('Mapa final SI'!T291="","",'Mapa final SI'!T291)</f>
        <v/>
      </c>
      <c r="N288" s="397"/>
      <c r="O288" s="397"/>
      <c r="P288" s="397"/>
      <c r="Q288" s="398"/>
    </row>
    <row r="289" spans="1:17" ht="43.5" customHeight="1" x14ac:dyDescent="0.25">
      <c r="A289" s="115" t="s">
        <v>521</v>
      </c>
      <c r="B289" s="856"/>
      <c r="C289" s="862" t="str">
        <f>IF('Mapa final SI'!G292="","",'Mapa final SI'!G292)</f>
        <v/>
      </c>
      <c r="D289" s="860"/>
      <c r="E289" s="862" t="str">
        <f>IF('Mapa final SI'!F292="","",'Mapa final SI'!F292)</f>
        <v/>
      </c>
      <c r="F289" s="864" t="str">
        <f>IF('Mapa final SI'!L292="","",'Mapa final SI'!L292)</f>
        <v/>
      </c>
      <c r="G289" s="864" t="str">
        <f>IF('Mapa final SI'!P292="","",'Mapa final SI'!P292)</f>
        <v/>
      </c>
      <c r="H289" s="107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0" t="str">
        <f>IF('Mapa final SI'!AC292="","",'Mapa final SI'!AC292)</f>
        <v/>
      </c>
      <c r="J289" s="400" t="str">
        <f>IF('Mapa final SI'!AE292="","",'Mapa final SI'!AE292)</f>
        <v/>
      </c>
      <c r="K289" s="400" t="str">
        <f t="shared" si="4"/>
        <v/>
      </c>
      <c r="L289" s="400" t="str">
        <f>IF('Mapa final SI'!AH292="","",'Mapa final SI'!AH292)</f>
        <v/>
      </c>
      <c r="M289" s="339" t="str">
        <f>IF('Mapa final SI'!T292="","",'Mapa final SI'!T292)</f>
        <v/>
      </c>
      <c r="N289" s="397"/>
      <c r="O289" s="397"/>
      <c r="P289" s="397"/>
      <c r="Q289" s="398"/>
    </row>
    <row r="290" spans="1:17" ht="43.5" customHeight="1" x14ac:dyDescent="0.25">
      <c r="A290" s="115" t="s">
        <v>522</v>
      </c>
      <c r="B290" s="857"/>
      <c r="C290" s="863"/>
      <c r="D290" s="861"/>
      <c r="E290" s="863"/>
      <c r="F290" s="865"/>
      <c r="G290" s="865"/>
      <c r="H290" s="1073"/>
      <c r="I290" s="400" t="str">
        <f>IF('Mapa final SI'!AC293="","",'Mapa final SI'!AC293)</f>
        <v/>
      </c>
      <c r="J290" s="400" t="str">
        <f>IF('Mapa final SI'!AE293="","",'Mapa final SI'!AE293)</f>
        <v/>
      </c>
      <c r="K290" s="400" t="str">
        <f t="shared" si="4"/>
        <v/>
      </c>
      <c r="L290" s="400" t="str">
        <f>IF('Mapa final SI'!AH293="","",'Mapa final SI'!AH293)</f>
        <v/>
      </c>
      <c r="M290" s="339" t="str">
        <f>IF('Mapa final SI'!T293="","",'Mapa final SI'!T293)</f>
        <v/>
      </c>
      <c r="N290" s="397"/>
      <c r="O290" s="397"/>
      <c r="P290" s="397"/>
      <c r="Q290" s="398"/>
    </row>
    <row r="291" spans="1:17" ht="43.5" customHeight="1" x14ac:dyDescent="0.25">
      <c r="A291" s="115" t="s">
        <v>523</v>
      </c>
      <c r="B291" s="857"/>
      <c r="C291" s="863"/>
      <c r="D291" s="861"/>
      <c r="E291" s="863"/>
      <c r="F291" s="865"/>
      <c r="G291" s="865"/>
      <c r="H291" s="1073"/>
      <c r="I291" s="400" t="str">
        <f>IF('Mapa final SI'!AC294="","",'Mapa final SI'!AC294)</f>
        <v/>
      </c>
      <c r="J291" s="400" t="str">
        <f>IF('Mapa final SI'!AE294="","",'Mapa final SI'!AE294)</f>
        <v/>
      </c>
      <c r="K291" s="400" t="str">
        <f t="shared" si="4"/>
        <v/>
      </c>
      <c r="L291" s="400" t="str">
        <f>IF('Mapa final SI'!AH294="","",'Mapa final SI'!AH294)</f>
        <v/>
      </c>
      <c r="M291" s="339" t="str">
        <f>IF('Mapa final SI'!T294="","",'Mapa final SI'!T294)</f>
        <v/>
      </c>
      <c r="N291" s="397"/>
      <c r="O291" s="397"/>
      <c r="P291" s="397"/>
      <c r="Q291" s="398"/>
    </row>
    <row r="292" spans="1:17" ht="43.5" customHeight="1" x14ac:dyDescent="0.25">
      <c r="A292" s="115" t="s">
        <v>524</v>
      </c>
      <c r="B292" s="857"/>
      <c r="C292" s="863"/>
      <c r="D292" s="861"/>
      <c r="E292" s="863"/>
      <c r="F292" s="865"/>
      <c r="G292" s="865"/>
      <c r="H292" s="1073"/>
      <c r="I292" s="400" t="str">
        <f>IF('Mapa final SI'!AC295="","",'Mapa final SI'!AC295)</f>
        <v/>
      </c>
      <c r="J292" s="400" t="str">
        <f>IF('Mapa final SI'!AE295="","",'Mapa final SI'!AE295)</f>
        <v/>
      </c>
      <c r="K292" s="400" t="str">
        <f t="shared" si="4"/>
        <v/>
      </c>
      <c r="L292" s="400" t="str">
        <f>IF('Mapa final SI'!AH295="","",'Mapa final SI'!AH295)</f>
        <v/>
      </c>
      <c r="M292" s="339" t="str">
        <f>IF('Mapa final SI'!T295="","",'Mapa final SI'!T295)</f>
        <v/>
      </c>
      <c r="N292" s="397"/>
      <c r="O292" s="397"/>
      <c r="P292" s="397"/>
      <c r="Q292" s="398"/>
    </row>
    <row r="293" spans="1:17" ht="43.5" customHeight="1" x14ac:dyDescent="0.25">
      <c r="A293" s="115" t="s">
        <v>525</v>
      </c>
      <c r="B293" s="857"/>
      <c r="C293" s="863"/>
      <c r="D293" s="861"/>
      <c r="E293" s="863"/>
      <c r="F293" s="865"/>
      <c r="G293" s="865"/>
      <c r="H293" s="1073"/>
      <c r="I293" s="400" t="str">
        <f>IF('Mapa final SI'!AC296="","",'Mapa final SI'!AC296)</f>
        <v/>
      </c>
      <c r="J293" s="400" t="str">
        <f>IF('Mapa final SI'!AE296="","",'Mapa final SI'!AE296)</f>
        <v/>
      </c>
      <c r="K293" s="400" t="str">
        <f t="shared" si="4"/>
        <v/>
      </c>
      <c r="L293" s="400" t="str">
        <f>IF('Mapa final SI'!AH296="","",'Mapa final SI'!AH296)</f>
        <v/>
      </c>
      <c r="M293" s="339" t="str">
        <f>IF('Mapa final SI'!T296="","",'Mapa final SI'!T296)</f>
        <v/>
      </c>
      <c r="N293" s="397"/>
      <c r="O293" s="397"/>
      <c r="P293" s="397"/>
      <c r="Q293" s="398"/>
    </row>
    <row r="294" spans="1:17" ht="43.5" customHeight="1" x14ac:dyDescent="0.25">
      <c r="A294" s="115" t="s">
        <v>526</v>
      </c>
      <c r="B294" s="857"/>
      <c r="C294" s="863"/>
      <c r="D294" s="861"/>
      <c r="E294" s="863"/>
      <c r="F294" s="865"/>
      <c r="G294" s="865"/>
      <c r="H294" s="866"/>
      <c r="I294" s="400" t="str">
        <f>IF('Mapa final SI'!AC297="","",'Mapa final SI'!AC297)</f>
        <v/>
      </c>
      <c r="J294" s="400" t="str">
        <f>IF('Mapa final SI'!AE297="","",'Mapa final SI'!AE297)</f>
        <v/>
      </c>
      <c r="K294" s="400" t="str">
        <f t="shared" si="4"/>
        <v/>
      </c>
      <c r="L294" s="400" t="str">
        <f>IF('Mapa final SI'!AH297="","",'Mapa final SI'!AH297)</f>
        <v/>
      </c>
      <c r="M294" s="339" t="str">
        <f>IF('Mapa final SI'!T297="","",'Mapa final SI'!T297)</f>
        <v/>
      </c>
      <c r="N294" s="397"/>
      <c r="O294" s="397"/>
      <c r="P294" s="397"/>
      <c r="Q294" s="398"/>
    </row>
    <row r="295" spans="1:17" ht="43.5" customHeight="1" x14ac:dyDescent="0.25">
      <c r="A295" s="115" t="s">
        <v>527</v>
      </c>
      <c r="B295" s="856"/>
      <c r="C295" s="862" t="str">
        <f>IF('Mapa final SI'!G298="","",'Mapa final SI'!G298)</f>
        <v/>
      </c>
      <c r="D295" s="860"/>
      <c r="E295" s="862" t="str">
        <f>IF('Mapa final SI'!F298="","",'Mapa final SI'!F298)</f>
        <v/>
      </c>
      <c r="F295" s="864" t="str">
        <f>IF('Mapa final SI'!L298="","",'Mapa final SI'!L298)</f>
        <v/>
      </c>
      <c r="G295" s="864" t="str">
        <f>IF('Mapa final SI'!P298="","",'Mapa final SI'!P298)</f>
        <v/>
      </c>
      <c r="H295" s="107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0" t="str">
        <f>IF('Mapa final SI'!AC298="","",'Mapa final SI'!AC298)</f>
        <v/>
      </c>
      <c r="J295" s="400" t="str">
        <f>IF('Mapa final SI'!AE298="","",'Mapa final SI'!AE298)</f>
        <v/>
      </c>
      <c r="K295" s="400" t="str">
        <f t="shared" si="4"/>
        <v/>
      </c>
      <c r="L295" s="400" t="str">
        <f>IF('Mapa final SI'!AH298="","",'Mapa final SI'!AH298)</f>
        <v/>
      </c>
      <c r="M295" s="339" t="str">
        <f>IF('Mapa final SI'!T298="","",'Mapa final SI'!T298)</f>
        <v/>
      </c>
      <c r="N295" s="397"/>
      <c r="O295" s="397"/>
      <c r="P295" s="397"/>
      <c r="Q295" s="398"/>
    </row>
    <row r="296" spans="1:17" ht="43.5" customHeight="1" x14ac:dyDescent="0.25">
      <c r="A296" s="115" t="s">
        <v>528</v>
      </c>
      <c r="B296" s="857"/>
      <c r="C296" s="863"/>
      <c r="D296" s="861"/>
      <c r="E296" s="863"/>
      <c r="F296" s="865"/>
      <c r="G296" s="865"/>
      <c r="H296" s="1073"/>
      <c r="I296" s="400" t="str">
        <f>IF('Mapa final SI'!AC299="","",'Mapa final SI'!AC299)</f>
        <v/>
      </c>
      <c r="J296" s="400" t="str">
        <f>IF('Mapa final SI'!AE299="","",'Mapa final SI'!AE299)</f>
        <v/>
      </c>
      <c r="K296" s="400" t="str">
        <f t="shared" si="4"/>
        <v/>
      </c>
      <c r="L296" s="400" t="str">
        <f>IF('Mapa final SI'!AH299="","",'Mapa final SI'!AH299)</f>
        <v/>
      </c>
      <c r="M296" s="339" t="str">
        <f>IF('Mapa final SI'!T299="","",'Mapa final SI'!T299)</f>
        <v/>
      </c>
      <c r="N296" s="397"/>
      <c r="O296" s="397"/>
      <c r="P296" s="397"/>
      <c r="Q296" s="398"/>
    </row>
    <row r="297" spans="1:17" ht="43.5" customHeight="1" x14ac:dyDescent="0.25">
      <c r="A297" s="115" t="s">
        <v>529</v>
      </c>
      <c r="B297" s="857"/>
      <c r="C297" s="863"/>
      <c r="D297" s="861"/>
      <c r="E297" s="863"/>
      <c r="F297" s="865"/>
      <c r="G297" s="865"/>
      <c r="H297" s="1073"/>
      <c r="I297" s="400" t="str">
        <f>IF('Mapa final SI'!AC300="","",'Mapa final SI'!AC300)</f>
        <v/>
      </c>
      <c r="J297" s="400" t="str">
        <f>IF('Mapa final SI'!AE300="","",'Mapa final SI'!AE300)</f>
        <v/>
      </c>
      <c r="K297" s="400" t="str">
        <f t="shared" si="4"/>
        <v/>
      </c>
      <c r="L297" s="400" t="str">
        <f>IF('Mapa final SI'!AH300="","",'Mapa final SI'!AH300)</f>
        <v/>
      </c>
      <c r="M297" s="339" t="str">
        <f>IF('Mapa final SI'!T300="","",'Mapa final SI'!T300)</f>
        <v/>
      </c>
      <c r="N297" s="397"/>
      <c r="O297" s="397"/>
      <c r="P297" s="397"/>
      <c r="Q297" s="398"/>
    </row>
    <row r="298" spans="1:17" ht="43.5" customHeight="1" x14ac:dyDescent="0.25">
      <c r="A298" s="115" t="s">
        <v>530</v>
      </c>
      <c r="B298" s="857"/>
      <c r="C298" s="863"/>
      <c r="D298" s="861"/>
      <c r="E298" s="863"/>
      <c r="F298" s="865"/>
      <c r="G298" s="865"/>
      <c r="H298" s="1073"/>
      <c r="I298" s="400" t="str">
        <f>IF('Mapa final SI'!AC301="","",'Mapa final SI'!AC301)</f>
        <v/>
      </c>
      <c r="J298" s="400" t="str">
        <f>IF('Mapa final SI'!AE301="","",'Mapa final SI'!AE301)</f>
        <v/>
      </c>
      <c r="K298" s="400" t="str">
        <f t="shared" si="4"/>
        <v/>
      </c>
      <c r="L298" s="400" t="str">
        <f>IF('Mapa final SI'!AH301="","",'Mapa final SI'!AH301)</f>
        <v/>
      </c>
      <c r="M298" s="339" t="str">
        <f>IF('Mapa final SI'!T301="","",'Mapa final SI'!T301)</f>
        <v/>
      </c>
      <c r="N298" s="397"/>
      <c r="O298" s="397"/>
      <c r="P298" s="397"/>
      <c r="Q298" s="398"/>
    </row>
    <row r="299" spans="1:17" ht="43.5" customHeight="1" x14ac:dyDescent="0.25">
      <c r="A299" s="115" t="s">
        <v>531</v>
      </c>
      <c r="B299" s="857"/>
      <c r="C299" s="863"/>
      <c r="D299" s="861"/>
      <c r="E299" s="863"/>
      <c r="F299" s="865"/>
      <c r="G299" s="865"/>
      <c r="H299" s="1073"/>
      <c r="I299" s="400" t="str">
        <f>IF('Mapa final SI'!AC302="","",'Mapa final SI'!AC302)</f>
        <v/>
      </c>
      <c r="J299" s="400" t="str">
        <f>IF('Mapa final SI'!AE302="","",'Mapa final SI'!AE302)</f>
        <v/>
      </c>
      <c r="K299" s="400" t="str">
        <f t="shared" si="4"/>
        <v/>
      </c>
      <c r="L299" s="400" t="str">
        <f>IF('Mapa final SI'!AH302="","",'Mapa final SI'!AH302)</f>
        <v/>
      </c>
      <c r="M299" s="339" t="str">
        <f>IF('Mapa final SI'!T302="","",'Mapa final SI'!T302)</f>
        <v/>
      </c>
      <c r="N299" s="397"/>
      <c r="O299" s="397"/>
      <c r="P299" s="397"/>
      <c r="Q299" s="398"/>
    </row>
    <row r="300" spans="1:17" ht="43.5" customHeight="1" x14ac:dyDescent="0.25">
      <c r="A300" s="115" t="s">
        <v>532</v>
      </c>
      <c r="B300" s="857"/>
      <c r="C300" s="863"/>
      <c r="D300" s="861"/>
      <c r="E300" s="863"/>
      <c r="F300" s="865"/>
      <c r="G300" s="865"/>
      <c r="H300" s="866"/>
      <c r="I300" s="400" t="str">
        <f>IF('Mapa final SI'!AC303="","",'Mapa final SI'!AC303)</f>
        <v/>
      </c>
      <c r="J300" s="400" t="str">
        <f>IF('Mapa final SI'!AE303="","",'Mapa final SI'!AE303)</f>
        <v/>
      </c>
      <c r="K300" s="400" t="str">
        <f t="shared" si="4"/>
        <v/>
      </c>
      <c r="L300" s="400" t="str">
        <f>IF('Mapa final SI'!AH303="","",'Mapa final SI'!AH303)</f>
        <v/>
      </c>
      <c r="M300" s="339" t="str">
        <f>IF('Mapa final SI'!T303="","",'Mapa final SI'!T303)</f>
        <v/>
      </c>
      <c r="N300" s="397"/>
      <c r="O300" s="397"/>
      <c r="P300" s="397"/>
      <c r="Q300" s="398"/>
    </row>
    <row r="301" spans="1:17" ht="43.5" customHeight="1" x14ac:dyDescent="0.25">
      <c r="A301" s="115" t="s">
        <v>533</v>
      </c>
      <c r="B301" s="856"/>
      <c r="C301" s="862" t="str">
        <f>IF('Mapa final SI'!G304="","",'Mapa final SI'!G304)</f>
        <v/>
      </c>
      <c r="D301" s="860"/>
      <c r="E301" s="862" t="str">
        <f>IF('Mapa final SI'!F304="","",'Mapa final SI'!F304)</f>
        <v/>
      </c>
      <c r="F301" s="864" t="str">
        <f>IF('Mapa final SI'!L304="","",'Mapa final SI'!L304)</f>
        <v/>
      </c>
      <c r="G301" s="864" t="str">
        <f>IF('Mapa final SI'!P304="","",'Mapa final SI'!P304)</f>
        <v/>
      </c>
      <c r="H301" s="107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0" t="str">
        <f>IF('Mapa final SI'!AC304="","",'Mapa final SI'!AC304)</f>
        <v/>
      </c>
      <c r="J301" s="400" t="str">
        <f>IF('Mapa final SI'!AE304="","",'Mapa final SI'!AE304)</f>
        <v/>
      </c>
      <c r="K301" s="400" t="str">
        <f t="shared" si="4"/>
        <v/>
      </c>
      <c r="L301" s="400" t="str">
        <f>IF('Mapa final SI'!AH304="","",'Mapa final SI'!AH304)</f>
        <v/>
      </c>
      <c r="M301" s="339" t="str">
        <f>IF('Mapa final SI'!T304="","",'Mapa final SI'!T304)</f>
        <v/>
      </c>
      <c r="N301" s="397"/>
      <c r="O301" s="397"/>
      <c r="P301" s="397"/>
      <c r="Q301" s="398"/>
    </row>
    <row r="302" spans="1:17" ht="43.5" customHeight="1" x14ac:dyDescent="0.25">
      <c r="A302" s="115" t="s">
        <v>534</v>
      </c>
      <c r="B302" s="857"/>
      <c r="C302" s="863"/>
      <c r="D302" s="861"/>
      <c r="E302" s="863"/>
      <c r="F302" s="865"/>
      <c r="G302" s="865"/>
      <c r="H302" s="1073"/>
      <c r="I302" s="400" t="str">
        <f>IF('Mapa final SI'!AC305="","",'Mapa final SI'!AC305)</f>
        <v/>
      </c>
      <c r="J302" s="400" t="str">
        <f>IF('Mapa final SI'!AE305="","",'Mapa final SI'!AE305)</f>
        <v/>
      </c>
      <c r="K302" s="400" t="str">
        <f t="shared" si="4"/>
        <v/>
      </c>
      <c r="L302" s="400" t="str">
        <f>IF('Mapa final SI'!AH305="","",'Mapa final SI'!AH305)</f>
        <v/>
      </c>
      <c r="M302" s="339" t="str">
        <f>IF('Mapa final SI'!T305="","",'Mapa final SI'!T305)</f>
        <v/>
      </c>
      <c r="N302" s="397"/>
      <c r="O302" s="397"/>
      <c r="P302" s="397"/>
      <c r="Q302" s="398"/>
    </row>
    <row r="303" spans="1:17" ht="43.5" customHeight="1" x14ac:dyDescent="0.25">
      <c r="A303" s="115" t="s">
        <v>535</v>
      </c>
      <c r="B303" s="857"/>
      <c r="C303" s="863"/>
      <c r="D303" s="861"/>
      <c r="E303" s="863"/>
      <c r="F303" s="865"/>
      <c r="G303" s="865"/>
      <c r="H303" s="1073"/>
      <c r="I303" s="400" t="str">
        <f>IF('Mapa final SI'!AC306="","",'Mapa final SI'!AC306)</f>
        <v/>
      </c>
      <c r="J303" s="400" t="str">
        <f>IF('Mapa final SI'!AE306="","",'Mapa final SI'!AE306)</f>
        <v/>
      </c>
      <c r="K303" s="400" t="str">
        <f t="shared" si="4"/>
        <v/>
      </c>
      <c r="L303" s="400" t="str">
        <f>IF('Mapa final SI'!AH306="","",'Mapa final SI'!AH306)</f>
        <v/>
      </c>
      <c r="M303" s="339" t="str">
        <f>IF('Mapa final SI'!T306="","",'Mapa final SI'!T306)</f>
        <v/>
      </c>
      <c r="N303" s="397"/>
      <c r="O303" s="397"/>
      <c r="P303" s="397"/>
      <c r="Q303" s="398"/>
    </row>
    <row r="304" spans="1:17" ht="43.5" customHeight="1" x14ac:dyDescent="0.25">
      <c r="A304" s="115" t="s">
        <v>536</v>
      </c>
      <c r="B304" s="857"/>
      <c r="C304" s="863"/>
      <c r="D304" s="861"/>
      <c r="E304" s="863"/>
      <c r="F304" s="865"/>
      <c r="G304" s="865"/>
      <c r="H304" s="1073"/>
      <c r="I304" s="400" t="str">
        <f>IF('Mapa final SI'!AC307="","",'Mapa final SI'!AC307)</f>
        <v/>
      </c>
      <c r="J304" s="400" t="str">
        <f>IF('Mapa final SI'!AE307="","",'Mapa final SI'!AE307)</f>
        <v/>
      </c>
      <c r="K304" s="400" t="str">
        <f t="shared" si="4"/>
        <v/>
      </c>
      <c r="L304" s="400" t="str">
        <f>IF('Mapa final SI'!AH307="","",'Mapa final SI'!AH307)</f>
        <v/>
      </c>
      <c r="M304" s="339" t="str">
        <f>IF('Mapa final SI'!T307="","",'Mapa final SI'!T307)</f>
        <v/>
      </c>
      <c r="N304" s="397"/>
      <c r="O304" s="397"/>
      <c r="P304" s="397"/>
      <c r="Q304" s="398"/>
    </row>
    <row r="305" spans="1:17" ht="43.5" customHeight="1" x14ac:dyDescent="0.25">
      <c r="A305" s="115" t="s">
        <v>537</v>
      </c>
      <c r="B305" s="857"/>
      <c r="C305" s="863"/>
      <c r="D305" s="861"/>
      <c r="E305" s="863"/>
      <c r="F305" s="865"/>
      <c r="G305" s="865"/>
      <c r="H305" s="1073"/>
      <c r="I305" s="400" t="str">
        <f>IF('Mapa final SI'!AC308="","",'Mapa final SI'!AC308)</f>
        <v/>
      </c>
      <c r="J305" s="400" t="str">
        <f>IF('Mapa final SI'!AE308="","",'Mapa final SI'!AE308)</f>
        <v/>
      </c>
      <c r="K305" s="400" t="str">
        <f t="shared" si="4"/>
        <v/>
      </c>
      <c r="L305" s="400" t="str">
        <f>IF('Mapa final SI'!AH308="","",'Mapa final SI'!AH308)</f>
        <v/>
      </c>
      <c r="M305" s="339" t="str">
        <f>IF('Mapa final SI'!T308="","",'Mapa final SI'!T308)</f>
        <v/>
      </c>
      <c r="N305" s="397"/>
      <c r="O305" s="397"/>
      <c r="P305" s="397"/>
      <c r="Q305" s="398"/>
    </row>
    <row r="306" spans="1:17" ht="43.5" customHeight="1" x14ac:dyDescent="0.25">
      <c r="A306" s="115" t="s">
        <v>538</v>
      </c>
      <c r="B306" s="857"/>
      <c r="C306" s="863"/>
      <c r="D306" s="861"/>
      <c r="E306" s="863"/>
      <c r="F306" s="865"/>
      <c r="G306" s="865"/>
      <c r="H306" s="866"/>
      <c r="I306" s="400" t="str">
        <f>IF('Mapa final SI'!AC309="","",'Mapa final SI'!AC309)</f>
        <v/>
      </c>
      <c r="J306" s="400" t="str">
        <f>IF('Mapa final SI'!AE309="","",'Mapa final SI'!AE309)</f>
        <v/>
      </c>
      <c r="K306" s="400" t="str">
        <f t="shared" si="4"/>
        <v/>
      </c>
      <c r="L306" s="400" t="str">
        <f>IF('Mapa final SI'!AH309="","",'Mapa final SI'!AH309)</f>
        <v/>
      </c>
      <c r="M306" s="339" t="str">
        <f>IF('Mapa final SI'!T309="","",'Mapa final SI'!T309)</f>
        <v/>
      </c>
      <c r="N306" s="397"/>
      <c r="O306" s="397"/>
      <c r="P306" s="397"/>
      <c r="Q306" s="398"/>
    </row>
    <row r="307" spans="1:17" ht="43.5" customHeight="1" x14ac:dyDescent="0.25">
      <c r="A307" s="115" t="s">
        <v>539</v>
      </c>
      <c r="B307" s="856"/>
      <c r="C307" s="862" t="str">
        <f>IF('Mapa final SI'!G310="","",'Mapa final SI'!G310)</f>
        <v/>
      </c>
      <c r="D307" s="860"/>
      <c r="E307" s="862" t="str">
        <f>IF('Mapa final SI'!F310="","",'Mapa final SI'!F310)</f>
        <v/>
      </c>
      <c r="F307" s="864" t="str">
        <f>IF('Mapa final SI'!L310="","",'Mapa final SI'!L310)</f>
        <v/>
      </c>
      <c r="G307" s="864" t="str">
        <f>IF('Mapa final SI'!P310="","",'Mapa final SI'!P310)</f>
        <v/>
      </c>
      <c r="H307" s="107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0" t="str">
        <f>IF('Mapa final SI'!AC310="","",'Mapa final SI'!AC310)</f>
        <v/>
      </c>
      <c r="J307" s="400" t="str">
        <f>IF('Mapa final SI'!AE310="","",'Mapa final SI'!AE310)</f>
        <v/>
      </c>
      <c r="K307" s="400" t="str">
        <f t="shared" si="4"/>
        <v/>
      </c>
      <c r="L307" s="400" t="str">
        <f>IF('Mapa final SI'!AH310="","",'Mapa final SI'!AH310)</f>
        <v/>
      </c>
      <c r="M307" s="339" t="str">
        <f>IF('Mapa final SI'!T310="","",'Mapa final SI'!T310)</f>
        <v/>
      </c>
      <c r="N307" s="397"/>
      <c r="O307" s="397"/>
      <c r="P307" s="397"/>
      <c r="Q307" s="398"/>
    </row>
    <row r="308" spans="1:17" ht="43.5" customHeight="1" x14ac:dyDescent="0.25">
      <c r="A308" s="115" t="s">
        <v>540</v>
      </c>
      <c r="B308" s="857"/>
      <c r="C308" s="863"/>
      <c r="D308" s="861"/>
      <c r="E308" s="863"/>
      <c r="F308" s="865"/>
      <c r="G308" s="865"/>
      <c r="H308" s="1073"/>
      <c r="I308" s="400" t="str">
        <f>IF('Mapa final SI'!AC311="","",'Mapa final SI'!AC311)</f>
        <v/>
      </c>
      <c r="J308" s="400" t="str">
        <f>IF('Mapa final SI'!AE311="","",'Mapa final SI'!AE311)</f>
        <v/>
      </c>
      <c r="K308" s="400" t="str">
        <f t="shared" si="4"/>
        <v/>
      </c>
      <c r="L308" s="400" t="str">
        <f>IF('Mapa final SI'!AH311="","",'Mapa final SI'!AH311)</f>
        <v/>
      </c>
      <c r="M308" s="339" t="str">
        <f>IF('Mapa final SI'!T311="","",'Mapa final SI'!T311)</f>
        <v/>
      </c>
      <c r="N308" s="397"/>
      <c r="O308" s="397"/>
      <c r="P308" s="397"/>
      <c r="Q308" s="398"/>
    </row>
    <row r="309" spans="1:17" ht="43.5" customHeight="1" x14ac:dyDescent="0.25">
      <c r="A309" s="115" t="s">
        <v>541</v>
      </c>
      <c r="B309" s="857"/>
      <c r="C309" s="863"/>
      <c r="D309" s="861"/>
      <c r="E309" s="863"/>
      <c r="F309" s="865"/>
      <c r="G309" s="865"/>
      <c r="H309" s="1073"/>
      <c r="I309" s="400" t="str">
        <f>IF('Mapa final SI'!AC312="","",'Mapa final SI'!AC312)</f>
        <v/>
      </c>
      <c r="J309" s="400" t="str">
        <f>IF('Mapa final SI'!AE312="","",'Mapa final SI'!AE312)</f>
        <v/>
      </c>
      <c r="K309" s="400" t="str">
        <f t="shared" si="4"/>
        <v/>
      </c>
      <c r="L309" s="400" t="str">
        <f>IF('Mapa final SI'!AH312="","",'Mapa final SI'!AH312)</f>
        <v/>
      </c>
      <c r="M309" s="339" t="str">
        <f>IF('Mapa final SI'!T312="","",'Mapa final SI'!T312)</f>
        <v/>
      </c>
      <c r="N309" s="397"/>
      <c r="O309" s="397"/>
      <c r="P309" s="397"/>
      <c r="Q309" s="398"/>
    </row>
    <row r="310" spans="1:17" ht="43.5" customHeight="1" x14ac:dyDescent="0.25">
      <c r="A310" s="115" t="s">
        <v>542</v>
      </c>
      <c r="B310" s="857"/>
      <c r="C310" s="863"/>
      <c r="D310" s="861"/>
      <c r="E310" s="863"/>
      <c r="F310" s="865"/>
      <c r="G310" s="865"/>
      <c r="H310" s="1073"/>
      <c r="I310" s="400" t="str">
        <f>IF('Mapa final SI'!AC313="","",'Mapa final SI'!AC313)</f>
        <v/>
      </c>
      <c r="J310" s="400" t="str">
        <f>IF('Mapa final SI'!AE313="","",'Mapa final SI'!AE313)</f>
        <v/>
      </c>
      <c r="K310" s="400" t="str">
        <f t="shared" si="4"/>
        <v/>
      </c>
      <c r="L310" s="400" t="str">
        <f>IF('Mapa final SI'!AH313="","",'Mapa final SI'!AH313)</f>
        <v/>
      </c>
      <c r="M310" s="339" t="str">
        <f>IF('Mapa final SI'!T313="","",'Mapa final SI'!T313)</f>
        <v/>
      </c>
      <c r="N310" s="397"/>
      <c r="O310" s="397"/>
      <c r="P310" s="397"/>
      <c r="Q310" s="398"/>
    </row>
    <row r="311" spans="1:17" ht="43.5" customHeight="1" x14ac:dyDescent="0.25">
      <c r="A311" s="115" t="s">
        <v>543</v>
      </c>
      <c r="B311" s="857"/>
      <c r="C311" s="863"/>
      <c r="D311" s="861"/>
      <c r="E311" s="863"/>
      <c r="F311" s="865"/>
      <c r="G311" s="865"/>
      <c r="H311" s="1073"/>
      <c r="I311" s="400" t="str">
        <f>IF('Mapa final SI'!AC314="","",'Mapa final SI'!AC314)</f>
        <v/>
      </c>
      <c r="J311" s="400" t="str">
        <f>IF('Mapa final SI'!AE314="","",'Mapa final SI'!AE314)</f>
        <v/>
      </c>
      <c r="K311" s="400" t="str">
        <f t="shared" si="4"/>
        <v/>
      </c>
      <c r="L311" s="400" t="str">
        <f>IF('Mapa final SI'!AH314="","",'Mapa final SI'!AH314)</f>
        <v/>
      </c>
      <c r="M311" s="339" t="str">
        <f>IF('Mapa final SI'!T314="","",'Mapa final SI'!T314)</f>
        <v/>
      </c>
      <c r="N311" s="397"/>
      <c r="O311" s="397"/>
      <c r="P311" s="397"/>
      <c r="Q311" s="398"/>
    </row>
    <row r="312" spans="1:17" ht="43.5" customHeight="1" x14ac:dyDescent="0.25">
      <c r="A312" s="115" t="s">
        <v>544</v>
      </c>
      <c r="B312" s="857"/>
      <c r="C312" s="863"/>
      <c r="D312" s="861"/>
      <c r="E312" s="863"/>
      <c r="F312" s="865"/>
      <c r="G312" s="865"/>
      <c r="H312" s="866"/>
      <c r="I312" s="400" t="str">
        <f>IF('Mapa final SI'!AC315="","",'Mapa final SI'!AC315)</f>
        <v/>
      </c>
      <c r="J312" s="400" t="str">
        <f>IF('Mapa final SI'!AE315="","",'Mapa final SI'!AE315)</f>
        <v/>
      </c>
      <c r="K312" s="400" t="str">
        <f t="shared" si="4"/>
        <v/>
      </c>
      <c r="L312" s="400" t="str">
        <f>IF('Mapa final SI'!AH315="","",'Mapa final SI'!AH315)</f>
        <v/>
      </c>
      <c r="M312" s="339" t="str">
        <f>IF('Mapa final SI'!T315="","",'Mapa final SI'!T315)</f>
        <v/>
      </c>
      <c r="N312" s="397"/>
      <c r="O312" s="397"/>
      <c r="P312" s="397"/>
      <c r="Q312" s="398"/>
    </row>
    <row r="313" spans="1:17" ht="43.5" customHeight="1" x14ac:dyDescent="0.25">
      <c r="A313" s="115" t="s">
        <v>545</v>
      </c>
      <c r="B313" s="856"/>
      <c r="C313" s="862" t="str">
        <f>IF('Mapa final SI'!G316="","",'Mapa final SI'!G316)</f>
        <v/>
      </c>
      <c r="D313" s="860"/>
      <c r="E313" s="862" t="str">
        <f>IF('Mapa final SI'!F316="","",'Mapa final SI'!F316)</f>
        <v/>
      </c>
      <c r="F313" s="864" t="str">
        <f>IF('Mapa final SI'!L316="","",'Mapa final SI'!L316)</f>
        <v/>
      </c>
      <c r="G313" s="864" t="str">
        <f>IF('Mapa final SI'!P316="","",'Mapa final SI'!P316)</f>
        <v/>
      </c>
      <c r="H313" s="107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0" t="str">
        <f>IF('Mapa final SI'!AC316="","",'Mapa final SI'!AC316)</f>
        <v/>
      </c>
      <c r="J313" s="400" t="str">
        <f>IF('Mapa final SI'!AE316="","",'Mapa final SI'!AE316)</f>
        <v/>
      </c>
      <c r="K313" s="400" t="str">
        <f t="shared" si="4"/>
        <v/>
      </c>
      <c r="L313" s="400" t="str">
        <f>IF('Mapa final SI'!AH316="","",'Mapa final SI'!AH316)</f>
        <v/>
      </c>
      <c r="M313" s="339" t="str">
        <f>IF('Mapa final SI'!T316="","",'Mapa final SI'!T316)</f>
        <v/>
      </c>
      <c r="N313" s="397"/>
      <c r="O313" s="397"/>
      <c r="P313" s="397"/>
      <c r="Q313" s="398"/>
    </row>
    <row r="314" spans="1:17" ht="43.5" customHeight="1" x14ac:dyDescent="0.25">
      <c r="A314" s="115" t="s">
        <v>546</v>
      </c>
      <c r="B314" s="857"/>
      <c r="C314" s="863"/>
      <c r="D314" s="861"/>
      <c r="E314" s="863"/>
      <c r="F314" s="865"/>
      <c r="G314" s="865"/>
      <c r="H314" s="1073"/>
      <c r="I314" s="400" t="str">
        <f>IF('Mapa final SI'!AC317="","",'Mapa final SI'!AC317)</f>
        <v/>
      </c>
      <c r="J314" s="400" t="str">
        <f>IF('Mapa final SI'!AE317="","",'Mapa final SI'!AE317)</f>
        <v/>
      </c>
      <c r="K314" s="400" t="str">
        <f t="shared" si="4"/>
        <v/>
      </c>
      <c r="L314" s="400" t="str">
        <f>IF('Mapa final SI'!AH317="","",'Mapa final SI'!AH317)</f>
        <v/>
      </c>
      <c r="M314" s="339" t="str">
        <f>IF('Mapa final SI'!T317="","",'Mapa final SI'!T317)</f>
        <v/>
      </c>
      <c r="N314" s="397"/>
      <c r="O314" s="397"/>
      <c r="P314" s="397"/>
      <c r="Q314" s="398"/>
    </row>
    <row r="315" spans="1:17" ht="43.5" customHeight="1" x14ac:dyDescent="0.25">
      <c r="A315" s="115" t="s">
        <v>547</v>
      </c>
      <c r="B315" s="857"/>
      <c r="C315" s="863"/>
      <c r="D315" s="861"/>
      <c r="E315" s="863"/>
      <c r="F315" s="865"/>
      <c r="G315" s="865"/>
      <c r="H315" s="1073"/>
      <c r="I315" s="400" t="str">
        <f>IF('Mapa final SI'!AC318="","",'Mapa final SI'!AC318)</f>
        <v/>
      </c>
      <c r="J315" s="400" t="str">
        <f>IF('Mapa final SI'!AE318="","",'Mapa final SI'!AE318)</f>
        <v/>
      </c>
      <c r="K315" s="400" t="str">
        <f t="shared" si="4"/>
        <v/>
      </c>
      <c r="L315" s="400" t="str">
        <f>IF('Mapa final SI'!AH318="","",'Mapa final SI'!AH318)</f>
        <v/>
      </c>
      <c r="M315" s="339" t="str">
        <f>IF('Mapa final SI'!T318="","",'Mapa final SI'!T318)</f>
        <v/>
      </c>
      <c r="N315" s="397"/>
      <c r="O315" s="397"/>
      <c r="P315" s="397"/>
      <c r="Q315" s="398"/>
    </row>
    <row r="316" spans="1:17" ht="43.5" customHeight="1" x14ac:dyDescent="0.25">
      <c r="A316" s="115" t="s">
        <v>548</v>
      </c>
      <c r="B316" s="857"/>
      <c r="C316" s="863"/>
      <c r="D316" s="861"/>
      <c r="E316" s="863"/>
      <c r="F316" s="865"/>
      <c r="G316" s="865"/>
      <c r="H316" s="1073"/>
      <c r="I316" s="400" t="str">
        <f>IF('Mapa final SI'!AC319="","",'Mapa final SI'!AC319)</f>
        <v/>
      </c>
      <c r="J316" s="400" t="str">
        <f>IF('Mapa final SI'!AE319="","",'Mapa final SI'!AE319)</f>
        <v/>
      </c>
      <c r="K316" s="400" t="str">
        <f t="shared" si="4"/>
        <v/>
      </c>
      <c r="L316" s="400" t="str">
        <f>IF('Mapa final SI'!AH319="","",'Mapa final SI'!AH319)</f>
        <v/>
      </c>
      <c r="M316" s="339" t="str">
        <f>IF('Mapa final SI'!T319="","",'Mapa final SI'!T319)</f>
        <v/>
      </c>
      <c r="N316" s="397"/>
      <c r="O316" s="397"/>
      <c r="P316" s="397"/>
      <c r="Q316" s="398"/>
    </row>
    <row r="317" spans="1:17" ht="43.5" customHeight="1" x14ac:dyDescent="0.25">
      <c r="A317" s="115" t="s">
        <v>549</v>
      </c>
      <c r="B317" s="857"/>
      <c r="C317" s="863"/>
      <c r="D317" s="861"/>
      <c r="E317" s="863"/>
      <c r="F317" s="865"/>
      <c r="G317" s="865"/>
      <c r="H317" s="1073"/>
      <c r="I317" s="400" t="str">
        <f>IF('Mapa final SI'!AC320="","",'Mapa final SI'!AC320)</f>
        <v/>
      </c>
      <c r="J317" s="400" t="str">
        <f>IF('Mapa final SI'!AE320="","",'Mapa final SI'!AE320)</f>
        <v/>
      </c>
      <c r="K317" s="400" t="str">
        <f t="shared" si="4"/>
        <v/>
      </c>
      <c r="L317" s="400" t="str">
        <f>IF('Mapa final SI'!AH320="","",'Mapa final SI'!AH320)</f>
        <v/>
      </c>
      <c r="M317" s="339" t="str">
        <f>IF('Mapa final SI'!T320="","",'Mapa final SI'!T320)</f>
        <v/>
      </c>
      <c r="N317" s="397"/>
      <c r="O317" s="397"/>
      <c r="P317" s="397"/>
      <c r="Q317" s="398"/>
    </row>
    <row r="318" spans="1:17" ht="43.5" customHeight="1" x14ac:dyDescent="0.25">
      <c r="A318" s="115" t="s">
        <v>550</v>
      </c>
      <c r="B318" s="857"/>
      <c r="C318" s="863"/>
      <c r="D318" s="861"/>
      <c r="E318" s="863"/>
      <c r="F318" s="865"/>
      <c r="G318" s="865"/>
      <c r="H318" s="866"/>
      <c r="I318" s="400" t="str">
        <f>IF('Mapa final SI'!AC321="","",'Mapa final SI'!AC321)</f>
        <v/>
      </c>
      <c r="J318" s="400" t="str">
        <f>IF('Mapa final SI'!AE321="","",'Mapa final SI'!AE321)</f>
        <v/>
      </c>
      <c r="K318" s="400" t="str">
        <f t="shared" si="4"/>
        <v/>
      </c>
      <c r="L318" s="400" t="str">
        <f>IF('Mapa final SI'!AH321="","",'Mapa final SI'!AH321)</f>
        <v/>
      </c>
      <c r="M318" s="339" t="str">
        <f>IF('Mapa final SI'!T321="","",'Mapa final SI'!T321)</f>
        <v/>
      </c>
      <c r="N318" s="397"/>
      <c r="O318" s="397"/>
      <c r="P318" s="397"/>
      <c r="Q318" s="398"/>
    </row>
    <row r="319" spans="1:17" ht="43.5" customHeight="1" x14ac:dyDescent="0.25">
      <c r="A319" s="115" t="s">
        <v>551</v>
      </c>
      <c r="B319" s="856"/>
      <c r="C319" s="862" t="str">
        <f>IF('Mapa final SI'!G322="","",'Mapa final SI'!G322)</f>
        <v/>
      </c>
      <c r="D319" s="860"/>
      <c r="E319" s="862" t="str">
        <f>IF('Mapa final SI'!F322="","",'Mapa final SI'!F322)</f>
        <v/>
      </c>
      <c r="F319" s="864" t="str">
        <f>IF('Mapa final SI'!L322="","",'Mapa final SI'!L322)</f>
        <v/>
      </c>
      <c r="G319" s="864" t="str">
        <f>IF('Mapa final SI'!P322="","",'Mapa final SI'!P322)</f>
        <v/>
      </c>
      <c r="H319" s="107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0" t="str">
        <f>IF('Mapa final SI'!AC322="","",'Mapa final SI'!AC322)</f>
        <v/>
      </c>
      <c r="J319" s="400" t="str">
        <f>IF('Mapa final SI'!AE322="","",'Mapa final SI'!AE322)</f>
        <v/>
      </c>
      <c r="K319" s="400" t="str">
        <f t="shared" si="4"/>
        <v/>
      </c>
      <c r="L319" s="400" t="str">
        <f>IF('Mapa final SI'!AH322="","",'Mapa final SI'!AH322)</f>
        <v/>
      </c>
      <c r="M319" s="339" t="str">
        <f>IF('Mapa final SI'!T322="","",'Mapa final SI'!T322)</f>
        <v/>
      </c>
      <c r="N319" s="397"/>
      <c r="O319" s="397"/>
      <c r="P319" s="397"/>
      <c r="Q319" s="398"/>
    </row>
    <row r="320" spans="1:17" ht="43.5" customHeight="1" x14ac:dyDescent="0.25">
      <c r="A320" s="115" t="s">
        <v>552</v>
      </c>
      <c r="B320" s="857"/>
      <c r="C320" s="863"/>
      <c r="D320" s="861"/>
      <c r="E320" s="863"/>
      <c r="F320" s="865"/>
      <c r="G320" s="865"/>
      <c r="H320" s="1073"/>
      <c r="I320" s="400" t="str">
        <f>IF('Mapa final SI'!AC323="","",'Mapa final SI'!AC323)</f>
        <v/>
      </c>
      <c r="J320" s="400" t="str">
        <f>IF('Mapa final SI'!AE323="","",'Mapa final SI'!AE323)</f>
        <v/>
      </c>
      <c r="K320" s="400" t="str">
        <f t="shared" si="4"/>
        <v/>
      </c>
      <c r="L320" s="400" t="str">
        <f>IF('Mapa final SI'!AH323="","",'Mapa final SI'!AH323)</f>
        <v/>
      </c>
      <c r="M320" s="339" t="str">
        <f>IF('Mapa final SI'!T323="","",'Mapa final SI'!T323)</f>
        <v/>
      </c>
      <c r="N320" s="397"/>
      <c r="O320" s="397"/>
      <c r="P320" s="397"/>
      <c r="Q320" s="398"/>
    </row>
    <row r="321" spans="1:17" ht="43.5" customHeight="1" x14ac:dyDescent="0.25">
      <c r="A321" s="115" t="s">
        <v>553</v>
      </c>
      <c r="B321" s="857"/>
      <c r="C321" s="863"/>
      <c r="D321" s="861"/>
      <c r="E321" s="863"/>
      <c r="F321" s="865"/>
      <c r="G321" s="865"/>
      <c r="H321" s="1073"/>
      <c r="I321" s="400" t="str">
        <f>IF('Mapa final SI'!AC324="","",'Mapa final SI'!AC324)</f>
        <v/>
      </c>
      <c r="J321" s="400" t="str">
        <f>IF('Mapa final SI'!AE324="","",'Mapa final SI'!AE324)</f>
        <v/>
      </c>
      <c r="K321" s="400" t="str">
        <f t="shared" si="4"/>
        <v/>
      </c>
      <c r="L321" s="400" t="str">
        <f>IF('Mapa final SI'!AH324="","",'Mapa final SI'!AH324)</f>
        <v/>
      </c>
      <c r="M321" s="339" t="str">
        <f>IF('Mapa final SI'!T324="","",'Mapa final SI'!T324)</f>
        <v/>
      </c>
      <c r="N321" s="397"/>
      <c r="O321" s="397"/>
      <c r="P321" s="397"/>
      <c r="Q321" s="398"/>
    </row>
    <row r="322" spans="1:17" ht="43.5" customHeight="1" x14ac:dyDescent="0.25">
      <c r="A322" s="115" t="s">
        <v>554</v>
      </c>
      <c r="B322" s="857"/>
      <c r="C322" s="863"/>
      <c r="D322" s="861"/>
      <c r="E322" s="863"/>
      <c r="F322" s="865"/>
      <c r="G322" s="865"/>
      <c r="H322" s="1073"/>
      <c r="I322" s="400" t="str">
        <f>IF('Mapa final SI'!AC325="","",'Mapa final SI'!AC325)</f>
        <v/>
      </c>
      <c r="J322" s="400" t="str">
        <f>IF('Mapa final SI'!AE325="","",'Mapa final SI'!AE325)</f>
        <v/>
      </c>
      <c r="K322" s="400" t="str">
        <f t="shared" si="4"/>
        <v/>
      </c>
      <c r="L322" s="400" t="str">
        <f>IF('Mapa final SI'!AH325="","",'Mapa final SI'!AH325)</f>
        <v/>
      </c>
      <c r="M322" s="339" t="str">
        <f>IF('Mapa final SI'!T325="","",'Mapa final SI'!T325)</f>
        <v/>
      </c>
      <c r="N322" s="397"/>
      <c r="O322" s="397"/>
      <c r="P322" s="397"/>
      <c r="Q322" s="398"/>
    </row>
    <row r="323" spans="1:17" ht="43.5" customHeight="1" x14ac:dyDescent="0.25">
      <c r="A323" s="115" t="s">
        <v>555</v>
      </c>
      <c r="B323" s="857"/>
      <c r="C323" s="863"/>
      <c r="D323" s="861"/>
      <c r="E323" s="863"/>
      <c r="F323" s="865"/>
      <c r="G323" s="865"/>
      <c r="H323" s="1073"/>
      <c r="I323" s="400" t="str">
        <f>IF('Mapa final SI'!AC326="","",'Mapa final SI'!AC326)</f>
        <v/>
      </c>
      <c r="J323" s="400" t="str">
        <f>IF('Mapa final SI'!AE326="","",'Mapa final SI'!AE326)</f>
        <v/>
      </c>
      <c r="K323" s="400" t="str">
        <f t="shared" si="4"/>
        <v/>
      </c>
      <c r="L323" s="400" t="str">
        <f>IF('Mapa final SI'!AH326="","",'Mapa final SI'!AH326)</f>
        <v/>
      </c>
      <c r="M323" s="339" t="str">
        <f>IF('Mapa final SI'!T326="","",'Mapa final SI'!T326)</f>
        <v/>
      </c>
      <c r="N323" s="397"/>
      <c r="O323" s="397"/>
      <c r="P323" s="397"/>
      <c r="Q323" s="398"/>
    </row>
    <row r="324" spans="1:17" ht="43.5" customHeight="1" x14ac:dyDescent="0.25">
      <c r="A324" s="115" t="s">
        <v>556</v>
      </c>
      <c r="B324" s="857"/>
      <c r="C324" s="863"/>
      <c r="D324" s="861"/>
      <c r="E324" s="863"/>
      <c r="F324" s="865"/>
      <c r="G324" s="865"/>
      <c r="H324" s="866"/>
      <c r="I324" s="400" t="str">
        <f>IF('Mapa final SI'!AC327="","",'Mapa final SI'!AC327)</f>
        <v/>
      </c>
      <c r="J324" s="400" t="str">
        <f>IF('Mapa final SI'!AE327="","",'Mapa final SI'!AE327)</f>
        <v/>
      </c>
      <c r="K324" s="400" t="str">
        <f t="shared" si="4"/>
        <v/>
      </c>
      <c r="L324" s="400" t="str">
        <f>IF('Mapa final SI'!AH327="","",'Mapa final SI'!AH327)</f>
        <v/>
      </c>
      <c r="M324" s="339" t="str">
        <f>IF('Mapa final SI'!T327="","",'Mapa final SI'!T327)</f>
        <v/>
      </c>
      <c r="N324" s="397"/>
      <c r="O324" s="397"/>
      <c r="P324" s="397"/>
      <c r="Q324" s="398"/>
    </row>
    <row r="325" spans="1:17" ht="43.5" customHeight="1" x14ac:dyDescent="0.25">
      <c r="A325" s="115" t="s">
        <v>557</v>
      </c>
      <c r="B325" s="856"/>
      <c r="C325" s="862" t="str">
        <f>IF('Mapa final SI'!G328="","",'Mapa final SI'!G328)</f>
        <v/>
      </c>
      <c r="D325" s="860"/>
      <c r="E325" s="862" t="str">
        <f>IF('Mapa final SI'!F328="","",'Mapa final SI'!F328)</f>
        <v/>
      </c>
      <c r="F325" s="864" t="str">
        <f>IF('Mapa final SI'!L328="","",'Mapa final SI'!L328)</f>
        <v/>
      </c>
      <c r="G325" s="864" t="str">
        <f>IF('Mapa final SI'!P328="","",'Mapa final SI'!P328)</f>
        <v/>
      </c>
      <c r="H325" s="107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0" t="str">
        <f>IF('Mapa final SI'!AC328="","",'Mapa final SI'!AC328)</f>
        <v/>
      </c>
      <c r="J325" s="400" t="str">
        <f>IF('Mapa final SI'!AE328="","",'Mapa final SI'!AE328)</f>
        <v/>
      </c>
      <c r="K325" s="400" t="str">
        <f t="shared" si="4"/>
        <v/>
      </c>
      <c r="L325" s="400" t="str">
        <f>IF('Mapa final SI'!AH328="","",'Mapa final SI'!AH328)</f>
        <v/>
      </c>
      <c r="M325" s="339" t="str">
        <f>IF('Mapa final SI'!T328="","",'Mapa final SI'!T328)</f>
        <v/>
      </c>
      <c r="N325" s="397"/>
      <c r="O325" s="397"/>
      <c r="P325" s="397"/>
      <c r="Q325" s="398"/>
    </row>
    <row r="326" spans="1:17" ht="43.5" customHeight="1" x14ac:dyDescent="0.25">
      <c r="A326" s="115" t="s">
        <v>558</v>
      </c>
      <c r="B326" s="857"/>
      <c r="C326" s="863"/>
      <c r="D326" s="861"/>
      <c r="E326" s="863"/>
      <c r="F326" s="865"/>
      <c r="G326" s="865"/>
      <c r="H326" s="1073"/>
      <c r="I326" s="400" t="str">
        <f>IF('Mapa final SI'!AC329="","",'Mapa final SI'!AC329)</f>
        <v/>
      </c>
      <c r="J326" s="400" t="str">
        <f>IF('Mapa final SI'!AE329="","",'Mapa final SI'!AE329)</f>
        <v/>
      </c>
      <c r="K326" s="400" t="str">
        <f t="shared" si="4"/>
        <v/>
      </c>
      <c r="L326" s="400" t="str">
        <f>IF('Mapa final SI'!AH329="","",'Mapa final SI'!AH329)</f>
        <v/>
      </c>
      <c r="M326" s="339" t="str">
        <f>IF('Mapa final SI'!T329="","",'Mapa final SI'!T329)</f>
        <v/>
      </c>
      <c r="N326" s="397"/>
      <c r="O326" s="397"/>
      <c r="P326" s="397"/>
      <c r="Q326" s="398"/>
    </row>
    <row r="327" spans="1:17" ht="43.5" customHeight="1" x14ac:dyDescent="0.25">
      <c r="A327" s="115" t="s">
        <v>559</v>
      </c>
      <c r="B327" s="857"/>
      <c r="C327" s="863"/>
      <c r="D327" s="861"/>
      <c r="E327" s="863"/>
      <c r="F327" s="865"/>
      <c r="G327" s="865"/>
      <c r="H327" s="1073"/>
      <c r="I327" s="400" t="str">
        <f>IF('Mapa final SI'!AC330="","",'Mapa final SI'!AC330)</f>
        <v/>
      </c>
      <c r="J327" s="400" t="str">
        <f>IF('Mapa final SI'!AE330="","",'Mapa final SI'!AE330)</f>
        <v/>
      </c>
      <c r="K327" s="400" t="str">
        <f t="shared" si="4"/>
        <v/>
      </c>
      <c r="L327" s="400" t="str">
        <f>IF('Mapa final SI'!AH330="","",'Mapa final SI'!AH330)</f>
        <v/>
      </c>
      <c r="M327" s="339" t="str">
        <f>IF('Mapa final SI'!T330="","",'Mapa final SI'!T330)</f>
        <v/>
      </c>
      <c r="N327" s="397"/>
      <c r="O327" s="397"/>
      <c r="P327" s="397"/>
      <c r="Q327" s="398"/>
    </row>
    <row r="328" spans="1:17" ht="43.5" customHeight="1" x14ac:dyDescent="0.25">
      <c r="A328" s="115" t="s">
        <v>560</v>
      </c>
      <c r="B328" s="857"/>
      <c r="C328" s="863"/>
      <c r="D328" s="861"/>
      <c r="E328" s="863"/>
      <c r="F328" s="865"/>
      <c r="G328" s="865"/>
      <c r="H328" s="1073"/>
      <c r="I328" s="400" t="str">
        <f>IF('Mapa final SI'!AC331="","",'Mapa final SI'!AC331)</f>
        <v/>
      </c>
      <c r="J328" s="400" t="str">
        <f>IF('Mapa final SI'!AE331="","",'Mapa final SI'!AE331)</f>
        <v/>
      </c>
      <c r="K328" s="40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0" t="str">
        <f>IF('Mapa final SI'!AH331="","",'Mapa final SI'!AH331)</f>
        <v/>
      </c>
      <c r="M328" s="339" t="str">
        <f>IF('Mapa final SI'!T331="","",'Mapa final SI'!T331)</f>
        <v/>
      </c>
      <c r="N328" s="397"/>
      <c r="O328" s="397"/>
      <c r="P328" s="397"/>
      <c r="Q328" s="398"/>
    </row>
    <row r="329" spans="1:17" ht="43.5" customHeight="1" x14ac:dyDescent="0.25">
      <c r="A329" s="115" t="s">
        <v>561</v>
      </c>
      <c r="B329" s="857"/>
      <c r="C329" s="863"/>
      <c r="D329" s="861"/>
      <c r="E329" s="863"/>
      <c r="F329" s="865"/>
      <c r="G329" s="865"/>
      <c r="H329" s="1073"/>
      <c r="I329" s="400" t="str">
        <f>IF('Mapa final SI'!AC332="","",'Mapa final SI'!AC332)</f>
        <v/>
      </c>
      <c r="J329" s="400" t="str">
        <f>IF('Mapa final SI'!AE332="","",'Mapa final SI'!AE332)</f>
        <v/>
      </c>
      <c r="K329" s="400" t="str">
        <f t="shared" si="5"/>
        <v/>
      </c>
      <c r="L329" s="400" t="str">
        <f>IF('Mapa final SI'!AH332="","",'Mapa final SI'!AH332)</f>
        <v/>
      </c>
      <c r="M329" s="339" t="str">
        <f>IF('Mapa final SI'!T332="","",'Mapa final SI'!T332)</f>
        <v/>
      </c>
      <c r="N329" s="397"/>
      <c r="O329" s="397"/>
      <c r="P329" s="397"/>
      <c r="Q329" s="398"/>
    </row>
    <row r="330" spans="1:17" ht="43.5" customHeight="1" x14ac:dyDescent="0.25">
      <c r="A330" s="115" t="s">
        <v>562</v>
      </c>
      <c r="B330" s="857"/>
      <c r="C330" s="863"/>
      <c r="D330" s="861"/>
      <c r="E330" s="863"/>
      <c r="F330" s="865"/>
      <c r="G330" s="865"/>
      <c r="H330" s="866"/>
      <c r="I330" s="400" t="str">
        <f>IF('Mapa final SI'!AC333="","",'Mapa final SI'!AC333)</f>
        <v/>
      </c>
      <c r="J330" s="400" t="str">
        <f>IF('Mapa final SI'!AE333="","",'Mapa final SI'!AE333)</f>
        <v/>
      </c>
      <c r="K330" s="400" t="str">
        <f t="shared" si="5"/>
        <v/>
      </c>
      <c r="L330" s="400" t="str">
        <f>IF('Mapa final SI'!AH333="","",'Mapa final SI'!AH333)</f>
        <v/>
      </c>
      <c r="M330" s="339" t="str">
        <f>IF('Mapa final SI'!T333="","",'Mapa final SI'!T333)</f>
        <v/>
      </c>
      <c r="N330" s="397"/>
      <c r="O330" s="397"/>
      <c r="P330" s="397"/>
      <c r="Q330" s="398"/>
    </row>
    <row r="331" spans="1:17" ht="43.5" customHeight="1" x14ac:dyDescent="0.25">
      <c r="A331" s="115" t="s">
        <v>563</v>
      </c>
      <c r="B331" s="856"/>
      <c r="C331" s="862" t="str">
        <f>IF('Mapa final SI'!G334="","",'Mapa final SI'!G334)</f>
        <v/>
      </c>
      <c r="D331" s="860"/>
      <c r="E331" s="862" t="str">
        <f>IF('Mapa final SI'!F334="","",'Mapa final SI'!F334)</f>
        <v/>
      </c>
      <c r="F331" s="864" t="str">
        <f>IF('Mapa final SI'!L334="","",'Mapa final SI'!L334)</f>
        <v/>
      </c>
      <c r="G331" s="864" t="str">
        <f>IF('Mapa final SI'!P334="","",'Mapa final SI'!P334)</f>
        <v/>
      </c>
      <c r="H331" s="107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0" t="str">
        <f>IF('Mapa final SI'!AC334="","",'Mapa final SI'!AC334)</f>
        <v/>
      </c>
      <c r="J331" s="400" t="str">
        <f>IF('Mapa final SI'!AE334="","",'Mapa final SI'!AE334)</f>
        <v/>
      </c>
      <c r="K331" s="400" t="str">
        <f t="shared" si="5"/>
        <v/>
      </c>
      <c r="L331" s="400" t="str">
        <f>IF('Mapa final SI'!AH334="","",'Mapa final SI'!AH334)</f>
        <v/>
      </c>
      <c r="M331" s="339" t="str">
        <f>IF('Mapa final SI'!T334="","",'Mapa final SI'!T334)</f>
        <v/>
      </c>
      <c r="N331" s="397"/>
      <c r="O331" s="397"/>
      <c r="P331" s="397"/>
      <c r="Q331" s="398"/>
    </row>
    <row r="332" spans="1:17" ht="43.5" customHeight="1" x14ac:dyDescent="0.25">
      <c r="A332" s="115" t="s">
        <v>564</v>
      </c>
      <c r="B332" s="857"/>
      <c r="C332" s="863"/>
      <c r="D332" s="861"/>
      <c r="E332" s="863"/>
      <c r="F332" s="865"/>
      <c r="G332" s="865"/>
      <c r="H332" s="1073"/>
      <c r="I332" s="400" t="str">
        <f>IF('Mapa final SI'!AC335="","",'Mapa final SI'!AC335)</f>
        <v/>
      </c>
      <c r="J332" s="400" t="str">
        <f>IF('Mapa final SI'!AE335="","",'Mapa final SI'!AE335)</f>
        <v/>
      </c>
      <c r="K332" s="400" t="str">
        <f t="shared" si="5"/>
        <v/>
      </c>
      <c r="L332" s="400" t="str">
        <f>IF('Mapa final SI'!AH335="","",'Mapa final SI'!AH335)</f>
        <v/>
      </c>
      <c r="M332" s="339" t="str">
        <f>IF('Mapa final SI'!T335="","",'Mapa final SI'!T335)</f>
        <v/>
      </c>
      <c r="N332" s="397"/>
      <c r="O332" s="397"/>
      <c r="P332" s="397"/>
      <c r="Q332" s="398"/>
    </row>
    <row r="333" spans="1:17" ht="43.5" customHeight="1" x14ac:dyDescent="0.25">
      <c r="A333" s="115" t="s">
        <v>565</v>
      </c>
      <c r="B333" s="857"/>
      <c r="C333" s="863"/>
      <c r="D333" s="861"/>
      <c r="E333" s="863"/>
      <c r="F333" s="865"/>
      <c r="G333" s="865"/>
      <c r="H333" s="1073"/>
      <c r="I333" s="400" t="str">
        <f>IF('Mapa final SI'!AC336="","",'Mapa final SI'!AC336)</f>
        <v/>
      </c>
      <c r="J333" s="400" t="str">
        <f>IF('Mapa final SI'!AE336="","",'Mapa final SI'!AE336)</f>
        <v/>
      </c>
      <c r="K333" s="400" t="str">
        <f t="shared" si="5"/>
        <v/>
      </c>
      <c r="L333" s="400" t="str">
        <f>IF('Mapa final SI'!AH336="","",'Mapa final SI'!AH336)</f>
        <v/>
      </c>
      <c r="M333" s="339" t="str">
        <f>IF('Mapa final SI'!T336="","",'Mapa final SI'!T336)</f>
        <v/>
      </c>
      <c r="N333" s="397"/>
      <c r="O333" s="397"/>
      <c r="P333" s="397"/>
      <c r="Q333" s="398"/>
    </row>
    <row r="334" spans="1:17" ht="43.5" customHeight="1" x14ac:dyDescent="0.25">
      <c r="A334" s="115" t="s">
        <v>566</v>
      </c>
      <c r="B334" s="857"/>
      <c r="C334" s="863"/>
      <c r="D334" s="861"/>
      <c r="E334" s="863"/>
      <c r="F334" s="865"/>
      <c r="G334" s="865"/>
      <c r="H334" s="1073"/>
      <c r="I334" s="400" t="str">
        <f>IF('Mapa final SI'!AC337="","",'Mapa final SI'!AC337)</f>
        <v/>
      </c>
      <c r="J334" s="400" t="str">
        <f>IF('Mapa final SI'!AE337="","",'Mapa final SI'!AE337)</f>
        <v/>
      </c>
      <c r="K334" s="400" t="str">
        <f t="shared" si="5"/>
        <v/>
      </c>
      <c r="L334" s="400" t="str">
        <f>IF('Mapa final SI'!AH337="","",'Mapa final SI'!AH337)</f>
        <v/>
      </c>
      <c r="M334" s="339" t="str">
        <f>IF('Mapa final SI'!T337="","",'Mapa final SI'!T337)</f>
        <v/>
      </c>
      <c r="N334" s="397"/>
      <c r="O334" s="397"/>
      <c r="P334" s="397"/>
      <c r="Q334" s="398"/>
    </row>
    <row r="335" spans="1:17" ht="43.5" customHeight="1" x14ac:dyDescent="0.25">
      <c r="A335" s="115" t="s">
        <v>567</v>
      </c>
      <c r="B335" s="857"/>
      <c r="C335" s="863"/>
      <c r="D335" s="861"/>
      <c r="E335" s="863"/>
      <c r="F335" s="865"/>
      <c r="G335" s="865"/>
      <c r="H335" s="1073"/>
      <c r="I335" s="400" t="str">
        <f>IF('Mapa final SI'!AC338="","",'Mapa final SI'!AC338)</f>
        <v/>
      </c>
      <c r="J335" s="400" t="str">
        <f>IF('Mapa final SI'!AE338="","",'Mapa final SI'!AE338)</f>
        <v/>
      </c>
      <c r="K335" s="400" t="str">
        <f t="shared" si="5"/>
        <v/>
      </c>
      <c r="L335" s="400" t="str">
        <f>IF('Mapa final SI'!AH338="","",'Mapa final SI'!AH338)</f>
        <v/>
      </c>
      <c r="M335" s="339" t="str">
        <f>IF('Mapa final SI'!T338="","",'Mapa final SI'!T338)</f>
        <v/>
      </c>
      <c r="N335" s="397"/>
      <c r="O335" s="397"/>
      <c r="P335" s="397"/>
      <c r="Q335" s="398"/>
    </row>
    <row r="336" spans="1:17" ht="43.5" customHeight="1" x14ac:dyDescent="0.25">
      <c r="A336" s="115" t="s">
        <v>568</v>
      </c>
      <c r="B336" s="857"/>
      <c r="C336" s="863"/>
      <c r="D336" s="861"/>
      <c r="E336" s="863"/>
      <c r="F336" s="865"/>
      <c r="G336" s="865"/>
      <c r="H336" s="866"/>
      <c r="I336" s="400" t="str">
        <f>IF('Mapa final SI'!AC339="","",'Mapa final SI'!AC339)</f>
        <v/>
      </c>
      <c r="J336" s="400" t="str">
        <f>IF('Mapa final SI'!AE339="","",'Mapa final SI'!AE339)</f>
        <v/>
      </c>
      <c r="K336" s="400" t="str">
        <f t="shared" si="5"/>
        <v/>
      </c>
      <c r="L336" s="400" t="str">
        <f>IF('Mapa final SI'!AH339="","",'Mapa final SI'!AH339)</f>
        <v/>
      </c>
      <c r="M336" s="339" t="str">
        <f>IF('Mapa final SI'!T339="","",'Mapa final SI'!T339)</f>
        <v/>
      </c>
      <c r="N336" s="397"/>
      <c r="O336" s="397"/>
      <c r="P336" s="397"/>
      <c r="Q336" s="398"/>
    </row>
    <row r="337" spans="1:17" ht="43.5" customHeight="1" x14ac:dyDescent="0.25">
      <c r="A337" s="115" t="s">
        <v>569</v>
      </c>
      <c r="B337" s="856"/>
      <c r="C337" s="862" t="str">
        <f>IF('Mapa final SI'!G340="","",'Mapa final SI'!G340)</f>
        <v/>
      </c>
      <c r="D337" s="860"/>
      <c r="E337" s="862" t="str">
        <f>IF('Mapa final SI'!F340="","",'Mapa final SI'!F340)</f>
        <v/>
      </c>
      <c r="F337" s="864" t="str">
        <f>IF('Mapa final SI'!L340="","",'Mapa final SI'!L340)</f>
        <v/>
      </c>
      <c r="G337" s="864" t="str">
        <f>IF('Mapa final SI'!P340="","",'Mapa final SI'!P340)</f>
        <v/>
      </c>
      <c r="H337" s="107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0" t="str">
        <f>IF('Mapa final SI'!AC340="","",'Mapa final SI'!AC340)</f>
        <v/>
      </c>
      <c r="J337" s="400" t="str">
        <f>IF('Mapa final SI'!AE340="","",'Mapa final SI'!AE340)</f>
        <v/>
      </c>
      <c r="K337" s="400" t="str">
        <f t="shared" si="5"/>
        <v/>
      </c>
      <c r="L337" s="400" t="str">
        <f>IF('Mapa final SI'!AH340="","",'Mapa final SI'!AH340)</f>
        <v/>
      </c>
      <c r="M337" s="339" t="str">
        <f>IF('Mapa final SI'!T340="","",'Mapa final SI'!T340)</f>
        <v/>
      </c>
      <c r="N337" s="397"/>
      <c r="O337" s="397"/>
      <c r="P337" s="397"/>
      <c r="Q337" s="398"/>
    </row>
    <row r="338" spans="1:17" ht="43.5" customHeight="1" x14ac:dyDescent="0.25">
      <c r="A338" s="115" t="s">
        <v>570</v>
      </c>
      <c r="B338" s="857"/>
      <c r="C338" s="863"/>
      <c r="D338" s="861"/>
      <c r="E338" s="863"/>
      <c r="F338" s="865"/>
      <c r="G338" s="865"/>
      <c r="H338" s="1073"/>
      <c r="I338" s="400" t="str">
        <f>IF('Mapa final SI'!AC341="","",'Mapa final SI'!AC341)</f>
        <v/>
      </c>
      <c r="J338" s="400" t="str">
        <f>IF('Mapa final SI'!AE341="","",'Mapa final SI'!AE341)</f>
        <v/>
      </c>
      <c r="K338" s="400" t="str">
        <f t="shared" si="5"/>
        <v/>
      </c>
      <c r="L338" s="400" t="str">
        <f>IF('Mapa final SI'!AH341="","",'Mapa final SI'!AH341)</f>
        <v/>
      </c>
      <c r="M338" s="339" t="str">
        <f>IF('Mapa final SI'!T341="","",'Mapa final SI'!T341)</f>
        <v/>
      </c>
      <c r="N338" s="397"/>
      <c r="O338" s="397"/>
      <c r="P338" s="397"/>
      <c r="Q338" s="398"/>
    </row>
    <row r="339" spans="1:17" ht="43.5" customHeight="1" x14ac:dyDescent="0.25">
      <c r="A339" s="115" t="s">
        <v>571</v>
      </c>
      <c r="B339" s="857"/>
      <c r="C339" s="863"/>
      <c r="D339" s="861"/>
      <c r="E339" s="863"/>
      <c r="F339" s="865"/>
      <c r="G339" s="865"/>
      <c r="H339" s="1073"/>
      <c r="I339" s="400" t="str">
        <f>IF('Mapa final SI'!AC342="","",'Mapa final SI'!AC342)</f>
        <v/>
      </c>
      <c r="J339" s="400" t="str">
        <f>IF('Mapa final SI'!AE342="","",'Mapa final SI'!AE342)</f>
        <v/>
      </c>
      <c r="K339" s="400" t="str">
        <f t="shared" si="5"/>
        <v/>
      </c>
      <c r="L339" s="400" t="str">
        <f>IF('Mapa final SI'!AH342="","",'Mapa final SI'!AH342)</f>
        <v/>
      </c>
      <c r="M339" s="339" t="str">
        <f>IF('Mapa final SI'!T342="","",'Mapa final SI'!T342)</f>
        <v/>
      </c>
      <c r="N339" s="397"/>
      <c r="O339" s="397"/>
      <c r="P339" s="397"/>
      <c r="Q339" s="398"/>
    </row>
    <row r="340" spans="1:17" ht="43.5" customHeight="1" x14ac:dyDescent="0.25">
      <c r="A340" s="115" t="s">
        <v>572</v>
      </c>
      <c r="B340" s="857"/>
      <c r="C340" s="863"/>
      <c r="D340" s="861"/>
      <c r="E340" s="863"/>
      <c r="F340" s="865"/>
      <c r="G340" s="865"/>
      <c r="H340" s="1073"/>
      <c r="I340" s="400" t="str">
        <f>IF('Mapa final SI'!AC343="","",'Mapa final SI'!AC343)</f>
        <v/>
      </c>
      <c r="J340" s="400" t="str">
        <f>IF('Mapa final SI'!AE343="","",'Mapa final SI'!AE343)</f>
        <v/>
      </c>
      <c r="K340" s="400" t="str">
        <f t="shared" si="5"/>
        <v/>
      </c>
      <c r="L340" s="400" t="str">
        <f>IF('Mapa final SI'!AH343="","",'Mapa final SI'!AH343)</f>
        <v/>
      </c>
      <c r="M340" s="339" t="str">
        <f>IF('Mapa final SI'!T343="","",'Mapa final SI'!T343)</f>
        <v/>
      </c>
      <c r="N340" s="397"/>
      <c r="O340" s="397"/>
      <c r="P340" s="397"/>
      <c r="Q340" s="398"/>
    </row>
    <row r="341" spans="1:17" ht="43.5" customHeight="1" x14ac:dyDescent="0.25">
      <c r="A341" s="115" t="s">
        <v>573</v>
      </c>
      <c r="B341" s="857"/>
      <c r="C341" s="863"/>
      <c r="D341" s="861"/>
      <c r="E341" s="863"/>
      <c r="F341" s="865"/>
      <c r="G341" s="865"/>
      <c r="H341" s="1073"/>
      <c r="I341" s="400" t="str">
        <f>IF('Mapa final SI'!AC344="","",'Mapa final SI'!AC344)</f>
        <v/>
      </c>
      <c r="J341" s="400" t="str">
        <f>IF('Mapa final SI'!AE344="","",'Mapa final SI'!AE344)</f>
        <v/>
      </c>
      <c r="K341" s="400" t="str">
        <f t="shared" si="5"/>
        <v/>
      </c>
      <c r="L341" s="400" t="str">
        <f>IF('Mapa final SI'!AH344="","",'Mapa final SI'!AH344)</f>
        <v/>
      </c>
      <c r="M341" s="339" t="str">
        <f>IF('Mapa final SI'!T344="","",'Mapa final SI'!T344)</f>
        <v/>
      </c>
      <c r="N341" s="397"/>
      <c r="O341" s="397"/>
      <c r="P341" s="397"/>
      <c r="Q341" s="398"/>
    </row>
    <row r="342" spans="1:17" ht="43.5" customHeight="1" x14ac:dyDescent="0.25">
      <c r="A342" s="115" t="s">
        <v>574</v>
      </c>
      <c r="B342" s="857"/>
      <c r="C342" s="863"/>
      <c r="D342" s="861"/>
      <c r="E342" s="863"/>
      <c r="F342" s="865"/>
      <c r="G342" s="865"/>
      <c r="H342" s="866"/>
      <c r="I342" s="400" t="str">
        <f>IF('Mapa final SI'!AC345="","",'Mapa final SI'!AC345)</f>
        <v/>
      </c>
      <c r="J342" s="400" t="str">
        <f>IF('Mapa final SI'!AE345="","",'Mapa final SI'!AE345)</f>
        <v/>
      </c>
      <c r="K342" s="400" t="str">
        <f t="shared" si="5"/>
        <v/>
      </c>
      <c r="L342" s="400" t="str">
        <f>IF('Mapa final SI'!AH345="","",'Mapa final SI'!AH345)</f>
        <v/>
      </c>
      <c r="M342" s="339" t="str">
        <f>IF('Mapa final SI'!T345="","",'Mapa final SI'!T345)</f>
        <v/>
      </c>
      <c r="N342" s="397"/>
      <c r="O342" s="397"/>
      <c r="P342" s="397"/>
      <c r="Q342" s="398"/>
    </row>
    <row r="343" spans="1:17" ht="43.5" customHeight="1" x14ac:dyDescent="0.25">
      <c r="A343" s="115" t="s">
        <v>575</v>
      </c>
      <c r="B343" s="856"/>
      <c r="C343" s="862" t="str">
        <f>IF('Mapa final SI'!G346="","",'Mapa final SI'!G346)</f>
        <v/>
      </c>
      <c r="D343" s="860"/>
      <c r="E343" s="862" t="str">
        <f>IF('Mapa final SI'!F346="","",'Mapa final SI'!F346)</f>
        <v/>
      </c>
      <c r="F343" s="864" t="str">
        <f>IF('Mapa final SI'!L346="","",'Mapa final SI'!L346)</f>
        <v/>
      </c>
      <c r="G343" s="864" t="str">
        <f>IF('Mapa final SI'!P346="","",'Mapa final SI'!P346)</f>
        <v/>
      </c>
      <c r="H343" s="107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0" t="str">
        <f>IF('Mapa final SI'!AC346="","",'Mapa final SI'!AC346)</f>
        <v/>
      </c>
      <c r="J343" s="400" t="str">
        <f>IF('Mapa final SI'!AE346="","",'Mapa final SI'!AE346)</f>
        <v/>
      </c>
      <c r="K343" s="400" t="str">
        <f t="shared" si="5"/>
        <v/>
      </c>
      <c r="L343" s="400" t="str">
        <f>IF('Mapa final SI'!AH346="","",'Mapa final SI'!AH346)</f>
        <v/>
      </c>
      <c r="M343" s="339" t="str">
        <f>IF('Mapa final SI'!T346="","",'Mapa final SI'!T346)</f>
        <v/>
      </c>
      <c r="N343" s="397"/>
      <c r="O343" s="397"/>
      <c r="P343" s="397"/>
      <c r="Q343" s="398"/>
    </row>
    <row r="344" spans="1:17" ht="43.5" customHeight="1" x14ac:dyDescent="0.25">
      <c r="A344" s="115" t="s">
        <v>576</v>
      </c>
      <c r="B344" s="857"/>
      <c r="C344" s="863"/>
      <c r="D344" s="861"/>
      <c r="E344" s="863"/>
      <c r="F344" s="865"/>
      <c r="G344" s="865"/>
      <c r="H344" s="1073"/>
      <c r="I344" s="400" t="str">
        <f>IF('Mapa final SI'!AC347="","",'Mapa final SI'!AC347)</f>
        <v/>
      </c>
      <c r="J344" s="400" t="str">
        <f>IF('Mapa final SI'!AE347="","",'Mapa final SI'!AE347)</f>
        <v/>
      </c>
      <c r="K344" s="400" t="str">
        <f t="shared" si="5"/>
        <v/>
      </c>
      <c r="L344" s="400" t="str">
        <f>IF('Mapa final SI'!AH347="","",'Mapa final SI'!AH347)</f>
        <v/>
      </c>
      <c r="M344" s="339" t="str">
        <f>IF('Mapa final SI'!T347="","",'Mapa final SI'!T347)</f>
        <v/>
      </c>
      <c r="N344" s="397"/>
      <c r="O344" s="397"/>
      <c r="P344" s="397"/>
      <c r="Q344" s="398"/>
    </row>
    <row r="345" spans="1:17" ht="43.5" customHeight="1" x14ac:dyDescent="0.25">
      <c r="A345" s="115" t="s">
        <v>577</v>
      </c>
      <c r="B345" s="857"/>
      <c r="C345" s="863"/>
      <c r="D345" s="861"/>
      <c r="E345" s="863"/>
      <c r="F345" s="865"/>
      <c r="G345" s="865"/>
      <c r="H345" s="1073"/>
      <c r="I345" s="400" t="str">
        <f>IF('Mapa final SI'!AC348="","",'Mapa final SI'!AC348)</f>
        <v/>
      </c>
      <c r="J345" s="400" t="str">
        <f>IF('Mapa final SI'!AE348="","",'Mapa final SI'!AE348)</f>
        <v/>
      </c>
      <c r="K345" s="400" t="str">
        <f t="shared" si="5"/>
        <v/>
      </c>
      <c r="L345" s="400" t="str">
        <f>IF('Mapa final SI'!AH348="","",'Mapa final SI'!AH348)</f>
        <v/>
      </c>
      <c r="M345" s="339" t="str">
        <f>IF('Mapa final SI'!T348="","",'Mapa final SI'!T348)</f>
        <v/>
      </c>
      <c r="N345" s="397"/>
      <c r="O345" s="397"/>
      <c r="P345" s="397"/>
      <c r="Q345" s="398"/>
    </row>
    <row r="346" spans="1:17" ht="43.5" customHeight="1" x14ac:dyDescent="0.25">
      <c r="A346" s="115" t="s">
        <v>578</v>
      </c>
      <c r="B346" s="857"/>
      <c r="C346" s="863"/>
      <c r="D346" s="861"/>
      <c r="E346" s="863"/>
      <c r="F346" s="865"/>
      <c r="G346" s="865"/>
      <c r="H346" s="1073"/>
      <c r="I346" s="400" t="str">
        <f>IF('Mapa final SI'!AC349="","",'Mapa final SI'!AC349)</f>
        <v/>
      </c>
      <c r="J346" s="400" t="str">
        <f>IF('Mapa final SI'!AE349="","",'Mapa final SI'!AE349)</f>
        <v/>
      </c>
      <c r="K346" s="400" t="str">
        <f t="shared" si="5"/>
        <v/>
      </c>
      <c r="L346" s="400" t="str">
        <f>IF('Mapa final SI'!AH349="","",'Mapa final SI'!AH349)</f>
        <v/>
      </c>
      <c r="M346" s="339" t="str">
        <f>IF('Mapa final SI'!T349="","",'Mapa final SI'!T349)</f>
        <v/>
      </c>
      <c r="N346" s="397"/>
      <c r="O346" s="397"/>
      <c r="P346" s="397"/>
      <c r="Q346" s="398"/>
    </row>
    <row r="347" spans="1:17" ht="43.5" customHeight="1" x14ac:dyDescent="0.25">
      <c r="A347" s="115" t="s">
        <v>579</v>
      </c>
      <c r="B347" s="857"/>
      <c r="C347" s="863"/>
      <c r="D347" s="861"/>
      <c r="E347" s="863"/>
      <c r="F347" s="865"/>
      <c r="G347" s="865"/>
      <c r="H347" s="1073"/>
      <c r="I347" s="400" t="str">
        <f>IF('Mapa final SI'!AC350="","",'Mapa final SI'!AC350)</f>
        <v/>
      </c>
      <c r="J347" s="400" t="str">
        <f>IF('Mapa final SI'!AE350="","",'Mapa final SI'!AE350)</f>
        <v/>
      </c>
      <c r="K347" s="400" t="str">
        <f t="shared" si="5"/>
        <v/>
      </c>
      <c r="L347" s="400" t="str">
        <f>IF('Mapa final SI'!AH350="","",'Mapa final SI'!AH350)</f>
        <v/>
      </c>
      <c r="M347" s="339" t="str">
        <f>IF('Mapa final SI'!T350="","",'Mapa final SI'!T350)</f>
        <v/>
      </c>
      <c r="N347" s="397"/>
      <c r="O347" s="397"/>
      <c r="P347" s="397"/>
      <c r="Q347" s="398"/>
    </row>
    <row r="348" spans="1:17" ht="43.5" customHeight="1" x14ac:dyDescent="0.25">
      <c r="A348" s="115" t="s">
        <v>580</v>
      </c>
      <c r="B348" s="857"/>
      <c r="C348" s="863"/>
      <c r="D348" s="861"/>
      <c r="E348" s="863"/>
      <c r="F348" s="865"/>
      <c r="G348" s="865"/>
      <c r="H348" s="866"/>
      <c r="I348" s="400" t="str">
        <f>IF('Mapa final SI'!AC351="","",'Mapa final SI'!AC351)</f>
        <v/>
      </c>
      <c r="J348" s="400" t="str">
        <f>IF('Mapa final SI'!AE351="","",'Mapa final SI'!AE351)</f>
        <v/>
      </c>
      <c r="K348" s="400" t="str">
        <f t="shared" si="5"/>
        <v/>
      </c>
      <c r="L348" s="400" t="str">
        <f>IF('Mapa final SI'!AH351="","",'Mapa final SI'!AH351)</f>
        <v/>
      </c>
      <c r="M348" s="339" t="str">
        <f>IF('Mapa final SI'!T351="","",'Mapa final SI'!T351)</f>
        <v/>
      </c>
      <c r="N348" s="397"/>
      <c r="O348" s="397"/>
      <c r="P348" s="397"/>
      <c r="Q348" s="398"/>
    </row>
    <row r="349" spans="1:17" ht="43.5" customHeight="1" x14ac:dyDescent="0.25">
      <c r="A349" s="115" t="s">
        <v>581</v>
      </c>
      <c r="B349" s="856"/>
      <c r="C349" s="862" t="str">
        <f>IF('Mapa final SI'!G352="","",'Mapa final SI'!G352)</f>
        <v/>
      </c>
      <c r="D349" s="860"/>
      <c r="E349" s="862" t="str">
        <f>IF('Mapa final SI'!F352="","",'Mapa final SI'!F352)</f>
        <v/>
      </c>
      <c r="F349" s="864" t="str">
        <f>IF('Mapa final SI'!L352="","",'Mapa final SI'!L352)</f>
        <v/>
      </c>
      <c r="G349" s="864" t="str">
        <f>IF('Mapa final SI'!P352="","",'Mapa final SI'!P352)</f>
        <v/>
      </c>
      <c r="H349" s="107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0" t="str">
        <f>IF('Mapa final SI'!AC352="","",'Mapa final SI'!AC352)</f>
        <v/>
      </c>
      <c r="J349" s="400" t="str">
        <f>IF('Mapa final SI'!AE352="","",'Mapa final SI'!AE352)</f>
        <v/>
      </c>
      <c r="K349" s="400" t="str">
        <f t="shared" si="5"/>
        <v/>
      </c>
      <c r="L349" s="400" t="str">
        <f>IF('Mapa final SI'!AH352="","",'Mapa final SI'!AH352)</f>
        <v/>
      </c>
      <c r="M349" s="339" t="str">
        <f>IF('Mapa final SI'!T352="","",'Mapa final SI'!T352)</f>
        <v/>
      </c>
      <c r="N349" s="397"/>
      <c r="O349" s="397"/>
      <c r="P349" s="397"/>
      <c r="Q349" s="398"/>
    </row>
    <row r="350" spans="1:17" ht="43.5" customHeight="1" x14ac:dyDescent="0.25">
      <c r="A350" s="115" t="s">
        <v>582</v>
      </c>
      <c r="B350" s="857"/>
      <c r="C350" s="863"/>
      <c r="D350" s="861"/>
      <c r="E350" s="863"/>
      <c r="F350" s="865"/>
      <c r="G350" s="865"/>
      <c r="H350" s="1073"/>
      <c r="I350" s="400" t="str">
        <f>IF('Mapa final SI'!AC353="","",'Mapa final SI'!AC353)</f>
        <v/>
      </c>
      <c r="J350" s="400" t="str">
        <f>IF('Mapa final SI'!AE353="","",'Mapa final SI'!AE353)</f>
        <v/>
      </c>
      <c r="K350" s="400" t="str">
        <f t="shared" si="5"/>
        <v/>
      </c>
      <c r="L350" s="400" t="str">
        <f>IF('Mapa final SI'!AH353="","",'Mapa final SI'!AH353)</f>
        <v/>
      </c>
      <c r="M350" s="339" t="str">
        <f>IF('Mapa final SI'!T353="","",'Mapa final SI'!T353)</f>
        <v/>
      </c>
      <c r="N350" s="397"/>
      <c r="O350" s="397"/>
      <c r="P350" s="397"/>
      <c r="Q350" s="398"/>
    </row>
    <row r="351" spans="1:17" ht="43.5" customHeight="1" x14ac:dyDescent="0.25">
      <c r="A351" s="115" t="s">
        <v>583</v>
      </c>
      <c r="B351" s="857"/>
      <c r="C351" s="863"/>
      <c r="D351" s="861"/>
      <c r="E351" s="863"/>
      <c r="F351" s="865"/>
      <c r="G351" s="865"/>
      <c r="H351" s="1073"/>
      <c r="I351" s="400" t="str">
        <f>IF('Mapa final SI'!AC354="","",'Mapa final SI'!AC354)</f>
        <v/>
      </c>
      <c r="J351" s="400" t="str">
        <f>IF('Mapa final SI'!AE354="","",'Mapa final SI'!AE354)</f>
        <v/>
      </c>
      <c r="K351" s="400" t="str">
        <f t="shared" si="5"/>
        <v/>
      </c>
      <c r="L351" s="400" t="str">
        <f>IF('Mapa final SI'!AH354="","",'Mapa final SI'!AH354)</f>
        <v/>
      </c>
      <c r="M351" s="339" t="str">
        <f>IF('Mapa final SI'!T354="","",'Mapa final SI'!T354)</f>
        <v/>
      </c>
      <c r="N351" s="397"/>
      <c r="O351" s="397"/>
      <c r="P351" s="397"/>
      <c r="Q351" s="398"/>
    </row>
    <row r="352" spans="1:17" ht="43.5" customHeight="1" x14ac:dyDescent="0.25">
      <c r="A352" s="115" t="s">
        <v>584</v>
      </c>
      <c r="B352" s="857"/>
      <c r="C352" s="863"/>
      <c r="D352" s="861"/>
      <c r="E352" s="863"/>
      <c r="F352" s="865"/>
      <c r="G352" s="865"/>
      <c r="H352" s="1073"/>
      <c r="I352" s="400" t="str">
        <f>IF('Mapa final SI'!AC355="","",'Mapa final SI'!AC355)</f>
        <v/>
      </c>
      <c r="J352" s="400" t="str">
        <f>IF('Mapa final SI'!AE355="","",'Mapa final SI'!AE355)</f>
        <v/>
      </c>
      <c r="K352" s="400" t="str">
        <f t="shared" si="5"/>
        <v/>
      </c>
      <c r="L352" s="400" t="str">
        <f>IF('Mapa final SI'!AH355="","",'Mapa final SI'!AH355)</f>
        <v/>
      </c>
      <c r="M352" s="339" t="str">
        <f>IF('Mapa final SI'!T355="","",'Mapa final SI'!T355)</f>
        <v/>
      </c>
      <c r="N352" s="397"/>
      <c r="O352" s="397"/>
      <c r="P352" s="397"/>
      <c r="Q352" s="398"/>
    </row>
    <row r="353" spans="1:17" ht="43.5" customHeight="1" x14ac:dyDescent="0.25">
      <c r="A353" s="115" t="s">
        <v>585</v>
      </c>
      <c r="B353" s="857"/>
      <c r="C353" s="863"/>
      <c r="D353" s="861"/>
      <c r="E353" s="863"/>
      <c r="F353" s="865"/>
      <c r="G353" s="865"/>
      <c r="H353" s="1073"/>
      <c r="I353" s="400" t="str">
        <f>IF('Mapa final SI'!AC356="","",'Mapa final SI'!AC356)</f>
        <v/>
      </c>
      <c r="J353" s="400" t="str">
        <f>IF('Mapa final SI'!AE356="","",'Mapa final SI'!AE356)</f>
        <v/>
      </c>
      <c r="K353" s="400" t="str">
        <f t="shared" si="5"/>
        <v/>
      </c>
      <c r="L353" s="400" t="str">
        <f>IF('Mapa final SI'!AH356="","",'Mapa final SI'!AH356)</f>
        <v/>
      </c>
      <c r="M353" s="339" t="str">
        <f>IF('Mapa final SI'!T356="","",'Mapa final SI'!T356)</f>
        <v/>
      </c>
      <c r="N353" s="397"/>
      <c r="O353" s="397"/>
      <c r="P353" s="397"/>
      <c r="Q353" s="398"/>
    </row>
    <row r="354" spans="1:17" ht="43.5" customHeight="1" x14ac:dyDescent="0.25">
      <c r="A354" s="115" t="s">
        <v>586</v>
      </c>
      <c r="B354" s="857"/>
      <c r="C354" s="863"/>
      <c r="D354" s="861"/>
      <c r="E354" s="863"/>
      <c r="F354" s="865"/>
      <c r="G354" s="865"/>
      <c r="H354" s="866"/>
      <c r="I354" s="400" t="str">
        <f>IF('Mapa final SI'!AC357="","",'Mapa final SI'!AC357)</f>
        <v/>
      </c>
      <c r="J354" s="400" t="str">
        <f>IF('Mapa final SI'!AE357="","",'Mapa final SI'!AE357)</f>
        <v/>
      </c>
      <c r="K354" s="400" t="str">
        <f t="shared" si="5"/>
        <v/>
      </c>
      <c r="L354" s="400" t="str">
        <f>IF('Mapa final SI'!AH357="","",'Mapa final SI'!AH357)</f>
        <v/>
      </c>
      <c r="M354" s="339" t="str">
        <f>IF('Mapa final SI'!T357="","",'Mapa final SI'!T357)</f>
        <v/>
      </c>
      <c r="N354" s="397"/>
      <c r="O354" s="397"/>
      <c r="P354" s="397"/>
      <c r="Q354" s="398"/>
    </row>
    <row r="355" spans="1:17" ht="43.5" customHeight="1" x14ac:dyDescent="0.25">
      <c r="A355" s="115" t="s">
        <v>587</v>
      </c>
      <c r="B355" s="856"/>
      <c r="C355" s="862" t="str">
        <f>IF('Mapa final SI'!G358="","",'Mapa final SI'!G358)</f>
        <v/>
      </c>
      <c r="D355" s="860"/>
      <c r="E355" s="862" t="str">
        <f>IF('Mapa final SI'!F358="","",'Mapa final SI'!F358)</f>
        <v/>
      </c>
      <c r="F355" s="864" t="str">
        <f>IF('Mapa final SI'!L358="","",'Mapa final SI'!L358)</f>
        <v/>
      </c>
      <c r="G355" s="864" t="str">
        <f>IF('Mapa final SI'!P358="","",'Mapa final SI'!P358)</f>
        <v/>
      </c>
      <c r="H355" s="107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0" t="str">
        <f>IF('Mapa final SI'!AC358="","",'Mapa final SI'!AC358)</f>
        <v/>
      </c>
      <c r="J355" s="400" t="str">
        <f>IF('Mapa final SI'!AE358="","",'Mapa final SI'!AE358)</f>
        <v/>
      </c>
      <c r="K355" s="400" t="str">
        <f t="shared" si="5"/>
        <v/>
      </c>
      <c r="L355" s="400" t="str">
        <f>IF('Mapa final SI'!AH358="","",'Mapa final SI'!AH358)</f>
        <v/>
      </c>
      <c r="M355" s="339" t="str">
        <f>IF('Mapa final SI'!T358="","",'Mapa final SI'!T358)</f>
        <v/>
      </c>
      <c r="N355" s="397"/>
      <c r="O355" s="397"/>
      <c r="P355" s="397"/>
      <c r="Q355" s="398"/>
    </row>
    <row r="356" spans="1:17" ht="43.5" customHeight="1" x14ac:dyDescent="0.25">
      <c r="A356" s="115" t="s">
        <v>588</v>
      </c>
      <c r="B356" s="857"/>
      <c r="C356" s="863"/>
      <c r="D356" s="861"/>
      <c r="E356" s="863"/>
      <c r="F356" s="865"/>
      <c r="G356" s="865"/>
      <c r="H356" s="1073"/>
      <c r="I356" s="400" t="str">
        <f>IF('Mapa final SI'!AC359="","",'Mapa final SI'!AC359)</f>
        <v/>
      </c>
      <c r="J356" s="400" t="str">
        <f>IF('Mapa final SI'!AE359="","",'Mapa final SI'!AE359)</f>
        <v/>
      </c>
      <c r="K356" s="400" t="str">
        <f t="shared" si="5"/>
        <v/>
      </c>
      <c r="L356" s="400" t="str">
        <f>IF('Mapa final SI'!AH359="","",'Mapa final SI'!AH359)</f>
        <v/>
      </c>
      <c r="M356" s="339" t="str">
        <f>IF('Mapa final SI'!T359="","",'Mapa final SI'!T359)</f>
        <v/>
      </c>
      <c r="N356" s="397"/>
      <c r="O356" s="397"/>
      <c r="P356" s="397"/>
      <c r="Q356" s="398"/>
    </row>
    <row r="357" spans="1:17" ht="43.5" customHeight="1" x14ac:dyDescent="0.25">
      <c r="A357" s="115" t="s">
        <v>589</v>
      </c>
      <c r="B357" s="857"/>
      <c r="C357" s="863"/>
      <c r="D357" s="861"/>
      <c r="E357" s="863"/>
      <c r="F357" s="865"/>
      <c r="G357" s="865"/>
      <c r="H357" s="1073"/>
      <c r="I357" s="400" t="str">
        <f>IF('Mapa final SI'!AC360="","",'Mapa final SI'!AC360)</f>
        <v/>
      </c>
      <c r="J357" s="400" t="str">
        <f>IF('Mapa final SI'!AE360="","",'Mapa final SI'!AE360)</f>
        <v/>
      </c>
      <c r="K357" s="400" t="str">
        <f t="shared" si="5"/>
        <v/>
      </c>
      <c r="L357" s="400" t="str">
        <f>IF('Mapa final SI'!AH360="","",'Mapa final SI'!AH360)</f>
        <v/>
      </c>
      <c r="M357" s="339" t="str">
        <f>IF('Mapa final SI'!T360="","",'Mapa final SI'!T360)</f>
        <v/>
      </c>
      <c r="N357" s="397"/>
      <c r="O357" s="397"/>
      <c r="P357" s="397"/>
      <c r="Q357" s="398"/>
    </row>
    <row r="358" spans="1:17" ht="43.5" customHeight="1" x14ac:dyDescent="0.25">
      <c r="A358" s="115" t="s">
        <v>590</v>
      </c>
      <c r="B358" s="857"/>
      <c r="C358" s="863"/>
      <c r="D358" s="861"/>
      <c r="E358" s="863"/>
      <c r="F358" s="865"/>
      <c r="G358" s="865"/>
      <c r="H358" s="1073"/>
      <c r="I358" s="400" t="str">
        <f>IF('Mapa final SI'!AC361="","",'Mapa final SI'!AC361)</f>
        <v/>
      </c>
      <c r="J358" s="400" t="str">
        <f>IF('Mapa final SI'!AE361="","",'Mapa final SI'!AE361)</f>
        <v/>
      </c>
      <c r="K358" s="400" t="str">
        <f t="shared" si="5"/>
        <v/>
      </c>
      <c r="L358" s="400" t="str">
        <f>IF('Mapa final SI'!AH361="","",'Mapa final SI'!AH361)</f>
        <v/>
      </c>
      <c r="M358" s="339" t="str">
        <f>IF('Mapa final SI'!T361="","",'Mapa final SI'!T361)</f>
        <v/>
      </c>
      <c r="N358" s="397"/>
      <c r="O358" s="397"/>
      <c r="P358" s="397"/>
      <c r="Q358" s="398"/>
    </row>
    <row r="359" spans="1:17" ht="43.5" customHeight="1" x14ac:dyDescent="0.25">
      <c r="A359" s="115" t="s">
        <v>591</v>
      </c>
      <c r="B359" s="857"/>
      <c r="C359" s="863"/>
      <c r="D359" s="861"/>
      <c r="E359" s="863"/>
      <c r="F359" s="865"/>
      <c r="G359" s="865"/>
      <c r="H359" s="1073"/>
      <c r="I359" s="400" t="str">
        <f>IF('Mapa final SI'!AC362="","",'Mapa final SI'!AC362)</f>
        <v/>
      </c>
      <c r="J359" s="400" t="str">
        <f>IF('Mapa final SI'!AE362="","",'Mapa final SI'!AE362)</f>
        <v/>
      </c>
      <c r="K359" s="400" t="str">
        <f t="shared" si="5"/>
        <v/>
      </c>
      <c r="L359" s="400" t="str">
        <f>IF('Mapa final SI'!AH362="","",'Mapa final SI'!AH362)</f>
        <v/>
      </c>
      <c r="M359" s="339" t="str">
        <f>IF('Mapa final SI'!T362="","",'Mapa final SI'!T362)</f>
        <v/>
      </c>
      <c r="N359" s="397"/>
      <c r="O359" s="397"/>
      <c r="P359" s="397"/>
      <c r="Q359" s="398"/>
    </row>
    <row r="360" spans="1:17" ht="43.5" customHeight="1" x14ac:dyDescent="0.25">
      <c r="A360" s="115" t="s">
        <v>592</v>
      </c>
      <c r="B360" s="857"/>
      <c r="C360" s="863"/>
      <c r="D360" s="861"/>
      <c r="E360" s="863"/>
      <c r="F360" s="865"/>
      <c r="G360" s="865"/>
      <c r="H360" s="866"/>
      <c r="I360" s="400" t="str">
        <f>IF('Mapa final SI'!AC363="","",'Mapa final SI'!AC363)</f>
        <v/>
      </c>
      <c r="J360" s="400" t="str">
        <f>IF('Mapa final SI'!AE363="","",'Mapa final SI'!AE363)</f>
        <v/>
      </c>
      <c r="K360" s="400" t="str">
        <f t="shared" si="5"/>
        <v/>
      </c>
      <c r="L360" s="400" t="str">
        <f>IF('Mapa final SI'!AH363="","",'Mapa final SI'!AH363)</f>
        <v/>
      </c>
      <c r="M360" s="339" t="str">
        <f>IF('Mapa final SI'!T363="","",'Mapa final SI'!T363)</f>
        <v/>
      </c>
      <c r="N360" s="397"/>
      <c r="O360" s="397"/>
      <c r="P360" s="397"/>
      <c r="Q360" s="398"/>
    </row>
    <row r="361" spans="1:17" ht="43.5" customHeight="1" x14ac:dyDescent="0.25">
      <c r="A361" s="115" t="s">
        <v>593</v>
      </c>
      <c r="B361" s="856"/>
      <c r="C361" s="862" t="str">
        <f>IF('Mapa final SI'!G364="","",'Mapa final SI'!G364)</f>
        <v/>
      </c>
      <c r="D361" s="860"/>
      <c r="E361" s="862" t="str">
        <f>IF('Mapa final SI'!F364="","",'Mapa final SI'!F364)</f>
        <v/>
      </c>
      <c r="F361" s="864" t="str">
        <f>IF('Mapa final SI'!L364="","",'Mapa final SI'!L364)</f>
        <v/>
      </c>
      <c r="G361" s="864" t="str">
        <f>IF('Mapa final SI'!P364="","",'Mapa final SI'!P364)</f>
        <v/>
      </c>
      <c r="H361" s="107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0" t="str">
        <f>IF('Mapa final SI'!AC364="","",'Mapa final SI'!AC364)</f>
        <v/>
      </c>
      <c r="J361" s="400" t="str">
        <f>IF('Mapa final SI'!AE364="","",'Mapa final SI'!AE364)</f>
        <v/>
      </c>
      <c r="K361" s="400" t="str">
        <f t="shared" si="5"/>
        <v/>
      </c>
      <c r="L361" s="400" t="str">
        <f>IF('Mapa final SI'!AH364="","",'Mapa final SI'!AH364)</f>
        <v/>
      </c>
      <c r="M361" s="339" t="str">
        <f>IF('Mapa final SI'!T364="","",'Mapa final SI'!T364)</f>
        <v/>
      </c>
      <c r="N361" s="397"/>
      <c r="O361" s="397"/>
      <c r="P361" s="397"/>
      <c r="Q361" s="398"/>
    </row>
    <row r="362" spans="1:17" ht="43.5" customHeight="1" x14ac:dyDescent="0.25">
      <c r="A362" s="115" t="s">
        <v>594</v>
      </c>
      <c r="B362" s="857"/>
      <c r="C362" s="863"/>
      <c r="D362" s="861"/>
      <c r="E362" s="863"/>
      <c r="F362" s="865"/>
      <c r="G362" s="865"/>
      <c r="H362" s="1073"/>
      <c r="I362" s="400" t="str">
        <f>IF('Mapa final SI'!AC365="","",'Mapa final SI'!AC365)</f>
        <v/>
      </c>
      <c r="J362" s="400" t="str">
        <f>IF('Mapa final SI'!AE365="","",'Mapa final SI'!AE365)</f>
        <v/>
      </c>
      <c r="K362" s="400" t="str">
        <f t="shared" si="5"/>
        <v/>
      </c>
      <c r="L362" s="400" t="str">
        <f>IF('Mapa final SI'!AH365="","",'Mapa final SI'!AH365)</f>
        <v/>
      </c>
      <c r="M362" s="339" t="str">
        <f>IF('Mapa final SI'!T365="","",'Mapa final SI'!T365)</f>
        <v/>
      </c>
      <c r="N362" s="397"/>
      <c r="O362" s="397"/>
      <c r="P362" s="397"/>
      <c r="Q362" s="398"/>
    </row>
    <row r="363" spans="1:17" ht="51.75" customHeight="1" x14ac:dyDescent="0.25">
      <c r="A363" s="115" t="s">
        <v>595</v>
      </c>
      <c r="B363" s="857"/>
      <c r="C363" s="863"/>
      <c r="D363" s="861"/>
      <c r="E363" s="863"/>
      <c r="F363" s="865"/>
      <c r="G363" s="865"/>
      <c r="H363" s="1073"/>
      <c r="I363" s="400" t="str">
        <f>IF('Mapa final SI'!AC366="","",'Mapa final SI'!AC366)</f>
        <v/>
      </c>
      <c r="J363" s="400" t="str">
        <f>IF('Mapa final SI'!AE366="","",'Mapa final SI'!AE366)</f>
        <v/>
      </c>
      <c r="K363" s="400" t="str">
        <f t="shared" si="5"/>
        <v/>
      </c>
      <c r="L363" s="400" t="str">
        <f>IF('Mapa final SI'!AH366="","",'Mapa final SI'!AH366)</f>
        <v/>
      </c>
      <c r="M363" s="339" t="str">
        <f>IF('Mapa final SI'!T366="","",'Mapa final SI'!T366)</f>
        <v/>
      </c>
      <c r="N363" s="397"/>
      <c r="O363" s="397"/>
      <c r="P363" s="397"/>
      <c r="Q363" s="398"/>
    </row>
    <row r="364" spans="1:17" ht="51.75" customHeight="1" x14ac:dyDescent="0.25">
      <c r="A364" s="115" t="s">
        <v>596</v>
      </c>
      <c r="B364" s="857"/>
      <c r="C364" s="863"/>
      <c r="D364" s="861"/>
      <c r="E364" s="863"/>
      <c r="F364" s="865"/>
      <c r="G364" s="865"/>
      <c r="H364" s="1073"/>
      <c r="I364" s="400" t="str">
        <f>IF('Mapa final SI'!AC367="","",'Mapa final SI'!AC367)</f>
        <v/>
      </c>
      <c r="J364" s="400" t="str">
        <f>IF('Mapa final SI'!AE367="","",'Mapa final SI'!AE367)</f>
        <v/>
      </c>
      <c r="K364" s="400" t="str">
        <f t="shared" si="5"/>
        <v/>
      </c>
      <c r="L364" s="400" t="str">
        <f>IF('Mapa final SI'!AH367="","",'Mapa final SI'!AH367)</f>
        <v/>
      </c>
      <c r="M364" s="339" t="str">
        <f>IF('Mapa final SI'!T367="","",'Mapa final SI'!T367)</f>
        <v/>
      </c>
      <c r="N364" s="397"/>
      <c r="O364" s="397"/>
      <c r="P364" s="397"/>
      <c r="Q364" s="398"/>
    </row>
    <row r="365" spans="1:17" ht="51.75" customHeight="1" x14ac:dyDescent="0.25">
      <c r="A365" s="115" t="s">
        <v>597</v>
      </c>
      <c r="B365" s="857"/>
      <c r="C365" s="863"/>
      <c r="D365" s="861"/>
      <c r="E365" s="863"/>
      <c r="F365" s="865"/>
      <c r="G365" s="865"/>
      <c r="H365" s="1073"/>
      <c r="I365" s="400" t="str">
        <f>IF('Mapa final SI'!AC368="","",'Mapa final SI'!AC368)</f>
        <v/>
      </c>
      <c r="J365" s="400" t="str">
        <f>IF('Mapa final SI'!AE368="","",'Mapa final SI'!AE368)</f>
        <v/>
      </c>
      <c r="K365" s="400" t="str">
        <f t="shared" si="5"/>
        <v/>
      </c>
      <c r="L365" s="400" t="str">
        <f>IF('Mapa final SI'!AH368="","",'Mapa final SI'!AH368)</f>
        <v/>
      </c>
      <c r="M365" s="339" t="str">
        <f>IF('Mapa final SI'!T368="","",'Mapa final SI'!T368)</f>
        <v/>
      </c>
      <c r="N365" s="397"/>
      <c r="O365" s="397"/>
      <c r="P365" s="397"/>
      <c r="Q365" s="398"/>
    </row>
    <row r="366" spans="1:17" ht="51.75" customHeight="1" x14ac:dyDescent="0.25">
      <c r="A366" s="115" t="s">
        <v>598</v>
      </c>
      <c r="B366" s="857"/>
      <c r="C366" s="863"/>
      <c r="D366" s="861"/>
      <c r="E366" s="863"/>
      <c r="F366" s="865"/>
      <c r="G366" s="865"/>
      <c r="H366" s="866"/>
      <c r="I366" s="400" t="str">
        <f>IF('Mapa final SI'!AC369="","",'Mapa final SI'!AC369)</f>
        <v/>
      </c>
      <c r="J366" s="400" t="str">
        <f>IF('Mapa final SI'!AE369="","",'Mapa final SI'!AE369)</f>
        <v/>
      </c>
      <c r="K366" s="400" t="str">
        <f t="shared" si="5"/>
        <v/>
      </c>
      <c r="L366" s="400" t="str">
        <f>IF('Mapa final SI'!AH369="","",'Mapa final SI'!AH369)</f>
        <v/>
      </c>
      <c r="M366" s="339" t="str">
        <f>IF('Mapa final SI'!T369="","",'Mapa final SI'!T369)</f>
        <v/>
      </c>
      <c r="N366" s="397"/>
      <c r="O366" s="397"/>
      <c r="P366" s="397"/>
      <c r="Q366" s="398"/>
    </row>
    <row r="367" spans="1:17" ht="51.75" customHeight="1" x14ac:dyDescent="0.25">
      <c r="A367" s="115" t="s">
        <v>599</v>
      </c>
      <c r="B367" s="856"/>
      <c r="C367" s="862" t="str">
        <f>IF('Mapa final SI'!G370="","",'Mapa final SI'!G370)</f>
        <v/>
      </c>
      <c r="D367" s="860"/>
      <c r="E367" s="862" t="str">
        <f>IF('Mapa final SI'!F370="","",'Mapa final SI'!F370)</f>
        <v/>
      </c>
      <c r="F367" s="864" t="str">
        <f>IF('Mapa final SI'!L370="","",'Mapa final SI'!L370)</f>
        <v/>
      </c>
      <c r="G367" s="864" t="str">
        <f>IF('Mapa final SI'!P370="","",'Mapa final SI'!P370)</f>
        <v/>
      </c>
      <c r="H367" s="107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0" t="str">
        <f>IF('Mapa final SI'!AC370="","",'Mapa final SI'!AC370)</f>
        <v/>
      </c>
      <c r="J367" s="400" t="str">
        <f>IF('Mapa final SI'!AE370="","",'Mapa final SI'!AE370)</f>
        <v/>
      </c>
      <c r="K367" s="400" t="str">
        <f t="shared" si="5"/>
        <v/>
      </c>
      <c r="L367" s="400" t="str">
        <f>IF('Mapa final SI'!AH370="","",'Mapa final SI'!AH370)</f>
        <v/>
      </c>
      <c r="M367" s="339" t="str">
        <f>IF('Mapa final SI'!T370="","",'Mapa final SI'!T370)</f>
        <v/>
      </c>
      <c r="N367" s="397"/>
      <c r="O367" s="397"/>
      <c r="P367" s="397"/>
      <c r="Q367" s="398"/>
    </row>
    <row r="368" spans="1:17" ht="51.75" customHeight="1" x14ac:dyDescent="0.25">
      <c r="A368" s="115" t="s">
        <v>600</v>
      </c>
      <c r="B368" s="857"/>
      <c r="C368" s="863"/>
      <c r="D368" s="861"/>
      <c r="E368" s="863"/>
      <c r="F368" s="865"/>
      <c r="G368" s="865"/>
      <c r="H368" s="1073"/>
      <c r="I368" s="400" t="str">
        <f>IF('Mapa final SI'!AC371="","",'Mapa final SI'!AC371)</f>
        <v/>
      </c>
      <c r="J368" s="400" t="str">
        <f>IF('Mapa final SI'!AE371="","",'Mapa final SI'!AE371)</f>
        <v/>
      </c>
      <c r="K368" s="400" t="str">
        <f t="shared" si="5"/>
        <v/>
      </c>
      <c r="L368" s="400" t="str">
        <f>IF('Mapa final SI'!AH371="","",'Mapa final SI'!AH371)</f>
        <v/>
      </c>
      <c r="M368" s="339" t="str">
        <f>IF('Mapa final SI'!T371="","",'Mapa final SI'!T371)</f>
        <v/>
      </c>
      <c r="N368" s="397"/>
      <c r="O368" s="397"/>
      <c r="P368" s="397"/>
      <c r="Q368" s="398"/>
    </row>
    <row r="369" spans="1:17" ht="51.75" customHeight="1" x14ac:dyDescent="0.25">
      <c r="A369" s="115" t="s">
        <v>601</v>
      </c>
      <c r="B369" s="857"/>
      <c r="C369" s="863"/>
      <c r="D369" s="861"/>
      <c r="E369" s="863"/>
      <c r="F369" s="865"/>
      <c r="G369" s="865"/>
      <c r="H369" s="1073"/>
      <c r="I369" s="400" t="str">
        <f>IF('Mapa final SI'!AC372="","",'Mapa final SI'!AC372)</f>
        <v/>
      </c>
      <c r="J369" s="400" t="str">
        <f>IF('Mapa final SI'!AE372="","",'Mapa final SI'!AE372)</f>
        <v/>
      </c>
      <c r="K369" s="400" t="str">
        <f t="shared" si="5"/>
        <v/>
      </c>
      <c r="L369" s="400" t="str">
        <f>IF('Mapa final SI'!AH372="","",'Mapa final SI'!AH372)</f>
        <v/>
      </c>
      <c r="M369" s="339" t="str">
        <f>IF('Mapa final SI'!T372="","",'Mapa final SI'!T372)</f>
        <v/>
      </c>
      <c r="N369" s="397"/>
      <c r="O369" s="397"/>
      <c r="P369" s="397"/>
      <c r="Q369" s="398"/>
    </row>
    <row r="370" spans="1:17" ht="51.75" customHeight="1" x14ac:dyDescent="0.25">
      <c r="A370" s="115" t="s">
        <v>602</v>
      </c>
      <c r="B370" s="857"/>
      <c r="C370" s="863"/>
      <c r="D370" s="861"/>
      <c r="E370" s="863"/>
      <c r="F370" s="865"/>
      <c r="G370" s="865"/>
      <c r="H370" s="1073"/>
      <c r="I370" s="400" t="str">
        <f>IF('Mapa final SI'!AC373="","",'Mapa final SI'!AC373)</f>
        <v/>
      </c>
      <c r="J370" s="400" t="str">
        <f>IF('Mapa final SI'!AE373="","",'Mapa final SI'!AE373)</f>
        <v/>
      </c>
      <c r="K370" s="400" t="str">
        <f t="shared" si="5"/>
        <v/>
      </c>
      <c r="L370" s="400" t="str">
        <f>IF('Mapa final SI'!AH373="","",'Mapa final SI'!AH373)</f>
        <v/>
      </c>
      <c r="M370" s="339" t="str">
        <f>IF('Mapa final SI'!T373="","",'Mapa final SI'!T373)</f>
        <v/>
      </c>
      <c r="N370" s="397"/>
      <c r="O370" s="397"/>
      <c r="P370" s="397"/>
      <c r="Q370" s="398"/>
    </row>
    <row r="371" spans="1:17" ht="51.75" customHeight="1" x14ac:dyDescent="0.25">
      <c r="A371" s="115" t="s">
        <v>603</v>
      </c>
      <c r="B371" s="857"/>
      <c r="C371" s="863"/>
      <c r="D371" s="861"/>
      <c r="E371" s="863"/>
      <c r="F371" s="865"/>
      <c r="G371" s="865"/>
      <c r="H371" s="1073"/>
      <c r="I371" s="400" t="str">
        <f>IF('Mapa final SI'!AC374="","",'Mapa final SI'!AC374)</f>
        <v/>
      </c>
      <c r="J371" s="400" t="str">
        <f>IF('Mapa final SI'!AE374="","",'Mapa final SI'!AE374)</f>
        <v/>
      </c>
      <c r="K371" s="400" t="str">
        <f t="shared" si="5"/>
        <v/>
      </c>
      <c r="L371" s="400" t="str">
        <f>IF('Mapa final SI'!AH374="","",'Mapa final SI'!AH374)</f>
        <v/>
      </c>
      <c r="M371" s="339" t="str">
        <f>IF('Mapa final SI'!T374="","",'Mapa final SI'!T374)</f>
        <v/>
      </c>
      <c r="N371" s="397"/>
      <c r="O371" s="397"/>
      <c r="P371" s="397"/>
      <c r="Q371" s="398"/>
    </row>
    <row r="372" spans="1:17" ht="51.75" customHeight="1" x14ac:dyDescent="0.25">
      <c r="A372" s="115" t="s">
        <v>604</v>
      </c>
      <c r="B372" s="857"/>
      <c r="C372" s="863"/>
      <c r="D372" s="861"/>
      <c r="E372" s="863"/>
      <c r="F372" s="865"/>
      <c r="G372" s="865"/>
      <c r="H372" s="866"/>
      <c r="I372" s="400" t="str">
        <f>IF('Mapa final SI'!AC375="","",'Mapa final SI'!AC375)</f>
        <v/>
      </c>
      <c r="J372" s="400" t="str">
        <f>IF('Mapa final SI'!AE375="","",'Mapa final SI'!AE375)</f>
        <v/>
      </c>
      <c r="K372" s="400" t="str">
        <f t="shared" si="5"/>
        <v/>
      </c>
      <c r="L372" s="400" t="str">
        <f>IF('Mapa final SI'!AH375="","",'Mapa final SI'!AH375)</f>
        <v/>
      </c>
      <c r="M372" s="339" t="str">
        <f>IF('Mapa final SI'!T375="","",'Mapa final SI'!T375)</f>
        <v/>
      </c>
      <c r="N372" s="397"/>
      <c r="O372" s="397"/>
      <c r="P372" s="397"/>
      <c r="Q372" s="398"/>
    </row>
    <row r="373" spans="1:17" ht="51.75" customHeight="1" x14ac:dyDescent="0.25">
      <c r="A373" s="115" t="s">
        <v>605</v>
      </c>
      <c r="B373" s="856"/>
      <c r="C373" s="862" t="str">
        <f>IF('Mapa final SI'!G376="","",'Mapa final SI'!G376)</f>
        <v/>
      </c>
      <c r="D373" s="860"/>
      <c r="E373" s="862" t="str">
        <f>IF('Mapa final SI'!F376="","",'Mapa final SI'!F376)</f>
        <v/>
      </c>
      <c r="F373" s="864" t="str">
        <f>IF('Mapa final SI'!L376="","",'Mapa final SI'!L376)</f>
        <v/>
      </c>
      <c r="G373" s="864" t="str">
        <f>IF('Mapa final SI'!P376="","",'Mapa final SI'!P376)</f>
        <v/>
      </c>
      <c r="H373" s="107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0" t="str">
        <f>IF('Mapa final SI'!AC376="","",'Mapa final SI'!AC376)</f>
        <v/>
      </c>
      <c r="J373" s="400" t="str">
        <f>IF('Mapa final SI'!AE376="","",'Mapa final SI'!AE376)</f>
        <v/>
      </c>
      <c r="K373" s="400" t="str">
        <f t="shared" si="5"/>
        <v/>
      </c>
      <c r="L373" s="400" t="str">
        <f>IF('Mapa final SI'!AH376="","",'Mapa final SI'!AH376)</f>
        <v/>
      </c>
      <c r="M373" s="339" t="str">
        <f>IF('Mapa final SI'!T376="","",'Mapa final SI'!T376)</f>
        <v/>
      </c>
      <c r="N373" s="397"/>
      <c r="O373" s="397"/>
      <c r="P373" s="397"/>
      <c r="Q373" s="398"/>
    </row>
    <row r="374" spans="1:17" ht="51.75" customHeight="1" x14ac:dyDescent="0.25">
      <c r="A374" s="115" t="s">
        <v>606</v>
      </c>
      <c r="B374" s="857"/>
      <c r="C374" s="863"/>
      <c r="D374" s="861"/>
      <c r="E374" s="863"/>
      <c r="F374" s="865"/>
      <c r="G374" s="865"/>
      <c r="H374" s="1073"/>
      <c r="I374" s="400" t="str">
        <f>IF('Mapa final SI'!AC377="","",'Mapa final SI'!AC377)</f>
        <v/>
      </c>
      <c r="J374" s="400" t="str">
        <f>IF('Mapa final SI'!AE377="","",'Mapa final SI'!AE377)</f>
        <v/>
      </c>
      <c r="K374" s="400" t="str">
        <f t="shared" si="5"/>
        <v/>
      </c>
      <c r="L374" s="400" t="str">
        <f>IF('Mapa final SI'!AH377="","",'Mapa final SI'!AH377)</f>
        <v/>
      </c>
      <c r="M374" s="339" t="str">
        <f>IF('Mapa final SI'!T377="","",'Mapa final SI'!T377)</f>
        <v/>
      </c>
      <c r="N374" s="397"/>
      <c r="O374" s="397"/>
      <c r="P374" s="397"/>
      <c r="Q374" s="398"/>
    </row>
    <row r="375" spans="1:17" ht="51.75" customHeight="1" x14ac:dyDescent="0.25">
      <c r="A375" s="115" t="s">
        <v>607</v>
      </c>
      <c r="B375" s="857"/>
      <c r="C375" s="863"/>
      <c r="D375" s="861"/>
      <c r="E375" s="863"/>
      <c r="F375" s="865"/>
      <c r="G375" s="865"/>
      <c r="H375" s="1073"/>
      <c r="I375" s="400" t="str">
        <f>IF('Mapa final SI'!AC378="","",'Mapa final SI'!AC378)</f>
        <v/>
      </c>
      <c r="J375" s="400" t="str">
        <f>IF('Mapa final SI'!AE378="","",'Mapa final SI'!AE378)</f>
        <v/>
      </c>
      <c r="K375" s="400" t="str">
        <f t="shared" si="5"/>
        <v/>
      </c>
      <c r="L375" s="400" t="str">
        <f>IF('Mapa final SI'!AH378="","",'Mapa final SI'!AH378)</f>
        <v/>
      </c>
      <c r="M375" s="339" t="str">
        <f>IF('Mapa final SI'!T378="","",'Mapa final SI'!T378)</f>
        <v/>
      </c>
      <c r="N375" s="397"/>
      <c r="O375" s="397"/>
      <c r="P375" s="397"/>
      <c r="Q375" s="398"/>
    </row>
    <row r="376" spans="1:17" ht="51.75" customHeight="1" x14ac:dyDescent="0.25">
      <c r="A376" s="115" t="s">
        <v>608</v>
      </c>
      <c r="B376" s="857"/>
      <c r="C376" s="863"/>
      <c r="D376" s="861"/>
      <c r="E376" s="863"/>
      <c r="F376" s="865"/>
      <c r="G376" s="865"/>
      <c r="H376" s="1073"/>
      <c r="I376" s="400" t="str">
        <f>IF('Mapa final SI'!AC379="","",'Mapa final SI'!AC379)</f>
        <v/>
      </c>
      <c r="J376" s="400" t="str">
        <f>IF('Mapa final SI'!AE379="","",'Mapa final SI'!AE379)</f>
        <v/>
      </c>
      <c r="K376" s="400" t="str">
        <f t="shared" si="5"/>
        <v/>
      </c>
      <c r="L376" s="400" t="str">
        <f>IF('Mapa final SI'!AH379="","",'Mapa final SI'!AH379)</f>
        <v/>
      </c>
      <c r="M376" s="339" t="str">
        <f>IF('Mapa final SI'!T379="","",'Mapa final SI'!T379)</f>
        <v/>
      </c>
      <c r="N376" s="397"/>
      <c r="O376" s="397"/>
      <c r="P376" s="397"/>
      <c r="Q376" s="398"/>
    </row>
    <row r="377" spans="1:17" ht="51.75" customHeight="1" x14ac:dyDescent="0.25">
      <c r="A377" s="115" t="s">
        <v>609</v>
      </c>
      <c r="B377" s="857"/>
      <c r="C377" s="863"/>
      <c r="D377" s="861"/>
      <c r="E377" s="863"/>
      <c r="F377" s="865"/>
      <c r="G377" s="865"/>
      <c r="H377" s="1073"/>
      <c r="I377" s="400" t="str">
        <f>IF('Mapa final SI'!AC380="","",'Mapa final SI'!AC380)</f>
        <v/>
      </c>
      <c r="J377" s="400" t="str">
        <f>IF('Mapa final SI'!AE380="","",'Mapa final SI'!AE380)</f>
        <v/>
      </c>
      <c r="K377" s="400" t="str">
        <f t="shared" si="5"/>
        <v/>
      </c>
      <c r="L377" s="400" t="str">
        <f>IF('Mapa final SI'!AH380="","",'Mapa final SI'!AH380)</f>
        <v/>
      </c>
      <c r="M377" s="339" t="str">
        <f>IF('Mapa final SI'!T380="","",'Mapa final SI'!T380)</f>
        <v/>
      </c>
      <c r="N377" s="397"/>
      <c r="O377" s="397"/>
      <c r="P377" s="397"/>
      <c r="Q377" s="398"/>
    </row>
    <row r="378" spans="1:17" ht="51.75" customHeight="1" x14ac:dyDescent="0.25">
      <c r="A378" s="115" t="s">
        <v>610</v>
      </c>
      <c r="B378" s="857"/>
      <c r="C378" s="863"/>
      <c r="D378" s="861"/>
      <c r="E378" s="863"/>
      <c r="F378" s="865"/>
      <c r="G378" s="865"/>
      <c r="H378" s="866"/>
      <c r="I378" s="400" t="str">
        <f>IF('Mapa final SI'!AC381="","",'Mapa final SI'!AC381)</f>
        <v/>
      </c>
      <c r="J378" s="400" t="str">
        <f>IF('Mapa final SI'!AE381="","",'Mapa final SI'!AE381)</f>
        <v/>
      </c>
      <c r="K378" s="400" t="str">
        <f t="shared" si="5"/>
        <v/>
      </c>
      <c r="L378" s="400" t="str">
        <f>IF('Mapa final SI'!AH381="","",'Mapa final SI'!AH381)</f>
        <v/>
      </c>
      <c r="M378" s="339" t="str">
        <f>IF('Mapa final SI'!T381="","",'Mapa final SI'!T381)</f>
        <v/>
      </c>
      <c r="N378" s="397"/>
      <c r="O378" s="397"/>
      <c r="P378" s="397"/>
      <c r="Q378" s="398"/>
    </row>
    <row r="379" spans="1:17" ht="51.75" customHeight="1" x14ac:dyDescent="0.25">
      <c r="A379" s="115" t="s">
        <v>611</v>
      </c>
      <c r="B379" s="856"/>
      <c r="C379" s="862" t="str">
        <f>IF('Mapa final SI'!G382="","",'Mapa final SI'!G382)</f>
        <v/>
      </c>
      <c r="D379" s="860"/>
      <c r="E379" s="862" t="str">
        <f>IF('Mapa final SI'!F382="","",'Mapa final SI'!F382)</f>
        <v/>
      </c>
      <c r="F379" s="864" t="str">
        <f>IF('Mapa final SI'!L382="","",'Mapa final SI'!L382)</f>
        <v/>
      </c>
      <c r="G379" s="864" t="str">
        <f>IF('Mapa final SI'!P382="","",'Mapa final SI'!P382)</f>
        <v/>
      </c>
      <c r="H379" s="107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0" t="str">
        <f>IF('Mapa final SI'!AC382="","",'Mapa final SI'!AC382)</f>
        <v/>
      </c>
      <c r="J379" s="400" t="str">
        <f>IF('Mapa final SI'!AE382="","",'Mapa final SI'!AE382)</f>
        <v/>
      </c>
      <c r="K379" s="400" t="str">
        <f t="shared" si="5"/>
        <v/>
      </c>
      <c r="L379" s="400" t="str">
        <f>IF('Mapa final SI'!AH382="","",'Mapa final SI'!AH382)</f>
        <v/>
      </c>
      <c r="M379" s="339" t="str">
        <f>IF('Mapa final SI'!T382="","",'Mapa final SI'!T382)</f>
        <v/>
      </c>
      <c r="N379" s="397"/>
      <c r="O379" s="397"/>
      <c r="P379" s="397"/>
      <c r="Q379" s="398"/>
    </row>
    <row r="380" spans="1:17" ht="51.75" customHeight="1" x14ac:dyDescent="0.25">
      <c r="A380" s="115" t="s">
        <v>612</v>
      </c>
      <c r="B380" s="857"/>
      <c r="C380" s="863"/>
      <c r="D380" s="861"/>
      <c r="E380" s="863"/>
      <c r="F380" s="865"/>
      <c r="G380" s="865"/>
      <c r="H380" s="1073"/>
      <c r="I380" s="400" t="str">
        <f>IF('Mapa final SI'!AC383="","",'Mapa final SI'!AC383)</f>
        <v/>
      </c>
      <c r="J380" s="400" t="str">
        <f>IF('Mapa final SI'!AE383="","",'Mapa final SI'!AE383)</f>
        <v/>
      </c>
      <c r="K380" s="400" t="str">
        <f t="shared" si="5"/>
        <v/>
      </c>
      <c r="L380" s="400" t="str">
        <f>IF('Mapa final SI'!AH383="","",'Mapa final SI'!AH383)</f>
        <v/>
      </c>
      <c r="M380" s="339" t="str">
        <f>IF('Mapa final SI'!T383="","",'Mapa final SI'!T383)</f>
        <v/>
      </c>
      <c r="N380" s="397"/>
      <c r="O380" s="397"/>
      <c r="P380" s="397"/>
      <c r="Q380" s="398"/>
    </row>
    <row r="381" spans="1:17" ht="51.75" customHeight="1" x14ac:dyDescent="0.25">
      <c r="A381" s="115" t="s">
        <v>613</v>
      </c>
      <c r="B381" s="857"/>
      <c r="C381" s="863"/>
      <c r="D381" s="861"/>
      <c r="E381" s="863"/>
      <c r="F381" s="865"/>
      <c r="G381" s="865"/>
      <c r="H381" s="1073"/>
      <c r="I381" s="400" t="str">
        <f>IF('Mapa final SI'!AC384="","",'Mapa final SI'!AC384)</f>
        <v/>
      </c>
      <c r="J381" s="400" t="str">
        <f>IF('Mapa final SI'!AE384="","",'Mapa final SI'!AE384)</f>
        <v/>
      </c>
      <c r="K381" s="400" t="str">
        <f t="shared" si="5"/>
        <v/>
      </c>
      <c r="L381" s="400" t="str">
        <f>IF('Mapa final SI'!AH384="","",'Mapa final SI'!AH384)</f>
        <v/>
      </c>
      <c r="M381" s="339" t="str">
        <f>IF('Mapa final SI'!T384="","",'Mapa final SI'!T384)</f>
        <v/>
      </c>
      <c r="N381" s="397"/>
      <c r="O381" s="397"/>
      <c r="P381" s="397"/>
      <c r="Q381" s="398"/>
    </row>
    <row r="382" spans="1:17" ht="51.75" customHeight="1" x14ac:dyDescent="0.25">
      <c r="A382" s="115" t="s">
        <v>614</v>
      </c>
      <c r="B382" s="857"/>
      <c r="C382" s="863"/>
      <c r="D382" s="861"/>
      <c r="E382" s="863"/>
      <c r="F382" s="865"/>
      <c r="G382" s="865"/>
      <c r="H382" s="1073"/>
      <c r="I382" s="400" t="str">
        <f>IF('Mapa final SI'!AC385="","",'Mapa final SI'!AC385)</f>
        <v/>
      </c>
      <c r="J382" s="400" t="str">
        <f>IF('Mapa final SI'!AE385="","",'Mapa final SI'!AE385)</f>
        <v/>
      </c>
      <c r="K382" s="400" t="str">
        <f t="shared" si="5"/>
        <v/>
      </c>
      <c r="L382" s="400" t="str">
        <f>IF('Mapa final SI'!AH385="","",'Mapa final SI'!AH385)</f>
        <v/>
      </c>
      <c r="M382" s="339" t="str">
        <f>IF('Mapa final SI'!T385="","",'Mapa final SI'!T385)</f>
        <v/>
      </c>
      <c r="N382" s="397"/>
      <c r="O382" s="397"/>
      <c r="P382" s="397"/>
      <c r="Q382" s="398"/>
    </row>
    <row r="383" spans="1:17" ht="51.75" customHeight="1" x14ac:dyDescent="0.25">
      <c r="A383" s="115" t="s">
        <v>615</v>
      </c>
      <c r="B383" s="857"/>
      <c r="C383" s="863"/>
      <c r="D383" s="861"/>
      <c r="E383" s="863"/>
      <c r="F383" s="865"/>
      <c r="G383" s="865"/>
      <c r="H383" s="1073"/>
      <c r="I383" s="400" t="str">
        <f>IF('Mapa final SI'!AC386="","",'Mapa final SI'!AC386)</f>
        <v/>
      </c>
      <c r="J383" s="400" t="str">
        <f>IF('Mapa final SI'!AE386="","",'Mapa final SI'!AE386)</f>
        <v/>
      </c>
      <c r="K383" s="400" t="str">
        <f t="shared" si="5"/>
        <v/>
      </c>
      <c r="L383" s="400" t="str">
        <f>IF('Mapa final SI'!AH386="","",'Mapa final SI'!AH386)</f>
        <v/>
      </c>
      <c r="M383" s="339" t="str">
        <f>IF('Mapa final SI'!T386="","",'Mapa final SI'!T386)</f>
        <v/>
      </c>
      <c r="N383" s="397"/>
      <c r="O383" s="397"/>
      <c r="P383" s="397"/>
      <c r="Q383" s="398"/>
    </row>
    <row r="384" spans="1:17" ht="51.75" customHeight="1" x14ac:dyDescent="0.25">
      <c r="A384" s="115" t="s">
        <v>616</v>
      </c>
      <c r="B384" s="857"/>
      <c r="C384" s="863"/>
      <c r="D384" s="861"/>
      <c r="E384" s="863"/>
      <c r="F384" s="865"/>
      <c r="G384" s="865"/>
      <c r="H384" s="866"/>
      <c r="I384" s="400" t="str">
        <f>IF('Mapa final SI'!AC387="","",'Mapa final SI'!AC387)</f>
        <v/>
      </c>
      <c r="J384" s="400" t="str">
        <f>IF('Mapa final SI'!AE387="","",'Mapa final SI'!AE387)</f>
        <v/>
      </c>
      <c r="K384" s="400" t="str">
        <f t="shared" si="5"/>
        <v/>
      </c>
      <c r="L384" s="400" t="str">
        <f>IF('Mapa final SI'!AH387="","",'Mapa final SI'!AH387)</f>
        <v/>
      </c>
      <c r="M384" s="339" t="str">
        <f>IF('Mapa final SI'!T387="","",'Mapa final SI'!T387)</f>
        <v/>
      </c>
      <c r="N384" s="397"/>
      <c r="O384" s="397"/>
      <c r="P384" s="397"/>
      <c r="Q384" s="398"/>
    </row>
    <row r="385" spans="1:17" ht="51.75" customHeight="1" x14ac:dyDescent="0.25">
      <c r="A385" s="115" t="s">
        <v>617</v>
      </c>
      <c r="B385" s="856"/>
      <c r="C385" s="862" t="str">
        <f>IF('Mapa final SI'!G388="","",'Mapa final SI'!G388)</f>
        <v/>
      </c>
      <c r="D385" s="860"/>
      <c r="E385" s="862" t="str">
        <f>IF('Mapa final SI'!F388="","",'Mapa final SI'!F388)</f>
        <v/>
      </c>
      <c r="F385" s="864" t="str">
        <f>IF('Mapa final SI'!L388="","",'Mapa final SI'!L388)</f>
        <v/>
      </c>
      <c r="G385" s="864" t="str">
        <f>IF('Mapa final SI'!P388="","",'Mapa final SI'!P388)</f>
        <v/>
      </c>
      <c r="H385" s="107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0" t="str">
        <f>IF('Mapa final SI'!AC388="","",'Mapa final SI'!AC388)</f>
        <v/>
      </c>
      <c r="J385" s="400" t="str">
        <f>IF('Mapa final SI'!AE388="","",'Mapa final SI'!AE388)</f>
        <v/>
      </c>
      <c r="K385" s="400" t="str">
        <f t="shared" si="5"/>
        <v/>
      </c>
      <c r="L385" s="400" t="str">
        <f>IF('Mapa final SI'!AH388="","",'Mapa final SI'!AH388)</f>
        <v/>
      </c>
      <c r="M385" s="339" t="str">
        <f>IF('Mapa final SI'!T388="","",'Mapa final SI'!T388)</f>
        <v/>
      </c>
      <c r="N385" s="397"/>
      <c r="O385" s="397"/>
      <c r="P385" s="397"/>
      <c r="Q385" s="398"/>
    </row>
    <row r="386" spans="1:17" ht="51.75" customHeight="1" x14ac:dyDescent="0.25">
      <c r="A386" s="115" t="s">
        <v>618</v>
      </c>
      <c r="B386" s="857"/>
      <c r="C386" s="863"/>
      <c r="D386" s="861"/>
      <c r="E386" s="863"/>
      <c r="F386" s="865"/>
      <c r="G386" s="865"/>
      <c r="H386" s="1073"/>
      <c r="I386" s="400" t="str">
        <f>IF('Mapa final SI'!AC389="","",'Mapa final SI'!AC389)</f>
        <v/>
      </c>
      <c r="J386" s="400" t="str">
        <f>IF('Mapa final SI'!AE389="","",'Mapa final SI'!AE389)</f>
        <v/>
      </c>
      <c r="K386" s="400" t="str">
        <f t="shared" si="5"/>
        <v/>
      </c>
      <c r="L386" s="400" t="str">
        <f>IF('Mapa final SI'!AH389="","",'Mapa final SI'!AH389)</f>
        <v/>
      </c>
      <c r="M386" s="339" t="str">
        <f>IF('Mapa final SI'!T389="","",'Mapa final SI'!T389)</f>
        <v/>
      </c>
      <c r="N386" s="397"/>
      <c r="O386" s="397"/>
      <c r="P386" s="397"/>
      <c r="Q386" s="398"/>
    </row>
    <row r="387" spans="1:17" ht="51.75" customHeight="1" x14ac:dyDescent="0.25">
      <c r="A387" s="115" t="s">
        <v>619</v>
      </c>
      <c r="B387" s="857"/>
      <c r="C387" s="863"/>
      <c r="D387" s="861"/>
      <c r="E387" s="863"/>
      <c r="F387" s="865"/>
      <c r="G387" s="865"/>
      <c r="H387" s="1073"/>
      <c r="I387" s="400" t="str">
        <f>IF('Mapa final SI'!AC390="","",'Mapa final SI'!AC390)</f>
        <v/>
      </c>
      <c r="J387" s="400" t="str">
        <f>IF('Mapa final SI'!AE390="","",'Mapa final SI'!AE390)</f>
        <v/>
      </c>
      <c r="K387" s="400" t="str">
        <f t="shared" si="5"/>
        <v/>
      </c>
      <c r="L387" s="400" t="str">
        <f>IF('Mapa final SI'!AH390="","",'Mapa final SI'!AH390)</f>
        <v/>
      </c>
      <c r="M387" s="339" t="str">
        <f>IF('Mapa final SI'!T390="","",'Mapa final SI'!T390)</f>
        <v/>
      </c>
      <c r="N387" s="397"/>
      <c r="O387" s="397"/>
      <c r="P387" s="397"/>
      <c r="Q387" s="398"/>
    </row>
    <row r="388" spans="1:17" ht="51.75" customHeight="1" x14ac:dyDescent="0.25">
      <c r="A388" s="115" t="s">
        <v>620</v>
      </c>
      <c r="B388" s="857"/>
      <c r="C388" s="863"/>
      <c r="D388" s="861"/>
      <c r="E388" s="863"/>
      <c r="F388" s="865"/>
      <c r="G388" s="865"/>
      <c r="H388" s="1073"/>
      <c r="I388" s="400" t="str">
        <f>IF('Mapa final SI'!AC391="","",'Mapa final SI'!AC391)</f>
        <v/>
      </c>
      <c r="J388" s="400" t="str">
        <f>IF('Mapa final SI'!AE391="","",'Mapa final SI'!AE391)</f>
        <v/>
      </c>
      <c r="K388" s="400" t="str">
        <f t="shared" si="5"/>
        <v/>
      </c>
      <c r="L388" s="400" t="str">
        <f>IF('Mapa final SI'!AH391="","",'Mapa final SI'!AH391)</f>
        <v/>
      </c>
      <c r="M388" s="339" t="str">
        <f>IF('Mapa final SI'!T391="","",'Mapa final SI'!T391)</f>
        <v/>
      </c>
      <c r="N388" s="397"/>
      <c r="O388" s="397"/>
      <c r="P388" s="397"/>
      <c r="Q388" s="398"/>
    </row>
    <row r="389" spans="1:17" ht="51.75" customHeight="1" x14ac:dyDescent="0.25">
      <c r="A389" s="115" t="s">
        <v>621</v>
      </c>
      <c r="B389" s="857"/>
      <c r="C389" s="863"/>
      <c r="D389" s="861"/>
      <c r="E389" s="863"/>
      <c r="F389" s="865"/>
      <c r="G389" s="865"/>
      <c r="H389" s="1073"/>
      <c r="I389" s="400" t="str">
        <f>IF('Mapa final SI'!AC392="","",'Mapa final SI'!AC392)</f>
        <v/>
      </c>
      <c r="J389" s="400" t="str">
        <f>IF('Mapa final SI'!AE392="","",'Mapa final SI'!AE392)</f>
        <v/>
      </c>
      <c r="K389" s="400" t="str">
        <f t="shared" si="5"/>
        <v/>
      </c>
      <c r="L389" s="400" t="str">
        <f>IF('Mapa final SI'!AH392="","",'Mapa final SI'!AH392)</f>
        <v/>
      </c>
      <c r="M389" s="339" t="str">
        <f>IF('Mapa final SI'!T392="","",'Mapa final SI'!T392)</f>
        <v/>
      </c>
      <c r="N389" s="397"/>
      <c r="O389" s="397"/>
      <c r="P389" s="397"/>
      <c r="Q389" s="398"/>
    </row>
    <row r="390" spans="1:17" ht="51.75" customHeight="1" x14ac:dyDescent="0.25">
      <c r="A390" s="115" t="s">
        <v>622</v>
      </c>
      <c r="B390" s="857"/>
      <c r="C390" s="863"/>
      <c r="D390" s="861"/>
      <c r="E390" s="863"/>
      <c r="F390" s="865"/>
      <c r="G390" s="865"/>
      <c r="H390" s="866"/>
      <c r="I390" s="400" t="str">
        <f>IF('Mapa final SI'!AC393="","",'Mapa final SI'!AC393)</f>
        <v/>
      </c>
      <c r="J390" s="400" t="str">
        <f>IF('Mapa final SI'!AE393="","",'Mapa final SI'!AE393)</f>
        <v/>
      </c>
      <c r="K390" s="400" t="str">
        <f t="shared" si="5"/>
        <v/>
      </c>
      <c r="L390" s="400" t="str">
        <f>IF('Mapa final SI'!AH393="","",'Mapa final SI'!AH393)</f>
        <v/>
      </c>
      <c r="M390" s="339" t="str">
        <f>IF('Mapa final SI'!T393="","",'Mapa final SI'!T393)</f>
        <v/>
      </c>
      <c r="N390" s="397"/>
      <c r="O390" s="397"/>
      <c r="P390" s="397"/>
      <c r="Q390" s="398"/>
    </row>
    <row r="391" spans="1:17" ht="51.75" customHeight="1" x14ac:dyDescent="0.25">
      <c r="A391" s="115" t="s">
        <v>623</v>
      </c>
      <c r="B391" s="856"/>
      <c r="C391" s="862" t="str">
        <f>IF('Mapa final SI'!G394="","",'Mapa final SI'!G394)</f>
        <v/>
      </c>
      <c r="D391" s="860"/>
      <c r="E391" s="862" t="str">
        <f>IF('Mapa final SI'!F394="","",'Mapa final SI'!F394)</f>
        <v/>
      </c>
      <c r="F391" s="864" t="str">
        <f>IF('Mapa final SI'!L394="","",'Mapa final SI'!L394)</f>
        <v/>
      </c>
      <c r="G391" s="864" t="str">
        <f>IF('Mapa final SI'!P394="","",'Mapa final SI'!P394)</f>
        <v/>
      </c>
      <c r="H391" s="107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0" t="str">
        <f>IF('Mapa final SI'!AC394="","",'Mapa final SI'!AC394)</f>
        <v/>
      </c>
      <c r="J391" s="400" t="str">
        <f>IF('Mapa final SI'!AE394="","",'Mapa final SI'!AE394)</f>
        <v/>
      </c>
      <c r="K391" s="400" t="str">
        <f t="shared" si="5"/>
        <v/>
      </c>
      <c r="L391" s="400" t="str">
        <f>IF('Mapa final SI'!AH394="","",'Mapa final SI'!AH394)</f>
        <v/>
      </c>
      <c r="M391" s="339" t="str">
        <f>IF('Mapa final SI'!T394="","",'Mapa final SI'!T394)</f>
        <v/>
      </c>
      <c r="N391" s="397"/>
      <c r="O391" s="397"/>
      <c r="P391" s="397"/>
      <c r="Q391" s="398"/>
    </row>
    <row r="392" spans="1:17" ht="51.75" customHeight="1" x14ac:dyDescent="0.25">
      <c r="A392" s="115" t="s">
        <v>624</v>
      </c>
      <c r="B392" s="857"/>
      <c r="C392" s="863"/>
      <c r="D392" s="861"/>
      <c r="E392" s="863"/>
      <c r="F392" s="865"/>
      <c r="G392" s="865"/>
      <c r="H392" s="1073"/>
      <c r="I392" s="400" t="str">
        <f>IF('Mapa final SI'!AC395="","",'Mapa final SI'!AC395)</f>
        <v/>
      </c>
      <c r="J392" s="400" t="str">
        <f>IF('Mapa final SI'!AE395="","",'Mapa final SI'!AE395)</f>
        <v/>
      </c>
      <c r="K392" s="40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0" t="str">
        <f>IF('Mapa final SI'!AH395="","",'Mapa final SI'!AH395)</f>
        <v/>
      </c>
      <c r="M392" s="339" t="str">
        <f>IF('Mapa final SI'!T395="","",'Mapa final SI'!T395)</f>
        <v/>
      </c>
      <c r="N392" s="397"/>
      <c r="O392" s="397"/>
      <c r="P392" s="397"/>
      <c r="Q392" s="398"/>
    </row>
    <row r="393" spans="1:17" ht="51.75" customHeight="1" x14ac:dyDescent="0.25">
      <c r="A393" s="115" t="s">
        <v>625</v>
      </c>
      <c r="B393" s="857"/>
      <c r="C393" s="863"/>
      <c r="D393" s="861"/>
      <c r="E393" s="863"/>
      <c r="F393" s="865"/>
      <c r="G393" s="865"/>
      <c r="H393" s="1073"/>
      <c r="I393" s="400" t="str">
        <f>IF('Mapa final SI'!AC396="","",'Mapa final SI'!AC396)</f>
        <v/>
      </c>
      <c r="J393" s="400" t="str">
        <f>IF('Mapa final SI'!AE396="","",'Mapa final SI'!AE396)</f>
        <v/>
      </c>
      <c r="K393" s="400" t="str">
        <f t="shared" si="6"/>
        <v/>
      </c>
      <c r="L393" s="400" t="str">
        <f>IF('Mapa final SI'!AH396="","",'Mapa final SI'!AH396)</f>
        <v/>
      </c>
      <c r="M393" s="339" t="str">
        <f>IF('Mapa final SI'!T396="","",'Mapa final SI'!T396)</f>
        <v/>
      </c>
      <c r="N393" s="397"/>
      <c r="O393" s="397"/>
      <c r="P393" s="397"/>
      <c r="Q393" s="398"/>
    </row>
    <row r="394" spans="1:17" ht="51.75" customHeight="1" x14ac:dyDescent="0.25">
      <c r="A394" s="115" t="s">
        <v>626</v>
      </c>
      <c r="B394" s="857"/>
      <c r="C394" s="863"/>
      <c r="D394" s="861"/>
      <c r="E394" s="863"/>
      <c r="F394" s="865"/>
      <c r="G394" s="865"/>
      <c r="H394" s="1073"/>
      <c r="I394" s="400" t="str">
        <f>IF('Mapa final SI'!AC397="","",'Mapa final SI'!AC397)</f>
        <v/>
      </c>
      <c r="J394" s="400" t="str">
        <f>IF('Mapa final SI'!AE397="","",'Mapa final SI'!AE397)</f>
        <v/>
      </c>
      <c r="K394" s="400" t="str">
        <f t="shared" si="6"/>
        <v/>
      </c>
      <c r="L394" s="400" t="str">
        <f>IF('Mapa final SI'!AH397="","",'Mapa final SI'!AH397)</f>
        <v/>
      </c>
      <c r="M394" s="339" t="str">
        <f>IF('Mapa final SI'!T397="","",'Mapa final SI'!T397)</f>
        <v/>
      </c>
      <c r="N394" s="397"/>
      <c r="O394" s="397"/>
      <c r="P394" s="397"/>
      <c r="Q394" s="398"/>
    </row>
    <row r="395" spans="1:17" ht="51.75" customHeight="1" x14ac:dyDescent="0.25">
      <c r="A395" s="115" t="s">
        <v>627</v>
      </c>
      <c r="B395" s="857"/>
      <c r="C395" s="863"/>
      <c r="D395" s="861"/>
      <c r="E395" s="863"/>
      <c r="F395" s="865"/>
      <c r="G395" s="865"/>
      <c r="H395" s="1073"/>
      <c r="I395" s="400" t="str">
        <f>IF('Mapa final SI'!AC398="","",'Mapa final SI'!AC398)</f>
        <v/>
      </c>
      <c r="J395" s="400" t="str">
        <f>IF('Mapa final SI'!AE398="","",'Mapa final SI'!AE398)</f>
        <v/>
      </c>
      <c r="K395" s="400" t="str">
        <f t="shared" si="6"/>
        <v/>
      </c>
      <c r="L395" s="400" t="str">
        <f>IF('Mapa final SI'!AH398="","",'Mapa final SI'!AH398)</f>
        <v/>
      </c>
      <c r="M395" s="339" t="str">
        <f>IF('Mapa final SI'!T398="","",'Mapa final SI'!T398)</f>
        <v/>
      </c>
      <c r="N395" s="397"/>
      <c r="O395" s="397"/>
      <c r="P395" s="397"/>
      <c r="Q395" s="398"/>
    </row>
    <row r="396" spans="1:17" ht="51.75" customHeight="1" x14ac:dyDescent="0.25">
      <c r="A396" s="115" t="s">
        <v>628</v>
      </c>
      <c r="B396" s="857"/>
      <c r="C396" s="863"/>
      <c r="D396" s="861"/>
      <c r="E396" s="863"/>
      <c r="F396" s="865"/>
      <c r="G396" s="865"/>
      <c r="H396" s="866"/>
      <c r="I396" s="400" t="str">
        <f>IF('Mapa final SI'!AC399="","",'Mapa final SI'!AC399)</f>
        <v/>
      </c>
      <c r="J396" s="400" t="str">
        <f>IF('Mapa final SI'!AE399="","",'Mapa final SI'!AE399)</f>
        <v/>
      </c>
      <c r="K396" s="400" t="str">
        <f t="shared" si="6"/>
        <v/>
      </c>
      <c r="L396" s="400" t="str">
        <f>IF('Mapa final SI'!AH399="","",'Mapa final SI'!AH399)</f>
        <v/>
      </c>
      <c r="M396" s="339" t="str">
        <f>IF('Mapa final SI'!T399="","",'Mapa final SI'!T399)</f>
        <v/>
      </c>
      <c r="N396" s="397"/>
      <c r="O396" s="397"/>
      <c r="P396" s="397"/>
      <c r="Q396" s="398"/>
    </row>
    <row r="397" spans="1:17" ht="51.75" customHeight="1" x14ac:dyDescent="0.25">
      <c r="A397" s="115" t="s">
        <v>629</v>
      </c>
      <c r="B397" s="856"/>
      <c r="C397" s="862" t="str">
        <f>IF('Mapa final SI'!G400="","",'Mapa final SI'!G400)</f>
        <v/>
      </c>
      <c r="D397" s="860"/>
      <c r="E397" s="862" t="str">
        <f>IF('Mapa final SI'!F400="","",'Mapa final SI'!F400)</f>
        <v/>
      </c>
      <c r="F397" s="864" t="str">
        <f>IF('Mapa final SI'!L400="","",'Mapa final SI'!L400)</f>
        <v/>
      </c>
      <c r="G397" s="864" t="str">
        <f>IF('Mapa final SI'!P400="","",'Mapa final SI'!P400)</f>
        <v/>
      </c>
      <c r="H397" s="107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0" t="str">
        <f>IF('Mapa final SI'!AC400="","",'Mapa final SI'!AC400)</f>
        <v/>
      </c>
      <c r="J397" s="400" t="str">
        <f>IF('Mapa final SI'!AE400="","",'Mapa final SI'!AE400)</f>
        <v/>
      </c>
      <c r="K397" s="400" t="str">
        <f t="shared" si="6"/>
        <v/>
      </c>
      <c r="L397" s="400" t="str">
        <f>IF('Mapa final SI'!AH400="","",'Mapa final SI'!AH400)</f>
        <v/>
      </c>
      <c r="M397" s="339" t="str">
        <f>IF('Mapa final SI'!T400="","",'Mapa final SI'!T400)</f>
        <v/>
      </c>
      <c r="N397" s="397"/>
      <c r="O397" s="397"/>
      <c r="P397" s="397"/>
      <c r="Q397" s="398"/>
    </row>
    <row r="398" spans="1:17" ht="51.75" customHeight="1" x14ac:dyDescent="0.25">
      <c r="A398" s="115" t="s">
        <v>630</v>
      </c>
      <c r="B398" s="857"/>
      <c r="C398" s="863"/>
      <c r="D398" s="861"/>
      <c r="E398" s="863"/>
      <c r="F398" s="865"/>
      <c r="G398" s="865"/>
      <c r="H398" s="1073"/>
      <c r="I398" s="400" t="str">
        <f>IF('Mapa final SI'!AC401="","",'Mapa final SI'!AC401)</f>
        <v/>
      </c>
      <c r="J398" s="400" t="str">
        <f>IF('Mapa final SI'!AE401="","",'Mapa final SI'!AE401)</f>
        <v/>
      </c>
      <c r="K398" s="400" t="str">
        <f t="shared" si="6"/>
        <v/>
      </c>
      <c r="L398" s="400" t="str">
        <f>IF('Mapa final SI'!AH401="","",'Mapa final SI'!AH401)</f>
        <v/>
      </c>
      <c r="M398" s="339" t="str">
        <f>IF('Mapa final SI'!T401="","",'Mapa final SI'!T401)</f>
        <v/>
      </c>
      <c r="N398" s="397"/>
      <c r="O398" s="397"/>
      <c r="P398" s="397"/>
      <c r="Q398" s="398"/>
    </row>
    <row r="399" spans="1:17" ht="51.75" customHeight="1" x14ac:dyDescent="0.25">
      <c r="A399" s="115" t="s">
        <v>631</v>
      </c>
      <c r="B399" s="857"/>
      <c r="C399" s="863"/>
      <c r="D399" s="861"/>
      <c r="E399" s="863"/>
      <c r="F399" s="865"/>
      <c r="G399" s="865"/>
      <c r="H399" s="1073"/>
      <c r="I399" s="400" t="str">
        <f>IF('Mapa final SI'!AC402="","",'Mapa final SI'!AC402)</f>
        <v/>
      </c>
      <c r="J399" s="400" t="str">
        <f>IF('Mapa final SI'!AE402="","",'Mapa final SI'!AE402)</f>
        <v/>
      </c>
      <c r="K399" s="400" t="str">
        <f t="shared" si="6"/>
        <v/>
      </c>
      <c r="L399" s="400" t="str">
        <f>IF('Mapa final SI'!AH402="","",'Mapa final SI'!AH402)</f>
        <v/>
      </c>
      <c r="M399" s="339" t="str">
        <f>IF('Mapa final SI'!T402="","",'Mapa final SI'!T402)</f>
        <v/>
      </c>
      <c r="N399" s="397"/>
      <c r="O399" s="397"/>
      <c r="P399" s="397"/>
      <c r="Q399" s="398"/>
    </row>
    <row r="400" spans="1:17" ht="51.75" customHeight="1" x14ac:dyDescent="0.25">
      <c r="A400" s="115" t="s">
        <v>632</v>
      </c>
      <c r="B400" s="857"/>
      <c r="C400" s="863"/>
      <c r="D400" s="861"/>
      <c r="E400" s="863"/>
      <c r="F400" s="865"/>
      <c r="G400" s="865"/>
      <c r="H400" s="1073"/>
      <c r="I400" s="400" t="str">
        <f>IF('Mapa final SI'!AC403="","",'Mapa final SI'!AC403)</f>
        <v/>
      </c>
      <c r="J400" s="400" t="str">
        <f>IF('Mapa final SI'!AE403="","",'Mapa final SI'!AE403)</f>
        <v/>
      </c>
      <c r="K400" s="400" t="str">
        <f t="shared" si="6"/>
        <v/>
      </c>
      <c r="L400" s="400" t="str">
        <f>IF('Mapa final SI'!AH403="","",'Mapa final SI'!AH403)</f>
        <v/>
      </c>
      <c r="M400" s="339" t="str">
        <f>IF('Mapa final SI'!T403="","",'Mapa final SI'!T403)</f>
        <v/>
      </c>
      <c r="N400" s="397"/>
      <c r="O400" s="397"/>
      <c r="P400" s="397"/>
      <c r="Q400" s="398"/>
    </row>
    <row r="401" spans="1:17" ht="51.75" customHeight="1" x14ac:dyDescent="0.25">
      <c r="A401" s="115" t="s">
        <v>633</v>
      </c>
      <c r="B401" s="857"/>
      <c r="C401" s="863"/>
      <c r="D401" s="861"/>
      <c r="E401" s="863"/>
      <c r="F401" s="865"/>
      <c r="G401" s="865"/>
      <c r="H401" s="1073"/>
      <c r="I401" s="400" t="str">
        <f>IF('Mapa final SI'!AC404="","",'Mapa final SI'!AC404)</f>
        <v/>
      </c>
      <c r="J401" s="400" t="str">
        <f>IF('Mapa final SI'!AE404="","",'Mapa final SI'!AE404)</f>
        <v/>
      </c>
      <c r="K401" s="400" t="str">
        <f t="shared" si="6"/>
        <v/>
      </c>
      <c r="L401" s="400" t="str">
        <f>IF('Mapa final SI'!AH404="","",'Mapa final SI'!AH404)</f>
        <v/>
      </c>
      <c r="M401" s="339" t="str">
        <f>IF('Mapa final SI'!T404="","",'Mapa final SI'!T404)</f>
        <v/>
      </c>
      <c r="N401" s="397"/>
      <c r="O401" s="397"/>
      <c r="P401" s="397"/>
      <c r="Q401" s="398"/>
    </row>
    <row r="402" spans="1:17" ht="51.75" customHeight="1" x14ac:dyDescent="0.25">
      <c r="A402" s="115" t="s">
        <v>634</v>
      </c>
      <c r="B402" s="857"/>
      <c r="C402" s="863"/>
      <c r="D402" s="861"/>
      <c r="E402" s="863"/>
      <c r="F402" s="865"/>
      <c r="G402" s="865"/>
      <c r="H402" s="866"/>
      <c r="I402" s="400" t="str">
        <f>IF('Mapa final SI'!AC405="","",'Mapa final SI'!AC405)</f>
        <v/>
      </c>
      <c r="J402" s="400" t="str">
        <f>IF('Mapa final SI'!AE405="","",'Mapa final SI'!AE405)</f>
        <v/>
      </c>
      <c r="K402" s="400" t="str">
        <f t="shared" si="6"/>
        <v/>
      </c>
      <c r="L402" s="400" t="str">
        <f>IF('Mapa final SI'!AH405="","",'Mapa final SI'!AH405)</f>
        <v/>
      </c>
      <c r="M402" s="339" t="str">
        <f>IF('Mapa final SI'!T405="","",'Mapa final SI'!T405)</f>
        <v/>
      </c>
      <c r="N402" s="397"/>
      <c r="O402" s="397"/>
      <c r="P402" s="397"/>
      <c r="Q402" s="398"/>
    </row>
    <row r="403" spans="1:17" ht="51.75" customHeight="1" x14ac:dyDescent="0.25">
      <c r="A403" s="115" t="s">
        <v>635</v>
      </c>
      <c r="B403" s="856"/>
      <c r="C403" s="862" t="str">
        <f>IF('Mapa final SI'!G406="","",'Mapa final SI'!G406)</f>
        <v/>
      </c>
      <c r="D403" s="860"/>
      <c r="E403" s="862" t="str">
        <f>IF('Mapa final SI'!F406="","",'Mapa final SI'!F406)</f>
        <v/>
      </c>
      <c r="F403" s="864" t="str">
        <f>IF('Mapa final SI'!L406="","",'Mapa final SI'!L406)</f>
        <v/>
      </c>
      <c r="G403" s="864" t="str">
        <f>IF('Mapa final SI'!P406="","",'Mapa final SI'!P406)</f>
        <v/>
      </c>
      <c r="H403" s="107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0" t="str">
        <f>IF('Mapa final SI'!AC406="","",'Mapa final SI'!AC406)</f>
        <v/>
      </c>
      <c r="J403" s="400" t="str">
        <f>IF('Mapa final SI'!AE406="","",'Mapa final SI'!AE406)</f>
        <v/>
      </c>
      <c r="K403" s="400" t="str">
        <f t="shared" si="6"/>
        <v/>
      </c>
      <c r="L403" s="400" t="str">
        <f>IF('Mapa final SI'!AH406="","",'Mapa final SI'!AH406)</f>
        <v/>
      </c>
      <c r="M403" s="339" t="str">
        <f>IF('Mapa final SI'!T406="","",'Mapa final SI'!T406)</f>
        <v/>
      </c>
      <c r="N403" s="397"/>
      <c r="O403" s="397"/>
      <c r="P403" s="397"/>
      <c r="Q403" s="398"/>
    </row>
    <row r="404" spans="1:17" ht="51.75" customHeight="1" x14ac:dyDescent="0.25">
      <c r="A404" s="115" t="s">
        <v>636</v>
      </c>
      <c r="B404" s="857"/>
      <c r="C404" s="863"/>
      <c r="D404" s="861"/>
      <c r="E404" s="863"/>
      <c r="F404" s="865"/>
      <c r="G404" s="865"/>
      <c r="H404" s="1073"/>
      <c r="I404" s="400" t="str">
        <f>IF('Mapa final SI'!AC407="","",'Mapa final SI'!AC407)</f>
        <v/>
      </c>
      <c r="J404" s="400" t="str">
        <f>IF('Mapa final SI'!AE407="","",'Mapa final SI'!AE407)</f>
        <v/>
      </c>
      <c r="K404" s="400" t="str">
        <f t="shared" si="6"/>
        <v/>
      </c>
      <c r="L404" s="400" t="str">
        <f>IF('Mapa final SI'!AH407="","",'Mapa final SI'!AH407)</f>
        <v/>
      </c>
      <c r="M404" s="339" t="str">
        <f>IF('Mapa final SI'!T407="","",'Mapa final SI'!T407)</f>
        <v/>
      </c>
      <c r="N404" s="397"/>
      <c r="O404" s="397"/>
      <c r="P404" s="397"/>
      <c r="Q404" s="398"/>
    </row>
    <row r="405" spans="1:17" ht="51.75" customHeight="1" x14ac:dyDescent="0.25">
      <c r="A405" s="115" t="s">
        <v>637</v>
      </c>
      <c r="B405" s="857"/>
      <c r="C405" s="863"/>
      <c r="D405" s="861"/>
      <c r="E405" s="863"/>
      <c r="F405" s="865"/>
      <c r="G405" s="865"/>
      <c r="H405" s="1073"/>
      <c r="I405" s="400" t="str">
        <f>IF('Mapa final SI'!AC408="","",'Mapa final SI'!AC408)</f>
        <v/>
      </c>
      <c r="J405" s="400" t="str">
        <f>IF('Mapa final SI'!AE408="","",'Mapa final SI'!AE408)</f>
        <v/>
      </c>
      <c r="K405" s="400" t="str">
        <f t="shared" si="6"/>
        <v/>
      </c>
      <c r="L405" s="400" t="str">
        <f>IF('Mapa final SI'!AH408="","",'Mapa final SI'!AH408)</f>
        <v/>
      </c>
      <c r="M405" s="339" t="str">
        <f>IF('Mapa final SI'!T408="","",'Mapa final SI'!T408)</f>
        <v/>
      </c>
      <c r="N405" s="397"/>
      <c r="O405" s="397"/>
      <c r="P405" s="397"/>
      <c r="Q405" s="398"/>
    </row>
    <row r="406" spans="1:17" ht="51.75" customHeight="1" x14ac:dyDescent="0.25">
      <c r="A406" s="115" t="s">
        <v>638</v>
      </c>
      <c r="B406" s="857"/>
      <c r="C406" s="863"/>
      <c r="D406" s="861"/>
      <c r="E406" s="863"/>
      <c r="F406" s="865"/>
      <c r="G406" s="865"/>
      <c r="H406" s="1073"/>
      <c r="I406" s="400" t="str">
        <f>IF('Mapa final SI'!AC409="","",'Mapa final SI'!AC409)</f>
        <v/>
      </c>
      <c r="J406" s="400" t="str">
        <f>IF('Mapa final SI'!AE409="","",'Mapa final SI'!AE409)</f>
        <v/>
      </c>
      <c r="K406" s="400" t="str">
        <f t="shared" si="6"/>
        <v/>
      </c>
      <c r="L406" s="400" t="str">
        <f>IF('Mapa final SI'!AH409="","",'Mapa final SI'!AH409)</f>
        <v/>
      </c>
      <c r="M406" s="339" t="str">
        <f>IF('Mapa final SI'!T409="","",'Mapa final SI'!T409)</f>
        <v/>
      </c>
      <c r="N406" s="397"/>
      <c r="O406" s="397"/>
      <c r="P406" s="397"/>
      <c r="Q406" s="398"/>
    </row>
    <row r="407" spans="1:17" ht="51.75" customHeight="1" x14ac:dyDescent="0.25">
      <c r="A407" s="115" t="s">
        <v>639</v>
      </c>
      <c r="B407" s="857"/>
      <c r="C407" s="863"/>
      <c r="D407" s="861"/>
      <c r="E407" s="863"/>
      <c r="F407" s="865"/>
      <c r="G407" s="865"/>
      <c r="H407" s="1073"/>
      <c r="I407" s="400" t="str">
        <f>IF('Mapa final SI'!AC410="","",'Mapa final SI'!AC410)</f>
        <v/>
      </c>
      <c r="J407" s="400" t="str">
        <f>IF('Mapa final SI'!AE410="","",'Mapa final SI'!AE410)</f>
        <v/>
      </c>
      <c r="K407" s="400" t="str">
        <f t="shared" si="6"/>
        <v/>
      </c>
      <c r="L407" s="400" t="str">
        <f>IF('Mapa final SI'!AH410="","",'Mapa final SI'!AH410)</f>
        <v/>
      </c>
      <c r="M407" s="339" t="str">
        <f>IF('Mapa final SI'!T410="","",'Mapa final SI'!T410)</f>
        <v/>
      </c>
      <c r="N407" s="397"/>
      <c r="O407" s="397"/>
      <c r="P407" s="397"/>
      <c r="Q407" s="398"/>
    </row>
    <row r="408" spans="1:17" ht="51.75" customHeight="1" x14ac:dyDescent="0.25">
      <c r="A408" s="115" t="s">
        <v>640</v>
      </c>
      <c r="B408" s="857"/>
      <c r="C408" s="863"/>
      <c r="D408" s="861"/>
      <c r="E408" s="863"/>
      <c r="F408" s="865"/>
      <c r="G408" s="865"/>
      <c r="H408" s="866"/>
      <c r="I408" s="400" t="str">
        <f>IF('Mapa final SI'!AC411="","",'Mapa final SI'!AC411)</f>
        <v/>
      </c>
      <c r="J408" s="400" t="str">
        <f>IF('Mapa final SI'!AE411="","",'Mapa final SI'!AE411)</f>
        <v/>
      </c>
      <c r="K408" s="400" t="str">
        <f t="shared" si="6"/>
        <v/>
      </c>
      <c r="L408" s="400" t="str">
        <f>IF('Mapa final SI'!AH411="","",'Mapa final SI'!AH411)</f>
        <v/>
      </c>
      <c r="M408" s="339" t="str">
        <f>IF('Mapa final SI'!T411="","",'Mapa final SI'!T411)</f>
        <v/>
      </c>
      <c r="N408" s="397"/>
      <c r="O408" s="397"/>
      <c r="P408" s="397"/>
      <c r="Q408" s="398"/>
    </row>
    <row r="409" spans="1:17" ht="51.75" customHeight="1" x14ac:dyDescent="0.25">
      <c r="A409" s="115" t="s">
        <v>641</v>
      </c>
      <c r="B409" s="856"/>
      <c r="C409" s="862" t="str">
        <f>IF('Mapa final SI'!G412="","",'Mapa final SI'!G412)</f>
        <v/>
      </c>
      <c r="D409" s="860"/>
      <c r="E409" s="862" t="str">
        <f>IF('Mapa final SI'!F412="","",'Mapa final SI'!F412)</f>
        <v/>
      </c>
      <c r="F409" s="864" t="str">
        <f>IF('Mapa final SI'!L412="","",'Mapa final SI'!L412)</f>
        <v/>
      </c>
      <c r="G409" s="864" t="str">
        <f>IF('Mapa final SI'!P412="","",'Mapa final SI'!P412)</f>
        <v/>
      </c>
      <c r="H409" s="107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0" t="str">
        <f>IF('Mapa final SI'!AC412="","",'Mapa final SI'!AC412)</f>
        <v/>
      </c>
      <c r="J409" s="400" t="str">
        <f>IF('Mapa final SI'!AE412="","",'Mapa final SI'!AE412)</f>
        <v/>
      </c>
      <c r="K409" s="400" t="str">
        <f t="shared" si="6"/>
        <v/>
      </c>
      <c r="L409" s="400" t="str">
        <f>IF('Mapa final SI'!AH412="","",'Mapa final SI'!AH412)</f>
        <v/>
      </c>
      <c r="M409" s="339" t="str">
        <f>IF('Mapa final SI'!T412="","",'Mapa final SI'!T412)</f>
        <v/>
      </c>
      <c r="N409" s="397"/>
      <c r="O409" s="397"/>
      <c r="P409" s="397"/>
      <c r="Q409" s="398"/>
    </row>
    <row r="410" spans="1:17" ht="51.75" customHeight="1" x14ac:dyDescent="0.25">
      <c r="A410" s="115" t="s">
        <v>642</v>
      </c>
      <c r="B410" s="857"/>
      <c r="C410" s="863"/>
      <c r="D410" s="861"/>
      <c r="E410" s="863"/>
      <c r="F410" s="865"/>
      <c r="G410" s="865"/>
      <c r="H410" s="1073"/>
      <c r="I410" s="400" t="str">
        <f>IF('Mapa final SI'!AC413="","",'Mapa final SI'!AC413)</f>
        <v/>
      </c>
      <c r="J410" s="400" t="str">
        <f>IF('Mapa final SI'!AE413="","",'Mapa final SI'!AE413)</f>
        <v/>
      </c>
      <c r="K410" s="400" t="str">
        <f t="shared" si="6"/>
        <v/>
      </c>
      <c r="L410" s="400" t="str">
        <f>IF('Mapa final SI'!AH413="","",'Mapa final SI'!AH413)</f>
        <v/>
      </c>
      <c r="M410" s="339" t="str">
        <f>IF('Mapa final SI'!T413="","",'Mapa final SI'!T413)</f>
        <v/>
      </c>
      <c r="N410" s="397"/>
      <c r="O410" s="397"/>
      <c r="P410" s="397"/>
      <c r="Q410" s="398"/>
    </row>
    <row r="411" spans="1:17" ht="51.75" customHeight="1" x14ac:dyDescent="0.25">
      <c r="A411" s="115" t="s">
        <v>643</v>
      </c>
      <c r="B411" s="857"/>
      <c r="C411" s="863"/>
      <c r="D411" s="861"/>
      <c r="E411" s="863"/>
      <c r="F411" s="865"/>
      <c r="G411" s="865"/>
      <c r="H411" s="1073"/>
      <c r="I411" s="400" t="str">
        <f>IF('Mapa final SI'!AC414="","",'Mapa final SI'!AC414)</f>
        <v/>
      </c>
      <c r="J411" s="400" t="str">
        <f>IF('Mapa final SI'!AE414="","",'Mapa final SI'!AE414)</f>
        <v/>
      </c>
      <c r="K411" s="400" t="str">
        <f t="shared" si="6"/>
        <v/>
      </c>
      <c r="L411" s="400" t="str">
        <f>IF('Mapa final SI'!AH414="","",'Mapa final SI'!AH414)</f>
        <v/>
      </c>
      <c r="M411" s="339" t="str">
        <f>IF('Mapa final SI'!T414="","",'Mapa final SI'!T414)</f>
        <v/>
      </c>
      <c r="N411" s="397"/>
      <c r="O411" s="397"/>
      <c r="P411" s="397"/>
      <c r="Q411" s="398"/>
    </row>
    <row r="412" spans="1:17" ht="51.75" customHeight="1" x14ac:dyDescent="0.25">
      <c r="A412" s="115" t="s">
        <v>644</v>
      </c>
      <c r="B412" s="857"/>
      <c r="C412" s="863"/>
      <c r="D412" s="861"/>
      <c r="E412" s="863"/>
      <c r="F412" s="865"/>
      <c r="G412" s="865"/>
      <c r="H412" s="1073"/>
      <c r="I412" s="400" t="str">
        <f>IF('Mapa final SI'!AC415="","",'Mapa final SI'!AC415)</f>
        <v/>
      </c>
      <c r="J412" s="400" t="str">
        <f>IF('Mapa final SI'!AE415="","",'Mapa final SI'!AE415)</f>
        <v/>
      </c>
      <c r="K412" s="400" t="str">
        <f t="shared" si="6"/>
        <v/>
      </c>
      <c r="L412" s="400" t="str">
        <f>IF('Mapa final SI'!AH415="","",'Mapa final SI'!AH415)</f>
        <v/>
      </c>
      <c r="M412" s="339" t="str">
        <f>IF('Mapa final SI'!T415="","",'Mapa final SI'!T415)</f>
        <v/>
      </c>
      <c r="N412" s="397"/>
      <c r="O412" s="397"/>
      <c r="P412" s="397"/>
      <c r="Q412" s="398"/>
    </row>
    <row r="413" spans="1:17" ht="51.75" customHeight="1" x14ac:dyDescent="0.25">
      <c r="A413" s="115" t="s">
        <v>645</v>
      </c>
      <c r="B413" s="857"/>
      <c r="C413" s="863"/>
      <c r="D413" s="861"/>
      <c r="E413" s="863"/>
      <c r="F413" s="865"/>
      <c r="G413" s="865"/>
      <c r="H413" s="1073"/>
      <c r="I413" s="400" t="str">
        <f>IF('Mapa final SI'!AC416="","",'Mapa final SI'!AC416)</f>
        <v/>
      </c>
      <c r="J413" s="400" t="str">
        <f>IF('Mapa final SI'!AE416="","",'Mapa final SI'!AE416)</f>
        <v/>
      </c>
      <c r="K413" s="400" t="str">
        <f t="shared" si="6"/>
        <v/>
      </c>
      <c r="L413" s="400" t="str">
        <f>IF('Mapa final SI'!AH416="","",'Mapa final SI'!AH416)</f>
        <v/>
      </c>
      <c r="M413" s="339" t="str">
        <f>IF('Mapa final SI'!T416="","",'Mapa final SI'!T416)</f>
        <v/>
      </c>
      <c r="N413" s="397"/>
      <c r="O413" s="397"/>
      <c r="P413" s="397"/>
      <c r="Q413" s="398"/>
    </row>
    <row r="414" spans="1:17" ht="51.75" customHeight="1" x14ac:dyDescent="0.25">
      <c r="A414" s="115" t="s">
        <v>646</v>
      </c>
      <c r="B414" s="857"/>
      <c r="C414" s="863"/>
      <c r="D414" s="861"/>
      <c r="E414" s="863"/>
      <c r="F414" s="865"/>
      <c r="G414" s="865"/>
      <c r="H414" s="866"/>
      <c r="I414" s="400" t="str">
        <f>IF('Mapa final SI'!AC417="","",'Mapa final SI'!AC417)</f>
        <v/>
      </c>
      <c r="J414" s="400" t="str">
        <f>IF('Mapa final SI'!AE417="","",'Mapa final SI'!AE417)</f>
        <v/>
      </c>
      <c r="K414" s="400" t="str">
        <f t="shared" si="6"/>
        <v/>
      </c>
      <c r="L414" s="400" t="str">
        <f>IF('Mapa final SI'!AH417="","",'Mapa final SI'!AH417)</f>
        <v/>
      </c>
      <c r="M414" s="339" t="str">
        <f>IF('Mapa final SI'!T417="","",'Mapa final SI'!T417)</f>
        <v/>
      </c>
      <c r="N414" s="397"/>
      <c r="O414" s="397"/>
      <c r="P414" s="397"/>
      <c r="Q414" s="398"/>
    </row>
    <row r="415" spans="1:17" ht="51.75" customHeight="1" x14ac:dyDescent="0.25">
      <c r="A415" s="115" t="s">
        <v>647</v>
      </c>
      <c r="B415" s="856"/>
      <c r="C415" s="862" t="str">
        <f>IF('Mapa final SI'!G418="","",'Mapa final SI'!G418)</f>
        <v/>
      </c>
      <c r="D415" s="860"/>
      <c r="E415" s="862" t="str">
        <f>IF('Mapa final SI'!F418="","",'Mapa final SI'!F418)</f>
        <v/>
      </c>
      <c r="F415" s="864" t="str">
        <f>IF('Mapa final SI'!L418="","",'Mapa final SI'!L418)</f>
        <v/>
      </c>
      <c r="G415" s="864" t="str">
        <f>IF('Mapa final SI'!P418="","",'Mapa final SI'!P418)</f>
        <v/>
      </c>
      <c r="H415" s="107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0" t="str">
        <f>IF('Mapa final SI'!AC418="","",'Mapa final SI'!AC418)</f>
        <v/>
      </c>
      <c r="J415" s="400" t="str">
        <f>IF('Mapa final SI'!AE418="","",'Mapa final SI'!AE418)</f>
        <v/>
      </c>
      <c r="K415" s="400" t="str">
        <f t="shared" si="6"/>
        <v/>
      </c>
      <c r="L415" s="400" t="str">
        <f>IF('Mapa final SI'!AH418="","",'Mapa final SI'!AH418)</f>
        <v/>
      </c>
      <c r="M415" s="339" t="str">
        <f>IF('Mapa final SI'!T418="","",'Mapa final SI'!T418)</f>
        <v/>
      </c>
      <c r="N415" s="397"/>
      <c r="O415" s="397"/>
      <c r="P415" s="397"/>
      <c r="Q415" s="398"/>
    </row>
    <row r="416" spans="1:17" ht="51.75" customHeight="1" x14ac:dyDescent="0.25">
      <c r="A416" s="115" t="s">
        <v>648</v>
      </c>
      <c r="B416" s="857"/>
      <c r="C416" s="863"/>
      <c r="D416" s="861"/>
      <c r="E416" s="863"/>
      <c r="F416" s="865"/>
      <c r="G416" s="865"/>
      <c r="H416" s="1073"/>
      <c r="I416" s="400" t="str">
        <f>IF('Mapa final SI'!AC419="","",'Mapa final SI'!AC419)</f>
        <v/>
      </c>
      <c r="J416" s="400" t="str">
        <f>IF('Mapa final SI'!AE419="","",'Mapa final SI'!AE419)</f>
        <v/>
      </c>
      <c r="K416" s="400" t="str">
        <f t="shared" si="6"/>
        <v/>
      </c>
      <c r="L416" s="400" t="str">
        <f>IF('Mapa final SI'!AH419="","",'Mapa final SI'!AH419)</f>
        <v/>
      </c>
      <c r="M416" s="339" t="str">
        <f>IF('Mapa final SI'!T419="","",'Mapa final SI'!T419)</f>
        <v/>
      </c>
      <c r="N416" s="397"/>
      <c r="O416" s="397"/>
      <c r="P416" s="397"/>
      <c r="Q416" s="398"/>
    </row>
    <row r="417" spans="1:18" ht="51.75" customHeight="1" x14ac:dyDescent="0.25">
      <c r="A417" s="115" t="s">
        <v>649</v>
      </c>
      <c r="B417" s="857"/>
      <c r="C417" s="863"/>
      <c r="D417" s="861"/>
      <c r="E417" s="863"/>
      <c r="F417" s="865"/>
      <c r="G417" s="865"/>
      <c r="H417" s="1073"/>
      <c r="I417" s="400" t="str">
        <f>IF('Mapa final SI'!AC420="","",'Mapa final SI'!AC420)</f>
        <v/>
      </c>
      <c r="J417" s="400" t="str">
        <f>IF('Mapa final SI'!AE420="","",'Mapa final SI'!AE420)</f>
        <v/>
      </c>
      <c r="K417" s="400" t="str">
        <f t="shared" si="6"/>
        <v/>
      </c>
      <c r="L417" s="400" t="str">
        <f>IF('Mapa final SI'!AH420="","",'Mapa final SI'!AH420)</f>
        <v/>
      </c>
      <c r="M417" s="339" t="str">
        <f>IF('Mapa final SI'!T420="","",'Mapa final SI'!T420)</f>
        <v/>
      </c>
      <c r="N417" s="397"/>
      <c r="O417" s="397"/>
      <c r="P417" s="397"/>
      <c r="Q417" s="398"/>
    </row>
    <row r="418" spans="1:18" ht="51.75" customHeight="1" x14ac:dyDescent="0.25">
      <c r="A418" s="115" t="s">
        <v>650</v>
      </c>
      <c r="B418" s="857"/>
      <c r="C418" s="863"/>
      <c r="D418" s="861"/>
      <c r="E418" s="863"/>
      <c r="F418" s="865"/>
      <c r="G418" s="865"/>
      <c r="H418" s="1073"/>
      <c r="I418" s="400" t="str">
        <f>IF('Mapa final SI'!AC421="","",'Mapa final SI'!AC421)</f>
        <v/>
      </c>
      <c r="J418" s="400" t="str">
        <f>IF('Mapa final SI'!AE421="","",'Mapa final SI'!AE421)</f>
        <v/>
      </c>
      <c r="K418" s="400" t="str">
        <f t="shared" si="6"/>
        <v/>
      </c>
      <c r="L418" s="400" t="str">
        <f>IF('Mapa final SI'!AH421="","",'Mapa final SI'!AH421)</f>
        <v/>
      </c>
      <c r="M418" s="339" t="str">
        <f>IF('Mapa final SI'!T421="","",'Mapa final SI'!T421)</f>
        <v/>
      </c>
      <c r="N418" s="397"/>
      <c r="O418" s="397"/>
      <c r="P418" s="397"/>
      <c r="Q418" s="398"/>
    </row>
    <row r="419" spans="1:18" ht="51.75" customHeight="1" x14ac:dyDescent="0.25">
      <c r="A419" s="115" t="s">
        <v>651</v>
      </c>
      <c r="B419" s="857"/>
      <c r="C419" s="863"/>
      <c r="D419" s="861"/>
      <c r="E419" s="863"/>
      <c r="F419" s="865"/>
      <c r="G419" s="865"/>
      <c r="H419" s="1073"/>
      <c r="I419" s="400" t="str">
        <f>IF('Mapa final SI'!AC422="","",'Mapa final SI'!AC422)</f>
        <v/>
      </c>
      <c r="J419" s="400" t="str">
        <f>IF('Mapa final SI'!AE422="","",'Mapa final SI'!AE422)</f>
        <v/>
      </c>
      <c r="K419" s="400" t="str">
        <f t="shared" si="6"/>
        <v/>
      </c>
      <c r="L419" s="400" t="str">
        <f>IF('Mapa final SI'!AH422="","",'Mapa final SI'!AH422)</f>
        <v/>
      </c>
      <c r="M419" s="339" t="str">
        <f>IF('Mapa final SI'!T422="","",'Mapa final SI'!T422)</f>
        <v/>
      </c>
      <c r="N419" s="397"/>
      <c r="O419" s="397"/>
      <c r="P419" s="397"/>
      <c r="Q419" s="398"/>
    </row>
    <row r="420" spans="1:18" ht="51.75" customHeight="1" x14ac:dyDescent="0.25">
      <c r="A420" s="115" t="s">
        <v>652</v>
      </c>
      <c r="B420" s="857"/>
      <c r="C420" s="863"/>
      <c r="D420" s="861"/>
      <c r="E420" s="863"/>
      <c r="F420" s="865"/>
      <c r="G420" s="865"/>
      <c r="H420" s="866"/>
      <c r="I420" s="400" t="str">
        <f>IF('Mapa final SI'!AC423="","",'Mapa final SI'!AC423)</f>
        <v/>
      </c>
      <c r="J420" s="400" t="str">
        <f>IF('Mapa final SI'!AE423="","",'Mapa final SI'!AE423)</f>
        <v/>
      </c>
      <c r="K420" s="400" t="str">
        <f t="shared" si="6"/>
        <v/>
      </c>
      <c r="L420" s="400" t="str">
        <f>IF('Mapa final SI'!AH423="","",'Mapa final SI'!AH423)</f>
        <v/>
      </c>
      <c r="M420" s="339" t="str">
        <f>IF('Mapa final SI'!T423="","",'Mapa final SI'!T423)</f>
        <v/>
      </c>
      <c r="N420" s="397"/>
      <c r="O420" s="397"/>
      <c r="P420" s="397"/>
      <c r="Q420" s="398"/>
    </row>
    <row r="421" spans="1:18" ht="51.75" customHeight="1" x14ac:dyDescent="0.25">
      <c r="A421" s="115" t="s">
        <v>653</v>
      </c>
      <c r="B421" s="856"/>
      <c r="C421" s="862" t="str">
        <f>IF('Mapa final SI'!G424="","",'Mapa final SI'!G424)</f>
        <v/>
      </c>
      <c r="D421" s="860"/>
      <c r="E421" s="862" t="str">
        <f>IF('Mapa final SI'!F424="","",'Mapa final SI'!F424)</f>
        <v/>
      </c>
      <c r="F421" s="864" t="str">
        <f>IF('Mapa final SI'!L424="","",'Mapa final SI'!L424)</f>
        <v/>
      </c>
      <c r="G421" s="864" t="str">
        <f>IF('Mapa final SI'!P424="","",'Mapa final SI'!P424)</f>
        <v/>
      </c>
      <c r="H421" s="107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0" t="str">
        <f>IF('Mapa final SI'!AC424="","",'Mapa final SI'!AC424)</f>
        <v/>
      </c>
      <c r="J421" s="400" t="str">
        <f>IF('Mapa final SI'!AE424="","",'Mapa final SI'!AE424)</f>
        <v/>
      </c>
      <c r="K421" s="400" t="str">
        <f t="shared" si="6"/>
        <v/>
      </c>
      <c r="L421" s="400" t="str">
        <f>IF('Mapa final SI'!AH424="","",'Mapa final SI'!AH424)</f>
        <v/>
      </c>
      <c r="M421" s="339" t="str">
        <f>IF('Mapa final SI'!T424="","",'Mapa final SI'!T424)</f>
        <v/>
      </c>
      <c r="N421" s="397"/>
      <c r="O421" s="397"/>
      <c r="P421" s="397"/>
      <c r="Q421" s="398"/>
    </row>
    <row r="422" spans="1:18" ht="51.75" customHeight="1" x14ac:dyDescent="0.25">
      <c r="A422" s="115" t="s">
        <v>654</v>
      </c>
      <c r="B422" s="857"/>
      <c r="C422" s="863"/>
      <c r="D422" s="861"/>
      <c r="E422" s="863"/>
      <c r="F422" s="865"/>
      <c r="G422" s="865"/>
      <c r="H422" s="1073"/>
      <c r="I422" s="400" t="str">
        <f>IF('Mapa final SI'!AC425="","",'Mapa final SI'!AC425)</f>
        <v/>
      </c>
      <c r="J422" s="400" t="str">
        <f>IF('Mapa final SI'!AE425="","",'Mapa final SI'!AE425)</f>
        <v/>
      </c>
      <c r="K422" s="400" t="str">
        <f t="shared" si="6"/>
        <v/>
      </c>
      <c r="L422" s="400" t="str">
        <f>IF('Mapa final SI'!AH425="","",'Mapa final SI'!AH425)</f>
        <v/>
      </c>
      <c r="M422" s="339" t="str">
        <f>IF('Mapa final SI'!T425="","",'Mapa final SI'!T425)</f>
        <v/>
      </c>
      <c r="N422" s="397"/>
      <c r="O422" s="397"/>
      <c r="P422" s="397"/>
      <c r="Q422" s="398"/>
    </row>
    <row r="423" spans="1:18" ht="51.75" customHeight="1" x14ac:dyDescent="0.25">
      <c r="A423" s="115" t="s">
        <v>655</v>
      </c>
      <c r="B423" s="857"/>
      <c r="C423" s="863"/>
      <c r="D423" s="861"/>
      <c r="E423" s="863"/>
      <c r="F423" s="865"/>
      <c r="G423" s="865"/>
      <c r="H423" s="1073"/>
      <c r="I423" s="400" t="str">
        <f>IF('Mapa final SI'!AC426="","",'Mapa final SI'!AC426)</f>
        <v/>
      </c>
      <c r="J423" s="400" t="str">
        <f>IF('Mapa final SI'!AE426="","",'Mapa final SI'!AE426)</f>
        <v/>
      </c>
      <c r="K423" s="400" t="str">
        <f t="shared" si="6"/>
        <v/>
      </c>
      <c r="L423" s="400" t="str">
        <f>IF('Mapa final SI'!AH426="","",'Mapa final SI'!AH426)</f>
        <v/>
      </c>
      <c r="M423" s="339" t="str">
        <f>IF('Mapa final SI'!T426="","",'Mapa final SI'!T426)</f>
        <v/>
      </c>
      <c r="N423" s="397"/>
      <c r="O423" s="397"/>
      <c r="P423" s="397"/>
      <c r="Q423" s="398"/>
    </row>
    <row r="424" spans="1:18" ht="51.75" customHeight="1" x14ac:dyDescent="0.25">
      <c r="A424" s="115" t="s">
        <v>656</v>
      </c>
      <c r="B424" s="857"/>
      <c r="C424" s="863"/>
      <c r="D424" s="861"/>
      <c r="E424" s="863"/>
      <c r="F424" s="865"/>
      <c r="G424" s="865"/>
      <c r="H424" s="1073"/>
      <c r="I424" s="400" t="str">
        <f>IF('Mapa final SI'!AC427="","",'Mapa final SI'!AC427)</f>
        <v/>
      </c>
      <c r="J424" s="400" t="str">
        <f>IF('Mapa final SI'!AE427="","",'Mapa final SI'!AE427)</f>
        <v/>
      </c>
      <c r="K424" s="400" t="str">
        <f t="shared" si="6"/>
        <v/>
      </c>
      <c r="L424" s="400" t="str">
        <f>IF('Mapa final SI'!AH427="","",'Mapa final SI'!AH427)</f>
        <v/>
      </c>
      <c r="M424" s="339" t="str">
        <f>IF('Mapa final SI'!T427="","",'Mapa final SI'!T427)</f>
        <v/>
      </c>
      <c r="N424" s="397"/>
      <c r="O424" s="397"/>
      <c r="P424" s="397"/>
      <c r="Q424" s="398"/>
    </row>
    <row r="425" spans="1:18" ht="51.75" customHeight="1" x14ac:dyDescent="0.25">
      <c r="A425" s="115" t="s">
        <v>657</v>
      </c>
      <c r="B425" s="857"/>
      <c r="C425" s="863"/>
      <c r="D425" s="861"/>
      <c r="E425" s="863"/>
      <c r="F425" s="865"/>
      <c r="G425" s="865"/>
      <c r="H425" s="1073"/>
      <c r="I425" s="400" t="str">
        <f>IF('Mapa final SI'!AC428="","",'Mapa final SI'!AC428)</f>
        <v/>
      </c>
      <c r="J425" s="400" t="str">
        <f>IF('Mapa final SI'!AE428="","",'Mapa final SI'!AE428)</f>
        <v/>
      </c>
      <c r="K425" s="400" t="str">
        <f t="shared" si="6"/>
        <v/>
      </c>
      <c r="L425" s="400" t="str">
        <f>IF('Mapa final SI'!AH428="","",'Mapa final SI'!AH428)</f>
        <v/>
      </c>
      <c r="M425" s="339" t="str">
        <f>IF('Mapa final SI'!T428="","",'Mapa final SI'!T428)</f>
        <v/>
      </c>
      <c r="N425" s="397"/>
      <c r="O425" s="397"/>
      <c r="P425" s="397"/>
      <c r="Q425" s="398"/>
    </row>
    <row r="426" spans="1:18" ht="51.75" customHeight="1" x14ac:dyDescent="0.25">
      <c r="A426" s="115" t="s">
        <v>658</v>
      </c>
      <c r="B426" s="857"/>
      <c r="C426" s="863"/>
      <c r="D426" s="861"/>
      <c r="E426" s="863"/>
      <c r="F426" s="865"/>
      <c r="G426" s="865"/>
      <c r="H426" s="866"/>
      <c r="I426" s="400" t="str">
        <f>IF('Mapa final SI'!AC429="","",'Mapa final SI'!AC429)</f>
        <v/>
      </c>
      <c r="J426" s="400" t="str">
        <f>IF('Mapa final SI'!AE429="","",'Mapa final SI'!AE429)</f>
        <v/>
      </c>
      <c r="K426" s="400" t="str">
        <f t="shared" si="6"/>
        <v/>
      </c>
      <c r="L426" s="400" t="str">
        <f>IF('Mapa final SI'!AH429="","",'Mapa final SI'!AH429)</f>
        <v/>
      </c>
      <c r="M426" s="339" t="str">
        <f>IF('Mapa final SI'!T429="","",'Mapa final SI'!T429)</f>
        <v/>
      </c>
      <c r="N426" s="397"/>
      <c r="O426" s="397"/>
      <c r="P426" s="397"/>
      <c r="Q426" s="398"/>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qHbksYUyTDemy89JgECezLEciuu+3KE6k0W1vT/MwtcsPuYDcQCmaG+zZfRXPLJPrykXQRjLsZMwRo65GO9Pw==" saltValue="ioEHCh3KU+K2fPeP5H4AG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69" t="s">
        <v>66</v>
      </c>
      <c r="C2" s="570"/>
      <c r="D2" s="570"/>
      <c r="E2" s="570"/>
      <c r="F2" s="570"/>
      <c r="G2" s="570"/>
      <c r="H2" s="571"/>
    </row>
    <row r="3" spans="2:8" x14ac:dyDescent="0.25">
      <c r="B3" s="201"/>
      <c r="C3" s="202"/>
      <c r="D3" s="202"/>
      <c r="E3" s="202"/>
      <c r="F3" s="202"/>
      <c r="G3" s="202"/>
      <c r="H3" s="203"/>
    </row>
    <row r="4" spans="2:8" ht="63" customHeight="1" x14ac:dyDescent="0.25">
      <c r="B4" s="572" t="s">
        <v>67</v>
      </c>
      <c r="C4" s="573"/>
      <c r="D4" s="573"/>
      <c r="E4" s="573"/>
      <c r="F4" s="573"/>
      <c r="G4" s="573"/>
      <c r="H4" s="574"/>
    </row>
    <row r="5" spans="2:8" ht="63" customHeight="1" x14ac:dyDescent="0.25">
      <c r="B5" s="575"/>
      <c r="C5" s="576"/>
      <c r="D5" s="576"/>
      <c r="E5" s="576"/>
      <c r="F5" s="576"/>
      <c r="G5" s="576"/>
      <c r="H5" s="577"/>
    </row>
    <row r="6" spans="2:8" ht="16.5" x14ac:dyDescent="0.25">
      <c r="B6" s="578" t="s">
        <v>68</v>
      </c>
      <c r="C6" s="579"/>
      <c r="D6" s="579"/>
      <c r="E6" s="579"/>
      <c r="F6" s="579"/>
      <c r="G6" s="579"/>
      <c r="H6" s="580"/>
    </row>
    <row r="7" spans="2:8" ht="102.75" customHeight="1" x14ac:dyDescent="0.25">
      <c r="B7" s="581" t="s">
        <v>69</v>
      </c>
      <c r="C7" s="582"/>
      <c r="D7" s="582"/>
      <c r="E7" s="582"/>
      <c r="F7" s="582"/>
      <c r="G7" s="582"/>
      <c r="H7" s="583"/>
    </row>
    <row r="8" spans="2:8" ht="16.5" x14ac:dyDescent="0.25">
      <c r="B8" s="204"/>
      <c r="C8" s="205"/>
      <c r="D8" s="205"/>
      <c r="E8" s="205"/>
      <c r="F8" s="205"/>
      <c r="G8" s="205"/>
      <c r="H8" s="206"/>
    </row>
    <row r="9" spans="2:8" ht="16.5" customHeight="1" x14ac:dyDescent="0.25">
      <c r="B9" s="584" t="s">
        <v>70</v>
      </c>
      <c r="C9" s="585"/>
      <c r="D9" s="585"/>
      <c r="E9" s="585"/>
      <c r="F9" s="585"/>
      <c r="G9" s="585"/>
      <c r="H9" s="586"/>
    </row>
    <row r="10" spans="2:8" ht="44.45" customHeight="1" x14ac:dyDescent="0.25">
      <c r="B10" s="584"/>
      <c r="C10" s="585"/>
      <c r="D10" s="585"/>
      <c r="E10" s="585"/>
      <c r="F10" s="585"/>
      <c r="G10" s="585"/>
      <c r="H10" s="586"/>
    </row>
    <row r="11" spans="2:8" ht="15.75" thickBot="1" x14ac:dyDescent="0.3">
      <c r="B11" s="207"/>
      <c r="C11" s="208"/>
      <c r="D11" s="209"/>
      <c r="E11" s="210"/>
      <c r="F11" s="210"/>
      <c r="G11" s="211"/>
      <c r="H11" s="212"/>
    </row>
    <row r="12" spans="2:8" ht="15.75" thickTop="1" x14ac:dyDescent="0.25">
      <c r="B12" s="207"/>
      <c r="C12" s="565" t="s">
        <v>71</v>
      </c>
      <c r="D12" s="566"/>
      <c r="E12" s="567" t="s">
        <v>72</v>
      </c>
      <c r="F12" s="568"/>
      <c r="G12" s="208"/>
      <c r="H12" s="212"/>
    </row>
    <row r="13" spans="2:8" ht="35.450000000000003" customHeight="1" x14ac:dyDescent="0.25">
      <c r="B13" s="207"/>
      <c r="C13" s="587" t="s">
        <v>73</v>
      </c>
      <c r="D13" s="588"/>
      <c r="E13" s="589" t="s">
        <v>74</v>
      </c>
      <c r="F13" s="590"/>
      <c r="G13" s="208"/>
      <c r="H13" s="212"/>
    </row>
    <row r="14" spans="2:8" ht="17.45" customHeight="1" x14ac:dyDescent="0.25">
      <c r="B14" s="207"/>
      <c r="C14" s="587" t="s">
        <v>75</v>
      </c>
      <c r="D14" s="588"/>
      <c r="E14" s="589" t="s">
        <v>76</v>
      </c>
      <c r="F14" s="590"/>
      <c r="G14" s="208"/>
      <c r="H14" s="212"/>
    </row>
    <row r="15" spans="2:8" ht="19.5" customHeight="1" x14ac:dyDescent="0.25">
      <c r="B15" s="207"/>
      <c r="C15" s="587" t="s">
        <v>77</v>
      </c>
      <c r="D15" s="588"/>
      <c r="E15" s="589" t="s">
        <v>78</v>
      </c>
      <c r="F15" s="590"/>
      <c r="G15" s="208"/>
      <c r="H15" s="212"/>
    </row>
    <row r="16" spans="2:8" ht="69.75" customHeight="1" x14ac:dyDescent="0.25">
      <c r="B16" s="207"/>
      <c r="C16" s="587" t="s">
        <v>79</v>
      </c>
      <c r="D16" s="588"/>
      <c r="E16" s="589" t="s">
        <v>80</v>
      </c>
      <c r="F16" s="590"/>
      <c r="G16" s="208"/>
      <c r="H16" s="212"/>
    </row>
    <row r="17" spans="2:8" ht="34.5" customHeight="1" x14ac:dyDescent="0.25">
      <c r="B17" s="207"/>
      <c r="C17" s="591" t="s">
        <v>81</v>
      </c>
      <c r="D17" s="592"/>
      <c r="E17" s="593" t="s">
        <v>82</v>
      </c>
      <c r="F17" s="594"/>
      <c r="G17" s="208"/>
      <c r="H17" s="212"/>
    </row>
    <row r="18" spans="2:8" ht="27.75" customHeight="1" x14ac:dyDescent="0.25">
      <c r="B18" s="207"/>
      <c r="C18" s="591" t="s">
        <v>83</v>
      </c>
      <c r="D18" s="592"/>
      <c r="E18" s="593" t="s">
        <v>84</v>
      </c>
      <c r="F18" s="594"/>
      <c r="G18" s="208"/>
      <c r="H18" s="212"/>
    </row>
    <row r="19" spans="2:8" ht="28.5" customHeight="1" x14ac:dyDescent="0.25">
      <c r="B19" s="207"/>
      <c r="C19" s="591" t="s">
        <v>85</v>
      </c>
      <c r="D19" s="592"/>
      <c r="E19" s="593" t="s">
        <v>86</v>
      </c>
      <c r="F19" s="594"/>
      <c r="G19" s="208"/>
      <c r="H19" s="212"/>
    </row>
    <row r="20" spans="2:8" ht="72.75" customHeight="1" x14ac:dyDescent="0.25">
      <c r="B20" s="207"/>
      <c r="C20" s="591" t="s">
        <v>87</v>
      </c>
      <c r="D20" s="592"/>
      <c r="E20" s="593" t="s">
        <v>88</v>
      </c>
      <c r="F20" s="594"/>
      <c r="G20" s="208"/>
      <c r="H20" s="212"/>
    </row>
    <row r="21" spans="2:8" ht="64.5" customHeight="1" x14ac:dyDescent="0.25">
      <c r="B21" s="207"/>
      <c r="C21" s="591" t="s">
        <v>89</v>
      </c>
      <c r="D21" s="592"/>
      <c r="E21" s="593" t="s">
        <v>90</v>
      </c>
      <c r="F21" s="594"/>
      <c r="G21" s="208"/>
      <c r="H21" s="212"/>
    </row>
    <row r="22" spans="2:8" ht="71.45" customHeight="1" x14ac:dyDescent="0.25">
      <c r="B22" s="207"/>
      <c r="C22" s="591" t="s">
        <v>91</v>
      </c>
      <c r="D22" s="592"/>
      <c r="E22" s="593" t="s">
        <v>92</v>
      </c>
      <c r="F22" s="594"/>
      <c r="G22" s="208"/>
      <c r="H22" s="212"/>
    </row>
    <row r="23" spans="2:8" ht="55.5" customHeight="1" x14ac:dyDescent="0.25">
      <c r="B23" s="207"/>
      <c r="C23" s="595" t="s">
        <v>93</v>
      </c>
      <c r="D23" s="596"/>
      <c r="E23" s="593" t="s">
        <v>94</v>
      </c>
      <c r="F23" s="594"/>
      <c r="G23" s="208"/>
      <c r="H23" s="212"/>
    </row>
    <row r="24" spans="2:8" ht="42" customHeight="1" x14ac:dyDescent="0.25">
      <c r="B24" s="207"/>
      <c r="C24" s="595" t="s">
        <v>95</v>
      </c>
      <c r="D24" s="596"/>
      <c r="E24" s="593" t="s">
        <v>96</v>
      </c>
      <c r="F24" s="594"/>
      <c r="G24" s="208"/>
      <c r="H24" s="212"/>
    </row>
    <row r="25" spans="2:8" ht="59.25" customHeight="1" x14ac:dyDescent="0.25">
      <c r="B25" s="207"/>
      <c r="C25" s="595" t="s">
        <v>97</v>
      </c>
      <c r="D25" s="596"/>
      <c r="E25" s="593" t="s">
        <v>98</v>
      </c>
      <c r="F25" s="594"/>
      <c r="G25" s="208"/>
      <c r="H25" s="212"/>
    </row>
    <row r="26" spans="2:8" ht="23.25" customHeight="1" x14ac:dyDescent="0.25">
      <c r="B26" s="207"/>
      <c r="C26" s="595" t="s">
        <v>99</v>
      </c>
      <c r="D26" s="596"/>
      <c r="E26" s="593" t="s">
        <v>100</v>
      </c>
      <c r="F26" s="594"/>
      <c r="G26" s="208"/>
      <c r="H26" s="212"/>
    </row>
    <row r="27" spans="2:8" ht="30.75" customHeight="1" x14ac:dyDescent="0.25">
      <c r="B27" s="207"/>
      <c r="C27" s="595" t="s">
        <v>101</v>
      </c>
      <c r="D27" s="596"/>
      <c r="E27" s="593" t="s">
        <v>102</v>
      </c>
      <c r="F27" s="594"/>
      <c r="G27" s="208"/>
      <c r="H27" s="212"/>
    </row>
    <row r="28" spans="2:8" ht="35.450000000000003" customHeight="1" x14ac:dyDescent="0.25">
      <c r="B28" s="207"/>
      <c r="C28" s="595" t="s">
        <v>103</v>
      </c>
      <c r="D28" s="596"/>
      <c r="E28" s="593" t="s">
        <v>104</v>
      </c>
      <c r="F28" s="594"/>
      <c r="G28" s="208"/>
      <c r="H28" s="212"/>
    </row>
    <row r="29" spans="2:8" ht="33" customHeight="1" x14ac:dyDescent="0.25">
      <c r="B29" s="207"/>
      <c r="C29" s="595" t="s">
        <v>103</v>
      </c>
      <c r="D29" s="596"/>
      <c r="E29" s="593" t="s">
        <v>104</v>
      </c>
      <c r="F29" s="594"/>
      <c r="G29" s="208"/>
      <c r="H29" s="212"/>
    </row>
    <row r="30" spans="2:8" ht="30.2" customHeight="1" x14ac:dyDescent="0.25">
      <c r="B30" s="207"/>
      <c r="C30" s="595" t="s">
        <v>105</v>
      </c>
      <c r="D30" s="596"/>
      <c r="E30" s="593" t="s">
        <v>106</v>
      </c>
      <c r="F30" s="594"/>
      <c r="G30" s="208"/>
      <c r="H30" s="212"/>
    </row>
    <row r="31" spans="2:8" ht="35.450000000000003" customHeight="1" x14ac:dyDescent="0.25">
      <c r="B31" s="207"/>
      <c r="C31" s="595" t="s">
        <v>107</v>
      </c>
      <c r="D31" s="596"/>
      <c r="E31" s="593" t="s">
        <v>108</v>
      </c>
      <c r="F31" s="594"/>
      <c r="G31" s="208"/>
      <c r="H31" s="212"/>
    </row>
    <row r="32" spans="2:8" ht="31.7" customHeight="1" x14ac:dyDescent="0.25">
      <c r="B32" s="207"/>
      <c r="C32" s="595" t="s">
        <v>109</v>
      </c>
      <c r="D32" s="596"/>
      <c r="E32" s="593" t="s">
        <v>110</v>
      </c>
      <c r="F32" s="594"/>
      <c r="G32" s="208"/>
      <c r="H32" s="212"/>
    </row>
    <row r="33" spans="2:8" ht="35.450000000000003" customHeight="1" x14ac:dyDescent="0.25">
      <c r="B33" s="207"/>
      <c r="C33" s="595" t="s">
        <v>111</v>
      </c>
      <c r="D33" s="596"/>
      <c r="E33" s="593" t="s">
        <v>112</v>
      </c>
      <c r="F33" s="594"/>
      <c r="G33" s="208"/>
      <c r="H33" s="212"/>
    </row>
    <row r="34" spans="2:8" ht="59.25" customHeight="1" x14ac:dyDescent="0.25">
      <c r="B34" s="207"/>
      <c r="C34" s="595" t="s">
        <v>113</v>
      </c>
      <c r="D34" s="596"/>
      <c r="E34" s="593" t="s">
        <v>114</v>
      </c>
      <c r="F34" s="594"/>
      <c r="G34" s="208"/>
      <c r="H34" s="212"/>
    </row>
    <row r="35" spans="2:8" ht="29.25" customHeight="1" x14ac:dyDescent="0.25">
      <c r="B35" s="207"/>
      <c r="C35" s="595" t="s">
        <v>115</v>
      </c>
      <c r="D35" s="596"/>
      <c r="E35" s="593" t="s">
        <v>116</v>
      </c>
      <c r="F35" s="594"/>
      <c r="G35" s="208"/>
      <c r="H35" s="212"/>
    </row>
    <row r="36" spans="2:8" ht="82.5" customHeight="1" x14ac:dyDescent="0.25">
      <c r="B36" s="207"/>
      <c r="C36" s="595" t="s">
        <v>117</v>
      </c>
      <c r="D36" s="596"/>
      <c r="E36" s="593" t="s">
        <v>118</v>
      </c>
      <c r="F36" s="594"/>
      <c r="G36" s="208"/>
      <c r="H36" s="212"/>
    </row>
    <row r="37" spans="2:8" ht="46.5" customHeight="1" x14ac:dyDescent="0.25">
      <c r="B37" s="207"/>
      <c r="C37" s="595" t="s">
        <v>119</v>
      </c>
      <c r="D37" s="596"/>
      <c r="E37" s="593" t="s">
        <v>120</v>
      </c>
      <c r="F37" s="594"/>
      <c r="G37" s="208"/>
      <c r="H37" s="212"/>
    </row>
    <row r="38" spans="2:8" ht="6.75" customHeight="1" thickBot="1" x14ac:dyDescent="0.3">
      <c r="B38" s="207"/>
      <c r="C38" s="600"/>
      <c r="D38" s="601"/>
      <c r="E38" s="602"/>
      <c r="F38" s="603"/>
      <c r="G38" s="208"/>
      <c r="H38" s="212"/>
    </row>
    <row r="39" spans="2:8" ht="15.75" thickTop="1" x14ac:dyDescent="0.25">
      <c r="B39" s="207"/>
      <c r="C39" s="213"/>
      <c r="D39" s="213"/>
      <c r="E39" s="214"/>
      <c r="F39" s="214"/>
      <c r="G39" s="208"/>
      <c r="H39" s="212"/>
    </row>
    <row r="40" spans="2:8" ht="21.2" customHeight="1" x14ac:dyDescent="0.25">
      <c r="B40" s="597" t="s">
        <v>121</v>
      </c>
      <c r="C40" s="598"/>
      <c r="D40" s="598"/>
      <c r="E40" s="598"/>
      <c r="F40" s="598"/>
      <c r="G40" s="598"/>
      <c r="H40" s="599"/>
    </row>
    <row r="41" spans="2:8" ht="20.25" customHeight="1" x14ac:dyDescent="0.25">
      <c r="B41" s="597" t="s">
        <v>122</v>
      </c>
      <c r="C41" s="598"/>
      <c r="D41" s="598"/>
      <c r="E41" s="598"/>
      <c r="F41" s="598"/>
      <c r="G41" s="598"/>
      <c r="H41" s="599"/>
    </row>
    <row r="42" spans="2:8" ht="20.25" customHeight="1" x14ac:dyDescent="0.25">
      <c r="B42" s="597" t="s">
        <v>123</v>
      </c>
      <c r="C42" s="598"/>
      <c r="D42" s="598"/>
      <c r="E42" s="598"/>
      <c r="F42" s="598"/>
      <c r="G42" s="598"/>
      <c r="H42" s="599"/>
    </row>
    <row r="43" spans="2:8" ht="20.25" customHeight="1" x14ac:dyDescent="0.25">
      <c r="B43" s="597" t="s">
        <v>124</v>
      </c>
      <c r="C43" s="598"/>
      <c r="D43" s="598"/>
      <c r="E43" s="598"/>
      <c r="F43" s="598"/>
      <c r="G43" s="598"/>
      <c r="H43" s="599"/>
    </row>
    <row r="44" spans="2:8" x14ac:dyDescent="0.25">
      <c r="B44" s="597" t="s">
        <v>125</v>
      </c>
      <c r="C44" s="598"/>
      <c r="D44" s="598"/>
      <c r="E44" s="598"/>
      <c r="F44" s="598"/>
      <c r="G44" s="598"/>
      <c r="H44" s="599"/>
    </row>
    <row r="45" spans="2:8" ht="15.75" thickBot="1" x14ac:dyDescent="0.3">
      <c r="B45" s="215"/>
      <c r="C45" s="216"/>
      <c r="D45" s="216"/>
      <c r="E45" s="216"/>
      <c r="F45" s="216"/>
      <c r="G45" s="216"/>
      <c r="H45" s="217"/>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topLeftCell="A3" zoomScale="70" zoomScaleNormal="70" workbookViewId="0">
      <selection activeCell="E10" sqref="E10:E15"/>
    </sheetView>
  </sheetViews>
  <sheetFormatPr baseColWidth="10" defaultColWidth="11.42578125" defaultRowHeight="16.5" x14ac:dyDescent="0.3"/>
  <cols>
    <col min="1" max="1" width="4" style="425" bestFit="1" customWidth="1"/>
    <col min="2" max="2" width="21.7109375" style="245" customWidth="1"/>
    <col min="3" max="3" width="15.5703125" style="245" customWidth="1"/>
    <col min="4" max="4" width="37.5703125" style="245" customWidth="1"/>
    <col min="5" max="5" width="49.85546875" style="219" customWidth="1"/>
    <col min="6" max="6" width="19" style="246" customWidth="1"/>
    <col min="7" max="7" width="17.85546875" style="219" customWidth="1"/>
    <col min="8" max="8" width="16.5703125" style="219" customWidth="1"/>
    <col min="9" max="9" width="6.28515625" style="219" bestFit="1" customWidth="1"/>
    <col min="10" max="10" width="27.28515625" style="219" bestFit="1" customWidth="1"/>
    <col min="11" max="11" width="30.5703125" style="219" hidden="1" customWidth="1"/>
    <col min="12" max="12" width="17.5703125" style="219" customWidth="1"/>
    <col min="13" max="13" width="6.28515625" style="219" bestFit="1" customWidth="1"/>
    <col min="14" max="14" width="16" style="219" customWidth="1"/>
    <col min="15" max="15" width="5.85546875" style="421" customWidth="1"/>
    <col min="16" max="16" width="81.5703125" style="219" customWidth="1"/>
    <col min="17" max="17" width="15.140625" style="219" bestFit="1" customWidth="1"/>
    <col min="18" max="18" width="6.85546875" style="219" customWidth="1"/>
    <col min="19" max="19" width="5" style="219" customWidth="1"/>
    <col min="20" max="20" width="5.5703125" style="219" customWidth="1"/>
    <col min="21" max="21" width="7.140625" style="219" customWidth="1"/>
    <col min="22" max="22" width="6.7109375" style="219" customWidth="1"/>
    <col min="23" max="23" width="7.5703125" style="219" customWidth="1"/>
    <col min="24" max="24" width="38.28515625" style="219" hidden="1" customWidth="1"/>
    <col min="25" max="25" width="8.7109375" style="219" customWidth="1"/>
    <col min="26" max="26" width="10.42578125" style="219" customWidth="1"/>
    <col min="27" max="27" width="9.28515625" style="219" customWidth="1"/>
    <col min="28" max="28" width="9.140625" style="219" customWidth="1"/>
    <col min="29" max="29" width="8.42578125" style="219" customWidth="1"/>
    <col min="30" max="30" width="7.28515625" style="219" customWidth="1"/>
    <col min="31" max="31" width="75.42578125" style="219" customWidth="1"/>
    <col min="32" max="32" width="18.85546875" style="219" customWidth="1"/>
    <col min="33" max="33" width="19.5703125" style="219" customWidth="1"/>
    <col min="34" max="34" width="18.42578125" style="219" customWidth="1"/>
    <col min="35" max="35" width="44.42578125" style="219" customWidth="1"/>
    <col min="36" max="36" width="21" style="219" customWidth="1"/>
    <col min="37" max="37" width="104.42578125" style="219" customWidth="1"/>
    <col min="38" max="38" width="133.28515625" style="219" customWidth="1"/>
    <col min="39" max="16384" width="11.42578125" style="219"/>
  </cols>
  <sheetData>
    <row r="1" spans="1:67" ht="32.25" customHeight="1" x14ac:dyDescent="0.3">
      <c r="A1" s="709"/>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row>
    <row r="2" spans="1:67" ht="133.5" customHeight="1" x14ac:dyDescent="0.3">
      <c r="A2" s="709"/>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row>
    <row r="3" spans="1:67" x14ac:dyDescent="0.3">
      <c r="A3" s="422"/>
      <c r="B3" s="221"/>
      <c r="C3" s="220"/>
      <c r="D3" s="220"/>
      <c r="E3" s="218"/>
      <c r="F3" s="222"/>
      <c r="G3" s="218"/>
      <c r="H3" s="218"/>
      <c r="I3" s="218"/>
      <c r="J3" s="218"/>
      <c r="K3" s="218"/>
      <c r="L3" s="218"/>
      <c r="M3" s="218"/>
      <c r="N3" s="218"/>
      <c r="O3" s="419"/>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row>
    <row r="4" spans="1:67" ht="26.45" customHeight="1" x14ac:dyDescent="0.3">
      <c r="A4" s="607" t="s">
        <v>126</v>
      </c>
      <c r="B4" s="620"/>
      <c r="C4" s="627" t="s">
        <v>127</v>
      </c>
      <c r="D4" s="628"/>
      <c r="E4" s="628"/>
      <c r="F4" s="628"/>
      <c r="G4" s="628"/>
      <c r="H4" s="628"/>
      <c r="I4" s="628"/>
      <c r="J4" s="628"/>
      <c r="K4" s="628"/>
      <c r="L4" s="628"/>
      <c r="M4" s="628"/>
      <c r="N4" s="628"/>
      <c r="O4" s="628"/>
      <c r="P4" s="628"/>
      <c r="Q4" s="628"/>
      <c r="R4" s="628"/>
      <c r="S4" s="628"/>
      <c r="T4" s="628"/>
      <c r="U4" s="628"/>
      <c r="V4" s="629"/>
      <c r="W4" s="401"/>
      <c r="X4" s="401"/>
      <c r="Y4" s="401"/>
      <c r="Z4" s="401"/>
      <c r="AA4" s="401"/>
      <c r="AB4" s="401"/>
      <c r="AC4" s="401"/>
      <c r="AD4" s="401"/>
      <c r="AE4" s="401"/>
      <c r="AF4" s="401"/>
      <c r="AG4" s="401"/>
      <c r="AH4" s="401"/>
      <c r="AI4" s="401"/>
      <c r="AJ4" s="401"/>
      <c r="AK4" s="401"/>
      <c r="AL4" s="401"/>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row>
    <row r="5" spans="1:67" ht="77.25" customHeight="1" x14ac:dyDescent="0.3">
      <c r="A5" s="607" t="s">
        <v>128</v>
      </c>
      <c r="B5" s="620"/>
      <c r="C5" s="624"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6"/>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ht="49.7" customHeight="1" x14ac:dyDescent="0.3">
      <c r="A6" s="607" t="s">
        <v>129</v>
      </c>
      <c r="B6" s="608"/>
      <c r="C6" s="621"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3"/>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row>
    <row r="7" spans="1:67" ht="28.5" customHeight="1" x14ac:dyDescent="0.3">
      <c r="A7" s="609" t="s">
        <v>130</v>
      </c>
      <c r="B7" s="610"/>
      <c r="C7" s="606"/>
      <c r="D7" s="606"/>
      <c r="E7" s="606"/>
      <c r="F7" s="606"/>
      <c r="G7" s="611"/>
      <c r="H7" s="605" t="s">
        <v>131</v>
      </c>
      <c r="I7" s="606"/>
      <c r="J7" s="606"/>
      <c r="K7" s="606"/>
      <c r="L7" s="606"/>
      <c r="M7" s="606"/>
      <c r="N7" s="611"/>
      <c r="O7" s="605" t="s">
        <v>132</v>
      </c>
      <c r="P7" s="606"/>
      <c r="Q7" s="606"/>
      <c r="R7" s="606"/>
      <c r="S7" s="606"/>
      <c r="T7" s="606"/>
      <c r="U7" s="606"/>
      <c r="V7" s="606"/>
      <c r="W7" s="611"/>
      <c r="X7" s="612" t="s">
        <v>133</v>
      </c>
      <c r="Y7" s="613"/>
      <c r="Z7" s="613"/>
      <c r="AA7" s="613"/>
      <c r="AB7" s="613"/>
      <c r="AC7" s="613"/>
      <c r="AD7" s="614"/>
      <c r="AE7" s="605" t="s">
        <v>134</v>
      </c>
      <c r="AF7" s="606"/>
      <c r="AG7" s="606"/>
      <c r="AH7" s="606"/>
      <c r="AI7" s="606"/>
      <c r="AJ7" s="611"/>
      <c r="AK7" s="605" t="s">
        <v>135</v>
      </c>
      <c r="AL7" s="606"/>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row>
    <row r="8" spans="1:67" ht="16.5" customHeight="1" x14ac:dyDescent="0.3">
      <c r="A8" s="632" t="s">
        <v>136</v>
      </c>
      <c r="B8" s="634" t="s">
        <v>81</v>
      </c>
      <c r="C8" s="619" t="s">
        <v>83</v>
      </c>
      <c r="D8" s="619" t="s">
        <v>85</v>
      </c>
      <c r="E8" s="635" t="s">
        <v>87</v>
      </c>
      <c r="F8" s="618" t="s">
        <v>89</v>
      </c>
      <c r="G8" s="619" t="s">
        <v>137</v>
      </c>
      <c r="H8" s="636" t="s">
        <v>138</v>
      </c>
      <c r="I8" s="631" t="s">
        <v>139</v>
      </c>
      <c r="J8" s="618" t="s">
        <v>140</v>
      </c>
      <c r="K8" s="618" t="s">
        <v>141</v>
      </c>
      <c r="L8" s="630" t="s">
        <v>142</v>
      </c>
      <c r="M8" s="631" t="s">
        <v>139</v>
      </c>
      <c r="N8" s="619" t="s">
        <v>95</v>
      </c>
      <c r="O8" s="615" t="s">
        <v>143</v>
      </c>
      <c r="P8" s="604" t="s">
        <v>97</v>
      </c>
      <c r="Q8" s="618" t="s">
        <v>99</v>
      </c>
      <c r="R8" s="604" t="s">
        <v>144</v>
      </c>
      <c r="S8" s="604"/>
      <c r="T8" s="604"/>
      <c r="U8" s="604"/>
      <c r="V8" s="604"/>
      <c r="W8" s="604"/>
      <c r="X8" s="617" t="s">
        <v>145</v>
      </c>
      <c r="Y8" s="617" t="s">
        <v>146</v>
      </c>
      <c r="Z8" s="617" t="s">
        <v>139</v>
      </c>
      <c r="AA8" s="617" t="s">
        <v>147</v>
      </c>
      <c r="AB8" s="617" t="s">
        <v>139</v>
      </c>
      <c r="AC8" s="617" t="s">
        <v>148</v>
      </c>
      <c r="AD8" s="615" t="s">
        <v>115</v>
      </c>
      <c r="AE8" s="604" t="s">
        <v>134</v>
      </c>
      <c r="AF8" s="604" t="s">
        <v>149</v>
      </c>
      <c r="AG8" s="604" t="s">
        <v>150</v>
      </c>
      <c r="AH8" s="604" t="s">
        <v>151</v>
      </c>
      <c r="AI8" s="604" t="s">
        <v>135</v>
      </c>
      <c r="AJ8" s="604" t="s">
        <v>119</v>
      </c>
      <c r="AK8" s="604" t="s">
        <v>152</v>
      </c>
      <c r="AL8" s="604" t="s">
        <v>153</v>
      </c>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row>
    <row r="9" spans="1:67" s="225" customFormat="1" ht="94.7" customHeight="1" x14ac:dyDescent="0.25">
      <c r="A9" s="633"/>
      <c r="B9" s="634"/>
      <c r="C9" s="604"/>
      <c r="D9" s="604"/>
      <c r="E9" s="634"/>
      <c r="F9" s="619"/>
      <c r="G9" s="604"/>
      <c r="H9" s="619"/>
      <c r="I9" s="605"/>
      <c r="J9" s="619"/>
      <c r="K9" s="619"/>
      <c r="L9" s="605"/>
      <c r="M9" s="605"/>
      <c r="N9" s="604"/>
      <c r="O9" s="616"/>
      <c r="P9" s="604"/>
      <c r="Q9" s="619"/>
      <c r="R9" s="402" t="s">
        <v>154</v>
      </c>
      <c r="S9" s="402" t="s">
        <v>155</v>
      </c>
      <c r="T9" s="402" t="s">
        <v>156</v>
      </c>
      <c r="U9" s="402" t="s">
        <v>157</v>
      </c>
      <c r="V9" s="402" t="s">
        <v>158</v>
      </c>
      <c r="W9" s="402" t="s">
        <v>159</v>
      </c>
      <c r="X9" s="617"/>
      <c r="Y9" s="617"/>
      <c r="Z9" s="617"/>
      <c r="AA9" s="617"/>
      <c r="AB9" s="617"/>
      <c r="AC9" s="617"/>
      <c r="AD9" s="616"/>
      <c r="AE9" s="604"/>
      <c r="AF9" s="604"/>
      <c r="AG9" s="604"/>
      <c r="AH9" s="604"/>
      <c r="AI9" s="604"/>
      <c r="AJ9" s="604"/>
      <c r="AK9" s="604"/>
      <c r="AL9" s="60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row>
    <row r="10" spans="1:67" s="240" customFormat="1" ht="301.5" customHeight="1" x14ac:dyDescent="0.25">
      <c r="A10" s="646">
        <v>1</v>
      </c>
      <c r="B10" s="667" t="s">
        <v>160</v>
      </c>
      <c r="C10" s="670" t="s">
        <v>161</v>
      </c>
      <c r="D10" s="670" t="s">
        <v>162</v>
      </c>
      <c r="E10" s="673" t="s">
        <v>1341</v>
      </c>
      <c r="F10" s="667" t="s">
        <v>163</v>
      </c>
      <c r="G10" s="658">
        <v>12</v>
      </c>
      <c r="H10" s="661" t="str">
        <f>IF(G10&lt;=0,"",IF(G10&lt;=2,"Muy Baja",IF(G10&lt;=24,"Baja",IF(G10&lt;=500,"Media",IF(G10&lt;=5000,"Alta","Muy Alta")))))</f>
        <v>Baja</v>
      </c>
      <c r="I10" s="640">
        <f>IF(H10="","",IF(H10="Muy Baja",0.2,IF(H10="Baja",0.4,IF(H10="Media",0.6,IF(H10="Alta",0.8,IF(H10="Muy Alta",1,))))))</f>
        <v>0.4</v>
      </c>
      <c r="J10" s="664" t="s">
        <v>164</v>
      </c>
      <c r="K10" s="640"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61"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40">
        <f>IF(L10="","",IF(L10="Leve",0.2,IF(L10="Menor",0.4,IF(L10="Moderado",0.6,IF(L10="Mayor",0.8,IF(L10="Catastrófico",1,))))))</f>
        <v>1</v>
      </c>
      <c r="N10" s="64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0">
        <v>1</v>
      </c>
      <c r="P10" s="486" t="s">
        <v>165</v>
      </c>
      <c r="Q10" s="487" t="str">
        <f t="shared" ref="Q10:Q41" si="0">IF(OR(R10="Preventivo",R10="Detectivo"),"Probabilidad",IF(R10="Correctivo","Impacto",""))</f>
        <v>Probabilidad</v>
      </c>
      <c r="R10" s="488" t="s">
        <v>166</v>
      </c>
      <c r="S10" s="488" t="s">
        <v>167</v>
      </c>
      <c r="T10" s="489" t="str">
        <f t="shared" ref="T10:T41" si="1">IF(AND(R10="Preventivo",S10="Automático"),"50%",IF(AND(R10="Preventivo",S10="Manual"),"40%",IF(AND(R10="Detectivo",S10="Automático"),"40%",IF(AND(R10="Detectivo",S10="Manual"),"30%",IF(AND(R10="Correctivo",S10="Automático"),"35%",IF(AND(R10="Correctivo",S10="Manual"),"25%",""))))))</f>
        <v>40%</v>
      </c>
      <c r="U10" s="488" t="s">
        <v>168</v>
      </c>
      <c r="V10" s="488" t="s">
        <v>169</v>
      </c>
      <c r="W10" s="488" t="s">
        <v>170</v>
      </c>
      <c r="X10" s="490">
        <f>IFERROR(IF(Q10="Probabilidad",(I10-(+I10*T10)),IF(Q10="Impacto",I10,"")),"")</f>
        <v>0.24</v>
      </c>
      <c r="Y10" s="491" t="str">
        <f>IFERROR(IF(X10="","",IF(X10&lt;=0.2,"Muy Baja",IF(X10&lt;=0.4,"Baja",IF(X10&lt;=0.6,"Media",IF(X10&lt;=0.8,"Alta","Muy Alta"))))),"")</f>
        <v>Baja</v>
      </c>
      <c r="Z10" s="492">
        <f t="shared" ref="Z10:Z41" si="2">+X10</f>
        <v>0.24</v>
      </c>
      <c r="AA10" s="491" t="str">
        <f>IFERROR(IF(AB10="","",IF(AB10&lt;=0.2,"Leve",IF(AB10&lt;=0.4,"Menor",IF(AB10&lt;=0.6,"Moderado",IF(AB10&lt;=0.8,"Mayor","Catastrófico"))))),"")</f>
        <v>Catastrófico</v>
      </c>
      <c r="AB10" s="492">
        <f>IFERROR(IF(Q10="Impacto",(M10-(+M10*T10)),IF(Q10="Probabilidad",M10,"")),"")</f>
        <v>1</v>
      </c>
      <c r="AC10" s="49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94"/>
      <c r="AE10" s="403"/>
      <c r="AF10" s="412"/>
      <c r="AG10" s="413"/>
      <c r="AH10" s="413"/>
      <c r="AI10" s="475"/>
      <c r="AJ10" s="414"/>
      <c r="AK10" s="498" t="s">
        <v>171</v>
      </c>
      <c r="AL10" s="559" t="s">
        <v>172</v>
      </c>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row>
    <row r="11" spans="1:67" ht="317.25" customHeight="1" x14ac:dyDescent="0.3">
      <c r="A11" s="647"/>
      <c r="B11" s="668"/>
      <c r="C11" s="671"/>
      <c r="D11" s="671"/>
      <c r="E11" s="674"/>
      <c r="F11" s="668"/>
      <c r="G11" s="659"/>
      <c r="H11" s="662"/>
      <c r="I11" s="641"/>
      <c r="J11" s="665"/>
      <c r="K11" s="641">
        <f>IF(NOT(ISERROR(MATCH(J11,_xlfn.ANCHORARRAY(E22),0))),I24&amp;"Por favor no seleccionar los criterios de impacto",J11)</f>
        <v>0</v>
      </c>
      <c r="L11" s="662"/>
      <c r="M11" s="641"/>
      <c r="N11" s="644"/>
      <c r="O11" s="420">
        <v>2</v>
      </c>
      <c r="P11" s="499" t="s">
        <v>173</v>
      </c>
      <c r="Q11" s="487" t="str">
        <f t="shared" si="0"/>
        <v>Probabilidad</v>
      </c>
      <c r="R11" s="488" t="s">
        <v>166</v>
      </c>
      <c r="S11" s="488" t="s">
        <v>167</v>
      </c>
      <c r="T11" s="489" t="str">
        <f t="shared" si="1"/>
        <v>40%</v>
      </c>
      <c r="U11" s="488" t="s">
        <v>174</v>
      </c>
      <c r="V11" s="488" t="s">
        <v>169</v>
      </c>
      <c r="W11" s="488" t="s">
        <v>170</v>
      </c>
      <c r="X11" s="490">
        <f>IFERROR(IF(AND(Q10="Probabilidad",Q11="Probabilidad"),(Z10-(+Z10*T11)),IF(Q11="Probabilidad",(I10-(+I10*T11)),IF(Q11="Impacto",Z10,""))),"")</f>
        <v>0.14399999999999999</v>
      </c>
      <c r="Y11" s="491" t="str">
        <f t="shared" ref="Y11:Y69" si="4">IFERROR(IF(X11="","",IF(X11&lt;=0.2,"Muy Baja",IF(X11&lt;=0.4,"Baja",IF(X11&lt;=0.6,"Media",IF(X11&lt;=0.8,"Alta","Muy Alta"))))),"")</f>
        <v>Muy Baja</v>
      </c>
      <c r="Z11" s="492">
        <f t="shared" si="2"/>
        <v>0.14399999999999999</v>
      </c>
      <c r="AA11" s="491" t="str">
        <f t="shared" ref="AA11:AA69" si="5">IFERROR(IF(AB11="","",IF(AB11&lt;=0.2,"Leve",IF(AB11&lt;=0.4,"Menor",IF(AB11&lt;=0.6,"Moderado",IF(AB11&lt;=0.8,"Mayor","Catastrófico"))))),"")</f>
        <v>Catastrófico</v>
      </c>
      <c r="AB11" s="492">
        <f>IFERROR(IF(AND(Q10="Impacto",Q11="Impacto"),(AB10-(+AB10*T11)),IF(Q11="Impacto",(M10-(+M10*T11)),IF(Q11="Probabilidad",AB10,""))),"")</f>
        <v>1</v>
      </c>
      <c r="AC11" s="493" t="str">
        <f t="shared" si="3"/>
        <v>Extremo</v>
      </c>
      <c r="AD11" s="494"/>
      <c r="AE11" s="403"/>
      <c r="AF11" s="412"/>
      <c r="AG11" s="413"/>
      <c r="AH11" s="413"/>
      <c r="AI11" s="480"/>
      <c r="AJ11" s="415"/>
      <c r="AK11" s="500" t="s">
        <v>175</v>
      </c>
      <c r="AL11" s="559" t="s">
        <v>176</v>
      </c>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row>
    <row r="12" spans="1:67" ht="409.5" customHeight="1" x14ac:dyDescent="0.3">
      <c r="A12" s="647"/>
      <c r="B12" s="668"/>
      <c r="C12" s="671"/>
      <c r="D12" s="671"/>
      <c r="E12" s="674"/>
      <c r="F12" s="668"/>
      <c r="G12" s="659"/>
      <c r="H12" s="662"/>
      <c r="I12" s="641"/>
      <c r="J12" s="665"/>
      <c r="K12" s="641">
        <f>IF(NOT(ISERROR(MATCH(J12,_xlfn.ANCHORARRAY(E23),0))),I25&amp;"Por favor no seleccionar los criterios de impacto",J12)</f>
        <v>0</v>
      </c>
      <c r="L12" s="662"/>
      <c r="M12" s="641"/>
      <c r="N12" s="644"/>
      <c r="O12" s="420">
        <v>3</v>
      </c>
      <c r="P12" s="501" t="s">
        <v>177</v>
      </c>
      <c r="Q12" s="487" t="str">
        <f>IF(OR(R12="Preventivo",R12="Detectivo"),"Probabilidad",IF(R12="Correctivo","Impacto",""))</f>
        <v>Probabilidad</v>
      </c>
      <c r="R12" s="488" t="s">
        <v>166</v>
      </c>
      <c r="S12" s="488" t="s">
        <v>167</v>
      </c>
      <c r="T12" s="489" t="str">
        <f>IF(AND(R12="Preventivo",S12="Automático"),"50%",IF(AND(R12="Preventivo",S12="Manual"),"40%",IF(AND(R12="Detectivo",S12="Automático"),"40%",IF(AND(R12="Detectivo",S12="Manual"),"30%",IF(AND(R12="Correctivo",S12="Automático"),"35%",IF(AND(R12="Correctivo",S12="Manual"),"25%",""))))))</f>
        <v>40%</v>
      </c>
      <c r="U12" s="488" t="s">
        <v>174</v>
      </c>
      <c r="V12" s="488" t="s">
        <v>169</v>
      </c>
      <c r="W12" s="488" t="s">
        <v>170</v>
      </c>
      <c r="X12" s="490">
        <f>IFERROR(IF(AND(Q11="Probabilidad",Q12="Probabilidad"),(Z11-(+Z11*T12)),IF(Q12="Probabilidad",(I11-(+I11*T12)),IF(Q12="Impacto",Z11,""))),"")</f>
        <v>8.6399999999999991E-2</v>
      </c>
      <c r="Y12" s="491" t="str">
        <f>IFERROR(IF(X12="","",IF(X12&lt;=0.2,"Muy Baja",IF(X12&lt;=0.4,"Baja",IF(X12&lt;=0.6,"Media",IF(X12&lt;=0.8,"Alta","Muy Alta"))))),"")</f>
        <v>Muy Baja</v>
      </c>
      <c r="Z12" s="492">
        <f>+X12</f>
        <v>8.6399999999999991E-2</v>
      </c>
      <c r="AA12" s="491" t="str">
        <f>IFERROR(IF(AB12="","",IF(AB12&lt;=0.2,"Leve",IF(AB12&lt;=0.4,"Menor",IF(AB12&lt;=0.6,"Moderado",IF(AB12&lt;=0.8,"Mayor","Catastrófico"))))),"")</f>
        <v>Catastrófico</v>
      </c>
      <c r="AB12" s="492">
        <f>IFERROR(IF(AND(Q11="Impacto",Q12="Impacto"),(AB11-(+AB11*T12)),IF(Q12="Impacto",(M11-(+M11*T12)),IF(Q12="Probabilidad",AB11,""))),"")</f>
        <v>1</v>
      </c>
      <c r="AC12" s="493"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94" t="s">
        <v>178</v>
      </c>
      <c r="AE12" s="486" t="s">
        <v>179</v>
      </c>
      <c r="AF12" s="502" t="s">
        <v>180</v>
      </c>
      <c r="AG12" s="497">
        <v>45658</v>
      </c>
      <c r="AH12" s="413"/>
      <c r="AI12" s="481" t="s">
        <v>181</v>
      </c>
      <c r="AJ12" s="415" t="s">
        <v>182</v>
      </c>
      <c r="AK12" s="503" t="s">
        <v>183</v>
      </c>
      <c r="AL12" s="559" t="s">
        <v>184</v>
      </c>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row>
    <row r="13" spans="1:67" ht="26.25" customHeight="1" x14ac:dyDescent="0.3">
      <c r="A13" s="647"/>
      <c r="B13" s="668"/>
      <c r="C13" s="671"/>
      <c r="D13" s="671"/>
      <c r="E13" s="674"/>
      <c r="F13" s="668"/>
      <c r="G13" s="659"/>
      <c r="H13" s="662"/>
      <c r="I13" s="641"/>
      <c r="J13" s="665"/>
      <c r="K13" s="641">
        <f>IF(NOT(ISERROR(MATCH(J13,_xlfn.ANCHORARRAY(E24),0))),I26&amp;"Por favor no seleccionar los criterios de impacto",J13)</f>
        <v>0</v>
      </c>
      <c r="L13" s="662"/>
      <c r="M13" s="641"/>
      <c r="N13" s="644"/>
      <c r="O13" s="420">
        <v>4</v>
      </c>
      <c r="P13" s="495"/>
      <c r="Q13" s="487" t="str">
        <f t="shared" si="0"/>
        <v/>
      </c>
      <c r="R13" s="488"/>
      <c r="S13" s="488"/>
      <c r="T13" s="489" t="str">
        <f t="shared" si="1"/>
        <v/>
      </c>
      <c r="U13" s="488"/>
      <c r="V13" s="488"/>
      <c r="W13" s="488"/>
      <c r="X13" s="504" t="str">
        <f>IFERROR(IF(AND(Q12="Probabilidad",Q13="Probabilidad"),(Z12-(+Z12*T13)),IF(AND(Q12="Impacto",Q13="Probabilidad"),(Z11-(+Z11*T13)),IF(Q13="Impacto",Z12,""))),"")</f>
        <v/>
      </c>
      <c r="Y13" s="491" t="str">
        <f t="shared" si="4"/>
        <v/>
      </c>
      <c r="Z13" s="492" t="str">
        <f t="shared" si="2"/>
        <v/>
      </c>
      <c r="AA13" s="491" t="str">
        <f t="shared" si="5"/>
        <v/>
      </c>
      <c r="AB13" s="492" t="str">
        <f>IFERROR(IF(AND(Q12="Impacto",Q13="Impacto"),(AB12-(+AB12*T13)),IF(AND(Q12="Probabilidad",Q13="Impacto"),(AB11-(+AB11*T13)),IF(Q13="Probabilidad",AB12,""))),"")</f>
        <v/>
      </c>
      <c r="AC13" s="493" t="str">
        <f t="shared" si="3"/>
        <v/>
      </c>
      <c r="AD13" s="494"/>
      <c r="AE13" s="412"/>
      <c r="AF13" s="415"/>
      <c r="AG13" s="413"/>
      <c r="AH13" s="413"/>
      <c r="AI13" s="412"/>
      <c r="AJ13" s="415"/>
      <c r="AK13" s="496"/>
      <c r="AL13" s="412"/>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row>
    <row r="14" spans="1:67" ht="24.75" customHeight="1" x14ac:dyDescent="0.3">
      <c r="A14" s="647"/>
      <c r="B14" s="668"/>
      <c r="C14" s="671"/>
      <c r="D14" s="671"/>
      <c r="E14" s="674"/>
      <c r="F14" s="668"/>
      <c r="G14" s="659"/>
      <c r="H14" s="662"/>
      <c r="I14" s="641"/>
      <c r="J14" s="665"/>
      <c r="K14" s="641">
        <f>IF(NOT(ISERROR(MATCH(J14,_xlfn.ANCHORARRAY(E25),0))),I27&amp;"Por favor no seleccionar los criterios de impacto",J14)</f>
        <v>0</v>
      </c>
      <c r="L14" s="662"/>
      <c r="M14" s="641"/>
      <c r="N14" s="644"/>
      <c r="O14" s="420">
        <v>5</v>
      </c>
      <c r="P14" s="505"/>
      <c r="Q14" s="487" t="str">
        <f t="shared" si="0"/>
        <v/>
      </c>
      <c r="R14" s="488"/>
      <c r="S14" s="488"/>
      <c r="T14" s="489" t="str">
        <f t="shared" si="1"/>
        <v/>
      </c>
      <c r="U14" s="488"/>
      <c r="V14" s="488"/>
      <c r="W14" s="488"/>
      <c r="X14" s="504" t="str">
        <f>IFERROR(IF(AND(Q13="Probabilidad",Q14="Probabilidad"),(Z13-(+Z13*T14)),IF(AND(Q13="Impacto",Q14="Probabilidad"),(Z12-(+Z12*T14)),IF(Q14="Impacto",Z13,""))),"")</f>
        <v/>
      </c>
      <c r="Y14" s="491" t="str">
        <f t="shared" si="4"/>
        <v/>
      </c>
      <c r="Z14" s="492" t="str">
        <f t="shared" si="2"/>
        <v/>
      </c>
      <c r="AA14" s="491" t="str">
        <f t="shared" si="5"/>
        <v/>
      </c>
      <c r="AB14" s="492" t="str">
        <f>IFERROR(IF(AND(Q13="Impacto",Q14="Impacto"),(AB13-(+AB13*T14)),IF(AND(Q13="Probabilidad",Q14="Impacto"),(AB12-(+AB12*T14)),IF(Q14="Probabilidad",AB13,""))),"")</f>
        <v/>
      </c>
      <c r="AC14" s="493" t="str">
        <f t="shared" si="3"/>
        <v/>
      </c>
      <c r="AD14" s="494"/>
      <c r="AE14" s="412"/>
      <c r="AF14" s="415"/>
      <c r="AG14" s="413"/>
      <c r="AH14" s="413"/>
      <c r="AI14" s="412"/>
      <c r="AJ14" s="415"/>
      <c r="AK14" s="496"/>
      <c r="AL14" s="412"/>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row>
    <row r="15" spans="1:67" ht="23.25" customHeight="1" x14ac:dyDescent="0.3">
      <c r="A15" s="648"/>
      <c r="B15" s="669"/>
      <c r="C15" s="672"/>
      <c r="D15" s="672"/>
      <c r="E15" s="675"/>
      <c r="F15" s="669"/>
      <c r="G15" s="660"/>
      <c r="H15" s="663"/>
      <c r="I15" s="642"/>
      <c r="J15" s="666"/>
      <c r="K15" s="642">
        <f>IF(NOT(ISERROR(MATCH(J15,_xlfn.ANCHORARRAY(E26),0))),I28&amp;"Por favor no seleccionar los criterios de impacto",J15)</f>
        <v>0</v>
      </c>
      <c r="L15" s="663"/>
      <c r="M15" s="642"/>
      <c r="N15" s="645"/>
      <c r="O15" s="420">
        <v>6</v>
      </c>
      <c r="P15" s="506"/>
      <c r="Q15" s="487" t="str">
        <f t="shared" si="0"/>
        <v/>
      </c>
      <c r="R15" s="488"/>
      <c r="S15" s="488"/>
      <c r="T15" s="489" t="str">
        <f t="shared" si="1"/>
        <v/>
      </c>
      <c r="U15" s="488"/>
      <c r="V15" s="488"/>
      <c r="W15" s="488"/>
      <c r="X15" s="490" t="str">
        <f>IFERROR(IF(AND(Q14="Probabilidad",Q15="Probabilidad"),(Z14-(+Z14*T15)),IF(AND(Q14="Impacto",Q15="Probabilidad"),(Z13-(+Z13*T15)),IF(Q15="Impacto",Z14,""))),"")</f>
        <v/>
      </c>
      <c r="Y15" s="491" t="str">
        <f t="shared" si="4"/>
        <v/>
      </c>
      <c r="Z15" s="492" t="str">
        <f t="shared" si="2"/>
        <v/>
      </c>
      <c r="AA15" s="491" t="str">
        <f t="shared" si="5"/>
        <v/>
      </c>
      <c r="AB15" s="492" t="str">
        <f>IFERROR(IF(AND(Q14="Impacto",Q15="Impacto"),(AB14-(+AB14*T15)),IF(AND(Q14="Probabilidad",Q15="Impacto"),(AB13-(+AB13*T15)),IF(Q15="Probabilidad",AB14,""))),"")</f>
        <v/>
      </c>
      <c r="AC15" s="493" t="str">
        <f t="shared" si="3"/>
        <v/>
      </c>
      <c r="AD15" s="494"/>
      <c r="AE15" s="412"/>
      <c r="AF15" s="415"/>
      <c r="AG15" s="413"/>
      <c r="AH15" s="413"/>
      <c r="AI15" s="412"/>
      <c r="AJ15" s="415"/>
      <c r="AK15" s="487"/>
      <c r="AL15" s="412"/>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row>
    <row r="16" spans="1:67" ht="125.25" customHeight="1" x14ac:dyDescent="0.3">
      <c r="A16" s="646">
        <v>2</v>
      </c>
      <c r="B16" s="649"/>
      <c r="C16" s="649"/>
      <c r="D16" s="649"/>
      <c r="E16" s="649"/>
      <c r="F16" s="649"/>
      <c r="G16" s="652"/>
      <c r="H16" s="655" t="str">
        <f>IF(G16&lt;=0,"",IF(G16&lt;=2,"Muy Baja",IF(G16&lt;=24,"Baja",IF(G16&lt;=500,"Media",IF(G16&lt;=5000,"Alta","Muy Alta")))))</f>
        <v/>
      </c>
      <c r="I16" s="679" t="str">
        <f>IF(H16="","",IF(H16="Muy Baja",0.2,IF(H16="Baja",0.4,IF(H16="Media",0.6,IF(H16="Alta",0.8,IF(H16="Muy Alta",1,))))))</f>
        <v/>
      </c>
      <c r="J16" s="682"/>
      <c r="K16" s="679">
        <f>IF(NOT(ISERROR(MATCH(J16,'Tabla Impacto'!$B$221:$B$223,0))),'Tabla Impacto'!$F$223&amp;"Por favor no seleccionar los criterios de impacto(Afectación Económica o presupuestal y Pérdida Reputacional)",J16)</f>
        <v>0</v>
      </c>
      <c r="L16" s="655" t="str">
        <f>IF(OR(K16='Tabla Impacto'!$C$11,K16='Tabla Impacto'!$D$11),"Leve",IF(OR(K16='Tabla Impacto'!$C$12,K16='Tabla Impacto'!$D$12),"Menor",IF(OR(K16='Tabla Impacto'!$C$13,K16='Tabla Impacto'!$D$13),"Moderado",IF(OR(K16='Tabla Impacto'!$C$14,K16='Tabla Impacto'!$D$14),"Mayor",IF(OR(K16='Tabla Impacto'!$C$15,K16='Tabla Impacto'!$D$15),"Catastrófico","")))))</f>
        <v/>
      </c>
      <c r="M16" s="679" t="str">
        <f>IF(L16="","",IF(L16="Leve",0.2,IF(L16="Menor",0.4,IF(L16="Moderado",0.6,IF(L16="Mayor",0.8,IF(L16="Catastrófico",1,))))))</f>
        <v/>
      </c>
      <c r="N16" s="63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0">
        <v>1</v>
      </c>
      <c r="P16" s="403"/>
      <c r="Q16" s="404" t="str">
        <f t="shared" si="0"/>
        <v/>
      </c>
      <c r="R16" s="405"/>
      <c r="S16" s="405"/>
      <c r="T16" s="406" t="str">
        <f t="shared" si="1"/>
        <v/>
      </c>
      <c r="U16" s="405"/>
      <c r="V16" s="405"/>
      <c r="W16" s="405"/>
      <c r="X16" s="416" t="str">
        <f>IFERROR(IF(Q16="Probabilidad",(I16-(+I16*T16)),IF(Q16="Impacto",I16,"")),"")</f>
        <v/>
      </c>
      <c r="Y16" s="408" t="str">
        <f>IFERROR(IF(X16="","",IF(X16&lt;=0.2,"Muy Baja",IF(X16&lt;=0.4,"Baja",IF(X16&lt;=0.6,"Media",IF(X16&lt;=0.8,"Alta","Muy Alta"))))),"")</f>
        <v/>
      </c>
      <c r="Z16" s="409" t="str">
        <f t="shared" si="2"/>
        <v/>
      </c>
      <c r="AA16" s="408" t="str">
        <f>IFERROR(IF(AB16="","",IF(AB16&lt;=0.2,"Leve",IF(AB16&lt;=0.4,"Menor",IF(AB16&lt;=0.6,"Moderado",IF(AB16&lt;=0.8,"Mayor","Catastrófico"))))),"")</f>
        <v/>
      </c>
      <c r="AB16" s="409" t="str">
        <f>IFERROR(IF(Q16="Impacto",(M16-(+M16*T16)),IF(Q16="Probabilidad",M16,"")),"")</f>
        <v/>
      </c>
      <c r="AC16" s="410" t="str">
        <f t="shared" si="3"/>
        <v/>
      </c>
      <c r="AD16" s="411"/>
      <c r="AE16" s="403"/>
      <c r="AF16" s="412"/>
      <c r="AG16" s="413"/>
      <c r="AH16" s="413"/>
      <c r="AI16" s="412"/>
      <c r="AJ16" s="415"/>
      <c r="AK16" s="403"/>
      <c r="AL16" s="412"/>
    </row>
    <row r="17" spans="1:67" ht="177" customHeight="1" x14ac:dyDescent="0.3">
      <c r="A17" s="647"/>
      <c r="B17" s="650"/>
      <c r="C17" s="650"/>
      <c r="D17" s="650"/>
      <c r="E17" s="650"/>
      <c r="F17" s="650"/>
      <c r="G17" s="653"/>
      <c r="H17" s="656"/>
      <c r="I17" s="680"/>
      <c r="J17" s="683"/>
      <c r="K17" s="680">
        <f>IF(NOT(ISERROR(MATCH(J17,_xlfn.ANCHORARRAY(E28),0))),I30&amp;"Por favor no seleccionar los criterios de impacto",J17)</f>
        <v>0</v>
      </c>
      <c r="L17" s="656"/>
      <c r="M17" s="680"/>
      <c r="N17" s="638"/>
      <c r="O17" s="420">
        <v>2</v>
      </c>
      <c r="P17" s="403"/>
      <c r="Q17" s="404" t="str">
        <f t="shared" si="0"/>
        <v/>
      </c>
      <c r="R17" s="405"/>
      <c r="S17" s="405"/>
      <c r="T17" s="406" t="str">
        <f t="shared" si="1"/>
        <v/>
      </c>
      <c r="U17" s="405"/>
      <c r="V17" s="405"/>
      <c r="W17" s="405"/>
      <c r="X17" s="416" t="str">
        <f>IFERROR(IF(AND(Q16="Probabilidad",Q17="Probabilidad"),(Z16-(+Z16*T17)),IF(Q17="Probabilidad",(I16-(+I16*T17)),IF(Q17="Impacto",Z16,""))),"")</f>
        <v/>
      </c>
      <c r="Y17" s="408" t="str">
        <f t="shared" si="4"/>
        <v/>
      </c>
      <c r="Z17" s="409" t="str">
        <f t="shared" si="2"/>
        <v/>
      </c>
      <c r="AA17" s="408" t="str">
        <f t="shared" si="5"/>
        <v/>
      </c>
      <c r="AB17" s="409" t="str">
        <f>IFERROR(IF(AND(Q16="Impacto",Q17="Impacto"),(AB16-(+AB16*T17)),IF(Q17="Impacto",(M16-(+M16*T17)),IF(Q17="Probabilidad",AB16,""))),"")</f>
        <v/>
      </c>
      <c r="AC17" s="410" t="str">
        <f t="shared" si="3"/>
        <v/>
      </c>
      <c r="AD17" s="411"/>
      <c r="AE17" s="403"/>
      <c r="AF17" s="412"/>
      <c r="AG17" s="413"/>
      <c r="AH17" s="413"/>
      <c r="AI17" s="403"/>
      <c r="AJ17" s="415"/>
      <c r="AK17" s="403"/>
      <c r="AL17" s="412"/>
    </row>
    <row r="18" spans="1:67" ht="21.75" customHeight="1" x14ac:dyDescent="0.3">
      <c r="A18" s="647"/>
      <c r="B18" s="650"/>
      <c r="C18" s="650"/>
      <c r="D18" s="650"/>
      <c r="E18" s="650"/>
      <c r="F18" s="650"/>
      <c r="G18" s="653"/>
      <c r="H18" s="656"/>
      <c r="I18" s="680"/>
      <c r="J18" s="683"/>
      <c r="K18" s="680">
        <f>IF(NOT(ISERROR(MATCH(J18,_xlfn.ANCHORARRAY(E29),0))),I31&amp;"Por favor no seleccionar los criterios de impacto",J18)</f>
        <v>0</v>
      </c>
      <c r="L18" s="656"/>
      <c r="M18" s="680"/>
      <c r="N18" s="638"/>
      <c r="O18" s="420">
        <v>3</v>
      </c>
      <c r="P18" s="403"/>
      <c r="Q18" s="404" t="str">
        <f t="shared" si="0"/>
        <v/>
      </c>
      <c r="R18" s="405"/>
      <c r="S18" s="405"/>
      <c r="T18" s="406" t="str">
        <f t="shared" si="1"/>
        <v/>
      </c>
      <c r="U18" s="405"/>
      <c r="V18" s="405"/>
      <c r="W18" s="405"/>
      <c r="X18" s="416" t="str">
        <f>IFERROR(IF(AND(Q17="Probabilidad",Q18="Probabilidad"),(Z17-(+Z17*T18)),IF(AND(Q17="Impacto",Q18="Probabilidad"),(Z16-(+Z16*T18)),IF(Q18="Impacto",Z17,""))),"")</f>
        <v/>
      </c>
      <c r="Y18" s="408" t="str">
        <f t="shared" si="4"/>
        <v/>
      </c>
      <c r="Z18" s="409" t="str">
        <f t="shared" si="2"/>
        <v/>
      </c>
      <c r="AA18" s="408" t="str">
        <f t="shared" si="5"/>
        <v/>
      </c>
      <c r="AB18" s="409" t="str">
        <f>IFERROR(IF(AND(Q17="Impacto",Q18="Impacto"),(AB17-(+AB17*T18)),IF(AND(Q17="Probabilidad",Q18="Impacto"),(AB16-(+AB16*T18)),IF(Q18="Probabilidad",AB17,""))),"")</f>
        <v/>
      </c>
      <c r="AC18" s="410" t="str">
        <f t="shared" si="3"/>
        <v/>
      </c>
      <c r="AD18" s="411"/>
      <c r="AE18" s="412"/>
      <c r="AF18" s="415"/>
      <c r="AG18" s="413"/>
      <c r="AH18" s="413"/>
      <c r="AI18" s="412"/>
      <c r="AJ18" s="415"/>
      <c r="AK18" s="415"/>
      <c r="AL18" s="412"/>
    </row>
    <row r="19" spans="1:67" ht="29.25" customHeight="1" x14ac:dyDescent="0.3">
      <c r="A19" s="647"/>
      <c r="B19" s="650"/>
      <c r="C19" s="650"/>
      <c r="D19" s="650"/>
      <c r="E19" s="650"/>
      <c r="F19" s="650"/>
      <c r="G19" s="653"/>
      <c r="H19" s="656"/>
      <c r="I19" s="680"/>
      <c r="J19" s="683"/>
      <c r="K19" s="680">
        <f>IF(NOT(ISERROR(MATCH(J19,_xlfn.ANCHORARRAY(E30),0))),I32&amp;"Por favor no seleccionar los criterios de impacto",J19)</f>
        <v>0</v>
      </c>
      <c r="L19" s="656"/>
      <c r="M19" s="680"/>
      <c r="N19" s="638"/>
      <c r="O19" s="420">
        <v>4</v>
      </c>
      <c r="P19" s="417"/>
      <c r="Q19" s="404" t="str">
        <f t="shared" si="0"/>
        <v/>
      </c>
      <c r="R19" s="405"/>
      <c r="S19" s="405"/>
      <c r="T19" s="406" t="str">
        <f t="shared" si="1"/>
        <v/>
      </c>
      <c r="U19" s="405"/>
      <c r="V19" s="405"/>
      <c r="W19" s="405"/>
      <c r="X19" s="416" t="str">
        <f>IFERROR(IF(AND(Q18="Probabilidad",Q19="Probabilidad"),(Z18-(+Z18*T19)),IF(AND(Q18="Impacto",Q19="Probabilidad"),(Z17-(+Z17*T19)),IF(Q19="Impacto",Z18,""))),"")</f>
        <v/>
      </c>
      <c r="Y19" s="408" t="str">
        <f t="shared" si="4"/>
        <v/>
      </c>
      <c r="Z19" s="409" t="str">
        <f t="shared" si="2"/>
        <v/>
      </c>
      <c r="AA19" s="408" t="str">
        <f t="shared" si="5"/>
        <v/>
      </c>
      <c r="AB19" s="409" t="str">
        <f>IFERROR(IF(AND(Q18="Impacto",Q19="Impacto"),(AB18-(+AB18*T19)),IF(AND(Q18="Probabilidad",Q19="Impacto"),(AB17-(+AB17*T19)),IF(Q19="Probabilidad",AB18,""))),"")</f>
        <v/>
      </c>
      <c r="AC19" s="410" t="str">
        <f t="shared" si="3"/>
        <v/>
      </c>
      <c r="AD19" s="411"/>
      <c r="AE19" s="412"/>
      <c r="AF19" s="415"/>
      <c r="AG19" s="413"/>
      <c r="AH19" s="413"/>
      <c r="AI19" s="412"/>
      <c r="AJ19" s="415"/>
      <c r="AK19" s="415"/>
      <c r="AL19" s="412"/>
    </row>
    <row r="20" spans="1:67" ht="25.5" customHeight="1" x14ac:dyDescent="0.3">
      <c r="A20" s="647"/>
      <c r="B20" s="650"/>
      <c r="C20" s="650"/>
      <c r="D20" s="650"/>
      <c r="E20" s="650"/>
      <c r="F20" s="650"/>
      <c r="G20" s="653"/>
      <c r="H20" s="656"/>
      <c r="I20" s="680"/>
      <c r="J20" s="683"/>
      <c r="K20" s="680">
        <f>IF(NOT(ISERROR(MATCH(J20,_xlfn.ANCHORARRAY(E31),0))),I33&amp;"Por favor no seleccionar los criterios de impacto",J20)</f>
        <v>0</v>
      </c>
      <c r="L20" s="656"/>
      <c r="M20" s="680"/>
      <c r="N20" s="638"/>
      <c r="O20" s="420">
        <v>5</v>
      </c>
      <c r="P20" s="417"/>
      <c r="Q20" s="404" t="str">
        <f t="shared" si="0"/>
        <v/>
      </c>
      <c r="R20" s="405"/>
      <c r="S20" s="405"/>
      <c r="T20" s="406" t="str">
        <f t="shared" si="1"/>
        <v/>
      </c>
      <c r="U20" s="405"/>
      <c r="V20" s="405"/>
      <c r="W20" s="405"/>
      <c r="X20" s="416" t="str">
        <f>IFERROR(IF(AND(Q19="Probabilidad",Q20="Probabilidad"),(Z19-(+Z19*T20)),IF(AND(Q19="Impacto",Q20="Probabilidad"),(Z18-(+Z18*T20)),IF(Q20="Impacto",Z19,""))),"")</f>
        <v/>
      </c>
      <c r="Y20" s="408" t="str">
        <f t="shared" si="4"/>
        <v/>
      </c>
      <c r="Z20" s="409" t="str">
        <f t="shared" si="2"/>
        <v/>
      </c>
      <c r="AA20" s="408" t="str">
        <f t="shared" si="5"/>
        <v/>
      </c>
      <c r="AB20" s="409" t="str">
        <f>IFERROR(IF(AND(Q19="Impacto",Q20="Impacto"),(AB19-(+AB19*T20)),IF(AND(Q19="Probabilidad",Q20="Impacto"),(AB18-(+AB18*T20)),IF(Q20="Probabilidad",AB19,""))),"")</f>
        <v/>
      </c>
      <c r="AC20" s="410" t="str">
        <f t="shared" si="3"/>
        <v/>
      </c>
      <c r="AD20" s="411"/>
      <c r="AE20" s="412"/>
      <c r="AF20" s="415"/>
      <c r="AG20" s="413"/>
      <c r="AH20" s="413"/>
      <c r="AI20" s="412"/>
      <c r="AJ20" s="415"/>
      <c r="AK20" s="415"/>
      <c r="AL20" s="412"/>
    </row>
    <row r="21" spans="1:67" ht="27" customHeight="1" x14ac:dyDescent="0.3">
      <c r="A21" s="648"/>
      <c r="B21" s="651"/>
      <c r="C21" s="651"/>
      <c r="D21" s="651"/>
      <c r="E21" s="651"/>
      <c r="F21" s="651"/>
      <c r="G21" s="654"/>
      <c r="H21" s="657"/>
      <c r="I21" s="681"/>
      <c r="J21" s="684"/>
      <c r="K21" s="681">
        <f>IF(NOT(ISERROR(MATCH(J21,_xlfn.ANCHORARRAY(E32),0))),I34&amp;"Por favor no seleccionar los criterios de impacto",J21)</f>
        <v>0</v>
      </c>
      <c r="L21" s="657"/>
      <c r="M21" s="681"/>
      <c r="N21" s="639"/>
      <c r="O21" s="420">
        <v>6</v>
      </c>
      <c r="P21" s="417"/>
      <c r="Q21" s="404" t="str">
        <f t="shared" si="0"/>
        <v/>
      </c>
      <c r="R21" s="405"/>
      <c r="S21" s="405"/>
      <c r="T21" s="406" t="str">
        <f t="shared" si="1"/>
        <v/>
      </c>
      <c r="U21" s="405"/>
      <c r="V21" s="405"/>
      <c r="W21" s="405"/>
      <c r="X21" s="416" t="str">
        <f>IFERROR(IF(AND(Q20="Probabilidad",Q21="Probabilidad"),(Z20-(+Z20*T21)),IF(AND(Q20="Impacto",Q21="Probabilidad"),(Z19-(+Z19*T21)),IF(Q21="Impacto",Z20,""))),"")</f>
        <v/>
      </c>
      <c r="Y21" s="408" t="str">
        <f t="shared" si="4"/>
        <v/>
      </c>
      <c r="Z21" s="409" t="str">
        <f t="shared" si="2"/>
        <v/>
      </c>
      <c r="AA21" s="408" t="str">
        <f t="shared" si="5"/>
        <v/>
      </c>
      <c r="AB21" s="409" t="str">
        <f>IFERROR(IF(AND(Q20="Impacto",Q21="Impacto"),(AB20-(+AB20*T21)),IF(AND(Q20="Probabilidad",Q21="Impacto"),(AB19-(+AB19*T21)),IF(Q21="Probabilidad",AB20,""))),"")</f>
        <v/>
      </c>
      <c r="AC21" s="410" t="str">
        <f t="shared" si="3"/>
        <v/>
      </c>
      <c r="AD21" s="411"/>
      <c r="AE21" s="412"/>
      <c r="AF21" s="415"/>
      <c r="AG21" s="413"/>
      <c r="AH21" s="413"/>
      <c r="AI21" s="412"/>
      <c r="AJ21" s="415"/>
      <c r="AK21" s="415"/>
      <c r="AL21" s="412"/>
    </row>
    <row r="22" spans="1:67" ht="151.5" customHeight="1" x14ac:dyDescent="0.3">
      <c r="A22" s="646">
        <v>3</v>
      </c>
      <c r="B22" s="649"/>
      <c r="C22" s="649"/>
      <c r="D22" s="649"/>
      <c r="E22" s="676"/>
      <c r="F22" s="649"/>
      <c r="G22" s="652"/>
      <c r="H22" s="655" t="str">
        <f>IF(G22&lt;=0,"",IF(G22&lt;=2,"Muy Baja",IF(G22&lt;=24,"Baja",IF(G22&lt;=500,"Media",IF(G22&lt;=5000,"Alta","Muy Alta")))))</f>
        <v/>
      </c>
      <c r="I22" s="679" t="str">
        <f>IF(H22="","",IF(H22="Muy Baja",0.2,IF(H22="Baja",0.4,IF(H22="Media",0.6,IF(H22="Alta",0.8,IF(H22="Muy Alta",1,))))))</f>
        <v/>
      </c>
      <c r="J22" s="682"/>
      <c r="K22" s="679">
        <f>IF(NOT(ISERROR(MATCH(J22,'Tabla Impacto'!$B$221:$B$223,0))),'Tabla Impacto'!$F$223&amp;"Por favor no seleccionar los criterios de impacto(Afectación Económica o presupuestal y Pérdida Reputacional)",J22)</f>
        <v>0</v>
      </c>
      <c r="L22" s="655" t="str">
        <f>IF(OR(K22='Tabla Impacto'!$C$11,K22='Tabla Impacto'!$D$11),"Leve",IF(OR(K22='Tabla Impacto'!$C$12,K22='Tabla Impacto'!$D$12),"Menor",IF(OR(K22='Tabla Impacto'!$C$13,K22='Tabla Impacto'!$D$13),"Moderado",IF(OR(K22='Tabla Impacto'!$C$14,K22='Tabla Impacto'!$D$14),"Mayor",IF(OR(K22='Tabla Impacto'!$C$15,K22='Tabla Impacto'!$D$15),"Catastrófico","")))))</f>
        <v/>
      </c>
      <c r="M22" s="679" t="str">
        <f>IF(L22="","",IF(L22="Leve",0.2,IF(L22="Menor",0.4,IF(L22="Moderado",0.6,IF(L22="Mayor",0.8,IF(L22="Catastrófico",1,))))))</f>
        <v/>
      </c>
      <c r="N22" s="63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0">
        <v>1</v>
      </c>
      <c r="P22" s="417"/>
      <c r="Q22" s="404" t="str">
        <f t="shared" si="0"/>
        <v/>
      </c>
      <c r="R22" s="405"/>
      <c r="S22" s="405"/>
      <c r="T22" s="406" t="str">
        <f t="shared" si="1"/>
        <v/>
      </c>
      <c r="U22" s="405"/>
      <c r="V22" s="405"/>
      <c r="W22" s="405"/>
      <c r="X22" s="407" t="str">
        <f>IFERROR(IF(Q22="Probabilidad",(I22-(+I22*T22)),IF(Q22="Impacto",I22,"")),"")</f>
        <v/>
      </c>
      <c r="Y22" s="408"/>
      <c r="Z22" s="409" t="str">
        <f t="shared" si="2"/>
        <v/>
      </c>
      <c r="AA22" s="408" t="str">
        <f>IFERROR(IF(AB22="","",IF(AB22&lt;=0.2,"Leve",IF(AB22&lt;=0.4,"Menor",IF(AB22&lt;=0.6,"Moderado",IF(AB22&lt;=0.8,"Mayor","Catastrófico"))))),"")</f>
        <v/>
      </c>
      <c r="AB22" s="409" t="str">
        <f>IFERROR(IF(Q22="Impacto",(M22-(+M22*T22)),IF(Q22="Probabilidad",M22,"")),"")</f>
        <v/>
      </c>
      <c r="AC22" s="410" t="str">
        <f t="shared" si="3"/>
        <v/>
      </c>
      <c r="AD22" s="411"/>
      <c r="AE22" s="412"/>
      <c r="AF22" s="415"/>
      <c r="AG22" s="413"/>
      <c r="AH22" s="413"/>
      <c r="AI22" s="412"/>
      <c r="AJ22" s="415"/>
      <c r="AK22" s="415"/>
      <c r="AL22" s="412"/>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row>
    <row r="23" spans="1:67" ht="151.5" customHeight="1" x14ac:dyDescent="0.3">
      <c r="A23" s="647"/>
      <c r="B23" s="650"/>
      <c r="C23" s="650"/>
      <c r="D23" s="650"/>
      <c r="E23" s="677"/>
      <c r="F23" s="650"/>
      <c r="G23" s="653"/>
      <c r="H23" s="656"/>
      <c r="I23" s="680"/>
      <c r="J23" s="683"/>
      <c r="K23" s="680">
        <f>IF(NOT(ISERROR(MATCH(J23,_xlfn.ANCHORARRAY(E34),0))),I36&amp;"Por favor no seleccionar los criterios de impacto",J23)</f>
        <v>0</v>
      </c>
      <c r="L23" s="656"/>
      <c r="M23" s="680"/>
      <c r="N23" s="638"/>
      <c r="O23" s="420">
        <v>2</v>
      </c>
      <c r="P23" s="417"/>
      <c r="Q23" s="404" t="str">
        <f t="shared" si="0"/>
        <v/>
      </c>
      <c r="R23" s="405"/>
      <c r="S23" s="405"/>
      <c r="T23" s="406" t="str">
        <f t="shared" si="1"/>
        <v/>
      </c>
      <c r="U23" s="405"/>
      <c r="V23" s="405"/>
      <c r="W23" s="405"/>
      <c r="X23" s="418" t="str">
        <f>IFERROR(IF(AND(Q22="Probabilidad",Q23="Probabilidad"),(Z22-(+Z22*T23)),IF(Q23="Probabilidad",(I22-(+I22*T23)),IF(Q23="Impacto",Z22,""))),"")</f>
        <v/>
      </c>
      <c r="Y23" s="408" t="str">
        <f t="shared" si="4"/>
        <v/>
      </c>
      <c r="Z23" s="409" t="str">
        <f t="shared" si="2"/>
        <v/>
      </c>
      <c r="AA23" s="408" t="str">
        <f t="shared" si="5"/>
        <v/>
      </c>
      <c r="AB23" s="409" t="str">
        <f>IFERROR(IF(AND(Q22="Impacto",Q23="Impacto"),(AB22-(+AB22*T23)),IF(Q23="Impacto",(M22-(+M22*T23)),IF(Q23="Probabilidad",AB22,""))),"")</f>
        <v/>
      </c>
      <c r="AC23" s="410" t="str">
        <f t="shared" si="3"/>
        <v/>
      </c>
      <c r="AD23" s="411"/>
      <c r="AE23" s="412"/>
      <c r="AF23" s="415"/>
      <c r="AG23" s="413"/>
      <c r="AH23" s="413"/>
      <c r="AI23" s="412"/>
      <c r="AJ23" s="415"/>
      <c r="AK23" s="415"/>
      <c r="AL23" s="412"/>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row>
    <row r="24" spans="1:67" ht="151.5" customHeight="1" x14ac:dyDescent="0.3">
      <c r="A24" s="647"/>
      <c r="B24" s="650"/>
      <c r="C24" s="650"/>
      <c r="D24" s="650"/>
      <c r="E24" s="677"/>
      <c r="F24" s="650"/>
      <c r="G24" s="653"/>
      <c r="H24" s="656"/>
      <c r="I24" s="680"/>
      <c r="J24" s="683"/>
      <c r="K24" s="680">
        <f>IF(NOT(ISERROR(MATCH(J24,_xlfn.ANCHORARRAY(E35),0))),I37&amp;"Por favor no seleccionar los criterios de impacto",J24)</f>
        <v>0</v>
      </c>
      <c r="L24" s="656"/>
      <c r="M24" s="680"/>
      <c r="N24" s="638"/>
      <c r="O24" s="420">
        <v>3</v>
      </c>
      <c r="P24" s="403"/>
      <c r="Q24" s="404" t="str">
        <f t="shared" si="0"/>
        <v/>
      </c>
      <c r="R24" s="405"/>
      <c r="S24" s="405"/>
      <c r="T24" s="406" t="str">
        <f t="shared" si="1"/>
        <v/>
      </c>
      <c r="U24" s="405"/>
      <c r="V24" s="405"/>
      <c r="W24" s="405"/>
      <c r="X24" s="407" t="str">
        <f>IFERROR(IF(AND(Q23="Probabilidad",Q24="Probabilidad"),(Z23-(+Z23*T24)),IF(AND(Q23="Impacto",Q24="Probabilidad"),(Z22-(+Z22*T24)),IF(Q24="Impacto",Z23,""))),"")</f>
        <v/>
      </c>
      <c r="Y24" s="408" t="str">
        <f t="shared" si="4"/>
        <v/>
      </c>
      <c r="Z24" s="409" t="str">
        <f t="shared" si="2"/>
        <v/>
      </c>
      <c r="AA24" s="408" t="str">
        <f t="shared" si="5"/>
        <v/>
      </c>
      <c r="AB24" s="409" t="str">
        <f>IFERROR(IF(AND(Q23="Impacto",Q24="Impacto"),(AB23-(+AB23*T24)),IF(AND(Q23="Probabilidad",Q24="Impacto"),(AB22-(+AB22*T24)),IF(Q24="Probabilidad",AB23,""))),"")</f>
        <v/>
      </c>
      <c r="AC24" s="410" t="str">
        <f t="shared" si="3"/>
        <v/>
      </c>
      <c r="AD24" s="411"/>
      <c r="AE24" s="412"/>
      <c r="AF24" s="415"/>
      <c r="AG24" s="413"/>
      <c r="AH24" s="413"/>
      <c r="AI24" s="412"/>
      <c r="AJ24" s="415"/>
      <c r="AK24" s="415"/>
      <c r="AL24" s="412"/>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row>
    <row r="25" spans="1:67" ht="151.5" customHeight="1" x14ac:dyDescent="0.3">
      <c r="A25" s="647"/>
      <c r="B25" s="650"/>
      <c r="C25" s="650"/>
      <c r="D25" s="650"/>
      <c r="E25" s="677"/>
      <c r="F25" s="650"/>
      <c r="G25" s="653"/>
      <c r="H25" s="656"/>
      <c r="I25" s="680"/>
      <c r="J25" s="683"/>
      <c r="K25" s="680">
        <f>IF(NOT(ISERROR(MATCH(J25,_xlfn.ANCHORARRAY(E36),0))),I38&amp;"Por favor no seleccionar los criterios de impacto",J25)</f>
        <v>0</v>
      </c>
      <c r="L25" s="656"/>
      <c r="M25" s="680"/>
      <c r="N25" s="638"/>
      <c r="O25" s="420">
        <v>4</v>
      </c>
      <c r="P25" s="417"/>
      <c r="Q25" s="404" t="str">
        <f t="shared" si="0"/>
        <v/>
      </c>
      <c r="R25" s="405"/>
      <c r="S25" s="405"/>
      <c r="T25" s="406" t="str">
        <f t="shared" si="1"/>
        <v/>
      </c>
      <c r="U25" s="405"/>
      <c r="V25" s="405"/>
      <c r="W25" s="405"/>
      <c r="X25" s="407" t="str">
        <f>IFERROR(IF(AND(Q24="Probabilidad",Q25="Probabilidad"),(Z24-(+Z24*T25)),IF(AND(Q24="Impacto",Q25="Probabilidad"),(Z23-(+Z23*T25)),IF(Q25="Impacto",Z24,""))),"")</f>
        <v/>
      </c>
      <c r="Y25" s="408" t="str">
        <f t="shared" si="4"/>
        <v/>
      </c>
      <c r="Z25" s="409" t="str">
        <f t="shared" si="2"/>
        <v/>
      </c>
      <c r="AA25" s="408" t="str">
        <f t="shared" si="5"/>
        <v/>
      </c>
      <c r="AB25" s="409" t="str">
        <f>IFERROR(IF(AND(Q24="Impacto",Q25="Impacto"),(AB24-(+AB24*T25)),IF(AND(Q24="Probabilidad",Q25="Impacto"),(AB23-(+AB23*T25)),IF(Q25="Probabilidad",AB24,""))),"")</f>
        <v/>
      </c>
      <c r="AC25" s="410" t="str">
        <f t="shared" si="3"/>
        <v/>
      </c>
      <c r="AD25" s="411"/>
      <c r="AE25" s="412"/>
      <c r="AF25" s="415"/>
      <c r="AG25" s="413"/>
      <c r="AH25" s="413"/>
      <c r="AI25" s="412"/>
      <c r="AJ25" s="415"/>
      <c r="AK25" s="415"/>
      <c r="AL25" s="412"/>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row>
    <row r="26" spans="1:67" ht="151.5" customHeight="1" x14ac:dyDescent="0.3">
      <c r="A26" s="647"/>
      <c r="B26" s="650"/>
      <c r="C26" s="650"/>
      <c r="D26" s="650"/>
      <c r="E26" s="677"/>
      <c r="F26" s="650"/>
      <c r="G26" s="653"/>
      <c r="H26" s="656"/>
      <c r="I26" s="680"/>
      <c r="J26" s="683"/>
      <c r="K26" s="680">
        <f>IF(NOT(ISERROR(MATCH(J26,_xlfn.ANCHORARRAY(E37),0))),I39&amp;"Por favor no seleccionar los criterios de impacto",J26)</f>
        <v>0</v>
      </c>
      <c r="L26" s="656"/>
      <c r="M26" s="680"/>
      <c r="N26" s="638"/>
      <c r="O26" s="420">
        <v>5</v>
      </c>
      <c r="P26" s="417"/>
      <c r="Q26" s="404" t="str">
        <f t="shared" si="0"/>
        <v/>
      </c>
      <c r="R26" s="405"/>
      <c r="S26" s="405"/>
      <c r="T26" s="406" t="str">
        <f t="shared" si="1"/>
        <v/>
      </c>
      <c r="U26" s="405"/>
      <c r="V26" s="405"/>
      <c r="W26" s="405"/>
      <c r="X26" s="407" t="str">
        <f>IFERROR(IF(AND(Q25="Probabilidad",Q26="Probabilidad"),(Z25-(+Z25*T26)),IF(AND(Q25="Impacto",Q26="Probabilidad"),(Z24-(+Z24*T26)),IF(Q26="Impacto",Z25,""))),"")</f>
        <v/>
      </c>
      <c r="Y26" s="408" t="str">
        <f t="shared" si="4"/>
        <v/>
      </c>
      <c r="Z26" s="409" t="str">
        <f t="shared" si="2"/>
        <v/>
      </c>
      <c r="AA26" s="408" t="str">
        <f t="shared" si="5"/>
        <v/>
      </c>
      <c r="AB26" s="409" t="str">
        <f>IFERROR(IF(AND(Q25="Impacto",Q26="Impacto"),(AB25-(+AB25*T26)),IF(AND(Q25="Probabilidad",Q26="Impacto"),(AB24-(+AB24*T26)),IF(Q26="Probabilidad",AB25,""))),"")</f>
        <v/>
      </c>
      <c r="AC26" s="410" t="str">
        <f t="shared" si="3"/>
        <v/>
      </c>
      <c r="AD26" s="411"/>
      <c r="AE26" s="412"/>
      <c r="AF26" s="415"/>
      <c r="AG26" s="413"/>
      <c r="AH26" s="413"/>
      <c r="AI26" s="412"/>
      <c r="AJ26" s="415"/>
      <c r="AK26" s="415"/>
      <c r="AL26" s="412"/>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row>
    <row r="27" spans="1:67" ht="151.5" customHeight="1" x14ac:dyDescent="0.3">
      <c r="A27" s="648"/>
      <c r="B27" s="651"/>
      <c r="C27" s="651"/>
      <c r="D27" s="651"/>
      <c r="E27" s="678"/>
      <c r="F27" s="651"/>
      <c r="G27" s="654"/>
      <c r="H27" s="657"/>
      <c r="I27" s="681"/>
      <c r="J27" s="684"/>
      <c r="K27" s="681">
        <f>IF(NOT(ISERROR(MATCH(J27,_xlfn.ANCHORARRAY(E38),0))),I40&amp;"Por favor no seleccionar los criterios de impacto",J27)</f>
        <v>0</v>
      </c>
      <c r="L27" s="657"/>
      <c r="M27" s="681"/>
      <c r="N27" s="639"/>
      <c r="O27" s="420">
        <v>6</v>
      </c>
      <c r="P27" s="417"/>
      <c r="Q27" s="404" t="str">
        <f t="shared" si="0"/>
        <v/>
      </c>
      <c r="R27" s="405"/>
      <c r="S27" s="405"/>
      <c r="T27" s="406" t="str">
        <f t="shared" si="1"/>
        <v/>
      </c>
      <c r="U27" s="405"/>
      <c r="V27" s="405"/>
      <c r="W27" s="405"/>
      <c r="X27" s="407" t="str">
        <f>IFERROR(IF(AND(Q26="Probabilidad",Q27="Probabilidad"),(Z26-(+Z26*T27)),IF(AND(Q26="Impacto",Q27="Probabilidad"),(Z25-(+Z25*T27)),IF(Q27="Impacto",Z26,""))),"")</f>
        <v/>
      </c>
      <c r="Y27" s="408" t="str">
        <f t="shared" si="4"/>
        <v/>
      </c>
      <c r="Z27" s="409" t="str">
        <f t="shared" si="2"/>
        <v/>
      </c>
      <c r="AA27" s="408" t="str">
        <f t="shared" si="5"/>
        <v/>
      </c>
      <c r="AB27" s="409" t="str">
        <f>IFERROR(IF(AND(Q26="Impacto",Q27="Impacto"),(AB26-(+AB26*T27)),IF(AND(Q26="Probabilidad",Q27="Impacto"),(AB25-(+AB25*T27)),IF(Q27="Probabilidad",AB26,""))),"")</f>
        <v/>
      </c>
      <c r="AC27" s="410" t="str">
        <f t="shared" si="3"/>
        <v/>
      </c>
      <c r="AD27" s="411"/>
      <c r="AE27" s="412"/>
      <c r="AF27" s="415"/>
      <c r="AG27" s="413"/>
      <c r="AH27" s="413"/>
      <c r="AI27" s="412"/>
      <c r="AJ27" s="415"/>
      <c r="AK27" s="415"/>
      <c r="AL27" s="412"/>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row>
    <row r="28" spans="1:67" ht="151.5" customHeight="1" x14ac:dyDescent="0.3">
      <c r="A28" s="646">
        <v>4</v>
      </c>
      <c r="B28" s="649"/>
      <c r="C28" s="649"/>
      <c r="D28" s="649"/>
      <c r="E28" s="676"/>
      <c r="F28" s="649"/>
      <c r="G28" s="652"/>
      <c r="H28" s="655" t="str">
        <f>IF(G28&lt;=0,"",IF(G28&lt;=2,"Muy Baja",IF(G28&lt;=24,"Baja",IF(G28&lt;=500,"Media",IF(G28&lt;=5000,"Alta","Muy Alta")))))</f>
        <v/>
      </c>
      <c r="I28" s="679" t="str">
        <f>IF(H28="","",IF(H28="Muy Baja",0.2,IF(H28="Baja",0.4,IF(H28="Media",0.6,IF(H28="Alta",0.8,IF(H28="Muy Alta",1,))))))</f>
        <v/>
      </c>
      <c r="J28" s="682"/>
      <c r="K28" s="679">
        <f>IF(NOT(ISERROR(MATCH(J28,'Tabla Impacto'!$B$221:$B$223,0))),'Tabla Impacto'!$F$223&amp;"Por favor no seleccionar los criterios de impacto(Afectación Económica o presupuestal y Pérdida Reputacional)",J28)</f>
        <v>0</v>
      </c>
      <c r="L28" s="655" t="str">
        <f>IF(OR(K28='Tabla Impacto'!$C$11,K28='Tabla Impacto'!$D$11),"Leve",IF(OR(K28='Tabla Impacto'!$C$12,K28='Tabla Impacto'!$D$12),"Menor",IF(OR(K28='Tabla Impacto'!$C$13,K28='Tabla Impacto'!$D$13),"Moderado",IF(OR(K28='Tabla Impacto'!$C$14,K28='Tabla Impacto'!$D$14),"Mayor",IF(OR(K28='Tabla Impacto'!$C$15,K28='Tabla Impacto'!$D$15),"Catastrófico","")))))</f>
        <v/>
      </c>
      <c r="M28" s="679" t="str">
        <f>IF(L28="","",IF(L28="Leve",0.2,IF(L28="Menor",0.4,IF(L28="Moderado",0.6,IF(L28="Mayor",0.8,IF(L28="Catastrófico",1,))))))</f>
        <v/>
      </c>
      <c r="N28" s="63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0">
        <v>1</v>
      </c>
      <c r="P28" s="417"/>
      <c r="Q28" s="404" t="str">
        <f t="shared" si="0"/>
        <v/>
      </c>
      <c r="R28" s="405"/>
      <c r="S28" s="405"/>
      <c r="T28" s="406" t="str">
        <f t="shared" si="1"/>
        <v/>
      </c>
      <c r="U28" s="405"/>
      <c r="V28" s="405"/>
      <c r="W28" s="405"/>
      <c r="X28" s="407" t="str">
        <f>IFERROR(IF(Q28="Probabilidad",(I28-(+I28*T28)),IF(Q28="Impacto",I28,"")),"")</f>
        <v/>
      </c>
      <c r="Y28" s="408" t="str">
        <f>IFERROR(IF(X28="","",IF(X28&lt;=0.2,"Muy Baja",IF(X28&lt;=0.4,"Baja",IF(X28&lt;=0.6,"Media",IF(X28&lt;=0.8,"Alta","Muy Alta"))))),"")</f>
        <v/>
      </c>
      <c r="Z28" s="409" t="str">
        <f t="shared" si="2"/>
        <v/>
      </c>
      <c r="AA28" s="408" t="str">
        <f>IFERROR(IF(AB28="","",IF(AB28&lt;=0.2,"Leve",IF(AB28&lt;=0.4,"Menor",IF(AB28&lt;=0.6,"Moderado",IF(AB28&lt;=0.8,"Mayor","Catastrófico"))))),"")</f>
        <v/>
      </c>
      <c r="AB28" s="409" t="str">
        <f>IFERROR(IF(Q28="Impacto",(M28-(+M28*T28)),IF(Q28="Probabilidad",M28,"")),"")</f>
        <v/>
      </c>
      <c r="AC28" s="410" t="str">
        <f t="shared" si="3"/>
        <v/>
      </c>
      <c r="AD28" s="411"/>
      <c r="AE28" s="412"/>
      <c r="AF28" s="415"/>
      <c r="AG28" s="413"/>
      <c r="AH28" s="413"/>
      <c r="AI28" s="412"/>
      <c r="AJ28" s="415"/>
      <c r="AK28" s="415"/>
      <c r="AL28" s="412"/>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row>
    <row r="29" spans="1:67" ht="151.5" customHeight="1" x14ac:dyDescent="0.3">
      <c r="A29" s="647"/>
      <c r="B29" s="650"/>
      <c r="C29" s="650"/>
      <c r="D29" s="650"/>
      <c r="E29" s="677"/>
      <c r="F29" s="650"/>
      <c r="G29" s="653"/>
      <c r="H29" s="656"/>
      <c r="I29" s="680"/>
      <c r="J29" s="683"/>
      <c r="K29" s="680">
        <f>IF(NOT(ISERROR(MATCH(J29,_xlfn.ANCHORARRAY(E40),0))),I42&amp;"Por favor no seleccionar los criterios de impacto",J29)</f>
        <v>0</v>
      </c>
      <c r="L29" s="656"/>
      <c r="M29" s="680"/>
      <c r="N29" s="638"/>
      <c r="O29" s="420">
        <v>2</v>
      </c>
      <c r="P29" s="417"/>
      <c r="Q29" s="404" t="str">
        <f t="shared" si="0"/>
        <v/>
      </c>
      <c r="R29" s="405"/>
      <c r="S29" s="405"/>
      <c r="T29" s="406" t="str">
        <f t="shared" si="1"/>
        <v/>
      </c>
      <c r="U29" s="405"/>
      <c r="V29" s="405"/>
      <c r="W29" s="405"/>
      <c r="X29" s="407" t="str">
        <f>IFERROR(IF(AND(Q28="Probabilidad",Q29="Probabilidad"),(Z28-(+Z28*T29)),IF(Q29="Probabilidad",(I28-(+I28*T29)),IF(Q29="Impacto",Z28,""))),"")</f>
        <v/>
      </c>
      <c r="Y29" s="408" t="str">
        <f t="shared" si="4"/>
        <v/>
      </c>
      <c r="Z29" s="409" t="str">
        <f t="shared" si="2"/>
        <v/>
      </c>
      <c r="AA29" s="408" t="str">
        <f t="shared" si="5"/>
        <v/>
      </c>
      <c r="AB29" s="409" t="str">
        <f>IFERROR(IF(AND(Q28="Impacto",Q29="Impacto"),(AB28-(+AB28*T29)),IF(Q29="Impacto",(M28-(+M28*T29)),IF(Q29="Probabilidad",AB28,""))),"")</f>
        <v/>
      </c>
      <c r="AC29" s="410" t="str">
        <f t="shared" si="3"/>
        <v/>
      </c>
      <c r="AD29" s="411"/>
      <c r="AE29" s="412"/>
      <c r="AF29" s="415"/>
      <c r="AG29" s="413"/>
      <c r="AH29" s="413"/>
      <c r="AI29" s="412"/>
      <c r="AJ29" s="415"/>
      <c r="AK29" s="415"/>
      <c r="AL29" s="412"/>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row>
    <row r="30" spans="1:67" ht="151.5" customHeight="1" x14ac:dyDescent="0.3">
      <c r="A30" s="647"/>
      <c r="B30" s="650"/>
      <c r="C30" s="650"/>
      <c r="D30" s="650"/>
      <c r="E30" s="677"/>
      <c r="F30" s="650"/>
      <c r="G30" s="653"/>
      <c r="H30" s="656"/>
      <c r="I30" s="680"/>
      <c r="J30" s="683"/>
      <c r="K30" s="680">
        <f>IF(NOT(ISERROR(MATCH(J30,_xlfn.ANCHORARRAY(E41),0))),I43&amp;"Por favor no seleccionar los criterios de impacto",J30)</f>
        <v>0</v>
      </c>
      <c r="L30" s="656"/>
      <c r="M30" s="680"/>
      <c r="N30" s="638"/>
      <c r="O30" s="420">
        <v>3</v>
      </c>
      <c r="P30" s="403"/>
      <c r="Q30" s="404" t="str">
        <f t="shared" si="0"/>
        <v/>
      </c>
      <c r="R30" s="405"/>
      <c r="S30" s="405"/>
      <c r="T30" s="406" t="str">
        <f t="shared" si="1"/>
        <v/>
      </c>
      <c r="U30" s="405"/>
      <c r="V30" s="405"/>
      <c r="W30" s="405"/>
      <c r="X30" s="407" t="str">
        <f>IFERROR(IF(AND(Q29="Probabilidad",Q30="Probabilidad"),(Z29-(+Z29*T30)),IF(AND(Q29="Impacto",Q30="Probabilidad"),(Z28-(+Z28*T30)),IF(Q30="Impacto",Z29,""))),"")</f>
        <v/>
      </c>
      <c r="Y30" s="408" t="str">
        <f t="shared" si="4"/>
        <v/>
      </c>
      <c r="Z30" s="409" t="str">
        <f t="shared" si="2"/>
        <v/>
      </c>
      <c r="AA30" s="408" t="str">
        <f t="shared" si="5"/>
        <v/>
      </c>
      <c r="AB30" s="409" t="str">
        <f>IFERROR(IF(AND(Q29="Impacto",Q30="Impacto"),(AB29-(+AB29*T30)),IF(AND(Q29="Probabilidad",Q30="Impacto"),(AB28-(+AB28*T30)),IF(Q30="Probabilidad",AB29,""))),"")</f>
        <v/>
      </c>
      <c r="AC30" s="410" t="str">
        <f t="shared" si="3"/>
        <v/>
      </c>
      <c r="AD30" s="411"/>
      <c r="AE30" s="412"/>
      <c r="AF30" s="415"/>
      <c r="AG30" s="413"/>
      <c r="AH30" s="413"/>
      <c r="AI30" s="412"/>
      <c r="AJ30" s="415"/>
      <c r="AK30" s="415"/>
      <c r="AL30" s="412"/>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row>
    <row r="31" spans="1:67" ht="151.5" customHeight="1" x14ac:dyDescent="0.3">
      <c r="A31" s="647"/>
      <c r="B31" s="650"/>
      <c r="C31" s="650"/>
      <c r="D31" s="650"/>
      <c r="E31" s="677"/>
      <c r="F31" s="650"/>
      <c r="G31" s="653"/>
      <c r="H31" s="656"/>
      <c r="I31" s="680"/>
      <c r="J31" s="683"/>
      <c r="K31" s="680">
        <f>IF(NOT(ISERROR(MATCH(J31,_xlfn.ANCHORARRAY(E42),0))),I44&amp;"Por favor no seleccionar los criterios de impacto",J31)</f>
        <v>0</v>
      </c>
      <c r="L31" s="656"/>
      <c r="M31" s="680"/>
      <c r="N31" s="638"/>
      <c r="O31" s="420">
        <v>4</v>
      </c>
      <c r="P31" s="417"/>
      <c r="Q31" s="404" t="str">
        <f t="shared" si="0"/>
        <v/>
      </c>
      <c r="R31" s="405"/>
      <c r="S31" s="405"/>
      <c r="T31" s="406" t="str">
        <f t="shared" si="1"/>
        <v/>
      </c>
      <c r="U31" s="405"/>
      <c r="V31" s="405"/>
      <c r="W31" s="405"/>
      <c r="X31" s="407" t="str">
        <f>IFERROR(IF(AND(Q30="Probabilidad",Q31="Probabilidad"),(Z30-(+Z30*T31)),IF(AND(Q30="Impacto",Q31="Probabilidad"),(Z29-(+Z29*T31)),IF(Q31="Impacto",Z30,""))),"")</f>
        <v/>
      </c>
      <c r="Y31" s="408" t="str">
        <f t="shared" si="4"/>
        <v/>
      </c>
      <c r="Z31" s="409" t="str">
        <f t="shared" si="2"/>
        <v/>
      </c>
      <c r="AA31" s="408" t="str">
        <f t="shared" si="5"/>
        <v/>
      </c>
      <c r="AB31" s="409" t="str">
        <f>IFERROR(IF(AND(Q30="Impacto",Q31="Impacto"),(AB30-(+AB30*T31)),IF(AND(Q30="Probabilidad",Q31="Impacto"),(AB29-(+AB29*T31)),IF(Q31="Probabilidad",AB30,""))),"")</f>
        <v/>
      </c>
      <c r="AC31" s="410" t="str">
        <f t="shared" si="3"/>
        <v/>
      </c>
      <c r="AD31" s="411"/>
      <c r="AE31" s="412"/>
      <c r="AF31" s="415"/>
      <c r="AG31" s="413"/>
      <c r="AH31" s="413"/>
      <c r="AI31" s="412"/>
      <c r="AJ31" s="415"/>
      <c r="AK31" s="415"/>
      <c r="AL31" s="412"/>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row>
    <row r="32" spans="1:67" ht="151.5" customHeight="1" x14ac:dyDescent="0.3">
      <c r="A32" s="647"/>
      <c r="B32" s="650"/>
      <c r="C32" s="650"/>
      <c r="D32" s="650"/>
      <c r="E32" s="677"/>
      <c r="F32" s="650"/>
      <c r="G32" s="653"/>
      <c r="H32" s="656"/>
      <c r="I32" s="680"/>
      <c r="J32" s="683"/>
      <c r="K32" s="680">
        <f>IF(NOT(ISERROR(MATCH(J32,_xlfn.ANCHORARRAY(E43),0))),I45&amp;"Por favor no seleccionar los criterios de impacto",J32)</f>
        <v>0</v>
      </c>
      <c r="L32" s="656"/>
      <c r="M32" s="680"/>
      <c r="N32" s="638"/>
      <c r="O32" s="420">
        <v>5</v>
      </c>
      <c r="P32" s="417"/>
      <c r="Q32" s="404" t="str">
        <f t="shared" si="0"/>
        <v/>
      </c>
      <c r="R32" s="405"/>
      <c r="S32" s="405"/>
      <c r="T32" s="406" t="str">
        <f t="shared" si="1"/>
        <v/>
      </c>
      <c r="U32" s="405"/>
      <c r="V32" s="405"/>
      <c r="W32" s="405"/>
      <c r="X32" s="418" t="str">
        <f>IFERROR(IF(AND(Q31="Probabilidad",Q32="Probabilidad"),(Z31-(+Z31*T32)),IF(AND(Q31="Impacto",Q32="Probabilidad"),(Z30-(+Z30*T32)),IF(Q32="Impacto",Z31,""))),"")</f>
        <v/>
      </c>
      <c r="Y32" s="408" t="str">
        <f>IFERROR(IF(X32="","",IF(X32&lt;=0.2,"Muy Baja",IF(X32&lt;=0.4,"Baja",IF(X32&lt;=0.6,"Media",IF(X32&lt;=0.8,"Alta","Muy Alta"))))),"")</f>
        <v/>
      </c>
      <c r="Z32" s="409" t="str">
        <f t="shared" si="2"/>
        <v/>
      </c>
      <c r="AA32" s="408" t="str">
        <f t="shared" si="5"/>
        <v/>
      </c>
      <c r="AB32" s="409" t="str">
        <f>IFERROR(IF(AND(Q31="Impacto",Q32="Impacto"),(AB31-(+AB31*T32)),IF(AND(Q31="Probabilidad",Q32="Impacto"),(AB30-(+AB30*T32)),IF(Q32="Probabilidad",AB31,""))),"")</f>
        <v/>
      </c>
      <c r="AC32" s="410" t="str">
        <f t="shared" si="3"/>
        <v/>
      </c>
      <c r="AD32" s="411"/>
      <c r="AE32" s="412"/>
      <c r="AF32" s="415"/>
      <c r="AG32" s="413"/>
      <c r="AH32" s="413"/>
      <c r="AI32" s="412"/>
      <c r="AJ32" s="415"/>
      <c r="AK32" s="415"/>
      <c r="AL32" s="412"/>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row>
    <row r="33" spans="1:67" ht="151.5" customHeight="1" x14ac:dyDescent="0.3">
      <c r="A33" s="648"/>
      <c r="B33" s="651"/>
      <c r="C33" s="651"/>
      <c r="D33" s="651"/>
      <c r="E33" s="678"/>
      <c r="F33" s="651"/>
      <c r="G33" s="654"/>
      <c r="H33" s="657"/>
      <c r="I33" s="681"/>
      <c r="J33" s="684"/>
      <c r="K33" s="681">
        <f>IF(NOT(ISERROR(MATCH(J33,_xlfn.ANCHORARRAY(E44),0))),I46&amp;"Por favor no seleccionar los criterios de impacto",J33)</f>
        <v>0</v>
      </c>
      <c r="L33" s="657"/>
      <c r="M33" s="681"/>
      <c r="N33" s="639"/>
      <c r="O33" s="420">
        <v>6</v>
      </c>
      <c r="P33" s="417"/>
      <c r="Q33" s="404" t="str">
        <f t="shared" si="0"/>
        <v/>
      </c>
      <c r="R33" s="405"/>
      <c r="S33" s="405"/>
      <c r="T33" s="406" t="str">
        <f t="shared" si="1"/>
        <v/>
      </c>
      <c r="U33" s="405"/>
      <c r="V33" s="405"/>
      <c r="W33" s="405"/>
      <c r="X33" s="407" t="str">
        <f>IFERROR(IF(AND(Q32="Probabilidad",Q33="Probabilidad"),(Z32-(+Z32*T33)),IF(AND(Q32="Impacto",Q33="Probabilidad"),(Z31-(+Z31*T33)),IF(Q33="Impacto",Z32,""))),"")</f>
        <v/>
      </c>
      <c r="Y33" s="408" t="str">
        <f t="shared" si="4"/>
        <v/>
      </c>
      <c r="Z33" s="409" t="str">
        <f t="shared" si="2"/>
        <v/>
      </c>
      <c r="AA33" s="408" t="str">
        <f t="shared" si="5"/>
        <v/>
      </c>
      <c r="AB33" s="409" t="str">
        <f>IFERROR(IF(AND(Q32="Impacto",Q33="Impacto"),(AB32-(+AB32*T33)),IF(AND(Q32="Probabilidad",Q33="Impacto"),(AB31-(+AB31*T33)),IF(Q33="Probabilidad",AB32,""))),"")</f>
        <v/>
      </c>
      <c r="AC33" s="410" t="str">
        <f t="shared" si="3"/>
        <v/>
      </c>
      <c r="AD33" s="411"/>
      <c r="AE33" s="412"/>
      <c r="AF33" s="415"/>
      <c r="AG33" s="413"/>
      <c r="AH33" s="413"/>
      <c r="AI33" s="412"/>
      <c r="AJ33" s="415"/>
      <c r="AK33" s="415"/>
      <c r="AL33" s="412"/>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row>
    <row r="34" spans="1:67" ht="151.5" customHeight="1" x14ac:dyDescent="0.3">
      <c r="A34" s="646">
        <v>5</v>
      </c>
      <c r="B34" s="649"/>
      <c r="C34" s="649"/>
      <c r="D34" s="649"/>
      <c r="E34" s="676"/>
      <c r="F34" s="649"/>
      <c r="G34" s="652"/>
      <c r="H34" s="655" t="str">
        <f>IF(G34&lt;=0,"",IF(G34&lt;=2,"Muy Baja",IF(G34&lt;=24,"Baja",IF(G34&lt;=500,"Media",IF(G34&lt;=5000,"Alta","Muy Alta")))))</f>
        <v/>
      </c>
      <c r="I34" s="679" t="str">
        <f>IF(H34="","",IF(H34="Muy Baja",0.2,IF(H34="Baja",0.4,IF(H34="Media",0.6,IF(H34="Alta",0.8,IF(H34="Muy Alta",1,))))))</f>
        <v/>
      </c>
      <c r="J34" s="682"/>
      <c r="K34" s="679">
        <f>IF(NOT(ISERROR(MATCH(J34,'Tabla Impacto'!$B$221:$B$223,0))),'Tabla Impacto'!$F$223&amp;"Por favor no seleccionar los criterios de impacto(Afectación Económica o presupuestal y Pérdida Reputacional)",J34)</f>
        <v>0</v>
      </c>
      <c r="L34" s="655" t="str">
        <f>IF(OR(K34='Tabla Impacto'!$C$11,K34='Tabla Impacto'!$D$11),"Leve",IF(OR(K34='Tabla Impacto'!$C$12,K34='Tabla Impacto'!$D$12),"Menor",IF(OR(K34='Tabla Impacto'!$C$13,K34='Tabla Impacto'!$D$13),"Moderado",IF(OR(K34='Tabla Impacto'!$C$14,K34='Tabla Impacto'!$D$14),"Mayor",IF(OR(K34='Tabla Impacto'!$C$15,K34='Tabla Impacto'!$D$15),"Catastrófico","")))))</f>
        <v/>
      </c>
      <c r="M34" s="679" t="str">
        <f>IF(L34="","",IF(L34="Leve",0.2,IF(L34="Menor",0.4,IF(L34="Moderado",0.6,IF(L34="Mayor",0.8,IF(L34="Catastrófico",1,))))))</f>
        <v/>
      </c>
      <c r="N34" s="63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0">
        <v>1</v>
      </c>
      <c r="P34" s="417"/>
      <c r="Q34" s="404" t="str">
        <f t="shared" si="0"/>
        <v/>
      </c>
      <c r="R34" s="405"/>
      <c r="S34" s="405"/>
      <c r="T34" s="406" t="str">
        <f t="shared" si="1"/>
        <v/>
      </c>
      <c r="U34" s="405"/>
      <c r="V34" s="405"/>
      <c r="W34" s="405"/>
      <c r="X34" s="407" t="str">
        <f>IFERROR(IF(Q34="Probabilidad",(I34-(+I34*T34)),IF(Q34="Impacto",I34,"")),"")</f>
        <v/>
      </c>
      <c r="Y34" s="408" t="str">
        <f>IFERROR(IF(X34="","",IF(X34&lt;=0.2,"Muy Baja",IF(X34&lt;=0.4,"Baja",IF(X34&lt;=0.6,"Media",IF(X34&lt;=0.8,"Alta","Muy Alta"))))),"")</f>
        <v/>
      </c>
      <c r="Z34" s="409" t="str">
        <f t="shared" si="2"/>
        <v/>
      </c>
      <c r="AA34" s="408" t="str">
        <f>IFERROR(IF(AB34="","",IF(AB34&lt;=0.2,"Leve",IF(AB34&lt;=0.4,"Menor",IF(AB34&lt;=0.6,"Moderado",IF(AB34&lt;=0.8,"Mayor","Catastrófico"))))),"")</f>
        <v/>
      </c>
      <c r="AB34" s="409" t="str">
        <f>IFERROR(IF(Q34="Impacto",(M34-(+M34*T34)),IF(Q34="Probabilidad",M34,"")),"")</f>
        <v/>
      </c>
      <c r="AC34" s="410" t="str">
        <f t="shared" si="3"/>
        <v/>
      </c>
      <c r="AD34" s="411"/>
      <c r="AE34" s="412"/>
      <c r="AF34" s="415"/>
      <c r="AG34" s="413"/>
      <c r="AH34" s="413"/>
      <c r="AI34" s="412"/>
      <c r="AJ34" s="415"/>
      <c r="AK34" s="415"/>
      <c r="AL34" s="412"/>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row>
    <row r="35" spans="1:67" ht="151.5" customHeight="1" x14ac:dyDescent="0.3">
      <c r="A35" s="647"/>
      <c r="B35" s="650"/>
      <c r="C35" s="650"/>
      <c r="D35" s="650"/>
      <c r="E35" s="677"/>
      <c r="F35" s="650"/>
      <c r="G35" s="653"/>
      <c r="H35" s="656"/>
      <c r="I35" s="680"/>
      <c r="J35" s="683"/>
      <c r="K35" s="680">
        <f>IF(NOT(ISERROR(MATCH(J35,_xlfn.ANCHORARRAY(E46),0))),I48&amp;"Por favor no seleccionar los criterios de impacto",J35)</f>
        <v>0</v>
      </c>
      <c r="L35" s="656"/>
      <c r="M35" s="680"/>
      <c r="N35" s="638"/>
      <c r="O35" s="420">
        <v>2</v>
      </c>
      <c r="P35" s="417"/>
      <c r="Q35" s="404" t="str">
        <f t="shared" si="0"/>
        <v/>
      </c>
      <c r="R35" s="405"/>
      <c r="S35" s="405"/>
      <c r="T35" s="406" t="str">
        <f t="shared" si="1"/>
        <v/>
      </c>
      <c r="U35" s="405"/>
      <c r="V35" s="405"/>
      <c r="W35" s="405"/>
      <c r="X35" s="407" t="str">
        <f>IFERROR(IF(AND(Q34="Probabilidad",Q35="Probabilidad"),(Z34-(+Z34*T35)),IF(Q35="Probabilidad",(I34-(+I34*T35)),IF(Q35="Impacto",Z34,""))),"")</f>
        <v/>
      </c>
      <c r="Y35" s="408" t="str">
        <f t="shared" si="4"/>
        <v/>
      </c>
      <c r="Z35" s="409" t="str">
        <f t="shared" si="2"/>
        <v/>
      </c>
      <c r="AA35" s="408" t="str">
        <f t="shared" si="5"/>
        <v/>
      </c>
      <c r="AB35" s="409" t="str">
        <f>IFERROR(IF(AND(Q34="Impacto",Q35="Impacto"),(AB34-(+AB34*T35)),IF(Q35="Impacto",(M34-(+M34*T35)),IF(Q35="Probabilidad",AB34,""))),"")</f>
        <v/>
      </c>
      <c r="AC35" s="410" t="str">
        <f t="shared" si="3"/>
        <v/>
      </c>
      <c r="AD35" s="411"/>
      <c r="AE35" s="412"/>
      <c r="AF35" s="415"/>
      <c r="AG35" s="413"/>
      <c r="AH35" s="413"/>
      <c r="AI35" s="412"/>
      <c r="AJ35" s="415"/>
      <c r="AK35" s="415"/>
      <c r="AL35" s="412"/>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row>
    <row r="36" spans="1:67" ht="151.5" customHeight="1" x14ac:dyDescent="0.3">
      <c r="A36" s="647"/>
      <c r="B36" s="650"/>
      <c r="C36" s="650"/>
      <c r="D36" s="650"/>
      <c r="E36" s="677"/>
      <c r="F36" s="650"/>
      <c r="G36" s="653"/>
      <c r="H36" s="656"/>
      <c r="I36" s="680"/>
      <c r="J36" s="683"/>
      <c r="K36" s="680">
        <f>IF(NOT(ISERROR(MATCH(J36,_xlfn.ANCHORARRAY(E47),0))),I49&amp;"Por favor no seleccionar los criterios de impacto",J36)</f>
        <v>0</v>
      </c>
      <c r="L36" s="656"/>
      <c r="M36" s="680"/>
      <c r="N36" s="638"/>
      <c r="O36" s="420">
        <v>3</v>
      </c>
      <c r="P36" s="403"/>
      <c r="Q36" s="404" t="str">
        <f t="shared" si="0"/>
        <v/>
      </c>
      <c r="R36" s="405"/>
      <c r="S36" s="405"/>
      <c r="T36" s="406" t="str">
        <f t="shared" si="1"/>
        <v/>
      </c>
      <c r="U36" s="405"/>
      <c r="V36" s="405"/>
      <c r="W36" s="405"/>
      <c r="X36" s="407" t="str">
        <f>IFERROR(IF(AND(Q35="Probabilidad",Q36="Probabilidad"),(Z35-(+Z35*T36)),IF(AND(Q35="Impacto",Q36="Probabilidad"),(Z34-(+Z34*T36)),IF(Q36="Impacto",Z35,""))),"")</f>
        <v/>
      </c>
      <c r="Y36" s="408" t="str">
        <f t="shared" si="4"/>
        <v/>
      </c>
      <c r="Z36" s="409" t="str">
        <f t="shared" si="2"/>
        <v/>
      </c>
      <c r="AA36" s="408" t="str">
        <f t="shared" si="5"/>
        <v/>
      </c>
      <c r="AB36" s="409" t="str">
        <f>IFERROR(IF(AND(Q35="Impacto",Q36="Impacto"),(AB35-(+AB35*T36)),IF(AND(Q35="Probabilidad",Q36="Impacto"),(AB34-(+AB34*T36)),IF(Q36="Probabilidad",AB35,""))),"")</f>
        <v/>
      </c>
      <c r="AC36" s="410" t="str">
        <f t="shared" si="3"/>
        <v/>
      </c>
      <c r="AD36" s="411"/>
      <c r="AE36" s="412"/>
      <c r="AF36" s="415"/>
      <c r="AG36" s="413"/>
      <c r="AH36" s="413"/>
      <c r="AI36" s="412"/>
      <c r="AJ36" s="415"/>
      <c r="AK36" s="415"/>
      <c r="AL36" s="412"/>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row>
    <row r="37" spans="1:67" ht="151.5" customHeight="1" x14ac:dyDescent="0.3">
      <c r="A37" s="647"/>
      <c r="B37" s="650"/>
      <c r="C37" s="650"/>
      <c r="D37" s="650"/>
      <c r="E37" s="677"/>
      <c r="F37" s="650"/>
      <c r="G37" s="653"/>
      <c r="H37" s="656"/>
      <c r="I37" s="680"/>
      <c r="J37" s="683"/>
      <c r="K37" s="680">
        <f>IF(NOT(ISERROR(MATCH(J37,_xlfn.ANCHORARRAY(E48),0))),I50&amp;"Por favor no seleccionar los criterios de impacto",J37)</f>
        <v>0</v>
      </c>
      <c r="L37" s="656"/>
      <c r="M37" s="680"/>
      <c r="N37" s="638"/>
      <c r="O37" s="420">
        <v>4</v>
      </c>
      <c r="P37" s="417"/>
      <c r="Q37" s="404" t="str">
        <f t="shared" si="0"/>
        <v/>
      </c>
      <c r="R37" s="405"/>
      <c r="S37" s="405"/>
      <c r="T37" s="406" t="str">
        <f t="shared" si="1"/>
        <v/>
      </c>
      <c r="U37" s="405"/>
      <c r="V37" s="405"/>
      <c r="W37" s="405"/>
      <c r="X37" s="407" t="str">
        <f>IFERROR(IF(AND(Q36="Probabilidad",Q37="Probabilidad"),(Z36-(+Z36*T37)),IF(AND(Q36="Impacto",Q37="Probabilidad"),(Z35-(+Z35*T37)),IF(Q37="Impacto",Z36,""))),"")</f>
        <v/>
      </c>
      <c r="Y37" s="408" t="str">
        <f t="shared" si="4"/>
        <v/>
      </c>
      <c r="Z37" s="409" t="str">
        <f t="shared" si="2"/>
        <v/>
      </c>
      <c r="AA37" s="408" t="str">
        <f t="shared" si="5"/>
        <v/>
      </c>
      <c r="AB37" s="409" t="str">
        <f>IFERROR(IF(AND(Q36="Impacto",Q37="Impacto"),(AB36-(+AB36*T37)),IF(AND(Q36="Probabilidad",Q37="Impacto"),(AB35-(+AB35*T37)),IF(Q37="Probabilidad",AB36,""))),"")</f>
        <v/>
      </c>
      <c r="AC37" s="410" t="str">
        <f t="shared" si="3"/>
        <v/>
      </c>
      <c r="AD37" s="411"/>
      <c r="AE37" s="412"/>
      <c r="AF37" s="415"/>
      <c r="AG37" s="413"/>
      <c r="AH37" s="413"/>
      <c r="AI37" s="412"/>
      <c r="AJ37" s="415"/>
      <c r="AK37" s="415"/>
      <c r="AL37" s="412"/>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row>
    <row r="38" spans="1:67" ht="151.5" customHeight="1" x14ac:dyDescent="0.3">
      <c r="A38" s="647"/>
      <c r="B38" s="650"/>
      <c r="C38" s="650"/>
      <c r="D38" s="650"/>
      <c r="E38" s="677"/>
      <c r="F38" s="650"/>
      <c r="G38" s="653"/>
      <c r="H38" s="656"/>
      <c r="I38" s="680"/>
      <c r="J38" s="683"/>
      <c r="K38" s="680">
        <f>IF(NOT(ISERROR(MATCH(J38,_xlfn.ANCHORARRAY(E49),0))),I51&amp;"Por favor no seleccionar los criterios de impacto",J38)</f>
        <v>0</v>
      </c>
      <c r="L38" s="656"/>
      <c r="M38" s="680"/>
      <c r="N38" s="638"/>
      <c r="O38" s="420">
        <v>5</v>
      </c>
      <c r="P38" s="417"/>
      <c r="Q38" s="404" t="str">
        <f t="shared" si="0"/>
        <v/>
      </c>
      <c r="R38" s="405"/>
      <c r="S38" s="405"/>
      <c r="T38" s="406" t="str">
        <f t="shared" si="1"/>
        <v/>
      </c>
      <c r="U38" s="405"/>
      <c r="V38" s="405"/>
      <c r="W38" s="405"/>
      <c r="X38" s="407" t="str">
        <f>IFERROR(IF(AND(Q37="Probabilidad",Q38="Probabilidad"),(Z37-(+Z37*T38)),IF(AND(Q37="Impacto",Q38="Probabilidad"),(Z36-(+Z36*T38)),IF(Q38="Impacto",Z37,""))),"")</f>
        <v/>
      </c>
      <c r="Y38" s="408" t="str">
        <f t="shared" si="4"/>
        <v/>
      </c>
      <c r="Z38" s="409" t="str">
        <f t="shared" si="2"/>
        <v/>
      </c>
      <c r="AA38" s="408" t="str">
        <f t="shared" si="5"/>
        <v/>
      </c>
      <c r="AB38" s="409" t="str">
        <f>IFERROR(IF(AND(Q37="Impacto",Q38="Impacto"),(AB37-(+AB37*T38)),IF(AND(Q37="Probabilidad",Q38="Impacto"),(AB36-(+AB36*T38)),IF(Q38="Probabilidad",AB37,""))),"")</f>
        <v/>
      </c>
      <c r="AC38" s="410" t="str">
        <f t="shared" si="3"/>
        <v/>
      </c>
      <c r="AD38" s="411"/>
      <c r="AE38" s="412"/>
      <c r="AF38" s="415"/>
      <c r="AG38" s="413"/>
      <c r="AH38" s="413"/>
      <c r="AI38" s="412"/>
      <c r="AJ38" s="415"/>
      <c r="AK38" s="415"/>
      <c r="AL38" s="412"/>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row>
    <row r="39" spans="1:67" ht="151.5" customHeight="1" x14ac:dyDescent="0.3">
      <c r="A39" s="648"/>
      <c r="B39" s="651"/>
      <c r="C39" s="651"/>
      <c r="D39" s="651"/>
      <c r="E39" s="678"/>
      <c r="F39" s="651"/>
      <c r="G39" s="654"/>
      <c r="H39" s="657"/>
      <c r="I39" s="681"/>
      <c r="J39" s="684"/>
      <c r="K39" s="681">
        <f>IF(NOT(ISERROR(MATCH(J39,_xlfn.ANCHORARRAY(E50),0))),I52&amp;"Por favor no seleccionar los criterios de impacto",J39)</f>
        <v>0</v>
      </c>
      <c r="L39" s="657"/>
      <c r="M39" s="681"/>
      <c r="N39" s="639"/>
      <c r="O39" s="420">
        <v>6</v>
      </c>
      <c r="P39" s="417"/>
      <c r="Q39" s="404" t="str">
        <f t="shared" si="0"/>
        <v/>
      </c>
      <c r="R39" s="405"/>
      <c r="S39" s="405"/>
      <c r="T39" s="406" t="str">
        <f t="shared" si="1"/>
        <v/>
      </c>
      <c r="U39" s="405"/>
      <c r="V39" s="405"/>
      <c r="W39" s="405"/>
      <c r="X39" s="407" t="str">
        <f>IFERROR(IF(AND(Q38="Probabilidad",Q39="Probabilidad"),(Z38-(+Z38*T39)),IF(AND(Q38="Impacto",Q39="Probabilidad"),(Z37-(+Z37*T39)),IF(Q39="Impacto",Z38,""))),"")</f>
        <v/>
      </c>
      <c r="Y39" s="408" t="str">
        <f t="shared" si="4"/>
        <v/>
      </c>
      <c r="Z39" s="409" t="str">
        <f t="shared" si="2"/>
        <v/>
      </c>
      <c r="AA39" s="408" t="str">
        <f t="shared" si="5"/>
        <v/>
      </c>
      <c r="AB39" s="409" t="str">
        <f>IFERROR(IF(AND(Q38="Impacto",Q39="Impacto"),(AB38-(+AB38*T39)),IF(AND(Q38="Probabilidad",Q39="Impacto"),(AB37-(+AB37*T39)),IF(Q39="Probabilidad",AB38,""))),"")</f>
        <v/>
      </c>
      <c r="AC39" s="410" t="str">
        <f t="shared" si="3"/>
        <v/>
      </c>
      <c r="AD39" s="411"/>
      <c r="AE39" s="412"/>
      <c r="AF39" s="415"/>
      <c r="AG39" s="413"/>
      <c r="AH39" s="413"/>
      <c r="AI39" s="412"/>
      <c r="AJ39" s="415"/>
      <c r="AK39" s="415"/>
      <c r="AL39" s="412"/>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row>
    <row r="40" spans="1:67" ht="151.5" customHeight="1" x14ac:dyDescent="0.3">
      <c r="A40" s="685">
        <v>6</v>
      </c>
      <c r="B40" s="688"/>
      <c r="C40" s="688"/>
      <c r="D40" s="688"/>
      <c r="E40" s="691"/>
      <c r="F40" s="688"/>
      <c r="G40" s="694"/>
      <c r="H40" s="697" t="str">
        <f>IF(G40&lt;=0,"",IF(G40&lt;=2,"Muy Baja",IF(G40&lt;=24,"Baja",IF(G40&lt;=500,"Media",IF(G40&lt;=5000,"Alta","Muy Alta")))))</f>
        <v/>
      </c>
      <c r="I40" s="700" t="str">
        <f>IF(H40="","",IF(H40="Muy Baja",0.2,IF(H40="Baja",0.4,IF(H40="Media",0.6,IF(H40="Alta",0.8,IF(H40="Muy Alta",1,))))))</f>
        <v/>
      </c>
      <c r="J40" s="703"/>
      <c r="K40" s="700">
        <f>IF(NOT(ISERROR(MATCH(J40,'Tabla Impacto'!$B$221:$B$223,0))),'Tabla Impacto'!$F$223&amp;"Por favor no seleccionar los criterios de impacto(Afectación Económica o presupuestal y Pérdida Reputacional)",J40)</f>
        <v>0</v>
      </c>
      <c r="L40" s="697" t="str">
        <f>IF(OR(K40='Tabla Impacto'!$C$11,K40='Tabla Impacto'!$D$11),"Leve",IF(OR(K40='Tabla Impacto'!$C$12,K40='Tabla Impacto'!$D$12),"Menor",IF(OR(K40='Tabla Impacto'!$C$13,K40='Tabla Impacto'!$D$13),"Moderado",IF(OR(K40='Tabla Impacto'!$C$14,K40='Tabla Impacto'!$D$14),"Mayor",IF(OR(K40='Tabla Impacto'!$C$15,K40='Tabla Impacto'!$D$15),"Catastrófico","")))))</f>
        <v/>
      </c>
      <c r="M40" s="700" t="str">
        <f>IF(L40="","",IF(L40="Leve",0.2,IF(L40="Menor",0.4,IF(L40="Moderado",0.6,IF(L40="Mayor",0.8,IF(L40="Catastrófico",1,))))))</f>
        <v/>
      </c>
      <c r="N40" s="70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38">
        <v>1</v>
      </c>
      <c r="P40" s="227"/>
      <c r="Q40" s="228" t="str">
        <f t="shared" si="0"/>
        <v/>
      </c>
      <c r="R40" s="229"/>
      <c r="S40" s="229"/>
      <c r="T40" s="230" t="str">
        <f t="shared" si="1"/>
        <v/>
      </c>
      <c r="U40" s="229"/>
      <c r="V40" s="229"/>
      <c r="W40" s="229"/>
      <c r="X40" s="231" t="str">
        <f>IFERROR(IF(Q40="Probabilidad",(I40-(+I40*T40)),IF(Q40="Impacto",I40,"")),"")</f>
        <v/>
      </c>
      <c r="Y40" s="232" t="str">
        <f>IFERROR(IF(X40="","",IF(X40&lt;=0.2,"Muy Baja",IF(X40&lt;=0.4,"Baja",IF(X40&lt;=0.6,"Media",IF(X40&lt;=0.8,"Alta","Muy Alta"))))),"")</f>
        <v/>
      </c>
      <c r="Z40" s="233" t="str">
        <f t="shared" si="2"/>
        <v/>
      </c>
      <c r="AA40" s="232" t="str">
        <f>IFERROR(IF(AB40="","",IF(AB40&lt;=0.2,"Leve",IF(AB40&lt;=0.4,"Menor",IF(AB40&lt;=0.6,"Moderado",IF(AB40&lt;=0.8,"Mayor","Catastrófico"))))),"")</f>
        <v/>
      </c>
      <c r="AB40" s="233" t="str">
        <f>IFERROR(IF(Q40="Impacto",(M40-(+M40*T40)),IF(Q40="Probabilidad",M40,"")),"")</f>
        <v/>
      </c>
      <c r="AC40" s="234" t="str">
        <f t="shared" si="3"/>
        <v/>
      </c>
      <c r="AD40" s="235"/>
      <c r="AE40" s="236"/>
      <c r="AF40" s="237"/>
      <c r="AG40" s="238"/>
      <c r="AH40" s="238"/>
      <c r="AI40" s="236"/>
      <c r="AJ40" s="237"/>
      <c r="AK40" s="237"/>
      <c r="AL40" s="412"/>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row>
    <row r="41" spans="1:67" ht="151.5" customHeight="1" x14ac:dyDescent="0.3">
      <c r="A41" s="686"/>
      <c r="B41" s="689"/>
      <c r="C41" s="689"/>
      <c r="D41" s="689"/>
      <c r="E41" s="692"/>
      <c r="F41" s="689"/>
      <c r="G41" s="695"/>
      <c r="H41" s="698"/>
      <c r="I41" s="701"/>
      <c r="J41" s="704"/>
      <c r="K41" s="701">
        <f>IF(NOT(ISERROR(MATCH(J41,_xlfn.ANCHORARRAY(E52),0))),I54&amp;"Por favor no seleccionar los criterios de impacto",J41)</f>
        <v>0</v>
      </c>
      <c r="L41" s="698"/>
      <c r="M41" s="701"/>
      <c r="N41" s="707"/>
      <c r="O41" s="338">
        <v>2</v>
      </c>
      <c r="P41" s="227"/>
      <c r="Q41" s="228" t="str">
        <f t="shared" si="0"/>
        <v/>
      </c>
      <c r="R41" s="229"/>
      <c r="S41" s="229"/>
      <c r="T41" s="230" t="str">
        <f t="shared" si="1"/>
        <v/>
      </c>
      <c r="U41" s="229"/>
      <c r="V41" s="229"/>
      <c r="W41" s="229"/>
      <c r="X41" s="231" t="str">
        <f>IFERROR(IF(AND(Q40="Probabilidad",Q41="Probabilidad"),(Z40-(+Z40*T41)),IF(Q41="Probabilidad",(I40-(+I40*T41)),IF(Q41="Impacto",Z40,""))),"")</f>
        <v/>
      </c>
      <c r="Y41" s="232" t="str">
        <f t="shared" si="4"/>
        <v/>
      </c>
      <c r="Z41" s="233" t="str">
        <f t="shared" si="2"/>
        <v/>
      </c>
      <c r="AA41" s="232" t="str">
        <f t="shared" si="5"/>
        <v/>
      </c>
      <c r="AB41" s="233" t="str">
        <f>IFERROR(IF(AND(Q40="Impacto",Q41="Impacto"),(AB40-(+AB40*T41)),IF(Q41="Impacto",(M40-(+M40*T41)),IF(Q41="Probabilidad",AB40,""))),"")</f>
        <v/>
      </c>
      <c r="AC41" s="234" t="str">
        <f t="shared" si="3"/>
        <v/>
      </c>
      <c r="AD41" s="235"/>
      <c r="AE41" s="236"/>
      <c r="AF41" s="237"/>
      <c r="AG41" s="238"/>
      <c r="AH41" s="238"/>
      <c r="AI41" s="236"/>
      <c r="AJ41" s="237"/>
      <c r="AK41" s="237"/>
      <c r="AL41" s="412"/>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row>
    <row r="42" spans="1:67" ht="151.5" customHeight="1" x14ac:dyDescent="0.3">
      <c r="A42" s="686"/>
      <c r="B42" s="689"/>
      <c r="C42" s="689"/>
      <c r="D42" s="689"/>
      <c r="E42" s="692"/>
      <c r="F42" s="689"/>
      <c r="G42" s="695"/>
      <c r="H42" s="698"/>
      <c r="I42" s="701"/>
      <c r="J42" s="704"/>
      <c r="K42" s="701">
        <f>IF(NOT(ISERROR(MATCH(J42,_xlfn.ANCHORARRAY(E53),0))),I55&amp;"Por favor no seleccionar los criterios de impacto",J42)</f>
        <v>0</v>
      </c>
      <c r="L42" s="698"/>
      <c r="M42" s="701"/>
      <c r="N42" s="707"/>
      <c r="O42" s="338">
        <v>3</v>
      </c>
      <c r="P42" s="241"/>
      <c r="Q42" s="228" t="str">
        <f t="shared" ref="Q42:Q69" si="6">IF(OR(R42="Preventivo",R42="Detectivo"),"Probabilidad",IF(R42="Correctivo","Impacto",""))</f>
        <v/>
      </c>
      <c r="R42" s="229"/>
      <c r="S42" s="229"/>
      <c r="T42" s="230" t="str">
        <f t="shared" ref="T42:T69" si="7">IF(AND(R42="Preventivo",S42="Automático"),"50%",IF(AND(R42="Preventivo",S42="Manual"),"40%",IF(AND(R42="Detectivo",S42="Automático"),"40%",IF(AND(R42="Detectivo",S42="Manual"),"30%",IF(AND(R42="Correctivo",S42="Automático"),"35%",IF(AND(R42="Correctivo",S42="Manual"),"25%",""))))))</f>
        <v/>
      </c>
      <c r="U42" s="229"/>
      <c r="V42" s="229"/>
      <c r="W42" s="229"/>
      <c r="X42" s="231" t="str">
        <f>IFERROR(IF(AND(Q41="Probabilidad",Q42="Probabilidad"),(Z41-(+Z41*T42)),IF(AND(Q41="Impacto",Q42="Probabilidad"),(Z40-(+Z40*T42)),IF(Q42="Impacto",Z41,""))),"")</f>
        <v/>
      </c>
      <c r="Y42" s="232" t="str">
        <f t="shared" si="4"/>
        <v/>
      </c>
      <c r="Z42" s="233" t="str">
        <f t="shared" ref="Z42:Z69" si="8">+X42</f>
        <v/>
      </c>
      <c r="AA42" s="232" t="str">
        <f t="shared" si="5"/>
        <v/>
      </c>
      <c r="AB42" s="233" t="str">
        <f>IFERROR(IF(AND(Q41="Impacto",Q42="Impacto"),(AB41-(+AB41*T42)),IF(AND(Q41="Probabilidad",Q42="Impacto"),(AB40-(+AB40*T42)),IF(Q42="Probabilidad",AB41,""))),"")</f>
        <v/>
      </c>
      <c r="AC42" s="234"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5"/>
      <c r="AE42" s="236"/>
      <c r="AF42" s="237"/>
      <c r="AG42" s="238"/>
      <c r="AH42" s="238"/>
      <c r="AI42" s="236"/>
      <c r="AJ42" s="237"/>
      <c r="AK42" s="237"/>
      <c r="AL42" s="412"/>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row>
    <row r="43" spans="1:67" ht="151.5" customHeight="1" x14ac:dyDescent="0.3">
      <c r="A43" s="686"/>
      <c r="B43" s="689"/>
      <c r="C43" s="689"/>
      <c r="D43" s="689"/>
      <c r="E43" s="692"/>
      <c r="F43" s="689"/>
      <c r="G43" s="695"/>
      <c r="H43" s="698"/>
      <c r="I43" s="701"/>
      <c r="J43" s="704"/>
      <c r="K43" s="701">
        <f>IF(NOT(ISERROR(MATCH(J43,_xlfn.ANCHORARRAY(E54),0))),I56&amp;"Por favor no seleccionar los criterios de impacto",J43)</f>
        <v>0</v>
      </c>
      <c r="L43" s="698"/>
      <c r="M43" s="701"/>
      <c r="N43" s="707"/>
      <c r="O43" s="338">
        <v>4</v>
      </c>
      <c r="P43" s="227"/>
      <c r="Q43" s="228" t="str">
        <f t="shared" si="6"/>
        <v/>
      </c>
      <c r="R43" s="229"/>
      <c r="S43" s="229"/>
      <c r="T43" s="230" t="str">
        <f t="shared" si="7"/>
        <v/>
      </c>
      <c r="U43" s="229"/>
      <c r="V43" s="229"/>
      <c r="W43" s="229"/>
      <c r="X43" s="231" t="str">
        <f>IFERROR(IF(AND(Q42="Probabilidad",Q43="Probabilidad"),(Z42-(+Z42*T43)),IF(AND(Q42="Impacto",Q43="Probabilidad"),(Z41-(+Z41*T43)),IF(Q43="Impacto",Z42,""))),"")</f>
        <v/>
      </c>
      <c r="Y43" s="232" t="str">
        <f t="shared" si="4"/>
        <v/>
      </c>
      <c r="Z43" s="233" t="str">
        <f t="shared" si="8"/>
        <v/>
      </c>
      <c r="AA43" s="232" t="str">
        <f t="shared" si="5"/>
        <v/>
      </c>
      <c r="AB43" s="233" t="str">
        <f>IFERROR(IF(AND(Q42="Impacto",Q43="Impacto"),(AB42-(+AB42*T43)),IF(AND(Q42="Probabilidad",Q43="Impacto"),(AB41-(+AB41*T43)),IF(Q43="Probabilidad",AB42,""))),"")</f>
        <v/>
      </c>
      <c r="AC43" s="234" t="str">
        <f t="shared" si="9"/>
        <v/>
      </c>
      <c r="AD43" s="235"/>
      <c r="AE43" s="236"/>
      <c r="AF43" s="237"/>
      <c r="AG43" s="238"/>
      <c r="AH43" s="238"/>
      <c r="AI43" s="236"/>
      <c r="AJ43" s="237"/>
      <c r="AK43" s="237"/>
      <c r="AL43" s="412"/>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row>
    <row r="44" spans="1:67" ht="151.5" customHeight="1" x14ac:dyDescent="0.3">
      <c r="A44" s="686"/>
      <c r="B44" s="689"/>
      <c r="C44" s="689"/>
      <c r="D44" s="689"/>
      <c r="E44" s="692"/>
      <c r="F44" s="689"/>
      <c r="G44" s="695"/>
      <c r="H44" s="698"/>
      <c r="I44" s="701"/>
      <c r="J44" s="704"/>
      <c r="K44" s="701">
        <f>IF(NOT(ISERROR(MATCH(J44,_xlfn.ANCHORARRAY(E55),0))),I57&amp;"Por favor no seleccionar los criterios de impacto",J44)</f>
        <v>0</v>
      </c>
      <c r="L44" s="698"/>
      <c r="M44" s="701"/>
      <c r="N44" s="707"/>
      <c r="O44" s="338">
        <v>5</v>
      </c>
      <c r="P44" s="227"/>
      <c r="Q44" s="228" t="str">
        <f t="shared" si="6"/>
        <v/>
      </c>
      <c r="R44" s="229"/>
      <c r="S44" s="229"/>
      <c r="T44" s="230" t="str">
        <f t="shared" si="7"/>
        <v/>
      </c>
      <c r="U44" s="229"/>
      <c r="V44" s="229"/>
      <c r="W44" s="229"/>
      <c r="X44" s="231" t="str">
        <f>IFERROR(IF(AND(Q43="Probabilidad",Q44="Probabilidad"),(Z43-(+Z43*T44)),IF(AND(Q43="Impacto",Q44="Probabilidad"),(Z42-(+Z42*T44)),IF(Q44="Impacto",Z43,""))),"")</f>
        <v/>
      </c>
      <c r="Y44" s="232" t="str">
        <f t="shared" si="4"/>
        <v/>
      </c>
      <c r="Z44" s="233" t="str">
        <f t="shared" si="8"/>
        <v/>
      </c>
      <c r="AA44" s="232" t="str">
        <f t="shared" si="5"/>
        <v/>
      </c>
      <c r="AB44" s="233" t="str">
        <f>IFERROR(IF(AND(Q43="Impacto",Q44="Impacto"),(AB43-(+AB43*T44)),IF(AND(Q43="Probabilidad",Q44="Impacto"),(AB42-(+AB42*T44)),IF(Q44="Probabilidad",AB43,""))),"")</f>
        <v/>
      </c>
      <c r="AC44" s="234" t="str">
        <f t="shared" si="9"/>
        <v/>
      </c>
      <c r="AD44" s="235"/>
      <c r="AE44" s="236"/>
      <c r="AF44" s="237"/>
      <c r="AG44" s="238"/>
      <c r="AH44" s="238"/>
      <c r="AI44" s="236"/>
      <c r="AJ44" s="237"/>
      <c r="AK44" s="237"/>
      <c r="AL44" s="237"/>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row>
    <row r="45" spans="1:67" ht="151.5" customHeight="1" x14ac:dyDescent="0.3">
      <c r="A45" s="687"/>
      <c r="B45" s="690"/>
      <c r="C45" s="690"/>
      <c r="D45" s="690"/>
      <c r="E45" s="693"/>
      <c r="F45" s="690"/>
      <c r="G45" s="696"/>
      <c r="H45" s="699"/>
      <c r="I45" s="702"/>
      <c r="J45" s="705"/>
      <c r="K45" s="702">
        <f>IF(NOT(ISERROR(MATCH(J45,_xlfn.ANCHORARRAY(E56),0))),I58&amp;"Por favor no seleccionar los criterios de impacto",J45)</f>
        <v>0</v>
      </c>
      <c r="L45" s="699"/>
      <c r="M45" s="702"/>
      <c r="N45" s="708"/>
      <c r="O45" s="338">
        <v>6</v>
      </c>
      <c r="P45" s="227"/>
      <c r="Q45" s="228" t="str">
        <f t="shared" si="6"/>
        <v/>
      </c>
      <c r="R45" s="229"/>
      <c r="S45" s="229"/>
      <c r="T45" s="230" t="str">
        <f t="shared" si="7"/>
        <v/>
      </c>
      <c r="U45" s="229"/>
      <c r="V45" s="229"/>
      <c r="W45" s="229"/>
      <c r="X45" s="231" t="str">
        <f>IFERROR(IF(AND(Q44="Probabilidad",Q45="Probabilidad"),(Z44-(+Z44*T45)),IF(AND(Q44="Impacto",Q45="Probabilidad"),(Z43-(+Z43*T45)),IF(Q45="Impacto",Z44,""))),"")</f>
        <v/>
      </c>
      <c r="Y45" s="232" t="str">
        <f t="shared" si="4"/>
        <v/>
      </c>
      <c r="Z45" s="233" t="str">
        <f t="shared" si="8"/>
        <v/>
      </c>
      <c r="AA45" s="232" t="str">
        <f>IFERROR(IF(AB45="","",IF(AB45&lt;=0.2,"Leve",IF(AB45&lt;=0.4,"Menor",IF(AB45&lt;=0.6,"Moderado",IF(AB45&lt;=0.8,"Mayor","Catastrófico"))))),"")</f>
        <v/>
      </c>
      <c r="AB45" s="233" t="str">
        <f>IFERROR(IF(AND(Q44="Impacto",Q45="Impacto"),(AB44-(+AB44*T45)),IF(AND(Q44="Probabilidad",Q45="Impacto"),(AB43-(+AB43*T45)),IF(Q45="Probabilidad",AB44,""))),"")</f>
        <v/>
      </c>
      <c r="AC45" s="234" t="str">
        <f t="shared" si="9"/>
        <v/>
      </c>
      <c r="AD45" s="235"/>
      <c r="AE45" s="236"/>
      <c r="AF45" s="237"/>
      <c r="AG45" s="238"/>
      <c r="AH45" s="238"/>
      <c r="AI45" s="236"/>
      <c r="AJ45" s="237"/>
      <c r="AK45" s="237"/>
      <c r="AL45" s="237"/>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row>
    <row r="46" spans="1:67" ht="151.5" customHeight="1" x14ac:dyDescent="0.3">
      <c r="A46" s="685">
        <v>7</v>
      </c>
      <c r="B46" s="688"/>
      <c r="C46" s="688"/>
      <c r="D46" s="688"/>
      <c r="E46" s="691"/>
      <c r="F46" s="688"/>
      <c r="G46" s="694"/>
      <c r="H46" s="697" t="str">
        <f>IF(G46&lt;=0,"",IF(G46&lt;=2,"Muy Baja",IF(G46&lt;=24,"Baja",IF(G46&lt;=500,"Media",IF(G46&lt;=5000,"Alta","Muy Alta")))))</f>
        <v/>
      </c>
      <c r="I46" s="700" t="str">
        <f>IF(H46="","",IF(H46="Muy Baja",0.2,IF(H46="Baja",0.4,IF(H46="Media",0.6,IF(H46="Alta",0.8,IF(H46="Muy Alta",1,))))))</f>
        <v/>
      </c>
      <c r="J46" s="703"/>
      <c r="K46" s="700">
        <f>IF(NOT(ISERROR(MATCH(J46,'Tabla Impacto'!$B$221:$B$223,0))),'Tabla Impacto'!$F$223&amp;"Por favor no seleccionar los criterios de impacto(Afectación Económica o presupuestal y Pérdida Reputacional)",J46)</f>
        <v>0</v>
      </c>
      <c r="L46" s="697" t="str">
        <f>IF(OR(K46='Tabla Impacto'!$C$11,K46='Tabla Impacto'!$D$11),"Leve",IF(OR(K46='Tabla Impacto'!$C$12,K46='Tabla Impacto'!$D$12),"Menor",IF(OR(K46='Tabla Impacto'!$C$13,K46='Tabla Impacto'!$D$13),"Moderado",IF(OR(K46='Tabla Impacto'!$C$14,K46='Tabla Impacto'!$D$14),"Mayor",IF(OR(K46='Tabla Impacto'!$C$15,K46='Tabla Impacto'!$D$15),"Catastrófico","")))))</f>
        <v/>
      </c>
      <c r="M46" s="700" t="str">
        <f>IF(L46="","",IF(L46="Leve",0.2,IF(L46="Menor",0.4,IF(L46="Moderado",0.6,IF(L46="Mayor",0.8,IF(L46="Catastrófico",1,))))))</f>
        <v/>
      </c>
      <c r="N46" s="70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38">
        <v>1</v>
      </c>
      <c r="P46" s="227"/>
      <c r="Q46" s="228" t="str">
        <f t="shared" si="6"/>
        <v/>
      </c>
      <c r="R46" s="229"/>
      <c r="S46" s="229"/>
      <c r="T46" s="230" t="str">
        <f t="shared" si="7"/>
        <v/>
      </c>
      <c r="U46" s="229"/>
      <c r="V46" s="229"/>
      <c r="W46" s="229"/>
      <c r="X46" s="231" t="str">
        <f>IFERROR(IF(Q46="Probabilidad",(I46-(+I46*T46)),IF(Q46="Impacto",I46,"")),"")</f>
        <v/>
      </c>
      <c r="Y46" s="232" t="str">
        <f>IFERROR(IF(X46="","",IF(X46&lt;=0.2,"Muy Baja",IF(X46&lt;=0.4,"Baja",IF(X46&lt;=0.6,"Media",IF(X46&lt;=0.8,"Alta","Muy Alta"))))),"")</f>
        <v/>
      </c>
      <c r="Z46" s="233" t="str">
        <f t="shared" si="8"/>
        <v/>
      </c>
      <c r="AA46" s="232" t="str">
        <f>IFERROR(IF(AB46="","",IF(AB46&lt;=0.2,"Leve",IF(AB46&lt;=0.4,"Menor",IF(AB46&lt;=0.6,"Moderado",IF(AB46&lt;=0.8,"Mayor","Catastrófico"))))),"")</f>
        <v/>
      </c>
      <c r="AB46" s="233" t="str">
        <f>IFERROR(IF(Q46="Impacto",(M46-(+M46*T46)),IF(Q46="Probabilidad",M46,"")),"")</f>
        <v/>
      </c>
      <c r="AC46" s="234" t="str">
        <f t="shared" si="9"/>
        <v/>
      </c>
      <c r="AD46" s="235"/>
      <c r="AE46" s="236"/>
      <c r="AF46" s="237"/>
      <c r="AG46" s="238"/>
      <c r="AH46" s="238"/>
      <c r="AI46" s="236"/>
      <c r="AJ46" s="237"/>
      <c r="AK46" s="237"/>
      <c r="AL46" s="237"/>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row>
    <row r="47" spans="1:67" ht="151.5" customHeight="1" x14ac:dyDescent="0.3">
      <c r="A47" s="686"/>
      <c r="B47" s="689"/>
      <c r="C47" s="689"/>
      <c r="D47" s="689"/>
      <c r="E47" s="692"/>
      <c r="F47" s="689"/>
      <c r="G47" s="695"/>
      <c r="H47" s="698"/>
      <c r="I47" s="701"/>
      <c r="J47" s="704"/>
      <c r="K47" s="701">
        <f>IF(NOT(ISERROR(MATCH(J47,_xlfn.ANCHORARRAY(E58),0))),I60&amp;"Por favor no seleccionar los criterios de impacto",J47)</f>
        <v>0</v>
      </c>
      <c r="L47" s="698"/>
      <c r="M47" s="701"/>
      <c r="N47" s="707"/>
      <c r="O47" s="338">
        <v>2</v>
      </c>
      <c r="P47" s="227"/>
      <c r="Q47" s="228" t="str">
        <f t="shared" si="6"/>
        <v/>
      </c>
      <c r="R47" s="229"/>
      <c r="S47" s="229"/>
      <c r="T47" s="230" t="str">
        <f t="shared" si="7"/>
        <v/>
      </c>
      <c r="U47" s="229"/>
      <c r="V47" s="229"/>
      <c r="W47" s="229"/>
      <c r="X47" s="231" t="str">
        <f>IFERROR(IF(AND(Q46="Probabilidad",Q47="Probabilidad"),(Z46-(+Z46*T47)),IF(Q47="Probabilidad",(I46-(+I46*T47)),IF(Q47="Impacto",Z46,""))),"")</f>
        <v/>
      </c>
      <c r="Y47" s="232" t="str">
        <f t="shared" si="4"/>
        <v/>
      </c>
      <c r="Z47" s="233" t="str">
        <f t="shared" si="8"/>
        <v/>
      </c>
      <c r="AA47" s="232" t="str">
        <f t="shared" si="5"/>
        <v/>
      </c>
      <c r="AB47" s="233" t="str">
        <f>IFERROR(IF(AND(Q46="Impacto",Q47="Impacto"),(AB46-(+AB46*T47)),IF(Q47="Impacto",(M46-(+M46*T47)),IF(Q47="Probabilidad",AB46,""))),"")</f>
        <v/>
      </c>
      <c r="AC47" s="234" t="str">
        <f t="shared" si="9"/>
        <v/>
      </c>
      <c r="AD47" s="235"/>
      <c r="AE47" s="236"/>
      <c r="AF47" s="237"/>
      <c r="AG47" s="238"/>
      <c r="AH47" s="238"/>
      <c r="AI47" s="236"/>
      <c r="AJ47" s="237"/>
      <c r="AK47" s="237"/>
      <c r="AL47" s="237"/>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row>
    <row r="48" spans="1:67" ht="151.5" customHeight="1" x14ac:dyDescent="0.3">
      <c r="A48" s="686"/>
      <c r="B48" s="689"/>
      <c r="C48" s="689"/>
      <c r="D48" s="689"/>
      <c r="E48" s="692"/>
      <c r="F48" s="689"/>
      <c r="G48" s="695"/>
      <c r="H48" s="698"/>
      <c r="I48" s="701"/>
      <c r="J48" s="704"/>
      <c r="K48" s="701">
        <f>IF(NOT(ISERROR(MATCH(J48,_xlfn.ANCHORARRAY(E59),0))),I61&amp;"Por favor no seleccionar los criterios de impacto",J48)</f>
        <v>0</v>
      </c>
      <c r="L48" s="698"/>
      <c r="M48" s="701"/>
      <c r="N48" s="707"/>
      <c r="O48" s="338">
        <v>3</v>
      </c>
      <c r="P48" s="241"/>
      <c r="Q48" s="228" t="str">
        <f t="shared" si="6"/>
        <v/>
      </c>
      <c r="R48" s="229"/>
      <c r="S48" s="229"/>
      <c r="T48" s="230" t="str">
        <f t="shared" si="7"/>
        <v/>
      </c>
      <c r="U48" s="229"/>
      <c r="V48" s="229"/>
      <c r="W48" s="229"/>
      <c r="X48" s="231" t="str">
        <f>IFERROR(IF(AND(Q47="Probabilidad",Q48="Probabilidad"),(Z47-(+Z47*T48)),IF(AND(Q47="Impacto",Q48="Probabilidad"),(Z46-(+Z46*T48)),IF(Q48="Impacto",Z47,""))),"")</f>
        <v/>
      </c>
      <c r="Y48" s="232" t="str">
        <f t="shared" si="4"/>
        <v/>
      </c>
      <c r="Z48" s="233" t="str">
        <f t="shared" si="8"/>
        <v/>
      </c>
      <c r="AA48" s="232" t="str">
        <f t="shared" si="5"/>
        <v/>
      </c>
      <c r="AB48" s="233" t="str">
        <f>IFERROR(IF(AND(Q47="Impacto",Q48="Impacto"),(AB47-(+AB47*T48)),IF(AND(Q47="Probabilidad",Q48="Impacto"),(AB46-(+AB46*T48)),IF(Q48="Probabilidad",AB47,""))),"")</f>
        <v/>
      </c>
      <c r="AC48" s="234" t="str">
        <f t="shared" si="9"/>
        <v/>
      </c>
      <c r="AD48" s="235"/>
      <c r="AE48" s="236"/>
      <c r="AF48" s="237"/>
      <c r="AG48" s="238"/>
      <c r="AH48" s="238"/>
      <c r="AI48" s="236"/>
      <c r="AJ48" s="237"/>
      <c r="AK48" s="237"/>
      <c r="AL48" s="237"/>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row>
    <row r="49" spans="1:67" ht="151.5" customHeight="1" x14ac:dyDescent="0.3">
      <c r="A49" s="686"/>
      <c r="B49" s="689"/>
      <c r="C49" s="689"/>
      <c r="D49" s="689"/>
      <c r="E49" s="692"/>
      <c r="F49" s="689"/>
      <c r="G49" s="695"/>
      <c r="H49" s="698"/>
      <c r="I49" s="701"/>
      <c r="J49" s="704"/>
      <c r="K49" s="701">
        <f>IF(NOT(ISERROR(MATCH(J49,_xlfn.ANCHORARRAY(E60),0))),I62&amp;"Por favor no seleccionar los criterios de impacto",J49)</f>
        <v>0</v>
      </c>
      <c r="L49" s="698"/>
      <c r="M49" s="701"/>
      <c r="N49" s="707"/>
      <c r="O49" s="338">
        <v>4</v>
      </c>
      <c r="P49" s="227"/>
      <c r="Q49" s="228" t="str">
        <f t="shared" si="6"/>
        <v/>
      </c>
      <c r="R49" s="229"/>
      <c r="S49" s="229"/>
      <c r="T49" s="230" t="str">
        <f t="shared" si="7"/>
        <v/>
      </c>
      <c r="U49" s="229"/>
      <c r="V49" s="229"/>
      <c r="W49" s="229"/>
      <c r="X49" s="231" t="str">
        <f>IFERROR(IF(AND(Q48="Probabilidad",Q49="Probabilidad"),(Z48-(+Z48*T49)),IF(AND(Q48="Impacto",Q49="Probabilidad"),(Z47-(+Z47*T49)),IF(Q49="Impacto",Z48,""))),"")</f>
        <v/>
      </c>
      <c r="Y49" s="232" t="str">
        <f t="shared" si="4"/>
        <v/>
      </c>
      <c r="Z49" s="233" t="str">
        <f t="shared" si="8"/>
        <v/>
      </c>
      <c r="AA49" s="232" t="str">
        <f t="shared" si="5"/>
        <v/>
      </c>
      <c r="AB49" s="233" t="str">
        <f>IFERROR(IF(AND(Q48="Impacto",Q49="Impacto"),(AB48-(+AB48*T49)),IF(AND(Q48="Probabilidad",Q49="Impacto"),(AB47-(+AB47*T49)),IF(Q49="Probabilidad",AB48,""))),"")</f>
        <v/>
      </c>
      <c r="AC49" s="234" t="str">
        <f t="shared" si="9"/>
        <v/>
      </c>
      <c r="AD49" s="235"/>
      <c r="AE49" s="236"/>
      <c r="AF49" s="237"/>
      <c r="AG49" s="238"/>
      <c r="AH49" s="238"/>
      <c r="AI49" s="236"/>
      <c r="AJ49" s="237"/>
      <c r="AK49" s="237"/>
      <c r="AL49" s="237"/>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row>
    <row r="50" spans="1:67" ht="151.5" customHeight="1" x14ac:dyDescent="0.3">
      <c r="A50" s="686"/>
      <c r="B50" s="689"/>
      <c r="C50" s="689"/>
      <c r="D50" s="689"/>
      <c r="E50" s="692"/>
      <c r="F50" s="689"/>
      <c r="G50" s="695"/>
      <c r="H50" s="698"/>
      <c r="I50" s="701"/>
      <c r="J50" s="704"/>
      <c r="K50" s="701">
        <f>IF(NOT(ISERROR(MATCH(J50,_xlfn.ANCHORARRAY(E61),0))),I63&amp;"Por favor no seleccionar los criterios de impacto",J50)</f>
        <v>0</v>
      </c>
      <c r="L50" s="698"/>
      <c r="M50" s="701"/>
      <c r="N50" s="707"/>
      <c r="O50" s="338">
        <v>5</v>
      </c>
      <c r="P50" s="227"/>
      <c r="Q50" s="228" t="str">
        <f t="shared" si="6"/>
        <v/>
      </c>
      <c r="R50" s="229"/>
      <c r="S50" s="229"/>
      <c r="T50" s="230" t="str">
        <f t="shared" si="7"/>
        <v/>
      </c>
      <c r="U50" s="229"/>
      <c r="V50" s="229"/>
      <c r="W50" s="229"/>
      <c r="X50" s="231" t="str">
        <f>IFERROR(IF(AND(Q49="Probabilidad",Q50="Probabilidad"),(Z49-(+Z49*T50)),IF(AND(Q49="Impacto",Q50="Probabilidad"),(Z48-(+Z48*T50)),IF(Q50="Impacto",Z49,""))),"")</f>
        <v/>
      </c>
      <c r="Y50" s="232" t="str">
        <f t="shared" si="4"/>
        <v/>
      </c>
      <c r="Z50" s="233" t="str">
        <f t="shared" si="8"/>
        <v/>
      </c>
      <c r="AA50" s="232" t="str">
        <f t="shared" si="5"/>
        <v/>
      </c>
      <c r="AB50" s="233" t="str">
        <f>IFERROR(IF(AND(Q49="Impacto",Q50="Impacto"),(AB49-(+AB49*T50)),IF(AND(Q49="Probabilidad",Q50="Impacto"),(AB48-(+AB48*T50)),IF(Q50="Probabilidad",AB49,""))),"")</f>
        <v/>
      </c>
      <c r="AC50" s="234" t="str">
        <f t="shared" si="9"/>
        <v/>
      </c>
      <c r="AD50" s="235"/>
      <c r="AE50" s="236"/>
      <c r="AF50" s="237"/>
      <c r="AG50" s="238"/>
      <c r="AH50" s="238"/>
      <c r="AI50" s="236"/>
      <c r="AJ50" s="237"/>
      <c r="AK50" s="237"/>
      <c r="AL50" s="237"/>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row>
    <row r="51" spans="1:67" ht="151.5" customHeight="1" x14ac:dyDescent="0.3">
      <c r="A51" s="687"/>
      <c r="B51" s="690"/>
      <c r="C51" s="690"/>
      <c r="D51" s="690"/>
      <c r="E51" s="693"/>
      <c r="F51" s="690"/>
      <c r="G51" s="696"/>
      <c r="H51" s="699"/>
      <c r="I51" s="702"/>
      <c r="J51" s="705"/>
      <c r="K51" s="702">
        <f>IF(NOT(ISERROR(MATCH(J51,_xlfn.ANCHORARRAY(E62),0))),I64&amp;"Por favor no seleccionar los criterios de impacto",J51)</f>
        <v>0</v>
      </c>
      <c r="L51" s="699"/>
      <c r="M51" s="702"/>
      <c r="N51" s="708"/>
      <c r="O51" s="338">
        <v>6</v>
      </c>
      <c r="P51" s="227"/>
      <c r="Q51" s="228" t="str">
        <f t="shared" si="6"/>
        <v/>
      </c>
      <c r="R51" s="229"/>
      <c r="S51" s="229"/>
      <c r="T51" s="230" t="str">
        <f t="shared" si="7"/>
        <v/>
      </c>
      <c r="U51" s="229"/>
      <c r="V51" s="229"/>
      <c r="W51" s="229"/>
      <c r="X51" s="231" t="str">
        <f>IFERROR(IF(AND(Q50="Probabilidad",Q51="Probabilidad"),(Z50-(+Z50*T51)),IF(AND(Q50="Impacto",Q51="Probabilidad"),(Z49-(+Z49*T51)),IF(Q51="Impacto",Z50,""))),"")</f>
        <v/>
      </c>
      <c r="Y51" s="232" t="str">
        <f t="shared" si="4"/>
        <v/>
      </c>
      <c r="Z51" s="233" t="str">
        <f t="shared" si="8"/>
        <v/>
      </c>
      <c r="AA51" s="232" t="str">
        <f t="shared" si="5"/>
        <v/>
      </c>
      <c r="AB51" s="233" t="str">
        <f>IFERROR(IF(AND(Q50="Impacto",Q51="Impacto"),(AB50-(+AB50*T51)),IF(AND(Q50="Probabilidad",Q51="Impacto"),(AB49-(+AB49*T51)),IF(Q51="Probabilidad",AB50,""))),"")</f>
        <v/>
      </c>
      <c r="AC51" s="234" t="str">
        <f t="shared" si="9"/>
        <v/>
      </c>
      <c r="AD51" s="235"/>
      <c r="AE51" s="236"/>
      <c r="AF51" s="237"/>
      <c r="AG51" s="238"/>
      <c r="AH51" s="238"/>
      <c r="AI51" s="236"/>
      <c r="AJ51" s="237"/>
      <c r="AK51" s="237"/>
      <c r="AL51" s="237"/>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row>
    <row r="52" spans="1:67" ht="151.5" customHeight="1" x14ac:dyDescent="0.3">
      <c r="A52" s="685">
        <v>8</v>
      </c>
      <c r="B52" s="688"/>
      <c r="C52" s="688"/>
      <c r="D52" s="688"/>
      <c r="E52" s="691"/>
      <c r="F52" s="688"/>
      <c r="G52" s="694"/>
      <c r="H52" s="697" t="str">
        <f>IF(G52&lt;=0,"",IF(G52&lt;=2,"Muy Baja",IF(G52&lt;=24,"Baja",IF(G52&lt;=500,"Media",IF(G52&lt;=5000,"Alta","Muy Alta")))))</f>
        <v/>
      </c>
      <c r="I52" s="700" t="str">
        <f>IF(H52="","",IF(H52="Muy Baja",0.2,IF(H52="Baja",0.4,IF(H52="Media",0.6,IF(H52="Alta",0.8,IF(H52="Muy Alta",1,))))))</f>
        <v/>
      </c>
      <c r="J52" s="703"/>
      <c r="K52" s="700">
        <f>IF(NOT(ISERROR(MATCH(J52,'Tabla Impacto'!$B$221:$B$223,0))),'Tabla Impacto'!$F$223&amp;"Por favor no seleccionar los criterios de impacto(Afectación Económica o presupuestal y Pérdida Reputacional)",J52)</f>
        <v>0</v>
      </c>
      <c r="L52" s="697" t="str">
        <f>IF(OR(K52='Tabla Impacto'!$C$11,K52='Tabla Impacto'!$D$11),"Leve",IF(OR(K52='Tabla Impacto'!$C$12,K52='Tabla Impacto'!$D$12),"Menor",IF(OR(K52='Tabla Impacto'!$C$13,K52='Tabla Impacto'!$D$13),"Moderado",IF(OR(K52='Tabla Impacto'!$C$14,K52='Tabla Impacto'!$D$14),"Mayor",IF(OR(K52='Tabla Impacto'!$C$15,K52='Tabla Impacto'!$D$15),"Catastrófico","")))))</f>
        <v/>
      </c>
      <c r="M52" s="700" t="str">
        <f>IF(L52="","",IF(L52="Leve",0.2,IF(L52="Menor",0.4,IF(L52="Moderado",0.6,IF(L52="Mayor",0.8,IF(L52="Catastrófico",1,))))))</f>
        <v/>
      </c>
      <c r="N52" s="70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38">
        <v>1</v>
      </c>
      <c r="P52" s="227"/>
      <c r="Q52" s="228" t="str">
        <f t="shared" si="6"/>
        <v/>
      </c>
      <c r="R52" s="229"/>
      <c r="S52" s="229"/>
      <c r="T52" s="230" t="str">
        <f t="shared" si="7"/>
        <v/>
      </c>
      <c r="U52" s="229"/>
      <c r="V52" s="229"/>
      <c r="W52" s="229"/>
      <c r="X52" s="231" t="str">
        <f>IFERROR(IF(Q52="Probabilidad",(I52-(+I52*T52)),IF(Q52="Impacto",I52,"")),"")</f>
        <v/>
      </c>
      <c r="Y52" s="232" t="str">
        <f>IFERROR(IF(X52="","",IF(X52&lt;=0.2,"Muy Baja",IF(X52&lt;=0.4,"Baja",IF(X52&lt;=0.6,"Media",IF(X52&lt;=0.8,"Alta","Muy Alta"))))),"")</f>
        <v/>
      </c>
      <c r="Z52" s="233" t="str">
        <f t="shared" si="8"/>
        <v/>
      </c>
      <c r="AA52" s="232" t="str">
        <f>IFERROR(IF(AB52="","",IF(AB52&lt;=0.2,"Leve",IF(AB52&lt;=0.4,"Menor",IF(AB52&lt;=0.6,"Moderado",IF(AB52&lt;=0.8,"Mayor","Catastrófico"))))),"")</f>
        <v/>
      </c>
      <c r="AB52" s="233" t="str">
        <f>IFERROR(IF(Q52="Impacto",(M52-(+M52*T52)),IF(Q52="Probabilidad",M52,"")),"")</f>
        <v/>
      </c>
      <c r="AC52" s="234" t="str">
        <f t="shared" si="9"/>
        <v/>
      </c>
      <c r="AD52" s="235"/>
      <c r="AE52" s="236"/>
      <c r="AF52" s="237"/>
      <c r="AG52" s="238"/>
      <c r="AH52" s="238"/>
      <c r="AI52" s="236"/>
      <c r="AJ52" s="237"/>
      <c r="AK52" s="237"/>
      <c r="AL52" s="237"/>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row>
    <row r="53" spans="1:67" ht="151.5" customHeight="1" x14ac:dyDescent="0.3">
      <c r="A53" s="686"/>
      <c r="B53" s="689"/>
      <c r="C53" s="689"/>
      <c r="D53" s="689"/>
      <c r="E53" s="692"/>
      <c r="F53" s="689"/>
      <c r="G53" s="695"/>
      <c r="H53" s="698"/>
      <c r="I53" s="701"/>
      <c r="J53" s="704"/>
      <c r="K53" s="701">
        <f>IF(NOT(ISERROR(MATCH(J53,_xlfn.ANCHORARRAY(E64),0))),I66&amp;"Por favor no seleccionar los criterios de impacto",J53)</f>
        <v>0</v>
      </c>
      <c r="L53" s="698"/>
      <c r="M53" s="701"/>
      <c r="N53" s="707"/>
      <c r="O53" s="338">
        <v>2</v>
      </c>
      <c r="P53" s="227"/>
      <c r="Q53" s="228" t="str">
        <f t="shared" si="6"/>
        <v/>
      </c>
      <c r="R53" s="229"/>
      <c r="S53" s="229"/>
      <c r="T53" s="230" t="str">
        <f t="shared" si="7"/>
        <v/>
      </c>
      <c r="U53" s="229"/>
      <c r="V53" s="229"/>
      <c r="W53" s="229"/>
      <c r="X53" s="231" t="str">
        <f>IFERROR(IF(AND(Q52="Probabilidad",Q53="Probabilidad"),(Z52-(+Z52*T53)),IF(Q53="Probabilidad",(I52-(+I52*T53)),IF(Q53="Impacto",Z52,""))),"")</f>
        <v/>
      </c>
      <c r="Y53" s="232" t="str">
        <f t="shared" si="4"/>
        <v/>
      </c>
      <c r="Z53" s="233" t="str">
        <f t="shared" si="8"/>
        <v/>
      </c>
      <c r="AA53" s="232" t="str">
        <f t="shared" si="5"/>
        <v/>
      </c>
      <c r="AB53" s="233" t="str">
        <f>IFERROR(IF(AND(Q52="Impacto",Q53="Impacto"),(AB52-(+AB52*T53)),IF(Q53="Impacto",(M52-(+M52*T53)),IF(Q53="Probabilidad",AB52,""))),"")</f>
        <v/>
      </c>
      <c r="AC53" s="234" t="str">
        <f t="shared" si="9"/>
        <v/>
      </c>
      <c r="AD53" s="235"/>
      <c r="AE53" s="236"/>
      <c r="AF53" s="237"/>
      <c r="AG53" s="238"/>
      <c r="AH53" s="238"/>
      <c r="AI53" s="236"/>
      <c r="AJ53" s="237"/>
      <c r="AK53" s="237"/>
      <c r="AL53" s="237"/>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row>
    <row r="54" spans="1:67" ht="151.5" customHeight="1" x14ac:dyDescent="0.3">
      <c r="A54" s="686"/>
      <c r="B54" s="689"/>
      <c r="C54" s="689"/>
      <c r="D54" s="689"/>
      <c r="E54" s="692"/>
      <c r="F54" s="689"/>
      <c r="G54" s="695"/>
      <c r="H54" s="698"/>
      <c r="I54" s="701"/>
      <c r="J54" s="704"/>
      <c r="K54" s="701">
        <f>IF(NOT(ISERROR(MATCH(J54,_xlfn.ANCHORARRAY(E65),0))),I67&amp;"Por favor no seleccionar los criterios de impacto",J54)</f>
        <v>0</v>
      </c>
      <c r="L54" s="698"/>
      <c r="M54" s="701"/>
      <c r="N54" s="707"/>
      <c r="O54" s="338">
        <v>3</v>
      </c>
      <c r="P54" s="241"/>
      <c r="Q54" s="228" t="str">
        <f t="shared" si="6"/>
        <v/>
      </c>
      <c r="R54" s="229"/>
      <c r="S54" s="229"/>
      <c r="T54" s="230" t="str">
        <f t="shared" si="7"/>
        <v/>
      </c>
      <c r="U54" s="229"/>
      <c r="V54" s="229"/>
      <c r="W54" s="229"/>
      <c r="X54" s="231" t="str">
        <f>IFERROR(IF(AND(Q53="Probabilidad",Q54="Probabilidad"),(Z53-(+Z53*T54)),IF(AND(Q53="Impacto",Q54="Probabilidad"),(Z52-(+Z52*T54)),IF(Q54="Impacto",Z53,""))),"")</f>
        <v/>
      </c>
      <c r="Y54" s="232" t="str">
        <f t="shared" si="4"/>
        <v/>
      </c>
      <c r="Z54" s="233" t="str">
        <f t="shared" si="8"/>
        <v/>
      </c>
      <c r="AA54" s="232" t="str">
        <f t="shared" si="5"/>
        <v/>
      </c>
      <c r="AB54" s="233" t="str">
        <f>IFERROR(IF(AND(Q53="Impacto",Q54="Impacto"),(AB53-(+AB53*T54)),IF(AND(Q53="Probabilidad",Q54="Impacto"),(AB52-(+AB52*T54)),IF(Q54="Probabilidad",AB53,""))),"")</f>
        <v/>
      </c>
      <c r="AC54" s="234" t="str">
        <f t="shared" si="9"/>
        <v/>
      </c>
      <c r="AD54" s="235"/>
      <c r="AE54" s="236"/>
      <c r="AF54" s="237"/>
      <c r="AG54" s="238"/>
      <c r="AH54" s="238"/>
      <c r="AI54" s="236"/>
      <c r="AJ54" s="237"/>
      <c r="AK54" s="237"/>
      <c r="AL54" s="237"/>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row>
    <row r="55" spans="1:67" ht="151.5" customHeight="1" x14ac:dyDescent="0.3">
      <c r="A55" s="686"/>
      <c r="B55" s="689"/>
      <c r="C55" s="689"/>
      <c r="D55" s="689"/>
      <c r="E55" s="692"/>
      <c r="F55" s="689"/>
      <c r="G55" s="695"/>
      <c r="H55" s="698"/>
      <c r="I55" s="701"/>
      <c r="J55" s="704"/>
      <c r="K55" s="701">
        <f>IF(NOT(ISERROR(MATCH(J55,_xlfn.ANCHORARRAY(E66),0))),I68&amp;"Por favor no seleccionar los criterios de impacto",J55)</f>
        <v>0</v>
      </c>
      <c r="L55" s="698"/>
      <c r="M55" s="701"/>
      <c r="N55" s="707"/>
      <c r="O55" s="338">
        <v>4</v>
      </c>
      <c r="P55" s="227"/>
      <c r="Q55" s="228" t="str">
        <f t="shared" si="6"/>
        <v/>
      </c>
      <c r="R55" s="229"/>
      <c r="S55" s="229"/>
      <c r="T55" s="230" t="str">
        <f t="shared" si="7"/>
        <v/>
      </c>
      <c r="U55" s="229"/>
      <c r="V55" s="229"/>
      <c r="W55" s="229"/>
      <c r="X55" s="231" t="str">
        <f>IFERROR(IF(AND(Q54="Probabilidad",Q55="Probabilidad"),(Z54-(+Z54*T55)),IF(AND(Q54="Impacto",Q55="Probabilidad"),(Z53-(+Z53*T55)),IF(Q55="Impacto",Z54,""))),"")</f>
        <v/>
      </c>
      <c r="Y55" s="232" t="str">
        <f t="shared" si="4"/>
        <v/>
      </c>
      <c r="Z55" s="233" t="str">
        <f t="shared" si="8"/>
        <v/>
      </c>
      <c r="AA55" s="232" t="str">
        <f t="shared" si="5"/>
        <v/>
      </c>
      <c r="AB55" s="233" t="str">
        <f>IFERROR(IF(AND(Q54="Impacto",Q55="Impacto"),(AB54-(+AB54*T55)),IF(AND(Q54="Probabilidad",Q55="Impacto"),(AB53-(+AB53*T55)),IF(Q55="Probabilidad",AB54,""))),"")</f>
        <v/>
      </c>
      <c r="AC55" s="234" t="str">
        <f t="shared" si="9"/>
        <v/>
      </c>
      <c r="AD55" s="235"/>
      <c r="AE55" s="236"/>
      <c r="AF55" s="237"/>
      <c r="AG55" s="238"/>
      <c r="AH55" s="238"/>
      <c r="AI55" s="236"/>
      <c r="AJ55" s="237"/>
      <c r="AK55" s="237"/>
      <c r="AL55" s="237"/>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row>
    <row r="56" spans="1:67" ht="151.5" customHeight="1" x14ac:dyDescent="0.3">
      <c r="A56" s="686"/>
      <c r="B56" s="689"/>
      <c r="C56" s="689"/>
      <c r="D56" s="689"/>
      <c r="E56" s="692"/>
      <c r="F56" s="689"/>
      <c r="G56" s="695"/>
      <c r="H56" s="698"/>
      <c r="I56" s="701"/>
      <c r="J56" s="704"/>
      <c r="K56" s="701">
        <f>IF(NOT(ISERROR(MATCH(J56,_xlfn.ANCHORARRAY(E67),0))),I69&amp;"Por favor no seleccionar los criterios de impacto",J56)</f>
        <v>0</v>
      </c>
      <c r="L56" s="698"/>
      <c r="M56" s="701"/>
      <c r="N56" s="707"/>
      <c r="O56" s="338">
        <v>5</v>
      </c>
      <c r="P56" s="227"/>
      <c r="Q56" s="228" t="str">
        <f t="shared" si="6"/>
        <v/>
      </c>
      <c r="R56" s="229"/>
      <c r="S56" s="229"/>
      <c r="T56" s="230" t="str">
        <f t="shared" si="7"/>
        <v/>
      </c>
      <c r="U56" s="229"/>
      <c r="V56" s="229"/>
      <c r="W56" s="229"/>
      <c r="X56" s="231" t="str">
        <f>IFERROR(IF(AND(Q55="Probabilidad",Q56="Probabilidad"),(Z55-(+Z55*T56)),IF(AND(Q55="Impacto",Q56="Probabilidad"),(Z54-(+Z54*T56)),IF(Q56="Impacto",Z55,""))),"")</f>
        <v/>
      </c>
      <c r="Y56" s="232" t="str">
        <f t="shared" si="4"/>
        <v/>
      </c>
      <c r="Z56" s="233" t="str">
        <f t="shared" si="8"/>
        <v/>
      </c>
      <c r="AA56" s="232" t="str">
        <f t="shared" si="5"/>
        <v/>
      </c>
      <c r="AB56" s="233" t="str">
        <f>IFERROR(IF(AND(Q55="Impacto",Q56="Impacto"),(AB55-(+AB55*T56)),IF(AND(Q55="Probabilidad",Q56="Impacto"),(AB54-(+AB54*T56)),IF(Q56="Probabilidad",AB55,""))),"")</f>
        <v/>
      </c>
      <c r="AC56" s="234" t="str">
        <f t="shared" si="9"/>
        <v/>
      </c>
      <c r="AD56" s="235"/>
      <c r="AE56" s="236"/>
      <c r="AF56" s="237"/>
      <c r="AG56" s="238"/>
      <c r="AH56" s="238"/>
      <c r="AI56" s="236"/>
      <c r="AJ56" s="237"/>
      <c r="AK56" s="237"/>
      <c r="AL56" s="237"/>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row>
    <row r="57" spans="1:67" ht="151.5" customHeight="1" x14ac:dyDescent="0.3">
      <c r="A57" s="687"/>
      <c r="B57" s="690"/>
      <c r="C57" s="690"/>
      <c r="D57" s="690"/>
      <c r="E57" s="693"/>
      <c r="F57" s="690"/>
      <c r="G57" s="696"/>
      <c r="H57" s="699"/>
      <c r="I57" s="702"/>
      <c r="J57" s="705"/>
      <c r="K57" s="702">
        <f>IF(NOT(ISERROR(MATCH(J57,_xlfn.ANCHORARRAY(E68),0))),I70&amp;"Por favor no seleccionar los criterios de impacto",J57)</f>
        <v>0</v>
      </c>
      <c r="L57" s="699"/>
      <c r="M57" s="702"/>
      <c r="N57" s="708"/>
      <c r="O57" s="338">
        <v>6</v>
      </c>
      <c r="P57" s="227"/>
      <c r="Q57" s="228" t="str">
        <f t="shared" si="6"/>
        <v/>
      </c>
      <c r="R57" s="229"/>
      <c r="S57" s="229"/>
      <c r="T57" s="230" t="str">
        <f t="shared" si="7"/>
        <v/>
      </c>
      <c r="U57" s="229"/>
      <c r="V57" s="229"/>
      <c r="W57" s="229"/>
      <c r="X57" s="231" t="str">
        <f>IFERROR(IF(AND(Q56="Probabilidad",Q57="Probabilidad"),(Z56-(+Z56*T57)),IF(AND(Q56="Impacto",Q57="Probabilidad"),(Z55-(+Z55*T57)),IF(Q57="Impacto",Z56,""))),"")</f>
        <v/>
      </c>
      <c r="Y57" s="232" t="str">
        <f t="shared" si="4"/>
        <v/>
      </c>
      <c r="Z57" s="233" t="str">
        <f t="shared" si="8"/>
        <v/>
      </c>
      <c r="AA57" s="232" t="str">
        <f t="shared" si="5"/>
        <v/>
      </c>
      <c r="AB57" s="233" t="str">
        <f>IFERROR(IF(AND(Q56="Impacto",Q57="Impacto"),(AB56-(+AB56*T57)),IF(AND(Q56="Probabilidad",Q57="Impacto"),(AB55-(+AB55*T57)),IF(Q57="Probabilidad",AB56,""))),"")</f>
        <v/>
      </c>
      <c r="AC57" s="234" t="str">
        <f t="shared" si="9"/>
        <v/>
      </c>
      <c r="AD57" s="235"/>
      <c r="AE57" s="236"/>
      <c r="AF57" s="237"/>
      <c r="AG57" s="238"/>
      <c r="AH57" s="238"/>
      <c r="AI57" s="236"/>
      <c r="AJ57" s="237"/>
      <c r="AK57" s="237"/>
      <c r="AL57" s="237"/>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row>
    <row r="58" spans="1:67" ht="151.5" customHeight="1" x14ac:dyDescent="0.3">
      <c r="A58" s="685">
        <v>9</v>
      </c>
      <c r="B58" s="688"/>
      <c r="C58" s="688"/>
      <c r="D58" s="688"/>
      <c r="E58" s="691"/>
      <c r="F58" s="688"/>
      <c r="G58" s="694"/>
      <c r="H58" s="697" t="str">
        <f>IF(G58&lt;=0,"",IF(G58&lt;=2,"Muy Baja",IF(G58&lt;=24,"Baja",IF(G58&lt;=500,"Media",IF(G58&lt;=5000,"Alta","Muy Alta")))))</f>
        <v/>
      </c>
      <c r="I58" s="700" t="str">
        <f>IF(H58="","",IF(H58="Muy Baja",0.2,IF(H58="Baja",0.4,IF(H58="Media",0.6,IF(H58="Alta",0.8,IF(H58="Muy Alta",1,))))))</f>
        <v/>
      </c>
      <c r="J58" s="703"/>
      <c r="K58" s="700">
        <f>IF(NOT(ISERROR(MATCH(J58,'Tabla Impacto'!$B$221:$B$223,0))),'Tabla Impacto'!$F$223&amp;"Por favor no seleccionar los criterios de impacto(Afectación Económica o presupuestal y Pérdida Reputacional)",J58)</f>
        <v>0</v>
      </c>
      <c r="L58" s="697" t="str">
        <f>IF(OR(K58='Tabla Impacto'!$C$11,K58='Tabla Impacto'!$D$11),"Leve",IF(OR(K58='Tabla Impacto'!$C$12,K58='Tabla Impacto'!$D$12),"Menor",IF(OR(K58='Tabla Impacto'!$C$13,K58='Tabla Impacto'!$D$13),"Moderado",IF(OR(K58='Tabla Impacto'!$C$14,K58='Tabla Impacto'!$D$14),"Mayor",IF(OR(K58='Tabla Impacto'!$C$15,K58='Tabla Impacto'!$D$15),"Catastrófico","")))))</f>
        <v/>
      </c>
      <c r="M58" s="700" t="str">
        <f>IF(L58="","",IF(L58="Leve",0.2,IF(L58="Menor",0.4,IF(L58="Moderado",0.6,IF(L58="Mayor",0.8,IF(L58="Catastrófico",1,))))))</f>
        <v/>
      </c>
      <c r="N58" s="70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38">
        <v>1</v>
      </c>
      <c r="P58" s="227"/>
      <c r="Q58" s="228" t="str">
        <f t="shared" si="6"/>
        <v/>
      </c>
      <c r="R58" s="229"/>
      <c r="S58" s="229"/>
      <c r="T58" s="230" t="str">
        <f t="shared" si="7"/>
        <v/>
      </c>
      <c r="U58" s="229"/>
      <c r="V58" s="229"/>
      <c r="W58" s="229"/>
      <c r="X58" s="231" t="str">
        <f>IFERROR(IF(Q58="Probabilidad",(I58-(+I58*T58)),IF(Q58="Impacto",I58,"")),"")</f>
        <v/>
      </c>
      <c r="Y58" s="232" t="str">
        <f>IFERROR(IF(X58="","",IF(X58&lt;=0.2,"Muy Baja",IF(X58&lt;=0.4,"Baja",IF(X58&lt;=0.6,"Media",IF(X58&lt;=0.8,"Alta","Muy Alta"))))),"")</f>
        <v/>
      </c>
      <c r="Z58" s="233" t="str">
        <f t="shared" si="8"/>
        <v/>
      </c>
      <c r="AA58" s="232" t="str">
        <f>IFERROR(IF(AB58="","",IF(AB58&lt;=0.2,"Leve",IF(AB58&lt;=0.4,"Menor",IF(AB58&lt;=0.6,"Moderado",IF(AB58&lt;=0.8,"Mayor","Catastrófico"))))),"")</f>
        <v/>
      </c>
      <c r="AB58" s="233" t="str">
        <f>IFERROR(IF(Q58="Impacto",(M58-(+M58*T58)),IF(Q58="Probabilidad",M58,"")),"")</f>
        <v/>
      </c>
      <c r="AC58" s="234" t="str">
        <f t="shared" si="9"/>
        <v/>
      </c>
      <c r="AD58" s="235"/>
      <c r="AE58" s="236"/>
      <c r="AF58" s="237"/>
      <c r="AG58" s="238"/>
      <c r="AH58" s="238"/>
      <c r="AI58" s="236"/>
      <c r="AJ58" s="237"/>
      <c r="AK58" s="237"/>
      <c r="AL58" s="237"/>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row>
    <row r="59" spans="1:67" ht="151.5" customHeight="1" x14ac:dyDescent="0.3">
      <c r="A59" s="686"/>
      <c r="B59" s="689"/>
      <c r="C59" s="689"/>
      <c r="D59" s="689"/>
      <c r="E59" s="692"/>
      <c r="F59" s="689"/>
      <c r="G59" s="695"/>
      <c r="H59" s="698"/>
      <c r="I59" s="701"/>
      <c r="J59" s="704"/>
      <c r="K59" s="701">
        <f>IF(NOT(ISERROR(MATCH(J59,_xlfn.ANCHORARRAY(E70),0))),I72&amp;"Por favor no seleccionar los criterios de impacto",J59)</f>
        <v>0</v>
      </c>
      <c r="L59" s="698"/>
      <c r="M59" s="701"/>
      <c r="N59" s="707"/>
      <c r="O59" s="338">
        <v>2</v>
      </c>
      <c r="P59" s="227"/>
      <c r="Q59" s="228" t="str">
        <f t="shared" si="6"/>
        <v/>
      </c>
      <c r="R59" s="229"/>
      <c r="S59" s="229"/>
      <c r="T59" s="230" t="str">
        <f t="shared" si="7"/>
        <v/>
      </c>
      <c r="U59" s="229"/>
      <c r="V59" s="229"/>
      <c r="W59" s="229"/>
      <c r="X59" s="231" t="str">
        <f>IFERROR(IF(AND(Q58="Probabilidad",Q59="Probabilidad"),(Z58-(+Z58*T59)),IF(Q59="Probabilidad",(I58-(+I58*T59)),IF(Q59="Impacto",Z58,""))),"")</f>
        <v/>
      </c>
      <c r="Y59" s="232" t="str">
        <f t="shared" si="4"/>
        <v/>
      </c>
      <c r="Z59" s="233" t="str">
        <f t="shared" si="8"/>
        <v/>
      </c>
      <c r="AA59" s="232" t="str">
        <f t="shared" si="5"/>
        <v/>
      </c>
      <c r="AB59" s="233" t="str">
        <f>IFERROR(IF(AND(Q58="Impacto",Q59="Impacto"),(AB58-(+AB58*T59)),IF(Q59="Impacto",(M58-(+M58*T59)),IF(Q59="Probabilidad",AB58,""))),"")</f>
        <v/>
      </c>
      <c r="AC59" s="234" t="str">
        <f t="shared" si="9"/>
        <v/>
      </c>
      <c r="AD59" s="235"/>
      <c r="AE59" s="236"/>
      <c r="AF59" s="237"/>
      <c r="AG59" s="238"/>
      <c r="AH59" s="238"/>
      <c r="AI59" s="236"/>
      <c r="AJ59" s="237"/>
      <c r="AK59" s="237"/>
      <c r="AL59" s="237"/>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row>
    <row r="60" spans="1:67" ht="151.5" customHeight="1" x14ac:dyDescent="0.3">
      <c r="A60" s="686"/>
      <c r="B60" s="689"/>
      <c r="C60" s="689"/>
      <c r="D60" s="689"/>
      <c r="E60" s="692"/>
      <c r="F60" s="689"/>
      <c r="G60" s="695"/>
      <c r="H60" s="698"/>
      <c r="I60" s="701"/>
      <c r="J60" s="704"/>
      <c r="K60" s="701">
        <f>IF(NOT(ISERROR(MATCH(J60,_xlfn.ANCHORARRAY(E71),0))),I73&amp;"Por favor no seleccionar los criterios de impacto",J60)</f>
        <v>0</v>
      </c>
      <c r="L60" s="698"/>
      <c r="M60" s="701"/>
      <c r="N60" s="707"/>
      <c r="O60" s="338">
        <v>3</v>
      </c>
      <c r="P60" s="241"/>
      <c r="Q60" s="228" t="str">
        <f t="shared" si="6"/>
        <v/>
      </c>
      <c r="R60" s="229"/>
      <c r="S60" s="229"/>
      <c r="T60" s="230" t="str">
        <f t="shared" si="7"/>
        <v/>
      </c>
      <c r="U60" s="229"/>
      <c r="V60" s="229"/>
      <c r="W60" s="229"/>
      <c r="X60" s="231" t="str">
        <f>IFERROR(IF(AND(Q59="Probabilidad",Q60="Probabilidad"),(Z59-(+Z59*T60)),IF(AND(Q59="Impacto",Q60="Probabilidad"),(Z58-(+Z58*T60)),IF(Q60="Impacto",Z59,""))),"")</f>
        <v/>
      </c>
      <c r="Y60" s="232" t="str">
        <f t="shared" si="4"/>
        <v/>
      </c>
      <c r="Z60" s="233" t="str">
        <f t="shared" si="8"/>
        <v/>
      </c>
      <c r="AA60" s="232" t="str">
        <f t="shared" si="5"/>
        <v/>
      </c>
      <c r="AB60" s="233" t="str">
        <f>IFERROR(IF(AND(Q59="Impacto",Q60="Impacto"),(AB59-(+AB59*T60)),IF(AND(Q59="Probabilidad",Q60="Impacto"),(AB58-(+AB58*T60)),IF(Q60="Probabilidad",AB59,""))),"")</f>
        <v/>
      </c>
      <c r="AC60" s="234" t="str">
        <f t="shared" si="9"/>
        <v/>
      </c>
      <c r="AD60" s="235"/>
      <c r="AE60" s="236"/>
      <c r="AF60" s="237"/>
      <c r="AG60" s="238"/>
      <c r="AH60" s="238"/>
      <c r="AI60" s="236"/>
      <c r="AJ60" s="237"/>
      <c r="AK60" s="237"/>
      <c r="AL60" s="237"/>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row>
    <row r="61" spans="1:67" ht="151.5" customHeight="1" x14ac:dyDescent="0.3">
      <c r="A61" s="686"/>
      <c r="B61" s="689"/>
      <c r="C61" s="689"/>
      <c r="D61" s="689"/>
      <c r="E61" s="692"/>
      <c r="F61" s="689"/>
      <c r="G61" s="695"/>
      <c r="H61" s="698"/>
      <c r="I61" s="701"/>
      <c r="J61" s="704"/>
      <c r="K61" s="701">
        <f>IF(NOT(ISERROR(MATCH(J61,_xlfn.ANCHORARRAY(E72),0))),I74&amp;"Por favor no seleccionar los criterios de impacto",J61)</f>
        <v>0</v>
      </c>
      <c r="L61" s="698"/>
      <c r="M61" s="701"/>
      <c r="N61" s="707"/>
      <c r="O61" s="338">
        <v>4</v>
      </c>
      <c r="P61" s="227"/>
      <c r="Q61" s="228" t="str">
        <f t="shared" si="6"/>
        <v/>
      </c>
      <c r="R61" s="229"/>
      <c r="S61" s="229"/>
      <c r="T61" s="230" t="str">
        <f t="shared" si="7"/>
        <v/>
      </c>
      <c r="U61" s="229"/>
      <c r="V61" s="229"/>
      <c r="W61" s="229"/>
      <c r="X61" s="231" t="str">
        <f>IFERROR(IF(AND(Q60="Probabilidad",Q61="Probabilidad"),(Z60-(+Z60*T61)),IF(AND(Q60="Impacto",Q61="Probabilidad"),(Z59-(+Z59*T61)),IF(Q61="Impacto",Z60,""))),"")</f>
        <v/>
      </c>
      <c r="Y61" s="232" t="str">
        <f t="shared" si="4"/>
        <v/>
      </c>
      <c r="Z61" s="233" t="str">
        <f t="shared" si="8"/>
        <v/>
      </c>
      <c r="AA61" s="232" t="str">
        <f t="shared" si="5"/>
        <v/>
      </c>
      <c r="AB61" s="233" t="str">
        <f>IFERROR(IF(AND(Q60="Impacto",Q61="Impacto"),(AB60-(+AB60*T61)),IF(AND(Q60="Probabilidad",Q61="Impacto"),(AB59-(+AB59*T61)),IF(Q61="Probabilidad",AB60,""))),"")</f>
        <v/>
      </c>
      <c r="AC61" s="234" t="str">
        <f t="shared" si="9"/>
        <v/>
      </c>
      <c r="AD61" s="235"/>
      <c r="AE61" s="236"/>
      <c r="AF61" s="237"/>
      <c r="AG61" s="238"/>
      <c r="AH61" s="238"/>
      <c r="AI61" s="236"/>
      <c r="AJ61" s="237"/>
      <c r="AK61" s="237"/>
      <c r="AL61" s="237"/>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row>
    <row r="62" spans="1:67" ht="151.5" customHeight="1" x14ac:dyDescent="0.3">
      <c r="A62" s="686"/>
      <c r="B62" s="689"/>
      <c r="C62" s="689"/>
      <c r="D62" s="689"/>
      <c r="E62" s="692"/>
      <c r="F62" s="689"/>
      <c r="G62" s="695"/>
      <c r="H62" s="698"/>
      <c r="I62" s="701"/>
      <c r="J62" s="704"/>
      <c r="K62" s="701">
        <f>IF(NOT(ISERROR(MATCH(J62,_xlfn.ANCHORARRAY(E73),0))),I75&amp;"Por favor no seleccionar los criterios de impacto",J62)</f>
        <v>0</v>
      </c>
      <c r="L62" s="698"/>
      <c r="M62" s="701"/>
      <c r="N62" s="707"/>
      <c r="O62" s="338">
        <v>5</v>
      </c>
      <c r="P62" s="227"/>
      <c r="Q62" s="228" t="str">
        <f t="shared" si="6"/>
        <v/>
      </c>
      <c r="R62" s="229"/>
      <c r="S62" s="229"/>
      <c r="T62" s="230" t="str">
        <f t="shared" si="7"/>
        <v/>
      </c>
      <c r="U62" s="229"/>
      <c r="V62" s="229"/>
      <c r="W62" s="229"/>
      <c r="X62" s="231" t="str">
        <f>IFERROR(IF(AND(Q61="Probabilidad",Q62="Probabilidad"),(Z61-(+Z61*T62)),IF(AND(Q61="Impacto",Q62="Probabilidad"),(Z60-(+Z60*T62)),IF(Q62="Impacto",Z61,""))),"")</f>
        <v/>
      </c>
      <c r="Y62" s="232" t="str">
        <f t="shared" si="4"/>
        <v/>
      </c>
      <c r="Z62" s="233" t="str">
        <f t="shared" si="8"/>
        <v/>
      </c>
      <c r="AA62" s="232" t="str">
        <f t="shared" si="5"/>
        <v/>
      </c>
      <c r="AB62" s="233" t="str">
        <f>IFERROR(IF(AND(Q61="Impacto",Q62="Impacto"),(AB61-(+AB61*T62)),IF(AND(Q61="Probabilidad",Q62="Impacto"),(AB60-(+AB60*T62)),IF(Q62="Probabilidad",AB61,""))),"")</f>
        <v/>
      </c>
      <c r="AC62" s="234" t="str">
        <f t="shared" si="9"/>
        <v/>
      </c>
      <c r="AD62" s="235"/>
      <c r="AE62" s="236"/>
      <c r="AF62" s="237"/>
      <c r="AG62" s="238"/>
      <c r="AH62" s="238"/>
      <c r="AI62" s="236"/>
      <c r="AJ62" s="237"/>
      <c r="AK62" s="237"/>
      <c r="AL62" s="237"/>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row>
    <row r="63" spans="1:67" ht="151.5" customHeight="1" x14ac:dyDescent="0.3">
      <c r="A63" s="687"/>
      <c r="B63" s="690"/>
      <c r="C63" s="690"/>
      <c r="D63" s="690"/>
      <c r="E63" s="693"/>
      <c r="F63" s="690"/>
      <c r="G63" s="696"/>
      <c r="H63" s="699"/>
      <c r="I63" s="702"/>
      <c r="J63" s="705"/>
      <c r="K63" s="702">
        <f>IF(NOT(ISERROR(MATCH(J63,_xlfn.ANCHORARRAY(E74),0))),I76&amp;"Por favor no seleccionar los criterios de impacto",J63)</f>
        <v>0</v>
      </c>
      <c r="L63" s="699"/>
      <c r="M63" s="702"/>
      <c r="N63" s="708"/>
      <c r="O63" s="338">
        <v>6</v>
      </c>
      <c r="P63" s="227"/>
      <c r="Q63" s="228" t="str">
        <f t="shared" si="6"/>
        <v/>
      </c>
      <c r="R63" s="229"/>
      <c r="S63" s="229"/>
      <c r="T63" s="230" t="str">
        <f t="shared" si="7"/>
        <v/>
      </c>
      <c r="U63" s="229"/>
      <c r="V63" s="229"/>
      <c r="W63" s="229"/>
      <c r="X63" s="231" t="str">
        <f>IFERROR(IF(AND(Q62="Probabilidad",Q63="Probabilidad"),(Z62-(+Z62*T63)),IF(AND(Q62="Impacto",Q63="Probabilidad"),(Z61-(+Z61*T63)),IF(Q63="Impacto",Z62,""))),"")</f>
        <v/>
      </c>
      <c r="Y63" s="232" t="str">
        <f t="shared" si="4"/>
        <v/>
      </c>
      <c r="Z63" s="233" t="str">
        <f t="shared" si="8"/>
        <v/>
      </c>
      <c r="AA63" s="232" t="str">
        <f t="shared" si="5"/>
        <v/>
      </c>
      <c r="AB63" s="233" t="str">
        <f>IFERROR(IF(AND(Q62="Impacto",Q63="Impacto"),(AB62-(+AB62*T63)),IF(AND(Q62="Probabilidad",Q63="Impacto"),(AB61-(+AB61*T63)),IF(Q63="Probabilidad",AB62,""))),"")</f>
        <v/>
      </c>
      <c r="AC63" s="234" t="str">
        <f t="shared" si="9"/>
        <v/>
      </c>
      <c r="AD63" s="235"/>
      <c r="AE63" s="236"/>
      <c r="AF63" s="237"/>
      <c r="AG63" s="238"/>
      <c r="AH63" s="238"/>
      <c r="AI63" s="236"/>
      <c r="AJ63" s="237"/>
      <c r="AK63" s="237"/>
      <c r="AL63" s="237"/>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row>
    <row r="64" spans="1:67" ht="151.5" customHeight="1" x14ac:dyDescent="0.3">
      <c r="A64" s="685">
        <v>10</v>
      </c>
      <c r="B64" s="688"/>
      <c r="C64" s="688"/>
      <c r="D64" s="688"/>
      <c r="E64" s="691"/>
      <c r="F64" s="688"/>
      <c r="G64" s="694"/>
      <c r="H64" s="697" t="str">
        <f>IF(G64&lt;=0,"",IF(G64&lt;=2,"Muy Baja",IF(G64&lt;=24,"Baja",IF(G64&lt;=500,"Media",IF(G64&lt;=5000,"Alta","Muy Alta")))))</f>
        <v/>
      </c>
      <c r="I64" s="700" t="str">
        <f>IF(H64="","",IF(H64="Muy Baja",0.2,IF(H64="Baja",0.4,IF(H64="Media",0.6,IF(H64="Alta",0.8,IF(H64="Muy Alta",1,))))))</f>
        <v/>
      </c>
      <c r="J64" s="703"/>
      <c r="K64" s="700">
        <f>IF(NOT(ISERROR(MATCH(J64,'Tabla Impacto'!$B$221:$B$223,0))),'Tabla Impacto'!$F$223&amp;"Por favor no seleccionar los criterios de impacto(Afectación Económica o presupuestal y Pérdida Reputacional)",J64)</f>
        <v>0</v>
      </c>
      <c r="L64" s="697" t="str">
        <f>IF(OR(K64='Tabla Impacto'!$C$11,K64='Tabla Impacto'!$D$11),"Leve",IF(OR(K64='Tabla Impacto'!$C$12,K64='Tabla Impacto'!$D$12),"Menor",IF(OR(K64='Tabla Impacto'!$C$13,K64='Tabla Impacto'!$D$13),"Moderado",IF(OR(K64='Tabla Impacto'!$C$14,K64='Tabla Impacto'!$D$14),"Mayor",IF(OR(K64='Tabla Impacto'!$C$15,K64='Tabla Impacto'!$D$15),"Catastrófico","")))))</f>
        <v/>
      </c>
      <c r="M64" s="700" t="str">
        <f>IF(L64="","",IF(L64="Leve",0.2,IF(L64="Menor",0.4,IF(L64="Moderado",0.6,IF(L64="Mayor",0.8,IF(L64="Catastrófico",1,))))))</f>
        <v/>
      </c>
      <c r="N64" s="70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38">
        <v>1</v>
      </c>
      <c r="P64" s="227"/>
      <c r="Q64" s="228" t="str">
        <f t="shared" si="6"/>
        <v/>
      </c>
      <c r="R64" s="229"/>
      <c r="S64" s="229"/>
      <c r="T64" s="230" t="str">
        <f t="shared" si="7"/>
        <v/>
      </c>
      <c r="U64" s="229"/>
      <c r="V64" s="229"/>
      <c r="W64" s="229"/>
      <c r="X64" s="231" t="str">
        <f>IFERROR(IF(Q64="Probabilidad",(I64-(+I64*T64)),IF(Q64="Impacto",I64,"")),"")</f>
        <v/>
      </c>
      <c r="Y64" s="232" t="str">
        <f>IFERROR(IF(X64="","",IF(X64&lt;=0.2,"Muy Baja",IF(X64&lt;=0.4,"Baja",IF(X64&lt;=0.6,"Media",IF(X64&lt;=0.8,"Alta","Muy Alta"))))),"")</f>
        <v/>
      </c>
      <c r="Z64" s="233" t="str">
        <f t="shared" si="8"/>
        <v/>
      </c>
      <c r="AA64" s="232" t="str">
        <f>IFERROR(IF(AB64="","",IF(AB64&lt;=0.2,"Leve",IF(AB64&lt;=0.4,"Menor",IF(AB64&lt;=0.6,"Moderado",IF(AB64&lt;=0.8,"Mayor","Catastrófico"))))),"")</f>
        <v/>
      </c>
      <c r="AB64" s="233" t="str">
        <f>IFERROR(IF(Q64="Impacto",(M64-(+M64*T64)),IF(Q64="Probabilidad",M64,"")),"")</f>
        <v/>
      </c>
      <c r="AC64" s="234" t="str">
        <f t="shared" si="9"/>
        <v/>
      </c>
      <c r="AD64" s="235"/>
      <c r="AE64" s="236"/>
      <c r="AF64" s="237"/>
      <c r="AG64" s="238"/>
      <c r="AH64" s="238"/>
      <c r="AI64" s="236"/>
      <c r="AJ64" s="237"/>
      <c r="AK64" s="237"/>
      <c r="AL64" s="237"/>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row>
    <row r="65" spans="1:38" ht="151.5" customHeight="1" x14ac:dyDescent="0.3">
      <c r="A65" s="686"/>
      <c r="B65" s="689"/>
      <c r="C65" s="689"/>
      <c r="D65" s="689"/>
      <c r="E65" s="692"/>
      <c r="F65" s="689"/>
      <c r="G65" s="695"/>
      <c r="H65" s="698"/>
      <c r="I65" s="701"/>
      <c r="J65" s="704"/>
      <c r="K65" s="701">
        <f>IF(NOT(ISERROR(MATCH(J65,_xlfn.ANCHORARRAY(E76),0))),I78&amp;"Por favor no seleccionar los criterios de impacto",J65)</f>
        <v>0</v>
      </c>
      <c r="L65" s="698"/>
      <c r="M65" s="701"/>
      <c r="N65" s="707"/>
      <c r="O65" s="338">
        <v>2</v>
      </c>
      <c r="P65" s="227"/>
      <c r="Q65" s="228" t="str">
        <f t="shared" si="6"/>
        <v/>
      </c>
      <c r="R65" s="229"/>
      <c r="S65" s="229"/>
      <c r="T65" s="230" t="str">
        <f t="shared" si="7"/>
        <v/>
      </c>
      <c r="U65" s="229"/>
      <c r="V65" s="229"/>
      <c r="W65" s="229"/>
      <c r="X65" s="231" t="str">
        <f>IFERROR(IF(AND(Q64="Probabilidad",Q65="Probabilidad"),(Z64-(+Z64*T65)),IF(Q65="Probabilidad",(I64-(+I64*T65)),IF(Q65="Impacto",Z64,""))),"")</f>
        <v/>
      </c>
      <c r="Y65" s="232" t="str">
        <f t="shared" si="4"/>
        <v/>
      </c>
      <c r="Z65" s="233" t="str">
        <f t="shared" si="8"/>
        <v/>
      </c>
      <c r="AA65" s="232" t="str">
        <f t="shared" si="5"/>
        <v/>
      </c>
      <c r="AB65" s="233" t="str">
        <f>IFERROR(IF(AND(Q64="Impacto",Q65="Impacto"),(AB64-(+AB64*T65)),IF(Q65="Impacto",(M64-(+M64*T65)),IF(Q65="Probabilidad",AB64,""))),"")</f>
        <v/>
      </c>
      <c r="AC65" s="234" t="str">
        <f t="shared" si="9"/>
        <v/>
      </c>
      <c r="AD65" s="235"/>
      <c r="AE65" s="236"/>
      <c r="AF65" s="237"/>
      <c r="AG65" s="238"/>
      <c r="AH65" s="238"/>
      <c r="AI65" s="236"/>
      <c r="AJ65" s="237"/>
      <c r="AK65" s="237"/>
      <c r="AL65" s="237"/>
    </row>
    <row r="66" spans="1:38" ht="151.5" customHeight="1" x14ac:dyDescent="0.3">
      <c r="A66" s="686"/>
      <c r="B66" s="689"/>
      <c r="C66" s="689"/>
      <c r="D66" s="689"/>
      <c r="E66" s="692"/>
      <c r="F66" s="689"/>
      <c r="G66" s="695"/>
      <c r="H66" s="698"/>
      <c r="I66" s="701"/>
      <c r="J66" s="704"/>
      <c r="K66" s="701">
        <f>IF(NOT(ISERROR(MATCH(J66,_xlfn.ANCHORARRAY(E77),0))),I79&amp;"Por favor no seleccionar los criterios de impacto",J66)</f>
        <v>0</v>
      </c>
      <c r="L66" s="698"/>
      <c r="M66" s="701"/>
      <c r="N66" s="707"/>
      <c r="O66" s="338">
        <v>3</v>
      </c>
      <c r="P66" s="241"/>
      <c r="Q66" s="228" t="str">
        <f t="shared" si="6"/>
        <v/>
      </c>
      <c r="R66" s="229"/>
      <c r="S66" s="229"/>
      <c r="T66" s="230" t="str">
        <f t="shared" si="7"/>
        <v/>
      </c>
      <c r="U66" s="229"/>
      <c r="V66" s="229"/>
      <c r="W66" s="229"/>
      <c r="X66" s="231" t="str">
        <f>IFERROR(IF(AND(Q65="Probabilidad",Q66="Probabilidad"),(Z65-(+Z65*T66)),IF(AND(Q65="Impacto",Q66="Probabilidad"),(Z64-(+Z64*T66)),IF(Q66="Impacto",Z65,""))),"")</f>
        <v/>
      </c>
      <c r="Y66" s="232" t="str">
        <f t="shared" si="4"/>
        <v/>
      </c>
      <c r="Z66" s="233" t="str">
        <f t="shared" si="8"/>
        <v/>
      </c>
      <c r="AA66" s="232" t="str">
        <f t="shared" si="5"/>
        <v/>
      </c>
      <c r="AB66" s="233" t="str">
        <f>IFERROR(IF(AND(Q65="Impacto",Q66="Impacto"),(AB65-(+AB65*T66)),IF(AND(Q65="Probabilidad",Q66="Impacto"),(AB64-(+AB64*T66)),IF(Q66="Probabilidad",AB65,""))),"")</f>
        <v/>
      </c>
      <c r="AC66" s="234" t="str">
        <f t="shared" si="9"/>
        <v/>
      </c>
      <c r="AD66" s="235"/>
      <c r="AE66" s="236"/>
      <c r="AF66" s="237"/>
      <c r="AG66" s="238"/>
      <c r="AH66" s="238"/>
      <c r="AI66" s="236"/>
      <c r="AJ66" s="237"/>
      <c r="AK66" s="237"/>
      <c r="AL66" s="237"/>
    </row>
    <row r="67" spans="1:38" ht="151.5" customHeight="1" x14ac:dyDescent="0.3">
      <c r="A67" s="686"/>
      <c r="B67" s="689"/>
      <c r="C67" s="689"/>
      <c r="D67" s="689"/>
      <c r="E67" s="692"/>
      <c r="F67" s="689"/>
      <c r="G67" s="695"/>
      <c r="H67" s="698"/>
      <c r="I67" s="701"/>
      <c r="J67" s="704"/>
      <c r="K67" s="701">
        <f>IF(NOT(ISERROR(MATCH(J67,_xlfn.ANCHORARRAY(E78),0))),I80&amp;"Por favor no seleccionar los criterios de impacto",J67)</f>
        <v>0</v>
      </c>
      <c r="L67" s="698"/>
      <c r="M67" s="701"/>
      <c r="N67" s="707"/>
      <c r="O67" s="338">
        <v>4</v>
      </c>
      <c r="P67" s="227"/>
      <c r="Q67" s="228" t="str">
        <f t="shared" si="6"/>
        <v/>
      </c>
      <c r="R67" s="229"/>
      <c r="S67" s="229"/>
      <c r="T67" s="230" t="str">
        <f t="shared" si="7"/>
        <v/>
      </c>
      <c r="U67" s="229"/>
      <c r="V67" s="229"/>
      <c r="W67" s="229"/>
      <c r="X67" s="231" t="str">
        <f>IFERROR(IF(AND(Q66="Probabilidad",Q67="Probabilidad"),(Z66-(+Z66*T67)),IF(AND(Q66="Impacto",Q67="Probabilidad"),(Z65-(+Z65*T67)),IF(Q67="Impacto",Z66,""))),"")</f>
        <v/>
      </c>
      <c r="Y67" s="232" t="str">
        <f t="shared" si="4"/>
        <v/>
      </c>
      <c r="Z67" s="233" t="str">
        <f t="shared" si="8"/>
        <v/>
      </c>
      <c r="AA67" s="232" t="str">
        <f t="shared" si="5"/>
        <v/>
      </c>
      <c r="AB67" s="233" t="str">
        <f>IFERROR(IF(AND(Q66="Impacto",Q67="Impacto"),(AB66-(+AB66*T67)),IF(AND(Q66="Probabilidad",Q67="Impacto"),(AB65-(+AB65*T67)),IF(Q67="Probabilidad",AB66,""))),"")</f>
        <v/>
      </c>
      <c r="AC67" s="234" t="str">
        <f t="shared" si="9"/>
        <v/>
      </c>
      <c r="AD67" s="235"/>
      <c r="AE67" s="236"/>
      <c r="AF67" s="237"/>
      <c r="AG67" s="238"/>
      <c r="AH67" s="238"/>
      <c r="AI67" s="236"/>
      <c r="AJ67" s="237"/>
      <c r="AK67" s="237"/>
      <c r="AL67" s="237"/>
    </row>
    <row r="68" spans="1:38" ht="151.5" customHeight="1" x14ac:dyDescent="0.3">
      <c r="A68" s="686"/>
      <c r="B68" s="689"/>
      <c r="C68" s="689"/>
      <c r="D68" s="689"/>
      <c r="E68" s="692"/>
      <c r="F68" s="689"/>
      <c r="G68" s="695"/>
      <c r="H68" s="698"/>
      <c r="I68" s="701"/>
      <c r="J68" s="704"/>
      <c r="K68" s="701">
        <f>IF(NOT(ISERROR(MATCH(J68,_xlfn.ANCHORARRAY(E79),0))),I81&amp;"Por favor no seleccionar los criterios de impacto",J68)</f>
        <v>0</v>
      </c>
      <c r="L68" s="698"/>
      <c r="M68" s="701"/>
      <c r="N68" s="707"/>
      <c r="O68" s="338">
        <v>5</v>
      </c>
      <c r="P68" s="227"/>
      <c r="Q68" s="228" t="str">
        <f t="shared" si="6"/>
        <v/>
      </c>
      <c r="R68" s="229"/>
      <c r="S68" s="229"/>
      <c r="T68" s="230" t="str">
        <f t="shared" si="7"/>
        <v/>
      </c>
      <c r="U68" s="229"/>
      <c r="V68" s="229"/>
      <c r="W68" s="229"/>
      <c r="X68" s="231" t="str">
        <f>IFERROR(IF(AND(Q67="Probabilidad",Q68="Probabilidad"),(Z67-(+Z67*T68)),IF(AND(Q67="Impacto",Q68="Probabilidad"),(Z66-(+Z66*T68)),IF(Q68="Impacto",Z67,""))),"")</f>
        <v/>
      </c>
      <c r="Y68" s="232" t="str">
        <f t="shared" si="4"/>
        <v/>
      </c>
      <c r="Z68" s="233" t="str">
        <f t="shared" si="8"/>
        <v/>
      </c>
      <c r="AA68" s="232" t="str">
        <f t="shared" si="5"/>
        <v/>
      </c>
      <c r="AB68" s="233" t="str">
        <f>IFERROR(IF(AND(Q67="Impacto",Q68="Impacto"),(AB67-(+AB67*T68)),IF(AND(Q67="Probabilidad",Q68="Impacto"),(AB66-(+AB66*T68)),IF(Q68="Probabilidad",AB67,""))),"")</f>
        <v/>
      </c>
      <c r="AC68" s="234" t="str">
        <f t="shared" si="9"/>
        <v/>
      </c>
      <c r="AD68" s="235"/>
      <c r="AE68" s="236"/>
      <c r="AF68" s="237"/>
      <c r="AG68" s="238"/>
      <c r="AH68" s="238"/>
      <c r="AI68" s="236"/>
      <c r="AJ68" s="237"/>
      <c r="AK68" s="237"/>
      <c r="AL68" s="237"/>
    </row>
    <row r="69" spans="1:38" ht="151.5" customHeight="1" x14ac:dyDescent="0.3">
      <c r="A69" s="687"/>
      <c r="B69" s="690"/>
      <c r="C69" s="690"/>
      <c r="D69" s="690"/>
      <c r="E69" s="693"/>
      <c r="F69" s="690"/>
      <c r="G69" s="696"/>
      <c r="H69" s="699"/>
      <c r="I69" s="702"/>
      <c r="J69" s="705"/>
      <c r="K69" s="702">
        <f>IF(NOT(ISERROR(MATCH(J69,_xlfn.ANCHORARRAY(E80),0))),I82&amp;"Por favor no seleccionar los criterios de impacto",J69)</f>
        <v>0</v>
      </c>
      <c r="L69" s="699"/>
      <c r="M69" s="702"/>
      <c r="N69" s="708"/>
      <c r="O69" s="338">
        <v>6</v>
      </c>
      <c r="P69" s="227"/>
      <c r="Q69" s="228" t="str">
        <f t="shared" si="6"/>
        <v/>
      </c>
      <c r="R69" s="229"/>
      <c r="S69" s="229"/>
      <c r="T69" s="230" t="str">
        <f t="shared" si="7"/>
        <v/>
      </c>
      <c r="U69" s="229"/>
      <c r="V69" s="229"/>
      <c r="W69" s="229"/>
      <c r="X69" s="231" t="str">
        <f>IFERROR(IF(AND(Q68="Probabilidad",Q69="Probabilidad"),(Z68-(+Z68*T69)),IF(AND(Q68="Impacto",Q69="Probabilidad"),(Z67-(+Z67*T69)),IF(Q69="Impacto",Z68,""))),"")</f>
        <v/>
      </c>
      <c r="Y69" s="232" t="str">
        <f t="shared" si="4"/>
        <v/>
      </c>
      <c r="Z69" s="233" t="str">
        <f t="shared" si="8"/>
        <v/>
      </c>
      <c r="AA69" s="232" t="str">
        <f t="shared" si="5"/>
        <v/>
      </c>
      <c r="AB69" s="233" t="str">
        <f>IFERROR(IF(AND(Q68="Impacto",Q69="Impacto"),(AB68-(+AB68*T69)),IF(AND(Q68="Probabilidad",Q69="Impacto"),(AB67-(+AB67*T69)),IF(Q69="Probabilidad",AB68,""))),"")</f>
        <v/>
      </c>
      <c r="AC69" s="234" t="str">
        <f t="shared" si="9"/>
        <v/>
      </c>
      <c r="AD69" s="235"/>
      <c r="AE69" s="236"/>
      <c r="AF69" s="237"/>
      <c r="AG69" s="238"/>
      <c r="AH69" s="238"/>
      <c r="AI69" s="236"/>
      <c r="AJ69" s="237"/>
      <c r="AK69" s="237"/>
      <c r="AL69" s="237"/>
    </row>
    <row r="70" spans="1:38" ht="49.7" customHeight="1" x14ac:dyDescent="0.3">
      <c r="A70" s="423"/>
      <c r="B70" s="711" t="s">
        <v>185</v>
      </c>
      <c r="C70" s="712"/>
      <c r="D70" s="712"/>
      <c r="E70" s="712"/>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3"/>
    </row>
    <row r="72" spans="1:38" x14ac:dyDescent="0.3">
      <c r="A72" s="424"/>
      <c r="B72" s="244" t="s">
        <v>186</v>
      </c>
      <c r="C72" s="219"/>
      <c r="D72" s="219"/>
      <c r="F72" s="219"/>
    </row>
  </sheetData>
  <sheetProtection algorithmName="SHA-512" hashValue="wC4OjL8xhZok0loPXm0bZoMJuRsfpfXjn/wNqgXYJA/tppmJOnpckOHoak1wf82kskd1dCl+m1V4kewnQbYhPg==" saltValue="dp46HAsRNJOM91JBPUIs+w==" spinCount="100000" sheet="1" formatCells="0" formatColumns="0" formatRow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95" priority="244" operator="equal">
      <formula>"Baja"</formula>
    </cfRule>
    <cfRule type="cellIs" dxfId="394" priority="243" operator="equal">
      <formula>"Media"</formula>
    </cfRule>
    <cfRule type="cellIs" dxfId="393" priority="242" operator="equal">
      <formula>"Alta"</formula>
    </cfRule>
    <cfRule type="cellIs" dxfId="392" priority="241" operator="equal">
      <formula>"Muy Alta"</formula>
    </cfRule>
    <cfRule type="cellIs" dxfId="391" priority="245" operator="equal">
      <formula>"Muy Baja"</formula>
    </cfRule>
  </conditionalFormatting>
  <conditionalFormatting sqref="H22">
    <cfRule type="cellIs" dxfId="390" priority="197" operator="equal">
      <formula>"Media"</formula>
    </cfRule>
    <cfRule type="cellIs" dxfId="389" priority="199" operator="equal">
      <formula>"Muy Baja"</formula>
    </cfRule>
    <cfRule type="cellIs" dxfId="388" priority="198" operator="equal">
      <formula>"Baja"</formula>
    </cfRule>
    <cfRule type="cellIs" dxfId="387" priority="196" operator="equal">
      <formula>"Alta"</formula>
    </cfRule>
    <cfRule type="cellIs" dxfId="386" priority="195" operator="equal">
      <formula>"Muy Alta"</formula>
    </cfRule>
  </conditionalFormatting>
  <conditionalFormatting sqref="H28">
    <cfRule type="cellIs" dxfId="385" priority="176" operator="equal">
      <formula>"Muy Baja"</formula>
    </cfRule>
    <cfRule type="cellIs" dxfId="384" priority="174" operator="equal">
      <formula>"Media"</formula>
    </cfRule>
    <cfRule type="cellIs" dxfId="383" priority="172" operator="equal">
      <formula>"Muy Alta"</formula>
    </cfRule>
    <cfRule type="cellIs" dxfId="382" priority="173" operator="equal">
      <formula>"Alta"</formula>
    </cfRule>
    <cfRule type="cellIs" dxfId="381" priority="175" operator="equal">
      <formula>"Baja"</formula>
    </cfRule>
  </conditionalFormatting>
  <conditionalFormatting sqref="H34">
    <cfRule type="cellIs" dxfId="380" priority="150" operator="equal">
      <formula>"Alta"</formula>
    </cfRule>
    <cfRule type="cellIs" dxfId="379" priority="149" operator="equal">
      <formula>"Muy Alta"</formula>
    </cfRule>
    <cfRule type="cellIs" dxfId="378" priority="151" operator="equal">
      <formula>"Media"</formula>
    </cfRule>
    <cfRule type="cellIs" dxfId="377" priority="152" operator="equal">
      <formula>"Baja"</formula>
    </cfRule>
    <cfRule type="cellIs" dxfId="376" priority="153" operator="equal">
      <formula>"Muy Baja"</formula>
    </cfRule>
  </conditionalFormatting>
  <conditionalFormatting sqref="H40">
    <cfRule type="cellIs" dxfId="375" priority="127" operator="equal">
      <formula>"Alta"</formula>
    </cfRule>
    <cfRule type="cellIs" dxfId="374" priority="126" operator="equal">
      <formula>"Muy Alta"</formula>
    </cfRule>
    <cfRule type="cellIs" dxfId="373" priority="129" operator="equal">
      <formula>"Baja"</formula>
    </cfRule>
    <cfRule type="cellIs" dxfId="372" priority="130" operator="equal">
      <formula>"Muy Baja"</formula>
    </cfRule>
    <cfRule type="cellIs" dxfId="371" priority="128" operator="equal">
      <formula>"Media"</formula>
    </cfRule>
  </conditionalFormatting>
  <conditionalFormatting sqref="H46">
    <cfRule type="cellIs" dxfId="370" priority="107" operator="equal">
      <formula>"Muy Baja"</formula>
    </cfRule>
    <cfRule type="cellIs" dxfId="369" priority="103" operator="equal">
      <formula>"Muy Alta"</formula>
    </cfRule>
    <cfRule type="cellIs" dxfId="368" priority="104" operator="equal">
      <formula>"Alta"</formula>
    </cfRule>
    <cfRule type="cellIs" dxfId="367" priority="105" operator="equal">
      <formula>"Media"</formula>
    </cfRule>
    <cfRule type="cellIs" dxfId="366" priority="106" operator="equal">
      <formula>"Baja"</formula>
    </cfRule>
  </conditionalFormatting>
  <conditionalFormatting sqref="H52">
    <cfRule type="cellIs" dxfId="365" priority="82" operator="equal">
      <formula>"Media"</formula>
    </cfRule>
    <cfRule type="cellIs" dxfId="364" priority="80" operator="equal">
      <formula>"Muy Alta"</formula>
    </cfRule>
    <cfRule type="cellIs" dxfId="363" priority="83" operator="equal">
      <formula>"Baja"</formula>
    </cfRule>
    <cfRule type="cellIs" dxfId="362" priority="84" operator="equal">
      <formula>"Muy Baja"</formula>
    </cfRule>
    <cfRule type="cellIs" dxfId="361" priority="81" operator="equal">
      <formula>"Alta"</formula>
    </cfRule>
  </conditionalFormatting>
  <conditionalFormatting sqref="H58">
    <cfRule type="cellIs" dxfId="360" priority="59" operator="equal">
      <formula>"Media"</formula>
    </cfRule>
    <cfRule type="cellIs" dxfId="359" priority="61" operator="equal">
      <formula>"Muy Baja"</formula>
    </cfRule>
    <cfRule type="cellIs" dxfId="358" priority="60" operator="equal">
      <formula>"Baja"</formula>
    </cfRule>
    <cfRule type="cellIs" dxfId="357" priority="57" operator="equal">
      <formula>"Muy Alta"</formula>
    </cfRule>
    <cfRule type="cellIs" dxfId="356" priority="58" operator="equal">
      <formula>"Alta"</formula>
    </cfRule>
  </conditionalFormatting>
  <conditionalFormatting sqref="H64">
    <cfRule type="cellIs" dxfId="355" priority="34" operator="equal">
      <formula>"Muy Alta"</formula>
    </cfRule>
    <cfRule type="cellIs" dxfId="354" priority="36" operator="equal">
      <formula>"Media"</formula>
    </cfRule>
    <cfRule type="cellIs" dxfId="353" priority="35" operator="equal">
      <formula>"Alta"</formula>
    </cfRule>
    <cfRule type="cellIs" dxfId="352" priority="38" operator="equal">
      <formula>"Muy Baja"</formula>
    </cfRule>
    <cfRule type="cellIs" dxfId="351" priority="37" operator="equal">
      <formula>"Baja"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9" operator="equal">
      <formula>"Menor"</formula>
    </cfRule>
    <cfRule type="cellIs" dxfId="348" priority="236" operator="equal">
      <formula>"Catastrófico"</formula>
    </cfRule>
    <cfRule type="cellIs" dxfId="347" priority="237" operator="equal">
      <formula>"Mayor"</formula>
    </cfRule>
    <cfRule type="cellIs" dxfId="346" priority="238" operator="equal">
      <formula>"Moderado"</formula>
    </cfRule>
    <cfRule type="cellIs" dxfId="345" priority="240" operator="equal">
      <formula>"Leve"</formula>
    </cfRule>
  </conditionalFormatting>
  <conditionalFormatting sqref="N10">
    <cfRule type="cellIs" dxfId="344" priority="235" operator="equal">
      <formula>"Bajo"</formula>
    </cfRule>
    <cfRule type="cellIs" dxfId="343" priority="232" operator="equal">
      <formula>"Extremo"</formula>
    </cfRule>
    <cfRule type="cellIs" dxfId="342" priority="233" operator="equal">
      <formula>"Alto"</formula>
    </cfRule>
    <cfRule type="cellIs" dxfId="341" priority="234" operator="equal">
      <formula>"Moderado"</formula>
    </cfRule>
  </conditionalFormatting>
  <conditionalFormatting sqref="N16">
    <cfRule type="cellIs" dxfId="340" priority="214" operator="equal">
      <formula>"Extremo"</formula>
    </cfRule>
    <cfRule type="cellIs" dxfId="339" priority="217" operator="equal">
      <formula>"Bajo"</formula>
    </cfRule>
    <cfRule type="cellIs" dxfId="338" priority="216" operator="equal">
      <formula>"Moderado"</formula>
    </cfRule>
    <cfRule type="cellIs" dxfId="337" priority="215" operator="equal">
      <formula>"Alto"</formula>
    </cfRule>
  </conditionalFormatting>
  <conditionalFormatting sqref="N22">
    <cfRule type="cellIs" dxfId="336" priority="194" operator="equal">
      <formula>"Bajo"</formula>
    </cfRule>
    <cfRule type="cellIs" dxfId="335" priority="191" operator="equal">
      <formula>"Extremo"</formula>
    </cfRule>
    <cfRule type="cellIs" dxfId="334" priority="192" operator="equal">
      <formula>"Alto"</formula>
    </cfRule>
    <cfRule type="cellIs" dxfId="333" priority="193" operator="equal">
      <formula>"Moderado"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6" operator="equal">
      <formula>"Alto"</formula>
    </cfRule>
    <cfRule type="cellIs" dxfId="327" priority="145" operator="equal">
      <formula>"Extremo"</formula>
    </cfRule>
    <cfRule type="cellIs" dxfId="326" priority="147" operator="equal">
      <formula>"Moderado"</formula>
    </cfRule>
    <cfRule type="cellIs" dxfId="325" priority="148" operator="equal">
      <formula>"Bajo"</formula>
    </cfRule>
  </conditionalFormatting>
  <conditionalFormatting sqref="N40">
    <cfRule type="cellIs" dxfId="324" priority="124" operator="equal">
      <formula>"Moderado"</formula>
    </cfRule>
    <cfRule type="cellIs" dxfId="323" priority="123" operator="equal">
      <formula>"Alto"</formula>
    </cfRule>
    <cfRule type="cellIs" dxfId="322" priority="125" operator="equal">
      <formula>"Bajo"</formula>
    </cfRule>
    <cfRule type="cellIs" dxfId="321" priority="122" operator="equal">
      <formula>"Extremo"</formula>
    </cfRule>
  </conditionalFormatting>
  <conditionalFormatting sqref="N46">
    <cfRule type="cellIs" dxfId="320" priority="102" operator="equal">
      <formula>"Bajo"</formula>
    </cfRule>
    <cfRule type="cellIs" dxfId="319" priority="101" operator="equal">
      <formula>"Moderado"</formula>
    </cfRule>
    <cfRule type="cellIs" dxfId="318" priority="100" operator="equal">
      <formula>"Alto"</formula>
    </cfRule>
    <cfRule type="cellIs" dxfId="317" priority="99" operator="equal">
      <formula>"Extremo"</formula>
    </cfRule>
  </conditionalFormatting>
  <conditionalFormatting sqref="N52">
    <cfRule type="cellIs" dxfId="316" priority="76" operator="equal">
      <formula>"Extremo"</formula>
    </cfRule>
    <cfRule type="cellIs" dxfId="315" priority="77" operator="equal">
      <formula>"Alto"</formula>
    </cfRule>
    <cfRule type="cellIs" dxfId="314" priority="79" operator="equal">
      <formula>"Bajo"</formula>
    </cfRule>
    <cfRule type="cellIs" dxfId="313" priority="78" operator="equal">
      <formula>"Moderado"</formula>
    </cfRule>
  </conditionalFormatting>
  <conditionalFormatting sqref="N58">
    <cfRule type="cellIs" dxfId="312" priority="53" operator="equal">
      <formula>"Extremo"</formula>
    </cfRule>
    <cfRule type="cellIs" dxfId="311" priority="54" operator="equal">
      <formula>"Alto"</formula>
    </cfRule>
    <cfRule type="cellIs" dxfId="310" priority="56" operator="equal">
      <formula>"Bajo"</formula>
    </cfRule>
    <cfRule type="cellIs" dxfId="309" priority="55" operator="equal">
      <formula>"Moderado"</formula>
    </cfRule>
  </conditionalFormatting>
  <conditionalFormatting sqref="N64">
    <cfRule type="cellIs" dxfId="308" priority="30" operator="equal">
      <formula>"Extremo"</formula>
    </cfRule>
    <cfRule type="cellIs" dxfId="307" priority="33" operator="equal">
      <formula>"Bajo"</formula>
    </cfRule>
    <cfRule type="cellIs" dxfId="306" priority="32" operator="equal">
      <formula>"Moderado"</formula>
    </cfRule>
    <cfRule type="cellIs" dxfId="305" priority="31" operator="equal">
      <formula>"Alto"</formula>
    </cfRule>
  </conditionalFormatting>
  <conditionalFormatting sqref="Y10:Y69">
    <cfRule type="cellIs" dxfId="304" priority="13" operator="equal">
      <formula>"Baja"</formula>
    </cfRule>
    <cfRule type="cellIs" dxfId="303" priority="12" operator="equal">
      <formula>"Media"</formula>
    </cfRule>
    <cfRule type="cellIs" dxfId="302" priority="14" operator="equal">
      <formula>"Muy Baja"</formula>
    </cfRule>
    <cfRule type="cellIs" dxfId="301" priority="10" operator="equal">
      <formula>"Muy Alta"</formula>
    </cfRule>
    <cfRule type="cellIs" dxfId="300" priority="11" operator="equal">
      <formula>"Alta"</formula>
    </cfRule>
  </conditionalFormatting>
  <conditionalFormatting sqref="AA10:AA69">
    <cfRule type="cellIs" dxfId="299" priority="9" operator="equal">
      <formula>"Leve"</formula>
    </cfRule>
    <cfRule type="cellIs" dxfId="298" priority="8" operator="equal">
      <formula>"Menor"</formula>
    </cfRule>
    <cfRule type="cellIs" dxfId="297" priority="6" operator="equal">
      <formula>"Mayor"</formula>
    </cfRule>
    <cfRule type="cellIs" dxfId="296" priority="5" operator="equal">
      <formula>"Catastrófico"</formula>
    </cfRule>
    <cfRule type="cellIs" dxfId="295" priority="7" operator="equal">
      <formula>"Moderado"</formula>
    </cfRule>
  </conditionalFormatting>
  <conditionalFormatting sqref="AC10:AC69">
    <cfRule type="cellIs" dxfId="294" priority="1" operator="equal">
      <formula>"Extremo"</formula>
    </cfRule>
    <cfRule type="cellIs" dxfId="293" priority="4" operator="equal">
      <formula>"Bajo"</formula>
    </cfRule>
    <cfRule type="cellIs" dxfId="292" priority="3" operator="equal">
      <formula>"Moderado"</formula>
    </cfRule>
    <cfRule type="cellIs" dxfId="291"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B6" sqref="B6:D45"/>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4" t="s">
        <v>187</v>
      </c>
      <c r="C2" s="714"/>
      <c r="D2" s="714"/>
      <c r="E2" s="714"/>
      <c r="F2" s="714"/>
      <c r="G2" s="714"/>
      <c r="H2" s="714"/>
      <c r="I2" s="714"/>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4"/>
      <c r="C3" s="714"/>
      <c r="D3" s="714"/>
      <c r="E3" s="714"/>
      <c r="F3" s="714"/>
      <c r="G3" s="714"/>
      <c r="H3" s="714"/>
      <c r="I3" s="714"/>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4"/>
      <c r="C4" s="714"/>
      <c r="D4" s="714"/>
      <c r="E4" s="714"/>
      <c r="F4" s="714"/>
      <c r="G4" s="714"/>
      <c r="H4" s="714"/>
      <c r="I4" s="714"/>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6" t="s">
        <v>188</v>
      </c>
      <c r="C6" s="716"/>
      <c r="D6" s="717"/>
      <c r="E6" s="718" t="s">
        <v>189</v>
      </c>
      <c r="F6" s="719"/>
      <c r="G6" s="719"/>
      <c r="H6" s="719"/>
      <c r="I6" s="720"/>
      <c r="J6" s="727" t="str">
        <f>IF(AND('Mapa final'!$H$10="Muy Alta",'Mapa final'!$L$10="Leve"),CONCATENATE("R",'Mapa final'!$A$10),"")</f>
        <v/>
      </c>
      <c r="K6" s="728"/>
      <c r="L6" s="728" t="str">
        <f>IF(AND('Mapa final'!$H$16="Muy Alta",'Mapa final'!$L$16="Leve"),CONCATENATE("R",'Mapa final'!$A$16),"")</f>
        <v/>
      </c>
      <c r="M6" s="728"/>
      <c r="N6" s="728" t="str">
        <f>IF(AND('Mapa final'!$H$22="Muy Alta",'Mapa final'!$L$22="Leve"),CONCATENATE("R",'Mapa final'!$A$22),"")</f>
        <v/>
      </c>
      <c r="O6" s="731"/>
      <c r="P6" s="727" t="str">
        <f>IF(AND('Mapa final'!$H$10="Muy Alta",'Mapa final'!$L$10="Menor"),CONCATENATE("R",'Mapa final'!$A$10),"")</f>
        <v/>
      </c>
      <c r="Q6" s="728"/>
      <c r="R6" s="728" t="str">
        <f>IF(AND('Mapa final'!$H$16="Muy Alta",'Mapa final'!$L$16="Menor"),CONCATENATE("R",'Mapa final'!$A$16),"")</f>
        <v/>
      </c>
      <c r="S6" s="728"/>
      <c r="T6" s="728" t="str">
        <f>IF(AND('Mapa final'!$H$22="Muy Alta",'Mapa final'!$L$22="Menor"),CONCATENATE("R",'Mapa final'!$A$22),"")</f>
        <v/>
      </c>
      <c r="U6" s="731"/>
      <c r="V6" s="727" t="str">
        <f>IF(AND('Mapa final'!$H$10="Muy Alta",'Mapa final'!$L$10="Moderado"),CONCATENATE("R",'Mapa final'!$A$10),"")</f>
        <v/>
      </c>
      <c r="W6" s="728"/>
      <c r="X6" s="728" t="str">
        <f>IF(AND('Mapa final'!$H$16="Muy Alta",'Mapa final'!$L$16="Moderado"),CONCATENATE("R",'Mapa final'!$A$16),"")</f>
        <v/>
      </c>
      <c r="Y6" s="728"/>
      <c r="Z6" s="728" t="str">
        <f>IF(AND('Mapa final'!$H$22="Muy Alta",'Mapa final'!$L$22="Moderado"),CONCATENATE("R",'Mapa final'!$A$22),"")</f>
        <v/>
      </c>
      <c r="AA6" s="731"/>
      <c r="AB6" s="727" t="str">
        <f>IF(AND('Mapa final'!$H$10="Muy Alta",'Mapa final'!$L$10="Mayor"),CONCATENATE("R",'Mapa final'!$A$10),"")</f>
        <v/>
      </c>
      <c r="AC6" s="728"/>
      <c r="AD6" s="728" t="str">
        <f>IF(AND('Mapa final'!$H$16="Muy Alta",'Mapa final'!$L$16="Mayor"),CONCATENATE("R",'Mapa final'!$A$16),"")</f>
        <v/>
      </c>
      <c r="AE6" s="728"/>
      <c r="AF6" s="728" t="str">
        <f>IF(AND('Mapa final'!$H$22="Muy Alta",'Mapa final'!$L$22="Mayor"),CONCATENATE("R",'Mapa final'!$A$22),"")</f>
        <v/>
      </c>
      <c r="AG6" s="731"/>
      <c r="AH6" s="733" t="str">
        <f>IF(AND('Mapa final'!$H$10="Muy Alta",'Mapa final'!$L$10="Catastrófico"),CONCATENATE("R",'Mapa final'!$A$10),"")</f>
        <v/>
      </c>
      <c r="AI6" s="734"/>
      <c r="AJ6" s="734" t="str">
        <f>IF(AND('Mapa final'!$H$16="Muy Alta",'Mapa final'!$L$16="Catastrófico"),CONCATENATE("R",'Mapa final'!$A$16),"")</f>
        <v/>
      </c>
      <c r="AK6" s="734"/>
      <c r="AL6" s="734" t="str">
        <f>IF(AND('Mapa final'!$H$22="Muy Alta",'Mapa final'!$L$22="Catastrófico"),CONCATENATE("R",'Mapa final'!$A$22),"")</f>
        <v/>
      </c>
      <c r="AM6" s="737"/>
      <c r="AO6" s="739" t="s">
        <v>190</v>
      </c>
      <c r="AP6" s="740"/>
      <c r="AQ6" s="740"/>
      <c r="AR6" s="740"/>
      <c r="AS6" s="740"/>
      <c r="AT6" s="74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6"/>
      <c r="C7" s="716"/>
      <c r="D7" s="717"/>
      <c r="E7" s="721"/>
      <c r="F7" s="722"/>
      <c r="G7" s="722"/>
      <c r="H7" s="722"/>
      <c r="I7" s="723"/>
      <c r="J7" s="729"/>
      <c r="K7" s="730"/>
      <c r="L7" s="730"/>
      <c r="M7" s="730"/>
      <c r="N7" s="730"/>
      <c r="O7" s="732"/>
      <c r="P7" s="729"/>
      <c r="Q7" s="730"/>
      <c r="R7" s="730"/>
      <c r="S7" s="730"/>
      <c r="T7" s="730"/>
      <c r="U7" s="732"/>
      <c r="V7" s="729"/>
      <c r="W7" s="730"/>
      <c r="X7" s="730"/>
      <c r="Y7" s="730"/>
      <c r="Z7" s="730"/>
      <c r="AA7" s="732"/>
      <c r="AB7" s="729"/>
      <c r="AC7" s="730"/>
      <c r="AD7" s="730"/>
      <c r="AE7" s="730"/>
      <c r="AF7" s="730"/>
      <c r="AG7" s="732"/>
      <c r="AH7" s="735"/>
      <c r="AI7" s="736"/>
      <c r="AJ7" s="736"/>
      <c r="AK7" s="736"/>
      <c r="AL7" s="736"/>
      <c r="AM7" s="738"/>
      <c r="AN7" s="15"/>
      <c r="AO7" s="742"/>
      <c r="AP7" s="743"/>
      <c r="AQ7" s="743"/>
      <c r="AR7" s="743"/>
      <c r="AS7" s="743"/>
      <c r="AT7" s="74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6"/>
      <c r="C8" s="716"/>
      <c r="D8" s="717"/>
      <c r="E8" s="721"/>
      <c r="F8" s="722"/>
      <c r="G8" s="722"/>
      <c r="H8" s="722"/>
      <c r="I8" s="723"/>
      <c r="J8" s="729" t="str">
        <f>IF(AND('Mapa final'!$H$28="Muy Alta",'Mapa final'!$L$28="Leve"),CONCATENATE("R",'Mapa final'!$A$28),"")</f>
        <v/>
      </c>
      <c r="K8" s="730"/>
      <c r="L8" s="730" t="str">
        <f>IF(AND('Mapa final'!$H$34="Muy Alta",'Mapa final'!$L$34="Leve"),CONCATENATE("R",'Mapa final'!$A$34),"")</f>
        <v/>
      </c>
      <c r="M8" s="730"/>
      <c r="N8" s="730" t="str">
        <f>IF(AND('Mapa final'!$H$40="Muy Alta",'Mapa final'!$L$40="Leve"),CONCATENATE("R",'Mapa final'!$A$40),"")</f>
        <v/>
      </c>
      <c r="O8" s="732"/>
      <c r="P8" s="729" t="str">
        <f>IF(AND('Mapa final'!$H$28="Muy Alta",'Mapa final'!$L$28="Menor"),CONCATENATE("R",'Mapa final'!$A$28),"")</f>
        <v/>
      </c>
      <c r="Q8" s="730"/>
      <c r="R8" s="730" t="str">
        <f>IF(AND('Mapa final'!$H$34="Muy Alta",'Mapa final'!$L$34="Menor"),CONCATENATE("R",'Mapa final'!$A$34),"")</f>
        <v/>
      </c>
      <c r="S8" s="730"/>
      <c r="T8" s="730" t="str">
        <f>IF(AND('Mapa final'!$H$40="Muy Alta",'Mapa final'!$L$40="Menor"),CONCATENATE("R",'Mapa final'!$A$40),"")</f>
        <v/>
      </c>
      <c r="U8" s="732"/>
      <c r="V8" s="729" t="str">
        <f>IF(AND('Mapa final'!$H$28="Muy Alta",'Mapa final'!$L$28="Moderado"),CONCATENATE("R",'Mapa final'!$A$28),"")</f>
        <v/>
      </c>
      <c r="W8" s="730"/>
      <c r="X8" s="730" t="str">
        <f>IF(AND('Mapa final'!$H$34="Muy Alta",'Mapa final'!$L$34="Moderado"),CONCATENATE("R",'Mapa final'!$A$34),"")</f>
        <v/>
      </c>
      <c r="Y8" s="730"/>
      <c r="Z8" s="730" t="str">
        <f>IF(AND('Mapa final'!$H$40="Muy Alta",'Mapa final'!$L$40="Moderado"),CONCATENATE("R",'Mapa final'!$A$40),"")</f>
        <v/>
      </c>
      <c r="AA8" s="732"/>
      <c r="AB8" s="729" t="str">
        <f>IF(AND('Mapa final'!$H$28="Muy Alta",'Mapa final'!$L$28="Mayor"),CONCATENATE("R",'Mapa final'!$A$28),"")</f>
        <v/>
      </c>
      <c r="AC8" s="730"/>
      <c r="AD8" s="730" t="str">
        <f>IF(AND('Mapa final'!$H$34="Muy Alta",'Mapa final'!$L$34="Mayor"),CONCATENATE("R",'Mapa final'!$A$34),"")</f>
        <v/>
      </c>
      <c r="AE8" s="730"/>
      <c r="AF8" s="730" t="str">
        <f>IF(AND('Mapa final'!$H$40="Muy Alta",'Mapa final'!$L$40="Mayor"),CONCATENATE("R",'Mapa final'!$A$40),"")</f>
        <v/>
      </c>
      <c r="AG8" s="732"/>
      <c r="AH8" s="735" t="str">
        <f>IF(AND('Mapa final'!$H$28="Muy Alta",'Mapa final'!$L$28="Catastrófico"),CONCATENATE("R",'Mapa final'!$A$28),"")</f>
        <v/>
      </c>
      <c r="AI8" s="736"/>
      <c r="AJ8" s="736" t="str">
        <f>IF(AND('Mapa final'!$H$34="Muy Alta",'Mapa final'!$L$34="Catastrófico"),CONCATENATE("R",'Mapa final'!$A$34),"")</f>
        <v/>
      </c>
      <c r="AK8" s="736"/>
      <c r="AL8" s="736" t="str">
        <f>IF(AND('Mapa final'!$H$40="Muy Alta",'Mapa final'!$L$40="Catastrófico"),CONCATENATE("R",'Mapa final'!$A$40),"")</f>
        <v/>
      </c>
      <c r="AM8" s="738"/>
      <c r="AN8" s="15"/>
      <c r="AO8" s="742"/>
      <c r="AP8" s="743"/>
      <c r="AQ8" s="743"/>
      <c r="AR8" s="743"/>
      <c r="AS8" s="743"/>
      <c r="AT8" s="74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6"/>
      <c r="C9" s="716"/>
      <c r="D9" s="717"/>
      <c r="E9" s="721"/>
      <c r="F9" s="722"/>
      <c r="G9" s="722"/>
      <c r="H9" s="722"/>
      <c r="I9" s="723"/>
      <c r="J9" s="729"/>
      <c r="K9" s="730"/>
      <c r="L9" s="730"/>
      <c r="M9" s="730"/>
      <c r="N9" s="730"/>
      <c r="O9" s="732"/>
      <c r="P9" s="729"/>
      <c r="Q9" s="730"/>
      <c r="R9" s="730"/>
      <c r="S9" s="730"/>
      <c r="T9" s="730"/>
      <c r="U9" s="732"/>
      <c r="V9" s="729"/>
      <c r="W9" s="730"/>
      <c r="X9" s="730"/>
      <c r="Y9" s="730"/>
      <c r="Z9" s="730"/>
      <c r="AA9" s="732"/>
      <c r="AB9" s="729"/>
      <c r="AC9" s="730"/>
      <c r="AD9" s="730"/>
      <c r="AE9" s="730"/>
      <c r="AF9" s="730"/>
      <c r="AG9" s="732"/>
      <c r="AH9" s="735"/>
      <c r="AI9" s="736"/>
      <c r="AJ9" s="736"/>
      <c r="AK9" s="736"/>
      <c r="AL9" s="736"/>
      <c r="AM9" s="738"/>
      <c r="AN9" s="15"/>
      <c r="AO9" s="742"/>
      <c r="AP9" s="743"/>
      <c r="AQ9" s="743"/>
      <c r="AR9" s="743"/>
      <c r="AS9" s="743"/>
      <c r="AT9" s="74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6"/>
      <c r="C10" s="716"/>
      <c r="D10" s="717"/>
      <c r="E10" s="721"/>
      <c r="F10" s="722"/>
      <c r="G10" s="722"/>
      <c r="H10" s="722"/>
      <c r="I10" s="723"/>
      <c r="J10" s="729" t="str">
        <f>IF(AND('Mapa final'!$H$46="Muy Alta",'Mapa final'!$L$46="Leve"),CONCATENATE("R",'Mapa final'!$A$46),"")</f>
        <v/>
      </c>
      <c r="K10" s="730"/>
      <c r="L10" s="730" t="str">
        <f>IF(AND('Mapa final'!$H$52="Muy Alta",'Mapa final'!$L$52="Leve"),CONCATENATE("R",'Mapa final'!$A$52),"")</f>
        <v/>
      </c>
      <c r="M10" s="730"/>
      <c r="N10" s="730" t="str">
        <f>IF(AND('Mapa final'!$H$58="Muy Alta",'Mapa final'!$L$58="Leve"),CONCATENATE("R",'Mapa final'!$A$58),"")</f>
        <v/>
      </c>
      <c r="O10" s="732"/>
      <c r="P10" s="729" t="str">
        <f>IF(AND('Mapa final'!$H$46="Muy Alta",'Mapa final'!$L$46="Menor"),CONCATENATE("R",'Mapa final'!$A$46),"")</f>
        <v/>
      </c>
      <c r="Q10" s="730"/>
      <c r="R10" s="730" t="str">
        <f>IF(AND('Mapa final'!$H$52="Muy Alta",'Mapa final'!$L$52="Menor"),CONCATENATE("R",'Mapa final'!$A$52),"")</f>
        <v/>
      </c>
      <c r="S10" s="730"/>
      <c r="T10" s="730" t="str">
        <f>IF(AND('Mapa final'!$H$58="Muy Alta",'Mapa final'!$L$58="Menor"),CONCATENATE("R",'Mapa final'!$A$58),"")</f>
        <v/>
      </c>
      <c r="U10" s="732"/>
      <c r="V10" s="729" t="str">
        <f>IF(AND('Mapa final'!$H$46="Muy Alta",'Mapa final'!$L$46="Moderado"),CONCATENATE("R",'Mapa final'!$A$46),"")</f>
        <v/>
      </c>
      <c r="W10" s="730"/>
      <c r="X10" s="730" t="str">
        <f>IF(AND('Mapa final'!$H$52="Muy Alta",'Mapa final'!$L$52="Moderado"),CONCATENATE("R",'Mapa final'!$A$52),"")</f>
        <v/>
      </c>
      <c r="Y10" s="730"/>
      <c r="Z10" s="730" t="str">
        <f>IF(AND('Mapa final'!$H$58="Muy Alta",'Mapa final'!$L$58="Moderado"),CONCATENATE("R",'Mapa final'!$A$58),"")</f>
        <v/>
      </c>
      <c r="AA10" s="732"/>
      <c r="AB10" s="729" t="str">
        <f>IF(AND('Mapa final'!$H$46="Muy Alta",'Mapa final'!$L$46="Mayor"),CONCATENATE("R",'Mapa final'!$A$46),"")</f>
        <v/>
      </c>
      <c r="AC10" s="730"/>
      <c r="AD10" s="730" t="str">
        <f>IF(AND('Mapa final'!$H$52="Muy Alta",'Mapa final'!$L$52="Mayor"),CONCATENATE("R",'Mapa final'!$A$52),"")</f>
        <v/>
      </c>
      <c r="AE10" s="730"/>
      <c r="AF10" s="730" t="str">
        <f>IF(AND('Mapa final'!$H$58="Muy Alta",'Mapa final'!$L$58="Mayor"),CONCATENATE("R",'Mapa final'!$A$58),"")</f>
        <v/>
      </c>
      <c r="AG10" s="732"/>
      <c r="AH10" s="735" t="str">
        <f>IF(AND('Mapa final'!$H$46="Muy Alta",'Mapa final'!$L$46="Catastrófico"),CONCATENATE("R",'Mapa final'!$A$46),"")</f>
        <v/>
      </c>
      <c r="AI10" s="736"/>
      <c r="AJ10" s="736" t="str">
        <f>IF(AND('Mapa final'!$H$52="Muy Alta",'Mapa final'!$L$52="Catastrófico"),CONCATENATE("R",'Mapa final'!$A$52),"")</f>
        <v/>
      </c>
      <c r="AK10" s="736"/>
      <c r="AL10" s="736" t="str">
        <f>IF(AND('Mapa final'!$H$58="Muy Alta",'Mapa final'!$L$58="Catastrófico"),CONCATENATE("R",'Mapa final'!$A$58),"")</f>
        <v/>
      </c>
      <c r="AM10" s="738"/>
      <c r="AN10" s="15"/>
      <c r="AO10" s="742"/>
      <c r="AP10" s="743"/>
      <c r="AQ10" s="743"/>
      <c r="AR10" s="743"/>
      <c r="AS10" s="743"/>
      <c r="AT10" s="74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6"/>
      <c r="C11" s="716"/>
      <c r="D11" s="717"/>
      <c r="E11" s="721"/>
      <c r="F11" s="722"/>
      <c r="G11" s="722"/>
      <c r="H11" s="722"/>
      <c r="I11" s="723"/>
      <c r="J11" s="729"/>
      <c r="K11" s="730"/>
      <c r="L11" s="730"/>
      <c r="M11" s="730"/>
      <c r="N11" s="730"/>
      <c r="O11" s="732"/>
      <c r="P11" s="729"/>
      <c r="Q11" s="730"/>
      <c r="R11" s="730"/>
      <c r="S11" s="730"/>
      <c r="T11" s="730"/>
      <c r="U11" s="732"/>
      <c r="V11" s="729"/>
      <c r="W11" s="730"/>
      <c r="X11" s="730"/>
      <c r="Y11" s="730"/>
      <c r="Z11" s="730"/>
      <c r="AA11" s="732"/>
      <c r="AB11" s="729"/>
      <c r="AC11" s="730"/>
      <c r="AD11" s="730"/>
      <c r="AE11" s="730"/>
      <c r="AF11" s="730"/>
      <c r="AG11" s="732"/>
      <c r="AH11" s="735"/>
      <c r="AI11" s="736"/>
      <c r="AJ11" s="736"/>
      <c r="AK11" s="736"/>
      <c r="AL11" s="736"/>
      <c r="AM11" s="738"/>
      <c r="AN11" s="15"/>
      <c r="AO11" s="742"/>
      <c r="AP11" s="743"/>
      <c r="AQ11" s="743"/>
      <c r="AR11" s="743"/>
      <c r="AS11" s="743"/>
      <c r="AT11" s="74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6"/>
      <c r="C12" s="716"/>
      <c r="D12" s="717"/>
      <c r="E12" s="721"/>
      <c r="F12" s="722"/>
      <c r="G12" s="722"/>
      <c r="H12" s="722"/>
      <c r="I12" s="723"/>
      <c r="J12" s="729" t="str">
        <f>IF(AND('Mapa final'!$H$64="Muy Alta",'Mapa final'!$L$64="Leve"),CONCATENATE("R",'Mapa final'!$A$64),"")</f>
        <v/>
      </c>
      <c r="K12" s="730"/>
      <c r="L12" s="730" t="str">
        <f>IF(AND('Mapa final'!$H$70="Muy Alta",'Mapa final'!$L$70="Leve"),CONCATENATE("R",'Mapa final'!$A$70),"")</f>
        <v/>
      </c>
      <c r="M12" s="730"/>
      <c r="N12" s="730" t="str">
        <f>IF(AND('Mapa final'!$H$76="Muy Alta",'Mapa final'!$L$76="Leve"),CONCATENATE("R",'Mapa final'!$A$76),"")</f>
        <v/>
      </c>
      <c r="O12" s="732"/>
      <c r="P12" s="729" t="str">
        <f>IF(AND('Mapa final'!$H$64="Muy Alta",'Mapa final'!$L$64="Menor"),CONCATENATE("R",'Mapa final'!$A$64),"")</f>
        <v/>
      </c>
      <c r="Q12" s="730"/>
      <c r="R12" s="730" t="str">
        <f>IF(AND('Mapa final'!$H$70="Muy Alta",'Mapa final'!$L$70="Menor"),CONCATENATE("R",'Mapa final'!$A$70),"")</f>
        <v/>
      </c>
      <c r="S12" s="730"/>
      <c r="T12" s="730" t="str">
        <f>IF(AND('Mapa final'!$H$76="Muy Alta",'Mapa final'!$L$76="Menor"),CONCATENATE("R",'Mapa final'!$A$76),"")</f>
        <v/>
      </c>
      <c r="U12" s="732"/>
      <c r="V12" s="729" t="str">
        <f>IF(AND('Mapa final'!$H$64="Muy Alta",'Mapa final'!$L$64="Moderado"),CONCATENATE("R",'Mapa final'!$A$64),"")</f>
        <v/>
      </c>
      <c r="W12" s="730"/>
      <c r="X12" s="730" t="str">
        <f>IF(AND('Mapa final'!$H$70="Muy Alta",'Mapa final'!$L$70="Moderado"),CONCATENATE("R",'Mapa final'!$A$70),"")</f>
        <v/>
      </c>
      <c r="Y12" s="730"/>
      <c r="Z12" s="730" t="str">
        <f>IF(AND('Mapa final'!$H$76="Muy Alta",'Mapa final'!$L$76="Moderado"),CONCATENATE("R",'Mapa final'!$A$76),"")</f>
        <v/>
      </c>
      <c r="AA12" s="732"/>
      <c r="AB12" s="729" t="str">
        <f>IF(AND('Mapa final'!$H$64="Muy Alta",'Mapa final'!$L$64="Mayor"),CONCATENATE("R",'Mapa final'!$A$64),"")</f>
        <v/>
      </c>
      <c r="AC12" s="730"/>
      <c r="AD12" s="730" t="str">
        <f>IF(AND('Mapa final'!$H$70="Muy Alta",'Mapa final'!$L$70="Mayor"),CONCATENATE("R",'Mapa final'!$A$70),"")</f>
        <v/>
      </c>
      <c r="AE12" s="730"/>
      <c r="AF12" s="730" t="str">
        <f>IF(AND('Mapa final'!$H$76="Muy Alta",'Mapa final'!$L$76="Mayor"),CONCATENATE("R",'Mapa final'!$A$76),"")</f>
        <v/>
      </c>
      <c r="AG12" s="732"/>
      <c r="AH12" s="735" t="str">
        <f>IF(AND('Mapa final'!$H$64="Muy Alta",'Mapa final'!$L$64="Catastrófico"),CONCATENATE("R",'Mapa final'!$A$64),"")</f>
        <v/>
      </c>
      <c r="AI12" s="736"/>
      <c r="AJ12" s="736" t="str">
        <f>IF(AND('Mapa final'!$H$70="Muy Alta",'Mapa final'!$L$70="Catastrófico"),CONCATENATE("R",'Mapa final'!$A$70),"")</f>
        <v/>
      </c>
      <c r="AK12" s="736"/>
      <c r="AL12" s="736" t="str">
        <f>IF(AND('Mapa final'!$H$76="Muy Alta",'Mapa final'!$L$76="Catastrófico"),CONCATENATE("R",'Mapa final'!$A$76),"")</f>
        <v/>
      </c>
      <c r="AM12" s="738"/>
      <c r="AN12" s="15"/>
      <c r="AO12" s="742"/>
      <c r="AP12" s="743"/>
      <c r="AQ12" s="743"/>
      <c r="AR12" s="743"/>
      <c r="AS12" s="743"/>
      <c r="AT12" s="74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6"/>
      <c r="C13" s="716"/>
      <c r="D13" s="717"/>
      <c r="E13" s="724"/>
      <c r="F13" s="725"/>
      <c r="G13" s="725"/>
      <c r="H13" s="725"/>
      <c r="I13" s="726"/>
      <c r="J13" s="729"/>
      <c r="K13" s="730"/>
      <c r="L13" s="730"/>
      <c r="M13" s="730"/>
      <c r="N13" s="730"/>
      <c r="O13" s="732"/>
      <c r="P13" s="729"/>
      <c r="Q13" s="730"/>
      <c r="R13" s="730"/>
      <c r="S13" s="730"/>
      <c r="T13" s="730"/>
      <c r="U13" s="732"/>
      <c r="V13" s="729"/>
      <c r="W13" s="730"/>
      <c r="X13" s="730"/>
      <c r="Y13" s="730"/>
      <c r="Z13" s="730"/>
      <c r="AA13" s="732"/>
      <c r="AB13" s="729"/>
      <c r="AC13" s="730"/>
      <c r="AD13" s="730"/>
      <c r="AE13" s="730"/>
      <c r="AF13" s="730"/>
      <c r="AG13" s="732"/>
      <c r="AH13" s="756"/>
      <c r="AI13" s="748"/>
      <c r="AJ13" s="748"/>
      <c r="AK13" s="748"/>
      <c r="AL13" s="748"/>
      <c r="AM13" s="749"/>
      <c r="AN13" s="15"/>
      <c r="AO13" s="745"/>
      <c r="AP13" s="746"/>
      <c r="AQ13" s="746"/>
      <c r="AR13" s="746"/>
      <c r="AS13" s="746"/>
      <c r="AT13" s="74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6"/>
      <c r="C14" s="716"/>
      <c r="D14" s="717"/>
      <c r="E14" s="718" t="s">
        <v>191</v>
      </c>
      <c r="F14" s="719"/>
      <c r="G14" s="719"/>
      <c r="H14" s="719"/>
      <c r="I14" s="719"/>
      <c r="J14" s="750" t="str">
        <f>IF(AND('Mapa final'!$H$10="Alta",'Mapa final'!$L$10="Leve"),CONCATENATE("R",'Mapa final'!$A$10),"")</f>
        <v/>
      </c>
      <c r="K14" s="751"/>
      <c r="L14" s="751" t="str">
        <f>IF(AND('Mapa final'!$H$16="Alta",'Mapa final'!$L$16="Leve"),CONCATENATE("R",'Mapa final'!$A$16),"")</f>
        <v/>
      </c>
      <c r="M14" s="751"/>
      <c r="N14" s="751" t="str">
        <f>IF(AND('Mapa final'!$H$22="Alta",'Mapa final'!$L$22="Leve"),CONCATENATE("R",'Mapa final'!$A$22),"")</f>
        <v/>
      </c>
      <c r="O14" s="754"/>
      <c r="P14" s="750" t="str">
        <f>IF(AND('Mapa final'!$H$10="Alta",'Mapa final'!$L$10="Menor"),CONCATENATE("R",'Mapa final'!$A$10),"")</f>
        <v/>
      </c>
      <c r="Q14" s="751"/>
      <c r="R14" s="751" t="str">
        <f>IF(AND('Mapa final'!$H$16="Alta",'Mapa final'!$L$16="Menor"),CONCATENATE("R",'Mapa final'!$A$16),"")</f>
        <v/>
      </c>
      <c r="S14" s="751"/>
      <c r="T14" s="751" t="str">
        <f>IF(AND('Mapa final'!$H$22="Alta",'Mapa final'!$L$22="Menor"),CONCATENATE("R",'Mapa final'!$A$22),"")</f>
        <v/>
      </c>
      <c r="U14" s="754"/>
      <c r="V14" s="727" t="str">
        <f>IF(AND('Mapa final'!$H$10="Alta",'Mapa final'!$L$10="Moderado"),CONCATENATE("R",'Mapa final'!$A$10),"")</f>
        <v/>
      </c>
      <c r="W14" s="728"/>
      <c r="X14" s="728" t="str">
        <f>IF(AND('Mapa final'!$H$16="Alta",'Mapa final'!$L$16="Moderado"),CONCATENATE("R",'Mapa final'!$A$16),"")</f>
        <v/>
      </c>
      <c r="Y14" s="728"/>
      <c r="Z14" s="728" t="str">
        <f>IF(AND('Mapa final'!$H$22="Alta",'Mapa final'!$L$22="Moderado"),CONCATENATE("R",'Mapa final'!$A$22),"")</f>
        <v/>
      </c>
      <c r="AA14" s="731"/>
      <c r="AB14" s="727" t="str">
        <f>IF(AND('Mapa final'!$H$10="Alta",'Mapa final'!$L$10="Mayor"),CONCATENATE("R",'Mapa final'!$A$10),"")</f>
        <v/>
      </c>
      <c r="AC14" s="728"/>
      <c r="AD14" s="728" t="str">
        <f>IF(AND('Mapa final'!$H$16="Alta",'Mapa final'!$L$16="Mayor"),CONCATENATE("R",'Mapa final'!$A$16),"")</f>
        <v/>
      </c>
      <c r="AE14" s="728"/>
      <c r="AF14" s="728" t="str">
        <f>IF(AND('Mapa final'!$H$22="Alta",'Mapa final'!$L$22="Mayor"),CONCATENATE("R",'Mapa final'!$A$22),"")</f>
        <v/>
      </c>
      <c r="AG14" s="731"/>
      <c r="AH14" s="733" t="str">
        <f>IF(AND('Mapa final'!$H$10="Alta",'Mapa final'!$L$10="Catastrófico"),CONCATENATE("R",'Mapa final'!$A$10),"")</f>
        <v/>
      </c>
      <c r="AI14" s="734"/>
      <c r="AJ14" s="734" t="str">
        <f>IF(AND('Mapa final'!$H$16="Alta",'Mapa final'!$L$16="Catastrófico"),CONCATENATE("R",'Mapa final'!$A$16),"")</f>
        <v/>
      </c>
      <c r="AK14" s="734"/>
      <c r="AL14" s="734" t="str">
        <f>IF(AND('Mapa final'!$H$22="Alta",'Mapa final'!$L$22="Catastrófico"),CONCATENATE("R",'Mapa final'!$A$22),"")</f>
        <v/>
      </c>
      <c r="AM14" s="737"/>
      <c r="AN14" s="15"/>
      <c r="AO14" s="757" t="s">
        <v>192</v>
      </c>
      <c r="AP14" s="758"/>
      <c r="AQ14" s="758"/>
      <c r="AR14" s="758"/>
      <c r="AS14" s="758"/>
      <c r="AT14" s="7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6"/>
      <c r="C15" s="716"/>
      <c r="D15" s="717"/>
      <c r="E15" s="721"/>
      <c r="F15" s="722"/>
      <c r="G15" s="722"/>
      <c r="H15" s="722"/>
      <c r="I15" s="722"/>
      <c r="J15" s="752"/>
      <c r="K15" s="753"/>
      <c r="L15" s="753"/>
      <c r="M15" s="753"/>
      <c r="N15" s="753"/>
      <c r="O15" s="755"/>
      <c r="P15" s="752"/>
      <c r="Q15" s="753"/>
      <c r="R15" s="753"/>
      <c r="S15" s="753"/>
      <c r="T15" s="753"/>
      <c r="U15" s="755"/>
      <c r="V15" s="729"/>
      <c r="W15" s="730"/>
      <c r="X15" s="730"/>
      <c r="Y15" s="730"/>
      <c r="Z15" s="730"/>
      <c r="AA15" s="732"/>
      <c r="AB15" s="729"/>
      <c r="AC15" s="730"/>
      <c r="AD15" s="730"/>
      <c r="AE15" s="730"/>
      <c r="AF15" s="730"/>
      <c r="AG15" s="732"/>
      <c r="AH15" s="735"/>
      <c r="AI15" s="736"/>
      <c r="AJ15" s="736"/>
      <c r="AK15" s="736"/>
      <c r="AL15" s="736"/>
      <c r="AM15" s="738"/>
      <c r="AN15" s="15"/>
      <c r="AO15" s="760"/>
      <c r="AP15" s="761"/>
      <c r="AQ15" s="761"/>
      <c r="AR15" s="761"/>
      <c r="AS15" s="761"/>
      <c r="AT15" s="7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6"/>
      <c r="C16" s="716"/>
      <c r="D16" s="717"/>
      <c r="E16" s="721"/>
      <c r="F16" s="722"/>
      <c r="G16" s="722"/>
      <c r="H16" s="722"/>
      <c r="I16" s="722"/>
      <c r="J16" s="752" t="str">
        <f>IF(AND('Mapa final'!$H$28="Alta",'Mapa final'!$L$28="Leve"),CONCATENATE("R",'Mapa final'!$A$28),"")</f>
        <v/>
      </c>
      <c r="K16" s="753"/>
      <c r="L16" s="753" t="str">
        <f>IF(AND('Mapa final'!$H$34="Alta",'Mapa final'!$L$34="Leve"),CONCATENATE("R",'Mapa final'!$A$34),"")</f>
        <v/>
      </c>
      <c r="M16" s="753"/>
      <c r="N16" s="753" t="str">
        <f>IF(AND('Mapa final'!$H$40="Alta",'Mapa final'!$L$40="Leve"),CONCATENATE("R",'Mapa final'!$A$40),"")</f>
        <v/>
      </c>
      <c r="O16" s="755"/>
      <c r="P16" s="752" t="str">
        <f>IF(AND('Mapa final'!$H$28="Alta",'Mapa final'!$L$28="Menor"),CONCATENATE("R",'Mapa final'!$A$28),"")</f>
        <v/>
      </c>
      <c r="Q16" s="753"/>
      <c r="R16" s="753" t="str">
        <f>IF(AND('Mapa final'!$H$34="Alta",'Mapa final'!$L$34="Menor"),CONCATENATE("R",'Mapa final'!$A$34),"")</f>
        <v/>
      </c>
      <c r="S16" s="753"/>
      <c r="T16" s="753" t="str">
        <f>IF(AND('Mapa final'!$H$40="Alta",'Mapa final'!$L$40="Menor"),CONCATENATE("R",'Mapa final'!$A$40),"")</f>
        <v/>
      </c>
      <c r="U16" s="755"/>
      <c r="V16" s="729" t="str">
        <f>IF(AND('Mapa final'!$H$28="Alta",'Mapa final'!$L$28="Moderado"),CONCATENATE("R",'Mapa final'!$A$28),"")</f>
        <v/>
      </c>
      <c r="W16" s="730"/>
      <c r="X16" s="730" t="str">
        <f>IF(AND('Mapa final'!$H$34="Alta",'Mapa final'!$L$34="Moderado"),CONCATENATE("R",'Mapa final'!$A$34),"")</f>
        <v/>
      </c>
      <c r="Y16" s="730"/>
      <c r="Z16" s="730" t="str">
        <f>IF(AND('Mapa final'!$H$40="Alta",'Mapa final'!$L$40="Moderado"),CONCATENATE("R",'Mapa final'!$A$40),"")</f>
        <v/>
      </c>
      <c r="AA16" s="732"/>
      <c r="AB16" s="729" t="str">
        <f>IF(AND('Mapa final'!$H$28="Alta",'Mapa final'!$L$28="Mayor"),CONCATENATE("R",'Mapa final'!$A$28),"")</f>
        <v/>
      </c>
      <c r="AC16" s="730"/>
      <c r="AD16" s="730" t="str">
        <f>IF(AND('Mapa final'!$H$34="Alta",'Mapa final'!$L$34="Mayor"),CONCATENATE("R",'Mapa final'!$A$34),"")</f>
        <v/>
      </c>
      <c r="AE16" s="730"/>
      <c r="AF16" s="730" t="str">
        <f>IF(AND('Mapa final'!$H$40="Alta",'Mapa final'!$L$40="Mayor"),CONCATENATE("R",'Mapa final'!$A$40),"")</f>
        <v/>
      </c>
      <c r="AG16" s="732"/>
      <c r="AH16" s="735" t="str">
        <f>IF(AND('Mapa final'!$H$28="Alta",'Mapa final'!$L$28="Catastrófico"),CONCATENATE("R",'Mapa final'!$A$28),"")</f>
        <v/>
      </c>
      <c r="AI16" s="736"/>
      <c r="AJ16" s="736" t="str">
        <f>IF(AND('Mapa final'!$H$34="Alta",'Mapa final'!$L$34="Catastrófico"),CONCATENATE("R",'Mapa final'!$A$34),"")</f>
        <v/>
      </c>
      <c r="AK16" s="736"/>
      <c r="AL16" s="736" t="str">
        <f>IF(AND('Mapa final'!$H$40="Alta",'Mapa final'!$L$40="Catastrófico"),CONCATENATE("R",'Mapa final'!$A$40),"")</f>
        <v/>
      </c>
      <c r="AM16" s="738"/>
      <c r="AN16" s="15"/>
      <c r="AO16" s="760"/>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6"/>
      <c r="C17" s="716"/>
      <c r="D17" s="717"/>
      <c r="E17" s="721"/>
      <c r="F17" s="722"/>
      <c r="G17" s="722"/>
      <c r="H17" s="722"/>
      <c r="I17" s="722"/>
      <c r="J17" s="752"/>
      <c r="K17" s="753"/>
      <c r="L17" s="753"/>
      <c r="M17" s="753"/>
      <c r="N17" s="753"/>
      <c r="O17" s="755"/>
      <c r="P17" s="752"/>
      <c r="Q17" s="753"/>
      <c r="R17" s="753"/>
      <c r="S17" s="753"/>
      <c r="T17" s="753"/>
      <c r="U17" s="755"/>
      <c r="V17" s="729"/>
      <c r="W17" s="730"/>
      <c r="X17" s="730"/>
      <c r="Y17" s="730"/>
      <c r="Z17" s="730"/>
      <c r="AA17" s="732"/>
      <c r="AB17" s="729"/>
      <c r="AC17" s="730"/>
      <c r="AD17" s="730"/>
      <c r="AE17" s="730"/>
      <c r="AF17" s="730"/>
      <c r="AG17" s="732"/>
      <c r="AH17" s="735"/>
      <c r="AI17" s="736"/>
      <c r="AJ17" s="736"/>
      <c r="AK17" s="736"/>
      <c r="AL17" s="736"/>
      <c r="AM17" s="738"/>
      <c r="AN17" s="15"/>
      <c r="AO17" s="760"/>
      <c r="AP17" s="761"/>
      <c r="AQ17" s="761"/>
      <c r="AR17" s="761"/>
      <c r="AS17" s="761"/>
      <c r="AT17" s="7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6"/>
      <c r="C18" s="716"/>
      <c r="D18" s="717"/>
      <c r="E18" s="721"/>
      <c r="F18" s="722"/>
      <c r="G18" s="722"/>
      <c r="H18" s="722"/>
      <c r="I18" s="722"/>
      <c r="J18" s="752" t="str">
        <f>IF(AND('Mapa final'!$H$46="Alta",'Mapa final'!$L$46="Leve"),CONCATENATE("R",'Mapa final'!$A$46),"")</f>
        <v/>
      </c>
      <c r="K18" s="753"/>
      <c r="L18" s="753" t="str">
        <f>IF(AND('Mapa final'!$H$52="Alta",'Mapa final'!$L$52="Leve"),CONCATENATE("R",'Mapa final'!$A$52),"")</f>
        <v/>
      </c>
      <c r="M18" s="753"/>
      <c r="N18" s="753" t="str">
        <f>IF(AND('Mapa final'!$H$58="Alta",'Mapa final'!$L$58="Leve"),CONCATENATE("R",'Mapa final'!$A$58),"")</f>
        <v/>
      </c>
      <c r="O18" s="755"/>
      <c r="P18" s="752" t="str">
        <f>IF(AND('Mapa final'!$H$46="Alta",'Mapa final'!$L$46="Menor"),CONCATENATE("R",'Mapa final'!$A$46),"")</f>
        <v/>
      </c>
      <c r="Q18" s="753"/>
      <c r="R18" s="753" t="str">
        <f>IF(AND('Mapa final'!$H$52="Alta",'Mapa final'!$L$52="Menor"),CONCATENATE("R",'Mapa final'!$A$52),"")</f>
        <v/>
      </c>
      <c r="S18" s="753"/>
      <c r="T18" s="753" t="str">
        <f>IF(AND('Mapa final'!$H$58="Alta",'Mapa final'!$L$58="Menor"),CONCATENATE("R",'Mapa final'!$A$58),"")</f>
        <v/>
      </c>
      <c r="U18" s="755"/>
      <c r="V18" s="729" t="str">
        <f>IF(AND('Mapa final'!$H$46="Alta",'Mapa final'!$L$46="Moderado"),CONCATENATE("R",'Mapa final'!$A$46),"")</f>
        <v/>
      </c>
      <c r="W18" s="730"/>
      <c r="X18" s="730" t="str">
        <f>IF(AND('Mapa final'!$H$52="Alta",'Mapa final'!$L$52="Moderado"),CONCATENATE("R",'Mapa final'!$A$52),"")</f>
        <v/>
      </c>
      <c r="Y18" s="730"/>
      <c r="Z18" s="730" t="str">
        <f>IF(AND('Mapa final'!$H$58="Alta",'Mapa final'!$L$58="Moderado"),CONCATENATE("R",'Mapa final'!$A$58),"")</f>
        <v/>
      </c>
      <c r="AA18" s="732"/>
      <c r="AB18" s="729" t="str">
        <f>IF(AND('Mapa final'!$H$46="Alta",'Mapa final'!$L$46="Mayor"),CONCATENATE("R",'Mapa final'!$A$46),"")</f>
        <v/>
      </c>
      <c r="AC18" s="730"/>
      <c r="AD18" s="730" t="str">
        <f>IF(AND('Mapa final'!$H$52="Alta",'Mapa final'!$L$52="Mayor"),CONCATENATE("R",'Mapa final'!$A$52),"")</f>
        <v/>
      </c>
      <c r="AE18" s="730"/>
      <c r="AF18" s="730" t="str">
        <f>IF(AND('Mapa final'!$H$58="Alta",'Mapa final'!$L$58="Mayor"),CONCATENATE("R",'Mapa final'!$A$58),"")</f>
        <v/>
      </c>
      <c r="AG18" s="732"/>
      <c r="AH18" s="735" t="str">
        <f>IF(AND('Mapa final'!$H$46="Alta",'Mapa final'!$L$46="Catastrófico"),CONCATENATE("R",'Mapa final'!$A$46),"")</f>
        <v/>
      </c>
      <c r="AI18" s="736"/>
      <c r="AJ18" s="736" t="str">
        <f>IF(AND('Mapa final'!$H$52="Alta",'Mapa final'!$L$52="Catastrófico"),CONCATENATE("R",'Mapa final'!$A$52),"")</f>
        <v/>
      </c>
      <c r="AK18" s="736"/>
      <c r="AL18" s="736" t="str">
        <f>IF(AND('Mapa final'!$H$58="Alta",'Mapa final'!$L$58="Catastrófico"),CONCATENATE("R",'Mapa final'!$A$58),"")</f>
        <v/>
      </c>
      <c r="AM18" s="738"/>
      <c r="AN18" s="15"/>
      <c r="AO18" s="760"/>
      <c r="AP18" s="761"/>
      <c r="AQ18" s="761"/>
      <c r="AR18" s="761"/>
      <c r="AS18" s="761"/>
      <c r="AT18" s="7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6"/>
      <c r="C19" s="716"/>
      <c r="D19" s="717"/>
      <c r="E19" s="721"/>
      <c r="F19" s="722"/>
      <c r="G19" s="722"/>
      <c r="H19" s="722"/>
      <c r="I19" s="722"/>
      <c r="J19" s="752"/>
      <c r="K19" s="753"/>
      <c r="L19" s="753"/>
      <c r="M19" s="753"/>
      <c r="N19" s="753"/>
      <c r="O19" s="755"/>
      <c r="P19" s="752"/>
      <c r="Q19" s="753"/>
      <c r="R19" s="753"/>
      <c r="S19" s="753"/>
      <c r="T19" s="753"/>
      <c r="U19" s="755"/>
      <c r="V19" s="729"/>
      <c r="W19" s="730"/>
      <c r="X19" s="730"/>
      <c r="Y19" s="730"/>
      <c r="Z19" s="730"/>
      <c r="AA19" s="732"/>
      <c r="AB19" s="729"/>
      <c r="AC19" s="730"/>
      <c r="AD19" s="730"/>
      <c r="AE19" s="730"/>
      <c r="AF19" s="730"/>
      <c r="AG19" s="732"/>
      <c r="AH19" s="735"/>
      <c r="AI19" s="736"/>
      <c r="AJ19" s="736"/>
      <c r="AK19" s="736"/>
      <c r="AL19" s="736"/>
      <c r="AM19" s="738"/>
      <c r="AN19" s="15"/>
      <c r="AO19" s="760"/>
      <c r="AP19" s="761"/>
      <c r="AQ19" s="761"/>
      <c r="AR19" s="761"/>
      <c r="AS19" s="761"/>
      <c r="AT19" s="7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6"/>
      <c r="C20" s="716"/>
      <c r="D20" s="717"/>
      <c r="E20" s="721"/>
      <c r="F20" s="722"/>
      <c r="G20" s="722"/>
      <c r="H20" s="722"/>
      <c r="I20" s="722"/>
      <c r="J20" s="752" t="str">
        <f>IF(AND('Mapa final'!$H$64="Alta",'Mapa final'!$L$64="Leve"),CONCATENATE("R",'Mapa final'!$A$64),"")</f>
        <v/>
      </c>
      <c r="K20" s="753"/>
      <c r="L20" s="753" t="str">
        <f>IF(AND('Mapa final'!$H$70="Alta",'Mapa final'!$L$70="Leve"),CONCATENATE("R",'Mapa final'!$A$70),"")</f>
        <v/>
      </c>
      <c r="M20" s="753"/>
      <c r="N20" s="753" t="str">
        <f>IF(AND('Mapa final'!$H$76="Alta",'Mapa final'!$L$76="Leve"),CONCATENATE("R",'Mapa final'!$A$76),"")</f>
        <v/>
      </c>
      <c r="O20" s="755"/>
      <c r="P20" s="752" t="str">
        <f>IF(AND('Mapa final'!$H$64="Alta",'Mapa final'!$L$64="Menor"),CONCATENATE("R",'Mapa final'!$A$64),"")</f>
        <v/>
      </c>
      <c r="Q20" s="753"/>
      <c r="R20" s="753" t="str">
        <f>IF(AND('Mapa final'!$H$70="Alta",'Mapa final'!$L$70="Menor"),CONCATENATE("R",'Mapa final'!$A$70),"")</f>
        <v/>
      </c>
      <c r="S20" s="753"/>
      <c r="T20" s="753" t="str">
        <f>IF(AND('Mapa final'!$H$76="Alta",'Mapa final'!$L$76="Menor"),CONCATENATE("R",'Mapa final'!$A$76),"")</f>
        <v/>
      </c>
      <c r="U20" s="755"/>
      <c r="V20" s="729" t="str">
        <f>IF(AND('Mapa final'!$H$64="Alta",'Mapa final'!$L$64="Moderado"),CONCATENATE("R",'Mapa final'!$A$64),"")</f>
        <v/>
      </c>
      <c r="W20" s="730"/>
      <c r="X20" s="730" t="str">
        <f>IF(AND('Mapa final'!$H$70="Alta",'Mapa final'!$L$70="Moderado"),CONCATENATE("R",'Mapa final'!$A$70),"")</f>
        <v/>
      </c>
      <c r="Y20" s="730"/>
      <c r="Z20" s="730" t="str">
        <f>IF(AND('Mapa final'!$H$76="Alta",'Mapa final'!$L$76="Moderado"),CONCATENATE("R",'Mapa final'!$A$76),"")</f>
        <v/>
      </c>
      <c r="AA20" s="732"/>
      <c r="AB20" s="729" t="str">
        <f>IF(AND('Mapa final'!$H$64="Alta",'Mapa final'!$L$64="Mayor"),CONCATENATE("R",'Mapa final'!$A$64),"")</f>
        <v/>
      </c>
      <c r="AC20" s="730"/>
      <c r="AD20" s="730" t="str">
        <f>IF(AND('Mapa final'!$H$70="Alta",'Mapa final'!$L$70="Mayor"),CONCATENATE("R",'Mapa final'!$A$70),"")</f>
        <v/>
      </c>
      <c r="AE20" s="730"/>
      <c r="AF20" s="730" t="str">
        <f>IF(AND('Mapa final'!$H$76="Alta",'Mapa final'!$L$76="Mayor"),CONCATENATE("R",'Mapa final'!$A$76),"")</f>
        <v/>
      </c>
      <c r="AG20" s="732"/>
      <c r="AH20" s="735" t="str">
        <f>IF(AND('Mapa final'!$H$64="Alta",'Mapa final'!$L$64="Catastrófico"),CONCATENATE("R",'Mapa final'!$A$64),"")</f>
        <v/>
      </c>
      <c r="AI20" s="736"/>
      <c r="AJ20" s="736" t="str">
        <f>IF(AND('Mapa final'!$H$70="Alta",'Mapa final'!$L$70="Catastrófico"),CONCATENATE("R",'Mapa final'!$A$70),"")</f>
        <v/>
      </c>
      <c r="AK20" s="736"/>
      <c r="AL20" s="736" t="str">
        <f>IF(AND('Mapa final'!$H$76="Alta",'Mapa final'!$L$76="Catastrófico"),CONCATENATE("R",'Mapa final'!$A$76),"")</f>
        <v/>
      </c>
      <c r="AM20" s="738"/>
      <c r="AN20" s="15"/>
      <c r="AO20" s="760"/>
      <c r="AP20" s="761"/>
      <c r="AQ20" s="761"/>
      <c r="AR20" s="761"/>
      <c r="AS20" s="761"/>
      <c r="AT20" s="7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6"/>
      <c r="C21" s="716"/>
      <c r="D21" s="717"/>
      <c r="E21" s="724"/>
      <c r="F21" s="725"/>
      <c r="G21" s="725"/>
      <c r="H21" s="725"/>
      <c r="I21" s="725"/>
      <c r="J21" s="769"/>
      <c r="K21" s="770"/>
      <c r="L21" s="770"/>
      <c r="M21" s="770"/>
      <c r="N21" s="770"/>
      <c r="O21" s="771"/>
      <c r="P21" s="769"/>
      <c r="Q21" s="770"/>
      <c r="R21" s="770"/>
      <c r="S21" s="770"/>
      <c r="T21" s="770"/>
      <c r="U21" s="771"/>
      <c r="V21" s="766"/>
      <c r="W21" s="767"/>
      <c r="X21" s="767"/>
      <c r="Y21" s="767"/>
      <c r="Z21" s="767"/>
      <c r="AA21" s="768"/>
      <c r="AB21" s="766"/>
      <c r="AC21" s="767"/>
      <c r="AD21" s="767"/>
      <c r="AE21" s="767"/>
      <c r="AF21" s="767"/>
      <c r="AG21" s="768"/>
      <c r="AH21" s="756"/>
      <c r="AI21" s="748"/>
      <c r="AJ21" s="748"/>
      <c r="AK21" s="748"/>
      <c r="AL21" s="748"/>
      <c r="AM21" s="749"/>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6"/>
      <c r="C22" s="716"/>
      <c r="D22" s="717"/>
      <c r="E22" s="718" t="s">
        <v>193</v>
      </c>
      <c r="F22" s="719"/>
      <c r="G22" s="719"/>
      <c r="H22" s="719"/>
      <c r="I22" s="720"/>
      <c r="J22" s="750" t="str">
        <f>IF(AND('Mapa final'!$H$10="Media",'Mapa final'!$L$10="Leve"),CONCATENATE("R",'Mapa final'!$A$10),"")</f>
        <v/>
      </c>
      <c r="K22" s="751"/>
      <c r="L22" s="751" t="str">
        <f>IF(AND('Mapa final'!$H$16="Media",'Mapa final'!$L$16="Leve"),CONCATENATE("R",'Mapa final'!$A$16),"")</f>
        <v/>
      </c>
      <c r="M22" s="751"/>
      <c r="N22" s="751" t="str">
        <f>IF(AND('Mapa final'!$H$22="Media",'Mapa final'!$L$22="Leve"),CONCATENATE("R",'Mapa final'!$A$22),"")</f>
        <v/>
      </c>
      <c r="O22" s="754"/>
      <c r="P22" s="750" t="str">
        <f>IF(AND('Mapa final'!$H$10="Media",'Mapa final'!$L$10="Menor"),CONCATENATE("R",'Mapa final'!$A$10),"")</f>
        <v/>
      </c>
      <c r="Q22" s="751"/>
      <c r="R22" s="751" t="str">
        <f>IF(AND('Mapa final'!$H$16="Media",'Mapa final'!$L$16="Menor"),CONCATENATE("R",'Mapa final'!$A$16),"")</f>
        <v/>
      </c>
      <c r="S22" s="751"/>
      <c r="T22" s="751" t="str">
        <f>IF(AND('Mapa final'!$H$22="Media",'Mapa final'!$L$22="Menor"),CONCATENATE("R",'Mapa final'!$A$22),"")</f>
        <v/>
      </c>
      <c r="U22" s="754"/>
      <c r="V22" s="750" t="str">
        <f>IF(AND('Mapa final'!$H$10="Media",'Mapa final'!$L$10="Moderado"),CONCATENATE("R",'Mapa final'!$A$10),"")</f>
        <v/>
      </c>
      <c r="W22" s="751"/>
      <c r="X22" s="751" t="str">
        <f>IF(AND('Mapa final'!$H$16="Media",'Mapa final'!$L$16="Moderado"),CONCATENATE("R",'Mapa final'!$A$16),"")</f>
        <v/>
      </c>
      <c r="Y22" s="751"/>
      <c r="Z22" s="751" t="str">
        <f>IF(AND('Mapa final'!$H$22="Media",'Mapa final'!$L$22="Moderado"),CONCATENATE("R",'Mapa final'!$A$22),"")</f>
        <v/>
      </c>
      <c r="AA22" s="754"/>
      <c r="AB22" s="727" t="str">
        <f>IF(AND('Mapa final'!$H$10="Media",'Mapa final'!$L$10="Mayor"),CONCATENATE("R",'Mapa final'!$A$10),"")</f>
        <v/>
      </c>
      <c r="AC22" s="728"/>
      <c r="AD22" s="728" t="str">
        <f>IF(AND('Mapa final'!$H$16="Media",'Mapa final'!$L$16="Mayor"),CONCATENATE("R",'Mapa final'!$A$16),"")</f>
        <v/>
      </c>
      <c r="AE22" s="728"/>
      <c r="AF22" s="728" t="str">
        <f>IF(AND('Mapa final'!$H$22="Media",'Mapa final'!$L$22="Mayor"),CONCATENATE("R",'Mapa final'!$A$22),"")</f>
        <v/>
      </c>
      <c r="AG22" s="731"/>
      <c r="AH22" s="733" t="str">
        <f>IF(AND('Mapa final'!$H$10="Media",'Mapa final'!$L$10="Catastrófico"),CONCATENATE("R",'Mapa final'!$A$10),"")</f>
        <v/>
      </c>
      <c r="AI22" s="734"/>
      <c r="AJ22" s="734" t="str">
        <f>IF(AND('Mapa final'!$H$16="Media",'Mapa final'!$L$16="Catastrófico"),CONCATENATE("R",'Mapa final'!$A$16),"")</f>
        <v/>
      </c>
      <c r="AK22" s="734"/>
      <c r="AL22" s="734" t="str">
        <f>IF(AND('Mapa final'!$H$22="Media",'Mapa final'!$L$22="Catastrófico"),CONCATENATE("R",'Mapa final'!$A$22),"")</f>
        <v/>
      </c>
      <c r="AM22" s="737"/>
      <c r="AN22" s="15"/>
      <c r="AO22" s="772" t="s">
        <v>194</v>
      </c>
      <c r="AP22" s="773"/>
      <c r="AQ22" s="773"/>
      <c r="AR22" s="773"/>
      <c r="AS22" s="773"/>
      <c r="AT22" s="77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6"/>
      <c r="C23" s="716"/>
      <c r="D23" s="717"/>
      <c r="E23" s="721"/>
      <c r="F23" s="722"/>
      <c r="G23" s="722"/>
      <c r="H23" s="722"/>
      <c r="I23" s="723"/>
      <c r="J23" s="752"/>
      <c r="K23" s="753"/>
      <c r="L23" s="753"/>
      <c r="M23" s="753"/>
      <c r="N23" s="753"/>
      <c r="O23" s="755"/>
      <c r="P23" s="752"/>
      <c r="Q23" s="753"/>
      <c r="R23" s="753"/>
      <c r="S23" s="753"/>
      <c r="T23" s="753"/>
      <c r="U23" s="755"/>
      <c r="V23" s="752"/>
      <c r="W23" s="753"/>
      <c r="X23" s="753"/>
      <c r="Y23" s="753"/>
      <c r="Z23" s="753"/>
      <c r="AA23" s="755"/>
      <c r="AB23" s="729"/>
      <c r="AC23" s="730"/>
      <c r="AD23" s="730"/>
      <c r="AE23" s="730"/>
      <c r="AF23" s="730"/>
      <c r="AG23" s="732"/>
      <c r="AH23" s="735"/>
      <c r="AI23" s="736"/>
      <c r="AJ23" s="736"/>
      <c r="AK23" s="736"/>
      <c r="AL23" s="736"/>
      <c r="AM23" s="738"/>
      <c r="AN23" s="15"/>
      <c r="AO23" s="775"/>
      <c r="AP23" s="776"/>
      <c r="AQ23" s="776"/>
      <c r="AR23" s="776"/>
      <c r="AS23" s="776"/>
      <c r="AT23" s="77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6"/>
      <c r="C24" s="716"/>
      <c r="D24" s="717"/>
      <c r="E24" s="721"/>
      <c r="F24" s="722"/>
      <c r="G24" s="722"/>
      <c r="H24" s="722"/>
      <c r="I24" s="723"/>
      <c r="J24" s="752" t="str">
        <f>IF(AND('Mapa final'!$H$28="Media",'Mapa final'!$L$28="Leve"),CONCATENATE("R",'Mapa final'!$A$28),"")</f>
        <v/>
      </c>
      <c r="K24" s="753"/>
      <c r="L24" s="753" t="str">
        <f>IF(AND('Mapa final'!$H$34="Media",'Mapa final'!$L$34="Leve"),CONCATENATE("R",'Mapa final'!$A$34),"")</f>
        <v/>
      </c>
      <c r="M24" s="753"/>
      <c r="N24" s="753" t="str">
        <f>IF(AND('Mapa final'!$H$40="Media",'Mapa final'!$L$40="Leve"),CONCATENATE("R",'Mapa final'!$A$40),"")</f>
        <v/>
      </c>
      <c r="O24" s="755"/>
      <c r="P24" s="752" t="str">
        <f>IF(AND('Mapa final'!$H$28="Media",'Mapa final'!$L$28="Menor"),CONCATENATE("R",'Mapa final'!$A$28),"")</f>
        <v/>
      </c>
      <c r="Q24" s="753"/>
      <c r="R24" s="753" t="str">
        <f>IF(AND('Mapa final'!$H$34="Media",'Mapa final'!$L$34="Menor"),CONCATENATE("R",'Mapa final'!$A$34),"")</f>
        <v/>
      </c>
      <c r="S24" s="753"/>
      <c r="T24" s="753" t="str">
        <f>IF(AND('Mapa final'!$H$40="Media",'Mapa final'!$L$40="Menor"),CONCATENATE("R",'Mapa final'!$A$40),"")</f>
        <v/>
      </c>
      <c r="U24" s="755"/>
      <c r="V24" s="752" t="str">
        <f>IF(AND('Mapa final'!$H$28="Media",'Mapa final'!$L$28="Moderado"),CONCATENATE("R",'Mapa final'!$A$28),"")</f>
        <v/>
      </c>
      <c r="W24" s="753"/>
      <c r="X24" s="753" t="str">
        <f>IF(AND('Mapa final'!$H$34="Media",'Mapa final'!$L$34="Moderado"),CONCATENATE("R",'Mapa final'!$A$34),"")</f>
        <v/>
      </c>
      <c r="Y24" s="753"/>
      <c r="Z24" s="753" t="str">
        <f>IF(AND('Mapa final'!$H$40="Media",'Mapa final'!$L$40="Moderado"),CONCATENATE("R",'Mapa final'!$A$40),"")</f>
        <v/>
      </c>
      <c r="AA24" s="755"/>
      <c r="AB24" s="729" t="str">
        <f>IF(AND('Mapa final'!$H$28="Media",'Mapa final'!$L$28="Mayor"),CONCATENATE("R",'Mapa final'!$A$28),"")</f>
        <v/>
      </c>
      <c r="AC24" s="730"/>
      <c r="AD24" s="730" t="str">
        <f>IF(AND('Mapa final'!$H$34="Media",'Mapa final'!$L$34="Mayor"),CONCATENATE("R",'Mapa final'!$A$34),"")</f>
        <v/>
      </c>
      <c r="AE24" s="730"/>
      <c r="AF24" s="730" t="str">
        <f>IF(AND('Mapa final'!$H$40="Media",'Mapa final'!$L$40="Mayor"),CONCATENATE("R",'Mapa final'!$A$40),"")</f>
        <v/>
      </c>
      <c r="AG24" s="732"/>
      <c r="AH24" s="735" t="str">
        <f>IF(AND('Mapa final'!$H$28="Media",'Mapa final'!$L$28="Catastrófico"),CONCATENATE("R",'Mapa final'!$A$28),"")</f>
        <v/>
      </c>
      <c r="AI24" s="736"/>
      <c r="AJ24" s="736" t="str">
        <f>IF(AND('Mapa final'!$H$34="Media",'Mapa final'!$L$34="Catastrófico"),CONCATENATE("R",'Mapa final'!$A$34),"")</f>
        <v/>
      </c>
      <c r="AK24" s="736"/>
      <c r="AL24" s="736" t="str">
        <f>IF(AND('Mapa final'!$H$40="Media",'Mapa final'!$L$40="Catastrófico"),CONCATENATE("R",'Mapa final'!$A$40),"")</f>
        <v/>
      </c>
      <c r="AM24" s="738"/>
      <c r="AN24" s="15"/>
      <c r="AO24" s="775"/>
      <c r="AP24" s="776"/>
      <c r="AQ24" s="776"/>
      <c r="AR24" s="776"/>
      <c r="AS24" s="776"/>
      <c r="AT24" s="77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6"/>
      <c r="C25" s="716"/>
      <c r="D25" s="717"/>
      <c r="E25" s="721"/>
      <c r="F25" s="722"/>
      <c r="G25" s="722"/>
      <c r="H25" s="722"/>
      <c r="I25" s="723"/>
      <c r="J25" s="752"/>
      <c r="K25" s="753"/>
      <c r="L25" s="753"/>
      <c r="M25" s="753"/>
      <c r="N25" s="753"/>
      <c r="O25" s="755"/>
      <c r="P25" s="752"/>
      <c r="Q25" s="753"/>
      <c r="R25" s="753"/>
      <c r="S25" s="753"/>
      <c r="T25" s="753"/>
      <c r="U25" s="755"/>
      <c r="V25" s="752"/>
      <c r="W25" s="753"/>
      <c r="X25" s="753"/>
      <c r="Y25" s="753"/>
      <c r="Z25" s="753"/>
      <c r="AA25" s="755"/>
      <c r="AB25" s="729"/>
      <c r="AC25" s="730"/>
      <c r="AD25" s="730"/>
      <c r="AE25" s="730"/>
      <c r="AF25" s="730"/>
      <c r="AG25" s="732"/>
      <c r="AH25" s="735"/>
      <c r="AI25" s="736"/>
      <c r="AJ25" s="736"/>
      <c r="AK25" s="736"/>
      <c r="AL25" s="736"/>
      <c r="AM25" s="738"/>
      <c r="AN25" s="15"/>
      <c r="AO25" s="775"/>
      <c r="AP25" s="776"/>
      <c r="AQ25" s="776"/>
      <c r="AR25" s="776"/>
      <c r="AS25" s="776"/>
      <c r="AT25" s="77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6"/>
      <c r="C26" s="716"/>
      <c r="D26" s="717"/>
      <c r="E26" s="721"/>
      <c r="F26" s="722"/>
      <c r="G26" s="722"/>
      <c r="H26" s="722"/>
      <c r="I26" s="723"/>
      <c r="J26" s="752" t="str">
        <f>IF(AND('Mapa final'!$H$46="Media",'Mapa final'!$L$46="Leve"),CONCATENATE("R",'Mapa final'!$A$46),"")</f>
        <v/>
      </c>
      <c r="K26" s="753"/>
      <c r="L26" s="753" t="str">
        <f>IF(AND('Mapa final'!$H$52="Media",'Mapa final'!$L$52="Leve"),CONCATENATE("R",'Mapa final'!$A$52),"")</f>
        <v/>
      </c>
      <c r="M26" s="753"/>
      <c r="N26" s="753" t="str">
        <f>IF(AND('Mapa final'!$H$58="Media",'Mapa final'!$L$58="Leve"),CONCATENATE("R",'Mapa final'!$A$58),"")</f>
        <v/>
      </c>
      <c r="O26" s="755"/>
      <c r="P26" s="752" t="str">
        <f>IF(AND('Mapa final'!$H$46="Media",'Mapa final'!$L$46="Menor"),CONCATENATE("R",'Mapa final'!$A$46),"")</f>
        <v/>
      </c>
      <c r="Q26" s="753"/>
      <c r="R26" s="753" t="str">
        <f>IF(AND('Mapa final'!$H$52="Media",'Mapa final'!$L$52="Menor"),CONCATENATE("R",'Mapa final'!$A$52),"")</f>
        <v/>
      </c>
      <c r="S26" s="753"/>
      <c r="T26" s="753" t="str">
        <f>IF(AND('Mapa final'!$H$58="Media",'Mapa final'!$L$58="Menor"),CONCATENATE("R",'Mapa final'!$A$58),"")</f>
        <v/>
      </c>
      <c r="U26" s="755"/>
      <c r="V26" s="752" t="str">
        <f>IF(AND('Mapa final'!$H$46="Media",'Mapa final'!$L$46="Moderado"),CONCATENATE("R",'Mapa final'!$A$46),"")</f>
        <v/>
      </c>
      <c r="W26" s="753"/>
      <c r="X26" s="753" t="str">
        <f>IF(AND('Mapa final'!$H$52="Media",'Mapa final'!$L$52="Moderado"),CONCATENATE("R",'Mapa final'!$A$52),"")</f>
        <v/>
      </c>
      <c r="Y26" s="753"/>
      <c r="Z26" s="753" t="str">
        <f>IF(AND('Mapa final'!$H$58="Media",'Mapa final'!$L$58="Moderado"),CONCATENATE("R",'Mapa final'!$A$58),"")</f>
        <v/>
      </c>
      <c r="AA26" s="755"/>
      <c r="AB26" s="729" t="str">
        <f>IF(AND('Mapa final'!$H$46="Media",'Mapa final'!$L$46="Mayor"),CONCATENATE("R",'Mapa final'!$A$46),"")</f>
        <v/>
      </c>
      <c r="AC26" s="730"/>
      <c r="AD26" s="730" t="str">
        <f>IF(AND('Mapa final'!$H$52="Media",'Mapa final'!$L$52="Mayor"),CONCATENATE("R",'Mapa final'!$A$52),"")</f>
        <v/>
      </c>
      <c r="AE26" s="730"/>
      <c r="AF26" s="730" t="str">
        <f>IF(AND('Mapa final'!$H$58="Media",'Mapa final'!$L$58="Mayor"),CONCATENATE("R",'Mapa final'!$A$58),"")</f>
        <v/>
      </c>
      <c r="AG26" s="732"/>
      <c r="AH26" s="735" t="str">
        <f>IF(AND('Mapa final'!$H$46="Media",'Mapa final'!$L$46="Catastrófico"),CONCATENATE("R",'Mapa final'!$A$46),"")</f>
        <v/>
      </c>
      <c r="AI26" s="736"/>
      <c r="AJ26" s="736" t="str">
        <f>IF(AND('Mapa final'!$H$52="Media",'Mapa final'!$L$52="Catastrófico"),CONCATENATE("R",'Mapa final'!$A$52),"")</f>
        <v/>
      </c>
      <c r="AK26" s="736"/>
      <c r="AL26" s="736" t="str">
        <f>IF(AND('Mapa final'!$H$58="Media",'Mapa final'!$L$58="Catastrófico"),CONCATENATE("R",'Mapa final'!$A$58),"")</f>
        <v/>
      </c>
      <c r="AM26" s="738"/>
      <c r="AN26" s="15"/>
      <c r="AO26" s="775"/>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6"/>
      <c r="C27" s="716"/>
      <c r="D27" s="717"/>
      <c r="E27" s="721"/>
      <c r="F27" s="722"/>
      <c r="G27" s="722"/>
      <c r="H27" s="722"/>
      <c r="I27" s="723"/>
      <c r="J27" s="752"/>
      <c r="K27" s="753"/>
      <c r="L27" s="753"/>
      <c r="M27" s="753"/>
      <c r="N27" s="753"/>
      <c r="O27" s="755"/>
      <c r="P27" s="752"/>
      <c r="Q27" s="753"/>
      <c r="R27" s="753"/>
      <c r="S27" s="753"/>
      <c r="T27" s="753"/>
      <c r="U27" s="755"/>
      <c r="V27" s="752"/>
      <c r="W27" s="753"/>
      <c r="X27" s="753"/>
      <c r="Y27" s="753"/>
      <c r="Z27" s="753"/>
      <c r="AA27" s="755"/>
      <c r="AB27" s="729"/>
      <c r="AC27" s="730"/>
      <c r="AD27" s="730"/>
      <c r="AE27" s="730"/>
      <c r="AF27" s="730"/>
      <c r="AG27" s="732"/>
      <c r="AH27" s="735"/>
      <c r="AI27" s="736"/>
      <c r="AJ27" s="736"/>
      <c r="AK27" s="736"/>
      <c r="AL27" s="736"/>
      <c r="AM27" s="738"/>
      <c r="AN27" s="15"/>
      <c r="AO27" s="775"/>
      <c r="AP27" s="776"/>
      <c r="AQ27" s="776"/>
      <c r="AR27" s="776"/>
      <c r="AS27" s="776"/>
      <c r="AT27" s="77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6"/>
      <c r="C28" s="716"/>
      <c r="D28" s="717"/>
      <c r="E28" s="721"/>
      <c r="F28" s="722"/>
      <c r="G28" s="722"/>
      <c r="H28" s="722"/>
      <c r="I28" s="723"/>
      <c r="J28" s="752" t="str">
        <f>IF(AND('Mapa final'!$H$64="Media",'Mapa final'!$L$64="Leve"),CONCATENATE("R",'Mapa final'!$A$64),"")</f>
        <v/>
      </c>
      <c r="K28" s="753"/>
      <c r="L28" s="753" t="str">
        <f>IF(AND('Mapa final'!$H$70="Media",'Mapa final'!$L$70="Leve"),CONCATENATE("R",'Mapa final'!$A$70),"")</f>
        <v/>
      </c>
      <c r="M28" s="753"/>
      <c r="N28" s="753" t="str">
        <f>IF(AND('Mapa final'!$H$76="Media",'Mapa final'!$L$76="Leve"),CONCATENATE("R",'Mapa final'!$A$76),"")</f>
        <v/>
      </c>
      <c r="O28" s="755"/>
      <c r="P28" s="752" t="str">
        <f>IF(AND('Mapa final'!$H$64="Media",'Mapa final'!$L$64="Menor"),CONCATENATE("R",'Mapa final'!$A$64),"")</f>
        <v/>
      </c>
      <c r="Q28" s="753"/>
      <c r="R28" s="753" t="str">
        <f>IF(AND('Mapa final'!$H$70="Media",'Mapa final'!$L$70="Menor"),CONCATENATE("R",'Mapa final'!$A$70),"")</f>
        <v/>
      </c>
      <c r="S28" s="753"/>
      <c r="T28" s="753" t="str">
        <f>IF(AND('Mapa final'!$H$76="Media",'Mapa final'!$L$76="Menor"),CONCATENATE("R",'Mapa final'!$A$76),"")</f>
        <v/>
      </c>
      <c r="U28" s="755"/>
      <c r="V28" s="752" t="str">
        <f>IF(AND('Mapa final'!$H$64="Media",'Mapa final'!$L$64="Moderado"),CONCATENATE("R",'Mapa final'!$A$64),"")</f>
        <v/>
      </c>
      <c r="W28" s="753"/>
      <c r="X28" s="753" t="str">
        <f>IF(AND('Mapa final'!$H$70="Media",'Mapa final'!$L$70="Moderado"),CONCATENATE("R",'Mapa final'!$A$70),"")</f>
        <v/>
      </c>
      <c r="Y28" s="753"/>
      <c r="Z28" s="753" t="str">
        <f>IF(AND('Mapa final'!$H$76="Media",'Mapa final'!$L$76="Moderado"),CONCATENATE("R",'Mapa final'!$A$76),"")</f>
        <v/>
      </c>
      <c r="AA28" s="755"/>
      <c r="AB28" s="729" t="str">
        <f>IF(AND('Mapa final'!$H$64="Media",'Mapa final'!$L$64="Mayor"),CONCATENATE("R",'Mapa final'!$A$64),"")</f>
        <v/>
      </c>
      <c r="AC28" s="730"/>
      <c r="AD28" s="730" t="str">
        <f>IF(AND('Mapa final'!$H$70="Media",'Mapa final'!$L$70="Mayor"),CONCATENATE("R",'Mapa final'!$A$70),"")</f>
        <v/>
      </c>
      <c r="AE28" s="730"/>
      <c r="AF28" s="730" t="str">
        <f>IF(AND('Mapa final'!$H$76="Media",'Mapa final'!$L$76="Mayor"),CONCATENATE("R",'Mapa final'!$A$76),"")</f>
        <v/>
      </c>
      <c r="AG28" s="732"/>
      <c r="AH28" s="735" t="str">
        <f>IF(AND('Mapa final'!$H$64="Media",'Mapa final'!$L$64="Catastrófico"),CONCATENATE("R",'Mapa final'!$A$64),"")</f>
        <v/>
      </c>
      <c r="AI28" s="736"/>
      <c r="AJ28" s="736" t="str">
        <f>IF(AND('Mapa final'!$H$70="Media",'Mapa final'!$L$70="Catastrófico"),CONCATENATE("R",'Mapa final'!$A$70),"")</f>
        <v/>
      </c>
      <c r="AK28" s="736"/>
      <c r="AL28" s="736" t="str">
        <f>IF(AND('Mapa final'!$H$76="Media",'Mapa final'!$L$76="Catastrófico"),CONCATENATE("R",'Mapa final'!$A$76),"")</f>
        <v/>
      </c>
      <c r="AM28" s="738"/>
      <c r="AN28" s="15"/>
      <c r="AO28" s="775"/>
      <c r="AP28" s="776"/>
      <c r="AQ28" s="776"/>
      <c r="AR28" s="776"/>
      <c r="AS28" s="776"/>
      <c r="AT28" s="77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6"/>
      <c r="C29" s="716"/>
      <c r="D29" s="717"/>
      <c r="E29" s="724"/>
      <c r="F29" s="725"/>
      <c r="G29" s="725"/>
      <c r="H29" s="725"/>
      <c r="I29" s="726"/>
      <c r="J29" s="752"/>
      <c r="K29" s="753"/>
      <c r="L29" s="753"/>
      <c r="M29" s="753"/>
      <c r="N29" s="753"/>
      <c r="O29" s="755"/>
      <c r="P29" s="769"/>
      <c r="Q29" s="770"/>
      <c r="R29" s="770"/>
      <c r="S29" s="770"/>
      <c r="T29" s="770"/>
      <c r="U29" s="771"/>
      <c r="V29" s="769"/>
      <c r="W29" s="770"/>
      <c r="X29" s="770"/>
      <c r="Y29" s="770"/>
      <c r="Z29" s="770"/>
      <c r="AA29" s="771"/>
      <c r="AB29" s="766"/>
      <c r="AC29" s="767"/>
      <c r="AD29" s="767"/>
      <c r="AE29" s="767"/>
      <c r="AF29" s="767"/>
      <c r="AG29" s="768"/>
      <c r="AH29" s="756"/>
      <c r="AI29" s="748"/>
      <c r="AJ29" s="748"/>
      <c r="AK29" s="748"/>
      <c r="AL29" s="748"/>
      <c r="AM29" s="749"/>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6"/>
      <c r="C30" s="716"/>
      <c r="D30" s="717"/>
      <c r="E30" s="718" t="s">
        <v>195</v>
      </c>
      <c r="F30" s="719"/>
      <c r="G30" s="719"/>
      <c r="H30" s="719"/>
      <c r="I30" s="719"/>
      <c r="J30" s="781" t="str">
        <f>IF(AND('Mapa final'!$H$10="Baja",'Mapa final'!$L$10="Leve"),CONCATENATE("R",'Mapa final'!$A$10),"")</f>
        <v/>
      </c>
      <c r="K30" s="782"/>
      <c r="L30" s="782" t="str">
        <f>IF(AND('Mapa final'!$H$16="Baja",'Mapa final'!$L$16="Leve"),CONCATENATE("R",'Mapa final'!$A$16),"")</f>
        <v/>
      </c>
      <c r="M30" s="782"/>
      <c r="N30" s="782" t="str">
        <f>IF(AND('Mapa final'!$H$22="Baja",'Mapa final'!$L$22="Leve"),CONCATENATE("R",'Mapa final'!$A$22),"")</f>
        <v/>
      </c>
      <c r="O30" s="785"/>
      <c r="P30" s="751" t="str">
        <f>IF(AND('Mapa final'!$H$10="Baja",'Mapa final'!$L$10="Menor"),CONCATENATE("R",'Mapa final'!$A$10),"")</f>
        <v/>
      </c>
      <c r="Q30" s="751"/>
      <c r="R30" s="751" t="str">
        <f>IF(AND('Mapa final'!$H$16="Baja",'Mapa final'!$L$16="Menor"),CONCATENATE("R",'Mapa final'!$A$16),"")</f>
        <v/>
      </c>
      <c r="S30" s="751"/>
      <c r="T30" s="751" t="str">
        <f>IF(AND('Mapa final'!$H$22="Baja",'Mapa final'!$L$22="Menor"),CONCATENATE("R",'Mapa final'!$A$22),"")</f>
        <v/>
      </c>
      <c r="U30" s="754"/>
      <c r="V30" s="750" t="str">
        <f>IF(AND('Mapa final'!$H$10="Baja",'Mapa final'!$L$10="Moderado"),CONCATENATE("R",'Mapa final'!$A$10),"")</f>
        <v/>
      </c>
      <c r="W30" s="751"/>
      <c r="X30" s="751" t="str">
        <f>IF(AND('Mapa final'!$H$16="Baja",'Mapa final'!$L$16="Moderado"),CONCATENATE("R",'Mapa final'!$A$16),"")</f>
        <v/>
      </c>
      <c r="Y30" s="751"/>
      <c r="Z30" s="751" t="str">
        <f>IF(AND('Mapa final'!$H$22="Baja",'Mapa final'!$L$22="Moderado"),CONCATENATE("R",'Mapa final'!$A$22),"")</f>
        <v/>
      </c>
      <c r="AA30" s="754"/>
      <c r="AB30" s="727" t="str">
        <f>IF(AND('Mapa final'!$H$10="Baja",'Mapa final'!$L$10="Mayor"),CONCATENATE("R",'Mapa final'!$A$10),"")</f>
        <v/>
      </c>
      <c r="AC30" s="728"/>
      <c r="AD30" s="728" t="str">
        <f>IF(AND('Mapa final'!$H$16="Baja",'Mapa final'!$L$16="Mayor"),CONCATENATE("R",'Mapa final'!$A$16),"")</f>
        <v/>
      </c>
      <c r="AE30" s="728"/>
      <c r="AF30" s="728" t="str">
        <f>IF(AND('Mapa final'!$H$22="Baja",'Mapa final'!$L$22="Mayor"),CONCATENATE("R",'Mapa final'!$A$22),"")</f>
        <v/>
      </c>
      <c r="AG30" s="731"/>
      <c r="AH30" s="733" t="str">
        <f>IF(AND('Mapa final'!$H$10="Baja",'Mapa final'!$L$10="Catastrófico"),CONCATENATE("R",'Mapa final'!$A$10),"")</f>
        <v>R1</v>
      </c>
      <c r="AI30" s="734"/>
      <c r="AJ30" s="734" t="str">
        <f>IF(AND('Mapa final'!$H$16="Baja",'Mapa final'!$L$16="Catastrófico"),CONCATENATE("R",'Mapa final'!$A$16),"")</f>
        <v/>
      </c>
      <c r="AK30" s="734"/>
      <c r="AL30" s="734" t="str">
        <f>IF(AND('Mapa final'!$H$22="Baja",'Mapa final'!$L$22="Catastrófico"),CONCATENATE("R",'Mapa final'!$A$22),"")</f>
        <v/>
      </c>
      <c r="AM30" s="737"/>
      <c r="AN30" s="15"/>
      <c r="AO30" s="787" t="s">
        <v>196</v>
      </c>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6"/>
      <c r="C31" s="716"/>
      <c r="D31" s="717"/>
      <c r="E31" s="721"/>
      <c r="F31" s="722"/>
      <c r="G31" s="722"/>
      <c r="H31" s="722"/>
      <c r="I31" s="722"/>
      <c r="J31" s="783"/>
      <c r="K31" s="784"/>
      <c r="L31" s="784"/>
      <c r="M31" s="784"/>
      <c r="N31" s="784"/>
      <c r="O31" s="786"/>
      <c r="P31" s="753"/>
      <c r="Q31" s="753"/>
      <c r="R31" s="753"/>
      <c r="S31" s="753"/>
      <c r="T31" s="753"/>
      <c r="U31" s="755"/>
      <c r="V31" s="752"/>
      <c r="W31" s="753"/>
      <c r="X31" s="753"/>
      <c r="Y31" s="753"/>
      <c r="Z31" s="753"/>
      <c r="AA31" s="755"/>
      <c r="AB31" s="729"/>
      <c r="AC31" s="730"/>
      <c r="AD31" s="730"/>
      <c r="AE31" s="730"/>
      <c r="AF31" s="730"/>
      <c r="AG31" s="732"/>
      <c r="AH31" s="735"/>
      <c r="AI31" s="736"/>
      <c r="AJ31" s="736"/>
      <c r="AK31" s="736"/>
      <c r="AL31" s="736"/>
      <c r="AM31" s="738"/>
      <c r="AN31" s="15"/>
      <c r="AO31" s="790"/>
      <c r="AP31" s="791"/>
      <c r="AQ31" s="791"/>
      <c r="AR31" s="791"/>
      <c r="AS31" s="791"/>
      <c r="AT31" s="79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6"/>
      <c r="C32" s="716"/>
      <c r="D32" s="717"/>
      <c r="E32" s="721"/>
      <c r="F32" s="722"/>
      <c r="G32" s="722"/>
      <c r="H32" s="722"/>
      <c r="I32" s="722"/>
      <c r="J32" s="783" t="str">
        <f>IF(AND('Mapa final'!$H$28="Baja",'Mapa final'!$L$28="Leve"),CONCATENATE("R",'Mapa final'!$A$28),"")</f>
        <v/>
      </c>
      <c r="K32" s="784"/>
      <c r="L32" s="784" t="str">
        <f>IF(AND('Mapa final'!$H$34="Baja",'Mapa final'!$L$34="Leve"),CONCATENATE("R",'Mapa final'!$A$34),"")</f>
        <v/>
      </c>
      <c r="M32" s="784"/>
      <c r="N32" s="784" t="str">
        <f>IF(AND('Mapa final'!$H$40="Baja",'Mapa final'!$L$40="Leve"),CONCATENATE("R",'Mapa final'!$A$40),"")</f>
        <v/>
      </c>
      <c r="O32" s="786"/>
      <c r="P32" s="753" t="str">
        <f>IF(AND('Mapa final'!$H$28="Baja",'Mapa final'!$L$28="Menor"),CONCATENATE("R",'Mapa final'!$A$28),"")</f>
        <v/>
      </c>
      <c r="Q32" s="753"/>
      <c r="R32" s="753" t="str">
        <f>IF(AND('Mapa final'!$H$34="Baja",'Mapa final'!$L$34="Menor"),CONCATENATE("R",'Mapa final'!$A$34),"")</f>
        <v/>
      </c>
      <c r="S32" s="753"/>
      <c r="T32" s="753" t="str">
        <f>IF(AND('Mapa final'!$H$40="Baja",'Mapa final'!$L$40="Menor"),CONCATENATE("R",'Mapa final'!$A$40),"")</f>
        <v/>
      </c>
      <c r="U32" s="755"/>
      <c r="V32" s="752" t="str">
        <f>IF(AND('Mapa final'!$H$28="Baja",'Mapa final'!$L$28="Moderado"),CONCATENATE("R",'Mapa final'!$A$28),"")</f>
        <v/>
      </c>
      <c r="W32" s="753"/>
      <c r="X32" s="753" t="str">
        <f>IF(AND('Mapa final'!$H$34="Baja",'Mapa final'!$L$34="Moderado"),CONCATENATE("R",'Mapa final'!$A$34),"")</f>
        <v/>
      </c>
      <c r="Y32" s="753"/>
      <c r="Z32" s="753" t="str">
        <f>IF(AND('Mapa final'!$H$40="Baja",'Mapa final'!$L$40="Moderado"),CONCATENATE("R",'Mapa final'!$A$40),"")</f>
        <v/>
      </c>
      <c r="AA32" s="755"/>
      <c r="AB32" s="729" t="str">
        <f>IF(AND('Mapa final'!$H$28="Baja",'Mapa final'!$L$28="Mayor"),CONCATENATE("R",'Mapa final'!$A$28),"")</f>
        <v/>
      </c>
      <c r="AC32" s="730"/>
      <c r="AD32" s="730" t="str">
        <f>IF(AND('Mapa final'!$H$34="Baja",'Mapa final'!$L$34="Mayor"),CONCATENATE("R",'Mapa final'!$A$34),"")</f>
        <v/>
      </c>
      <c r="AE32" s="730"/>
      <c r="AF32" s="730" t="str">
        <f>IF(AND('Mapa final'!$H$40="Baja",'Mapa final'!$L$40="Mayor"),CONCATENATE("R",'Mapa final'!$A$40),"")</f>
        <v/>
      </c>
      <c r="AG32" s="732"/>
      <c r="AH32" s="735" t="str">
        <f>IF(AND('Mapa final'!$H$28="Baja",'Mapa final'!$L$28="Catastrófico"),CONCATENATE("R",'Mapa final'!$A$28),"")</f>
        <v/>
      </c>
      <c r="AI32" s="736"/>
      <c r="AJ32" s="736" t="str">
        <f>IF(AND('Mapa final'!$H$34="Baja",'Mapa final'!$L$34="Catastrófico"),CONCATENATE("R",'Mapa final'!$A$34),"")</f>
        <v/>
      </c>
      <c r="AK32" s="736"/>
      <c r="AL32" s="736" t="str">
        <f>IF(AND('Mapa final'!$H$40="Baja",'Mapa final'!$L$40="Catastrófico"),CONCATENATE("R",'Mapa final'!$A$40),"")</f>
        <v/>
      </c>
      <c r="AM32" s="738"/>
      <c r="AN32" s="15"/>
      <c r="AO32" s="790"/>
      <c r="AP32" s="791"/>
      <c r="AQ32" s="791"/>
      <c r="AR32" s="791"/>
      <c r="AS32" s="791"/>
      <c r="AT32" s="79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6"/>
      <c r="C33" s="716"/>
      <c r="D33" s="717"/>
      <c r="E33" s="721"/>
      <c r="F33" s="722"/>
      <c r="G33" s="722"/>
      <c r="H33" s="722"/>
      <c r="I33" s="722"/>
      <c r="J33" s="783"/>
      <c r="K33" s="784"/>
      <c r="L33" s="784"/>
      <c r="M33" s="784"/>
      <c r="N33" s="784"/>
      <c r="O33" s="786"/>
      <c r="P33" s="753"/>
      <c r="Q33" s="753"/>
      <c r="R33" s="753"/>
      <c r="S33" s="753"/>
      <c r="T33" s="753"/>
      <c r="U33" s="755"/>
      <c r="V33" s="752"/>
      <c r="W33" s="753"/>
      <c r="X33" s="753"/>
      <c r="Y33" s="753"/>
      <c r="Z33" s="753"/>
      <c r="AA33" s="755"/>
      <c r="AB33" s="729"/>
      <c r="AC33" s="730"/>
      <c r="AD33" s="730"/>
      <c r="AE33" s="730"/>
      <c r="AF33" s="730"/>
      <c r="AG33" s="732"/>
      <c r="AH33" s="735"/>
      <c r="AI33" s="736"/>
      <c r="AJ33" s="736"/>
      <c r="AK33" s="736"/>
      <c r="AL33" s="736"/>
      <c r="AM33" s="738"/>
      <c r="AN33" s="15"/>
      <c r="AO33" s="790"/>
      <c r="AP33" s="791"/>
      <c r="AQ33" s="791"/>
      <c r="AR33" s="791"/>
      <c r="AS33" s="791"/>
      <c r="AT33" s="79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6"/>
      <c r="C34" s="716"/>
      <c r="D34" s="717"/>
      <c r="E34" s="721"/>
      <c r="F34" s="722"/>
      <c r="G34" s="722"/>
      <c r="H34" s="722"/>
      <c r="I34" s="722"/>
      <c r="J34" s="783" t="str">
        <f>IF(AND('Mapa final'!$H$46="Baja",'Mapa final'!$L$46="Leve"),CONCATENATE("R",'Mapa final'!$A$46),"")</f>
        <v/>
      </c>
      <c r="K34" s="784"/>
      <c r="L34" s="784" t="str">
        <f>IF(AND('Mapa final'!$H$52="Baja",'Mapa final'!$L$52="Leve"),CONCATENATE("R",'Mapa final'!$A$52),"")</f>
        <v/>
      </c>
      <c r="M34" s="784"/>
      <c r="N34" s="784" t="str">
        <f>IF(AND('Mapa final'!$H$58="Baja",'Mapa final'!$L$58="Leve"),CONCATENATE("R",'Mapa final'!$A$58),"")</f>
        <v/>
      </c>
      <c r="O34" s="786"/>
      <c r="P34" s="753" t="str">
        <f>IF(AND('Mapa final'!$H$46="Baja",'Mapa final'!$L$46="Menor"),CONCATENATE("R",'Mapa final'!$A$46),"")</f>
        <v/>
      </c>
      <c r="Q34" s="753"/>
      <c r="R34" s="753" t="str">
        <f>IF(AND('Mapa final'!$H$52="Baja",'Mapa final'!$L$52="Menor"),CONCATENATE("R",'Mapa final'!$A$52),"")</f>
        <v/>
      </c>
      <c r="S34" s="753"/>
      <c r="T34" s="753" t="str">
        <f>IF(AND('Mapa final'!$H$58="Baja",'Mapa final'!$L$58="Menor"),CONCATENATE("R",'Mapa final'!$A$58),"")</f>
        <v/>
      </c>
      <c r="U34" s="755"/>
      <c r="V34" s="752" t="str">
        <f>IF(AND('Mapa final'!$H$46="Baja",'Mapa final'!$L$46="Moderado"),CONCATENATE("R",'Mapa final'!$A$46),"")</f>
        <v/>
      </c>
      <c r="W34" s="753"/>
      <c r="X34" s="753" t="str">
        <f>IF(AND('Mapa final'!$H$52="Baja",'Mapa final'!$L$52="Moderado"),CONCATENATE("R",'Mapa final'!$A$52),"")</f>
        <v/>
      </c>
      <c r="Y34" s="753"/>
      <c r="Z34" s="753" t="str">
        <f>IF(AND('Mapa final'!$H$58="Baja",'Mapa final'!$L$58="Moderado"),CONCATENATE("R",'Mapa final'!$A$58),"")</f>
        <v/>
      </c>
      <c r="AA34" s="755"/>
      <c r="AB34" s="729" t="str">
        <f>IF(AND('Mapa final'!$H$46="Baja",'Mapa final'!$L$46="Mayor"),CONCATENATE("R",'Mapa final'!$A$46),"")</f>
        <v/>
      </c>
      <c r="AC34" s="730"/>
      <c r="AD34" s="730" t="str">
        <f>IF(AND('Mapa final'!$H$52="Baja",'Mapa final'!$L$52="Mayor"),CONCATENATE("R",'Mapa final'!$A$52),"")</f>
        <v/>
      </c>
      <c r="AE34" s="730"/>
      <c r="AF34" s="730" t="str">
        <f>IF(AND('Mapa final'!$H$58="Baja",'Mapa final'!$L$58="Mayor"),CONCATENATE("R",'Mapa final'!$A$58),"")</f>
        <v/>
      </c>
      <c r="AG34" s="732"/>
      <c r="AH34" s="735" t="str">
        <f>IF(AND('Mapa final'!$H$46="Baja",'Mapa final'!$L$46="Catastrófico"),CONCATENATE("R",'Mapa final'!$A$46),"")</f>
        <v/>
      </c>
      <c r="AI34" s="736"/>
      <c r="AJ34" s="736" t="str">
        <f>IF(AND('Mapa final'!$H$52="Baja",'Mapa final'!$L$52="Catastrófico"),CONCATENATE("R",'Mapa final'!$A$52),"")</f>
        <v/>
      </c>
      <c r="AK34" s="736"/>
      <c r="AL34" s="736" t="str">
        <f>IF(AND('Mapa final'!$H$58="Baja",'Mapa final'!$L$58="Catastrófico"),CONCATENATE("R",'Mapa final'!$A$58),"")</f>
        <v/>
      </c>
      <c r="AM34" s="738"/>
      <c r="AN34" s="15"/>
      <c r="AO34" s="790"/>
      <c r="AP34" s="791"/>
      <c r="AQ34" s="791"/>
      <c r="AR34" s="791"/>
      <c r="AS34" s="791"/>
      <c r="AT34" s="79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6"/>
      <c r="C35" s="716"/>
      <c r="D35" s="717"/>
      <c r="E35" s="721"/>
      <c r="F35" s="722"/>
      <c r="G35" s="722"/>
      <c r="H35" s="722"/>
      <c r="I35" s="722"/>
      <c r="J35" s="783"/>
      <c r="K35" s="784"/>
      <c r="L35" s="784"/>
      <c r="M35" s="784"/>
      <c r="N35" s="784"/>
      <c r="O35" s="786"/>
      <c r="P35" s="753"/>
      <c r="Q35" s="753"/>
      <c r="R35" s="753"/>
      <c r="S35" s="753"/>
      <c r="T35" s="753"/>
      <c r="U35" s="755"/>
      <c r="V35" s="752"/>
      <c r="W35" s="753"/>
      <c r="X35" s="753"/>
      <c r="Y35" s="753"/>
      <c r="Z35" s="753"/>
      <c r="AA35" s="755"/>
      <c r="AB35" s="729"/>
      <c r="AC35" s="730"/>
      <c r="AD35" s="730"/>
      <c r="AE35" s="730"/>
      <c r="AF35" s="730"/>
      <c r="AG35" s="732"/>
      <c r="AH35" s="735"/>
      <c r="AI35" s="736"/>
      <c r="AJ35" s="736"/>
      <c r="AK35" s="736"/>
      <c r="AL35" s="736"/>
      <c r="AM35" s="738"/>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6"/>
      <c r="C36" s="716"/>
      <c r="D36" s="717"/>
      <c r="E36" s="721"/>
      <c r="F36" s="722"/>
      <c r="G36" s="722"/>
      <c r="H36" s="722"/>
      <c r="I36" s="722"/>
      <c r="J36" s="783" t="str">
        <f>IF(AND('Mapa final'!$H$64="Baja",'Mapa final'!$L$64="Leve"),CONCATENATE("R",'Mapa final'!$A$64),"")</f>
        <v/>
      </c>
      <c r="K36" s="784"/>
      <c r="L36" s="784" t="str">
        <f>IF(AND('Mapa final'!$H$70="Baja",'Mapa final'!$L$70="Leve"),CONCATENATE("R",'Mapa final'!$A$70),"")</f>
        <v/>
      </c>
      <c r="M36" s="784"/>
      <c r="N36" s="784" t="str">
        <f>IF(AND('Mapa final'!$H$76="Baja",'Mapa final'!$L$76="Leve"),CONCATENATE("R",'Mapa final'!$A$76),"")</f>
        <v/>
      </c>
      <c r="O36" s="786"/>
      <c r="P36" s="753" t="str">
        <f>IF(AND('Mapa final'!$H$64="Baja",'Mapa final'!$L$64="Menor"),CONCATENATE("R",'Mapa final'!$A$64),"")</f>
        <v/>
      </c>
      <c r="Q36" s="753"/>
      <c r="R36" s="753" t="str">
        <f>IF(AND('Mapa final'!$H$70="Baja",'Mapa final'!$L$70="Menor"),CONCATENATE("R",'Mapa final'!$A$70),"")</f>
        <v/>
      </c>
      <c r="S36" s="753"/>
      <c r="T36" s="753" t="str">
        <f>IF(AND('Mapa final'!$H$76="Baja",'Mapa final'!$L$76="Menor"),CONCATENATE("R",'Mapa final'!$A$76),"")</f>
        <v/>
      </c>
      <c r="U36" s="755"/>
      <c r="V36" s="752" t="str">
        <f>IF(AND('Mapa final'!$H$64="Baja",'Mapa final'!$L$64="Moderado"),CONCATENATE("R",'Mapa final'!$A$64),"")</f>
        <v/>
      </c>
      <c r="W36" s="753"/>
      <c r="X36" s="753" t="str">
        <f>IF(AND('Mapa final'!$H$70="Baja",'Mapa final'!$L$70="Moderado"),CONCATENATE("R",'Mapa final'!$A$70),"")</f>
        <v/>
      </c>
      <c r="Y36" s="753"/>
      <c r="Z36" s="753" t="str">
        <f>IF(AND('Mapa final'!$H$76="Baja",'Mapa final'!$L$76="Moderado"),CONCATENATE("R",'Mapa final'!$A$76),"")</f>
        <v/>
      </c>
      <c r="AA36" s="755"/>
      <c r="AB36" s="729" t="str">
        <f>IF(AND('Mapa final'!$H$64="Baja",'Mapa final'!$L$64="Mayor"),CONCATENATE("R",'Mapa final'!$A$64),"")</f>
        <v/>
      </c>
      <c r="AC36" s="730"/>
      <c r="AD36" s="730" t="str">
        <f>IF(AND('Mapa final'!$H$70="Baja",'Mapa final'!$L$70="Mayor"),CONCATENATE("R",'Mapa final'!$A$70),"")</f>
        <v/>
      </c>
      <c r="AE36" s="730"/>
      <c r="AF36" s="730" t="str">
        <f>IF(AND('Mapa final'!$H$76="Baja",'Mapa final'!$L$76="Mayor"),CONCATENATE("R",'Mapa final'!$A$76),"")</f>
        <v/>
      </c>
      <c r="AG36" s="732"/>
      <c r="AH36" s="735" t="str">
        <f>IF(AND('Mapa final'!$H$64="Baja",'Mapa final'!$L$64="Catastrófico"),CONCATENATE("R",'Mapa final'!$A$64),"")</f>
        <v/>
      </c>
      <c r="AI36" s="736"/>
      <c r="AJ36" s="736" t="str">
        <f>IF(AND('Mapa final'!$H$70="Baja",'Mapa final'!$L$70="Catastrófico"),CONCATENATE("R",'Mapa final'!$A$70),"")</f>
        <v/>
      </c>
      <c r="AK36" s="736"/>
      <c r="AL36" s="736" t="str">
        <f>IF(AND('Mapa final'!$H$76="Baja",'Mapa final'!$L$76="Catastrófico"),CONCATENATE("R",'Mapa final'!$A$76),"")</f>
        <v/>
      </c>
      <c r="AM36" s="738"/>
      <c r="AN36" s="15"/>
      <c r="AO36" s="790"/>
      <c r="AP36" s="791"/>
      <c r="AQ36" s="791"/>
      <c r="AR36" s="791"/>
      <c r="AS36" s="791"/>
      <c r="AT36" s="79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6"/>
      <c r="C37" s="716"/>
      <c r="D37" s="717"/>
      <c r="E37" s="724"/>
      <c r="F37" s="725"/>
      <c r="G37" s="725"/>
      <c r="H37" s="725"/>
      <c r="I37" s="725"/>
      <c r="J37" s="796"/>
      <c r="K37" s="797"/>
      <c r="L37" s="797"/>
      <c r="M37" s="797"/>
      <c r="N37" s="797"/>
      <c r="O37" s="798"/>
      <c r="P37" s="770"/>
      <c r="Q37" s="770"/>
      <c r="R37" s="770"/>
      <c r="S37" s="770"/>
      <c r="T37" s="770"/>
      <c r="U37" s="771"/>
      <c r="V37" s="769"/>
      <c r="W37" s="770"/>
      <c r="X37" s="770"/>
      <c r="Y37" s="770"/>
      <c r="Z37" s="770"/>
      <c r="AA37" s="771"/>
      <c r="AB37" s="766"/>
      <c r="AC37" s="767"/>
      <c r="AD37" s="767"/>
      <c r="AE37" s="767"/>
      <c r="AF37" s="767"/>
      <c r="AG37" s="768"/>
      <c r="AH37" s="756"/>
      <c r="AI37" s="748"/>
      <c r="AJ37" s="748"/>
      <c r="AK37" s="748"/>
      <c r="AL37" s="748"/>
      <c r="AM37" s="749"/>
      <c r="AN37" s="15"/>
      <c r="AO37" s="793"/>
      <c r="AP37" s="794"/>
      <c r="AQ37" s="794"/>
      <c r="AR37" s="794"/>
      <c r="AS37" s="794"/>
      <c r="AT37" s="79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6"/>
      <c r="C38" s="716"/>
      <c r="D38" s="717"/>
      <c r="E38" s="718" t="s">
        <v>197</v>
      </c>
      <c r="F38" s="719"/>
      <c r="G38" s="719"/>
      <c r="H38" s="719"/>
      <c r="I38" s="720"/>
      <c r="J38" s="781" t="str">
        <f>IF(AND('Mapa final'!$H$10="Muy Baja",'Mapa final'!$L$10="Leve"),CONCATENATE("R",'Mapa final'!$A$10),"")</f>
        <v/>
      </c>
      <c r="K38" s="782"/>
      <c r="L38" s="782" t="str">
        <f>IF(AND('Mapa final'!$H$16="Muy Baja",'Mapa final'!$L$16="Leve"),CONCATENATE("R",'Mapa final'!$A$16),"")</f>
        <v/>
      </c>
      <c r="M38" s="782"/>
      <c r="N38" s="782" t="str">
        <f>IF(AND('Mapa final'!$H$22="Muy Baja",'Mapa final'!$L$22="Leve"),CONCATENATE("R",'Mapa final'!$A$22),"")</f>
        <v/>
      </c>
      <c r="O38" s="785"/>
      <c r="P38" s="781" t="str">
        <f>IF(AND('Mapa final'!$H$10="Muy Baja",'Mapa final'!$L$10="Menor"),CONCATENATE("R",'Mapa final'!$A$10),"")</f>
        <v/>
      </c>
      <c r="Q38" s="782"/>
      <c r="R38" s="782" t="str">
        <f>IF(AND('Mapa final'!$H$16="Muy Baja",'Mapa final'!$L$16="Menor"),CONCATENATE("R",'Mapa final'!$A$16),"")</f>
        <v/>
      </c>
      <c r="S38" s="782"/>
      <c r="T38" s="782" t="str">
        <f>IF(AND('Mapa final'!$H$22="Muy Baja",'Mapa final'!$L$22="Menor"),CONCATENATE("R",'Mapa final'!$A$22),"")</f>
        <v/>
      </c>
      <c r="U38" s="785"/>
      <c r="V38" s="750" t="str">
        <f>IF(AND('Mapa final'!$H$10="Muy Baja",'Mapa final'!$L$10="Moderado"),CONCATENATE("R",'Mapa final'!$A$10),"")</f>
        <v/>
      </c>
      <c r="W38" s="751"/>
      <c r="X38" s="751" t="str">
        <f>IF(AND('Mapa final'!$H$16="Muy Baja",'Mapa final'!$L$16="Moderado"),CONCATENATE("R",'Mapa final'!$A$16),"")</f>
        <v/>
      </c>
      <c r="Y38" s="751"/>
      <c r="Z38" s="751" t="str">
        <f>IF(AND('Mapa final'!$H$22="Muy Baja",'Mapa final'!$L$22="Moderado"),CONCATENATE("R",'Mapa final'!$A$22),"")</f>
        <v/>
      </c>
      <c r="AA38" s="754"/>
      <c r="AB38" s="727" t="str">
        <f>IF(AND('Mapa final'!$H$10="Muy Baja",'Mapa final'!$L$10="Mayor"),CONCATENATE("R",'Mapa final'!$A$10),"")</f>
        <v/>
      </c>
      <c r="AC38" s="728"/>
      <c r="AD38" s="728" t="str">
        <f>IF(AND('Mapa final'!$H$16="Muy Baja",'Mapa final'!$L$16="Mayor"),CONCATENATE("R",'Mapa final'!$A$16),"")</f>
        <v/>
      </c>
      <c r="AE38" s="728"/>
      <c r="AF38" s="728" t="str">
        <f>IF(AND('Mapa final'!$H$22="Muy Baja",'Mapa final'!$L$22="Mayor"),CONCATENATE("R",'Mapa final'!$A$22),"")</f>
        <v/>
      </c>
      <c r="AG38" s="731"/>
      <c r="AH38" s="733" t="str">
        <f>IF(AND('Mapa final'!$H$10="Muy Baja",'Mapa final'!$L$10="Catastrófico"),CONCATENATE("R",'Mapa final'!$A$10),"")</f>
        <v/>
      </c>
      <c r="AI38" s="734"/>
      <c r="AJ38" s="734" t="str">
        <f>IF(AND('Mapa final'!$H$16="Muy Baja",'Mapa final'!$L$16="Catastrófico"),CONCATENATE("R",'Mapa final'!$A$16),"")</f>
        <v/>
      </c>
      <c r="AK38" s="734"/>
      <c r="AL38" s="734" t="str">
        <f>IF(AND('Mapa final'!$H$22="Muy Baja",'Mapa final'!$L$22="Catastrófico"),CONCATENATE("R",'Mapa final'!$A$22),"")</f>
        <v/>
      </c>
      <c r="AM38" s="73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6"/>
      <c r="C39" s="716"/>
      <c r="D39" s="717"/>
      <c r="E39" s="721"/>
      <c r="F39" s="722"/>
      <c r="G39" s="722"/>
      <c r="H39" s="722"/>
      <c r="I39" s="723"/>
      <c r="J39" s="783"/>
      <c r="K39" s="784"/>
      <c r="L39" s="784"/>
      <c r="M39" s="784"/>
      <c r="N39" s="784"/>
      <c r="O39" s="786"/>
      <c r="P39" s="783"/>
      <c r="Q39" s="784"/>
      <c r="R39" s="784"/>
      <c r="S39" s="784"/>
      <c r="T39" s="784"/>
      <c r="U39" s="786"/>
      <c r="V39" s="752"/>
      <c r="W39" s="753"/>
      <c r="X39" s="753"/>
      <c r="Y39" s="753"/>
      <c r="Z39" s="753"/>
      <c r="AA39" s="755"/>
      <c r="AB39" s="729"/>
      <c r="AC39" s="730"/>
      <c r="AD39" s="730"/>
      <c r="AE39" s="730"/>
      <c r="AF39" s="730"/>
      <c r="AG39" s="732"/>
      <c r="AH39" s="735"/>
      <c r="AI39" s="736"/>
      <c r="AJ39" s="736"/>
      <c r="AK39" s="736"/>
      <c r="AL39" s="736"/>
      <c r="AM39" s="73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6"/>
      <c r="C40" s="716"/>
      <c r="D40" s="717"/>
      <c r="E40" s="721"/>
      <c r="F40" s="722"/>
      <c r="G40" s="722"/>
      <c r="H40" s="722"/>
      <c r="I40" s="723"/>
      <c r="J40" s="783" t="str">
        <f>IF(AND('Mapa final'!$H$28="Muy Baja",'Mapa final'!$L$28="Leve"),CONCATENATE("R",'Mapa final'!$A$28),"")</f>
        <v/>
      </c>
      <c r="K40" s="784"/>
      <c r="L40" s="784" t="str">
        <f>IF(AND('Mapa final'!$H$34="Muy Baja",'Mapa final'!$L$34="Leve"),CONCATENATE("R",'Mapa final'!$A$34),"")</f>
        <v/>
      </c>
      <c r="M40" s="784"/>
      <c r="N40" s="784" t="str">
        <f>IF(AND('Mapa final'!$H$40="Muy Baja",'Mapa final'!$L$40="Leve"),CONCATENATE("R",'Mapa final'!$A$40),"")</f>
        <v/>
      </c>
      <c r="O40" s="786"/>
      <c r="P40" s="783" t="str">
        <f>IF(AND('Mapa final'!$H$28="Muy Baja",'Mapa final'!$L$28="Menor"),CONCATENATE("R",'Mapa final'!$A$28),"")</f>
        <v/>
      </c>
      <c r="Q40" s="784"/>
      <c r="R40" s="784" t="str">
        <f>IF(AND('Mapa final'!$H$34="Muy Baja",'Mapa final'!$L$34="Menor"),CONCATENATE("R",'Mapa final'!$A$34),"")</f>
        <v/>
      </c>
      <c r="S40" s="784"/>
      <c r="T40" s="784" t="str">
        <f>IF(AND('Mapa final'!$H$40="Muy Baja",'Mapa final'!$L$40="Menor"),CONCATENATE("R",'Mapa final'!$A$40),"")</f>
        <v/>
      </c>
      <c r="U40" s="786"/>
      <c r="V40" s="752" t="str">
        <f>IF(AND('Mapa final'!$H$28="Muy Baja",'Mapa final'!$L$28="Moderado"),CONCATENATE("R",'Mapa final'!$A$28),"")</f>
        <v/>
      </c>
      <c r="W40" s="753"/>
      <c r="X40" s="753" t="str">
        <f>IF(AND('Mapa final'!$H$34="Muy Baja",'Mapa final'!$L$34="Moderado"),CONCATENATE("R",'Mapa final'!$A$34),"")</f>
        <v/>
      </c>
      <c r="Y40" s="753"/>
      <c r="Z40" s="753" t="str">
        <f>IF(AND('Mapa final'!$H$40="Muy Baja",'Mapa final'!$L$40="Moderado"),CONCATENATE("R",'Mapa final'!$A$40),"")</f>
        <v/>
      </c>
      <c r="AA40" s="755"/>
      <c r="AB40" s="729" t="str">
        <f>IF(AND('Mapa final'!$H$28="Muy Baja",'Mapa final'!$L$28="Mayor"),CONCATENATE("R",'Mapa final'!$A$28),"")</f>
        <v/>
      </c>
      <c r="AC40" s="730"/>
      <c r="AD40" s="730" t="str">
        <f>IF(AND('Mapa final'!$H$34="Muy Baja",'Mapa final'!$L$34="Mayor"),CONCATENATE("R",'Mapa final'!$A$34),"")</f>
        <v/>
      </c>
      <c r="AE40" s="730"/>
      <c r="AF40" s="730" t="str">
        <f>IF(AND('Mapa final'!$H$40="Muy Baja",'Mapa final'!$L$40="Mayor"),CONCATENATE("R",'Mapa final'!$A$40),"")</f>
        <v/>
      </c>
      <c r="AG40" s="732"/>
      <c r="AH40" s="735" t="str">
        <f>IF(AND('Mapa final'!$H$28="Muy Baja",'Mapa final'!$L$28="Catastrófico"),CONCATENATE("R",'Mapa final'!$A$28),"")</f>
        <v/>
      </c>
      <c r="AI40" s="736"/>
      <c r="AJ40" s="736" t="str">
        <f>IF(AND('Mapa final'!$H$34="Muy Baja",'Mapa final'!$L$34="Catastrófico"),CONCATENATE("R",'Mapa final'!$A$34),"")</f>
        <v/>
      </c>
      <c r="AK40" s="736"/>
      <c r="AL40" s="736" t="str">
        <f>IF(AND('Mapa final'!$H$40="Muy Baja",'Mapa final'!$L$40="Catastrófico"),CONCATENATE("R",'Mapa final'!$A$40),"")</f>
        <v/>
      </c>
      <c r="AM40" s="73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6"/>
      <c r="C41" s="716"/>
      <c r="D41" s="717"/>
      <c r="E41" s="721"/>
      <c r="F41" s="722"/>
      <c r="G41" s="722"/>
      <c r="H41" s="722"/>
      <c r="I41" s="723"/>
      <c r="J41" s="783"/>
      <c r="K41" s="784"/>
      <c r="L41" s="784"/>
      <c r="M41" s="784"/>
      <c r="N41" s="784"/>
      <c r="O41" s="786"/>
      <c r="P41" s="783"/>
      <c r="Q41" s="784"/>
      <c r="R41" s="784"/>
      <c r="S41" s="784"/>
      <c r="T41" s="784"/>
      <c r="U41" s="786"/>
      <c r="V41" s="752"/>
      <c r="W41" s="753"/>
      <c r="X41" s="753"/>
      <c r="Y41" s="753"/>
      <c r="Z41" s="753"/>
      <c r="AA41" s="755"/>
      <c r="AB41" s="729"/>
      <c r="AC41" s="730"/>
      <c r="AD41" s="730"/>
      <c r="AE41" s="730"/>
      <c r="AF41" s="730"/>
      <c r="AG41" s="732"/>
      <c r="AH41" s="735"/>
      <c r="AI41" s="736"/>
      <c r="AJ41" s="736"/>
      <c r="AK41" s="736"/>
      <c r="AL41" s="736"/>
      <c r="AM41" s="73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6"/>
      <c r="C42" s="716"/>
      <c r="D42" s="717"/>
      <c r="E42" s="721"/>
      <c r="F42" s="722"/>
      <c r="G42" s="722"/>
      <c r="H42" s="722"/>
      <c r="I42" s="723"/>
      <c r="J42" s="783" t="str">
        <f>IF(AND('Mapa final'!$H$46="Muy Baja",'Mapa final'!$L$46="Leve"),CONCATENATE("R",'Mapa final'!$A$46),"")</f>
        <v/>
      </c>
      <c r="K42" s="784"/>
      <c r="L42" s="784" t="str">
        <f>IF(AND('Mapa final'!$H$52="Muy Baja",'Mapa final'!$L$52="Leve"),CONCATENATE("R",'Mapa final'!$A$52),"")</f>
        <v/>
      </c>
      <c r="M42" s="784"/>
      <c r="N42" s="784" t="str">
        <f>IF(AND('Mapa final'!$H$58="Muy Baja",'Mapa final'!$L$58="Leve"),CONCATENATE("R",'Mapa final'!$A$58),"")</f>
        <v/>
      </c>
      <c r="O42" s="786"/>
      <c r="P42" s="783" t="str">
        <f>IF(AND('Mapa final'!$H$46="Muy Baja",'Mapa final'!$L$46="Menor"),CONCATENATE("R",'Mapa final'!$A$46),"")</f>
        <v/>
      </c>
      <c r="Q42" s="784"/>
      <c r="R42" s="784" t="str">
        <f>IF(AND('Mapa final'!$H$52="Muy Baja",'Mapa final'!$L$52="Menor"),CONCATENATE("R",'Mapa final'!$A$52),"")</f>
        <v/>
      </c>
      <c r="S42" s="784"/>
      <c r="T42" s="784" t="str">
        <f>IF(AND('Mapa final'!$H$58="Muy Baja",'Mapa final'!$L$58="Menor"),CONCATENATE("R",'Mapa final'!$A$58),"")</f>
        <v/>
      </c>
      <c r="U42" s="786"/>
      <c r="V42" s="752" t="str">
        <f>IF(AND('Mapa final'!$H$46="Muy Baja",'Mapa final'!$L$46="Moderado"),CONCATENATE("R",'Mapa final'!$A$46),"")</f>
        <v/>
      </c>
      <c r="W42" s="753"/>
      <c r="X42" s="753" t="str">
        <f>IF(AND('Mapa final'!$H$52="Muy Baja",'Mapa final'!$L$52="Moderado"),CONCATENATE("R",'Mapa final'!$A$52),"")</f>
        <v/>
      </c>
      <c r="Y42" s="753"/>
      <c r="Z42" s="753" t="str">
        <f>IF(AND('Mapa final'!$H$58="Muy Baja",'Mapa final'!$L$58="Moderado"),CONCATENATE("R",'Mapa final'!$A$58),"")</f>
        <v/>
      </c>
      <c r="AA42" s="755"/>
      <c r="AB42" s="729" t="str">
        <f>IF(AND('Mapa final'!$H$46="Muy Baja",'Mapa final'!$L$46="Mayor"),CONCATENATE("R",'Mapa final'!$A$46),"")</f>
        <v/>
      </c>
      <c r="AC42" s="730"/>
      <c r="AD42" s="730" t="str">
        <f>IF(AND('Mapa final'!$H$52="Muy Baja",'Mapa final'!$L$52="Mayor"),CONCATENATE("R",'Mapa final'!$A$52),"")</f>
        <v/>
      </c>
      <c r="AE42" s="730"/>
      <c r="AF42" s="730" t="str">
        <f>IF(AND('Mapa final'!$H$58="Muy Baja",'Mapa final'!$L$58="Mayor"),CONCATENATE("R",'Mapa final'!$A$58),"")</f>
        <v/>
      </c>
      <c r="AG42" s="732"/>
      <c r="AH42" s="735" t="str">
        <f>IF(AND('Mapa final'!$H$46="Muy Baja",'Mapa final'!$L$46="Catastrófico"),CONCATENATE("R",'Mapa final'!$A$46),"")</f>
        <v/>
      </c>
      <c r="AI42" s="736"/>
      <c r="AJ42" s="736" t="str">
        <f>IF(AND('Mapa final'!$H$52="Muy Baja",'Mapa final'!$L$52="Catastrófico"),CONCATENATE("R",'Mapa final'!$A$52),"")</f>
        <v/>
      </c>
      <c r="AK42" s="736"/>
      <c r="AL42" s="736" t="str">
        <f>IF(AND('Mapa final'!$H$58="Muy Baja",'Mapa final'!$L$58="Catastrófico"),CONCATENATE("R",'Mapa final'!$A$58),"")</f>
        <v/>
      </c>
      <c r="AM42" s="73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6"/>
      <c r="C43" s="716"/>
      <c r="D43" s="717"/>
      <c r="E43" s="721"/>
      <c r="F43" s="722"/>
      <c r="G43" s="722"/>
      <c r="H43" s="722"/>
      <c r="I43" s="723"/>
      <c r="J43" s="783"/>
      <c r="K43" s="784"/>
      <c r="L43" s="784"/>
      <c r="M43" s="784"/>
      <c r="N43" s="784"/>
      <c r="O43" s="786"/>
      <c r="P43" s="783"/>
      <c r="Q43" s="784"/>
      <c r="R43" s="784"/>
      <c r="S43" s="784"/>
      <c r="T43" s="784"/>
      <c r="U43" s="786"/>
      <c r="V43" s="752"/>
      <c r="W43" s="753"/>
      <c r="X43" s="753"/>
      <c r="Y43" s="753"/>
      <c r="Z43" s="753"/>
      <c r="AA43" s="755"/>
      <c r="AB43" s="729"/>
      <c r="AC43" s="730"/>
      <c r="AD43" s="730"/>
      <c r="AE43" s="730"/>
      <c r="AF43" s="730"/>
      <c r="AG43" s="732"/>
      <c r="AH43" s="735"/>
      <c r="AI43" s="736"/>
      <c r="AJ43" s="736"/>
      <c r="AK43" s="736"/>
      <c r="AL43" s="736"/>
      <c r="AM43" s="73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6"/>
      <c r="C44" s="716"/>
      <c r="D44" s="717"/>
      <c r="E44" s="721"/>
      <c r="F44" s="722"/>
      <c r="G44" s="722"/>
      <c r="H44" s="722"/>
      <c r="I44" s="723"/>
      <c r="J44" s="783" t="str">
        <f>IF(AND('Mapa final'!$H$64="Muy Baja",'Mapa final'!$L$64="Leve"),CONCATENATE("R",'Mapa final'!$A$64),"")</f>
        <v/>
      </c>
      <c r="K44" s="784"/>
      <c r="L44" s="784" t="str">
        <f>IF(AND('Mapa final'!$H$70="Muy Baja",'Mapa final'!$L$70="Leve"),CONCATENATE("R",'Mapa final'!$A$70),"")</f>
        <v/>
      </c>
      <c r="M44" s="784"/>
      <c r="N44" s="784" t="str">
        <f>IF(AND('Mapa final'!$H$76="Muy Baja",'Mapa final'!$L$76="Leve"),CONCATENATE("R",'Mapa final'!$A$76),"")</f>
        <v/>
      </c>
      <c r="O44" s="786"/>
      <c r="P44" s="783" t="str">
        <f>IF(AND('Mapa final'!$H$64="Muy Baja",'Mapa final'!$L$64="Menor"),CONCATENATE("R",'Mapa final'!$A$64),"")</f>
        <v/>
      </c>
      <c r="Q44" s="784"/>
      <c r="R44" s="784" t="str">
        <f>IF(AND('Mapa final'!$H$70="Muy Baja",'Mapa final'!$L$70="Menor"),CONCATENATE("R",'Mapa final'!$A$70),"")</f>
        <v/>
      </c>
      <c r="S44" s="784"/>
      <c r="T44" s="784" t="str">
        <f>IF(AND('Mapa final'!$H$76="Muy Baja",'Mapa final'!$L$76="Menor"),CONCATENATE("R",'Mapa final'!$A$76),"")</f>
        <v/>
      </c>
      <c r="U44" s="786"/>
      <c r="V44" s="752" t="str">
        <f>IF(AND('Mapa final'!$H$64="Muy Baja",'Mapa final'!$L$64="Moderado"),CONCATENATE("R",'Mapa final'!$A$64),"")</f>
        <v/>
      </c>
      <c r="W44" s="753"/>
      <c r="X44" s="753" t="str">
        <f>IF(AND('Mapa final'!$H$70="Muy Baja",'Mapa final'!$L$70="Moderado"),CONCATENATE("R",'Mapa final'!$A$70),"")</f>
        <v/>
      </c>
      <c r="Y44" s="753"/>
      <c r="Z44" s="753" t="str">
        <f>IF(AND('Mapa final'!$H$76="Muy Baja",'Mapa final'!$L$76="Moderado"),CONCATENATE("R",'Mapa final'!$A$76),"")</f>
        <v/>
      </c>
      <c r="AA44" s="755"/>
      <c r="AB44" s="729" t="str">
        <f>IF(AND('Mapa final'!$H$64="Muy Baja",'Mapa final'!$L$64="Mayor"),CONCATENATE("R",'Mapa final'!$A$64),"")</f>
        <v/>
      </c>
      <c r="AC44" s="730"/>
      <c r="AD44" s="730" t="str">
        <f>IF(AND('Mapa final'!$H$70="Muy Baja",'Mapa final'!$L$70="Mayor"),CONCATENATE("R",'Mapa final'!$A$70),"")</f>
        <v/>
      </c>
      <c r="AE44" s="730"/>
      <c r="AF44" s="730" t="str">
        <f>IF(AND('Mapa final'!$H$76="Muy Baja",'Mapa final'!$L$76="Mayor"),CONCATENATE("R",'Mapa final'!$A$76),"")</f>
        <v/>
      </c>
      <c r="AG44" s="732"/>
      <c r="AH44" s="735" t="str">
        <f>IF(AND('Mapa final'!$H$64="Muy Baja",'Mapa final'!$L$64="Catastrófico"),CONCATENATE("R",'Mapa final'!$A$64),"")</f>
        <v/>
      </c>
      <c r="AI44" s="736"/>
      <c r="AJ44" s="736" t="str">
        <f>IF(AND('Mapa final'!$H$70="Muy Baja",'Mapa final'!$L$70="Catastrófico"),CONCATENATE("R",'Mapa final'!$A$70),"")</f>
        <v/>
      </c>
      <c r="AK44" s="736"/>
      <c r="AL44" s="736" t="str">
        <f>IF(AND('Mapa final'!$H$76="Muy Baja",'Mapa final'!$L$76="Catastrófico"),CONCATENATE("R",'Mapa final'!$A$76),"")</f>
        <v/>
      </c>
      <c r="AM44" s="73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6"/>
      <c r="C45" s="716"/>
      <c r="D45" s="717"/>
      <c r="E45" s="724"/>
      <c r="F45" s="725"/>
      <c r="G45" s="725"/>
      <c r="H45" s="725"/>
      <c r="I45" s="726"/>
      <c r="J45" s="796"/>
      <c r="K45" s="797"/>
      <c r="L45" s="797"/>
      <c r="M45" s="797"/>
      <c r="N45" s="797"/>
      <c r="O45" s="798"/>
      <c r="P45" s="796"/>
      <c r="Q45" s="797"/>
      <c r="R45" s="797"/>
      <c r="S45" s="797"/>
      <c r="T45" s="797"/>
      <c r="U45" s="798"/>
      <c r="V45" s="769"/>
      <c r="W45" s="770"/>
      <c r="X45" s="770"/>
      <c r="Y45" s="770"/>
      <c r="Z45" s="770"/>
      <c r="AA45" s="771"/>
      <c r="AB45" s="766"/>
      <c r="AC45" s="767"/>
      <c r="AD45" s="767"/>
      <c r="AE45" s="767"/>
      <c r="AF45" s="767"/>
      <c r="AG45" s="768"/>
      <c r="AH45" s="756"/>
      <c r="AI45" s="748"/>
      <c r="AJ45" s="748"/>
      <c r="AK45" s="748"/>
      <c r="AL45" s="748"/>
      <c r="AM45" s="7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18" t="s">
        <v>198</v>
      </c>
      <c r="K46" s="719"/>
      <c r="L46" s="719"/>
      <c r="M46" s="719"/>
      <c r="N46" s="719"/>
      <c r="O46" s="720"/>
      <c r="P46" s="718" t="s">
        <v>199</v>
      </c>
      <c r="Q46" s="719"/>
      <c r="R46" s="719"/>
      <c r="S46" s="719"/>
      <c r="T46" s="719"/>
      <c r="U46" s="720"/>
      <c r="V46" s="718" t="s">
        <v>200</v>
      </c>
      <c r="W46" s="719"/>
      <c r="X46" s="719"/>
      <c r="Y46" s="719"/>
      <c r="Z46" s="719"/>
      <c r="AA46" s="720"/>
      <c r="AB46" s="718" t="s">
        <v>201</v>
      </c>
      <c r="AC46" s="799"/>
      <c r="AD46" s="719"/>
      <c r="AE46" s="719"/>
      <c r="AF46" s="719"/>
      <c r="AG46" s="720"/>
      <c r="AH46" s="718" t="s">
        <v>202</v>
      </c>
      <c r="AI46" s="719"/>
      <c r="AJ46" s="719"/>
      <c r="AK46" s="719"/>
      <c r="AL46" s="719"/>
      <c r="AM46" s="72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21"/>
      <c r="K47" s="722"/>
      <c r="L47" s="722"/>
      <c r="M47" s="722"/>
      <c r="N47" s="722"/>
      <c r="O47" s="723"/>
      <c r="P47" s="721"/>
      <c r="Q47" s="722"/>
      <c r="R47" s="722"/>
      <c r="S47" s="722"/>
      <c r="T47" s="722"/>
      <c r="U47" s="723"/>
      <c r="V47" s="721"/>
      <c r="W47" s="722"/>
      <c r="X47" s="722"/>
      <c r="Y47" s="722"/>
      <c r="Z47" s="722"/>
      <c r="AA47" s="723"/>
      <c r="AB47" s="721"/>
      <c r="AC47" s="722"/>
      <c r="AD47" s="722"/>
      <c r="AE47" s="722"/>
      <c r="AF47" s="722"/>
      <c r="AG47" s="723"/>
      <c r="AH47" s="721"/>
      <c r="AI47" s="722"/>
      <c r="AJ47" s="722"/>
      <c r="AK47" s="722"/>
      <c r="AL47" s="722"/>
      <c r="AM47" s="72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21"/>
      <c r="K48" s="722"/>
      <c r="L48" s="722"/>
      <c r="M48" s="722"/>
      <c r="N48" s="722"/>
      <c r="O48" s="723"/>
      <c r="P48" s="721"/>
      <c r="Q48" s="722"/>
      <c r="R48" s="722"/>
      <c r="S48" s="722"/>
      <c r="T48" s="722"/>
      <c r="U48" s="723"/>
      <c r="V48" s="721"/>
      <c r="W48" s="722"/>
      <c r="X48" s="722"/>
      <c r="Y48" s="722"/>
      <c r="Z48" s="722"/>
      <c r="AA48" s="723"/>
      <c r="AB48" s="721"/>
      <c r="AC48" s="722"/>
      <c r="AD48" s="722"/>
      <c r="AE48" s="722"/>
      <c r="AF48" s="722"/>
      <c r="AG48" s="723"/>
      <c r="AH48" s="721"/>
      <c r="AI48" s="722"/>
      <c r="AJ48" s="722"/>
      <c r="AK48" s="722"/>
      <c r="AL48" s="722"/>
      <c r="AM48" s="72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21"/>
      <c r="K49" s="722"/>
      <c r="L49" s="722"/>
      <c r="M49" s="722"/>
      <c r="N49" s="722"/>
      <c r="O49" s="723"/>
      <c r="P49" s="721"/>
      <c r="Q49" s="722"/>
      <c r="R49" s="722"/>
      <c r="S49" s="722"/>
      <c r="T49" s="722"/>
      <c r="U49" s="723"/>
      <c r="V49" s="721"/>
      <c r="W49" s="722"/>
      <c r="X49" s="722"/>
      <c r="Y49" s="722"/>
      <c r="Z49" s="722"/>
      <c r="AA49" s="723"/>
      <c r="AB49" s="721"/>
      <c r="AC49" s="722"/>
      <c r="AD49" s="722"/>
      <c r="AE49" s="722"/>
      <c r="AF49" s="722"/>
      <c r="AG49" s="723"/>
      <c r="AH49" s="721"/>
      <c r="AI49" s="722"/>
      <c r="AJ49" s="722"/>
      <c r="AK49" s="722"/>
      <c r="AL49" s="722"/>
      <c r="AM49" s="72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21"/>
      <c r="K50" s="722"/>
      <c r="L50" s="722"/>
      <c r="M50" s="722"/>
      <c r="N50" s="722"/>
      <c r="O50" s="723"/>
      <c r="P50" s="721"/>
      <c r="Q50" s="722"/>
      <c r="R50" s="722"/>
      <c r="S50" s="722"/>
      <c r="T50" s="722"/>
      <c r="U50" s="723"/>
      <c r="V50" s="721"/>
      <c r="W50" s="722"/>
      <c r="X50" s="722"/>
      <c r="Y50" s="722"/>
      <c r="Z50" s="722"/>
      <c r="AA50" s="723"/>
      <c r="AB50" s="721"/>
      <c r="AC50" s="722"/>
      <c r="AD50" s="722"/>
      <c r="AE50" s="722"/>
      <c r="AF50" s="722"/>
      <c r="AG50" s="723"/>
      <c r="AH50" s="721"/>
      <c r="AI50" s="722"/>
      <c r="AJ50" s="722"/>
      <c r="AK50" s="722"/>
      <c r="AL50" s="722"/>
      <c r="AM50" s="72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24"/>
      <c r="K51" s="725"/>
      <c r="L51" s="725"/>
      <c r="M51" s="725"/>
      <c r="N51" s="725"/>
      <c r="O51" s="726"/>
      <c r="P51" s="724"/>
      <c r="Q51" s="725"/>
      <c r="R51" s="725"/>
      <c r="S51" s="725"/>
      <c r="T51" s="725"/>
      <c r="U51" s="726"/>
      <c r="V51" s="724"/>
      <c r="W51" s="725"/>
      <c r="X51" s="725"/>
      <c r="Y51" s="725"/>
      <c r="Z51" s="725"/>
      <c r="AA51" s="726"/>
      <c r="AB51" s="724"/>
      <c r="AC51" s="725"/>
      <c r="AD51" s="725"/>
      <c r="AE51" s="725"/>
      <c r="AF51" s="725"/>
      <c r="AG51" s="726"/>
      <c r="AH51" s="724"/>
      <c r="AI51" s="725"/>
      <c r="AJ51" s="725"/>
      <c r="AK51" s="725"/>
      <c r="AL51" s="725"/>
      <c r="AM51" s="72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60" zoomScaleNormal="55" workbookViewId="0">
      <selection activeCell="G67" sqref="G67"/>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00" t="s">
        <v>203</v>
      </c>
      <c r="C2" s="801"/>
      <c r="D2" s="801"/>
      <c r="E2" s="801"/>
      <c r="F2" s="801"/>
      <c r="G2" s="801"/>
      <c r="H2" s="801"/>
      <c r="I2" s="801"/>
      <c r="J2" s="715" t="s">
        <v>81</v>
      </c>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01"/>
      <c r="C3" s="801"/>
      <c r="D3" s="801"/>
      <c r="E3" s="801"/>
      <c r="F3" s="801"/>
      <c r="G3" s="801"/>
      <c r="H3" s="801"/>
      <c r="I3" s="801"/>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01"/>
      <c r="C4" s="801"/>
      <c r="D4" s="801"/>
      <c r="E4" s="801"/>
      <c r="F4" s="801"/>
      <c r="G4" s="801"/>
      <c r="H4" s="801"/>
      <c r="I4" s="801"/>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6" t="s">
        <v>188</v>
      </c>
      <c r="C6" s="716"/>
      <c r="D6" s="717"/>
      <c r="E6" s="802" t="s">
        <v>189</v>
      </c>
      <c r="F6" s="803"/>
      <c r="G6" s="803"/>
      <c r="H6" s="803"/>
      <c r="I6" s="804"/>
      <c r="J6" s="248" t="str">
        <f>IF(AND('Mapa final'!$Y$10="Muy Alta",'Mapa final'!$AA$10="Leve"),CONCATENATE("R1C",'Mapa final'!$O$10),"")</f>
        <v/>
      </c>
      <c r="K6" s="249" t="str">
        <f>IF(AND('Mapa final'!$Y$11="Muy Alta",'Mapa final'!$AA$11="Leve"),CONCATENATE("R1C",'Mapa final'!$O$11),"")</f>
        <v/>
      </c>
      <c r="L6" s="249" t="str">
        <f>IF(AND('Mapa final'!$Y$12="Muy Alta",'Mapa final'!$AA$12="Leve"),CONCATENATE("R1C",'Mapa final'!$O$12),"")</f>
        <v/>
      </c>
      <c r="M6" s="249" t="str">
        <f>IF(AND('Mapa final'!$Y$13="Muy Alta",'Mapa final'!$AA$13="Leve"),CONCATENATE("R1C",'Mapa final'!$O$13),"")</f>
        <v/>
      </c>
      <c r="N6" s="249" t="str">
        <f>IF(AND('Mapa final'!$Y$14="Muy Alta",'Mapa final'!$AA$14="Leve"),CONCATENATE("R1C",'Mapa final'!$O$14),"")</f>
        <v/>
      </c>
      <c r="O6" s="250" t="str">
        <f>IF(AND('Mapa final'!$Y$15="Muy Alta",'Mapa final'!$AA$15="Leve"),CONCATENATE("R1C",'Mapa final'!$O$15),"")</f>
        <v/>
      </c>
      <c r="P6" s="248" t="str">
        <f>IF(AND('Mapa final'!$Y$10="Muy Alta",'Mapa final'!$AA$10="Menor"),CONCATENATE("R1C",'Mapa final'!$O$10),"")</f>
        <v/>
      </c>
      <c r="Q6" s="249" t="str">
        <f>IF(AND('Mapa final'!$Y$11="Muy Alta",'Mapa final'!$AA$11="Menor"),CONCATENATE("R1C",'Mapa final'!$O$11),"")</f>
        <v/>
      </c>
      <c r="R6" s="249" t="str">
        <f>IF(AND('Mapa final'!$Y$12="Muy Alta",'Mapa final'!$AA$12="Menor"),CONCATENATE("R1C",'Mapa final'!$O$12),"")</f>
        <v/>
      </c>
      <c r="S6" s="249" t="str">
        <f>IF(AND('Mapa final'!$Y$13="Muy Alta",'Mapa final'!$AA$13="Menor"),CONCATENATE("R1C",'Mapa final'!$O$13),"")</f>
        <v/>
      </c>
      <c r="T6" s="249" t="str">
        <f>IF(AND('Mapa final'!$Y$14="Muy Alta",'Mapa final'!$AA$14="Menor"),CONCATENATE("R1C",'Mapa final'!$O$14),"")</f>
        <v/>
      </c>
      <c r="U6" s="250" t="str">
        <f>IF(AND('Mapa final'!$Y$15="Muy Alta",'Mapa final'!$AA$15="Menor"),CONCATENATE("R1C",'Mapa final'!$O$15),"")</f>
        <v/>
      </c>
      <c r="V6" s="248" t="str">
        <f>IF(AND('Mapa final'!$Y$10="Muy Alta",'Mapa final'!$AA$10="Moderado"),CONCATENATE("R1C",'Mapa final'!$O$10),"")</f>
        <v/>
      </c>
      <c r="W6" s="249" t="str">
        <f>IF(AND('Mapa final'!$Y$11="Muy Alta",'Mapa final'!$AA$11="Moderado"),CONCATENATE("R1C",'Mapa final'!$O$11),"")</f>
        <v/>
      </c>
      <c r="X6" s="249" t="str">
        <f>IF(AND('Mapa final'!$Y$12="Muy Alta",'Mapa final'!$AA$12="Moderado"),CONCATENATE("R1C",'Mapa final'!$O$12),"")</f>
        <v/>
      </c>
      <c r="Y6" s="249" t="str">
        <f>IF(AND('Mapa final'!$Y$13="Muy Alta",'Mapa final'!$AA$13="Moderado"),CONCATENATE("R1C",'Mapa final'!$O$13),"")</f>
        <v/>
      </c>
      <c r="Z6" s="249" t="str">
        <f>IF(AND('Mapa final'!$Y$14="Muy Alta",'Mapa final'!$AA$14="Moderado"),CONCATENATE("R1C",'Mapa final'!$O$14),"")</f>
        <v/>
      </c>
      <c r="AA6" s="250" t="str">
        <f>IF(AND('Mapa final'!$Y$15="Muy Alta",'Mapa final'!$AA$15="Moderado"),CONCATENATE("R1C",'Mapa final'!$O$15),"")</f>
        <v/>
      </c>
      <c r="AB6" s="248" t="str">
        <f>IF(AND('Mapa final'!$Y$10="Muy Alta",'Mapa final'!$AA$10="Mayor"),CONCATENATE("R1C",'Mapa final'!$O$10),"")</f>
        <v/>
      </c>
      <c r="AC6" s="249" t="str">
        <f>IF(AND('Mapa final'!$Y$11="Muy Alta",'Mapa final'!$AA$11="Mayor"),CONCATENATE("R1C",'Mapa final'!$O$11),"")</f>
        <v/>
      </c>
      <c r="AD6" s="249" t="str">
        <f>IF(AND('Mapa final'!$Y$12="Muy Alta",'Mapa final'!$AA$12="Mayor"),CONCATENATE("R1C",'Mapa final'!$O$12),"")</f>
        <v/>
      </c>
      <c r="AE6" s="249" t="str">
        <f>IF(AND('Mapa final'!$Y$13="Muy Alta",'Mapa final'!$AA$13="Mayor"),CONCATENATE("R1C",'Mapa final'!$O$13),"")</f>
        <v/>
      </c>
      <c r="AF6" s="249" t="str">
        <f>IF(AND('Mapa final'!$Y$14="Muy Alta",'Mapa final'!$AA$14="Mayor"),CONCATENATE("R1C",'Mapa final'!$O$14),"")</f>
        <v/>
      </c>
      <c r="AG6" s="250" t="str">
        <f>IF(AND('Mapa final'!$Y$15="Muy Alta",'Mapa final'!$AA$15="Mayor"),CONCATENATE("R1C",'Mapa final'!$O$15),"")</f>
        <v/>
      </c>
      <c r="AH6" s="251" t="str">
        <f>IF(AND('Mapa final'!$Y$10="Muy Alta",'Mapa final'!$AA$10="Catastrófico"),CONCATENATE("R1C",'Mapa final'!$O$10),"")</f>
        <v/>
      </c>
      <c r="AI6" s="252" t="str">
        <f>IF(AND('Mapa final'!$Y$11="Muy Alta",'Mapa final'!$AA$11="Catastrófico"),CONCATENATE("R1C",'Mapa final'!$O$11),"")</f>
        <v/>
      </c>
      <c r="AJ6" s="252" t="str">
        <f>IF(AND('Mapa final'!$Y$12="Muy Alta",'Mapa final'!$AA$12="Catastrófico"),CONCATENATE("R1C",'Mapa final'!$O$12),"")</f>
        <v/>
      </c>
      <c r="AK6" s="252" t="str">
        <f>IF(AND('Mapa final'!$Y$13="Muy Alta",'Mapa final'!$AA$13="Catastrófico"),CONCATENATE("R1C",'Mapa final'!$O$13),"")</f>
        <v/>
      </c>
      <c r="AL6" s="252" t="str">
        <f>IF(AND('Mapa final'!$Y$14="Muy Alta",'Mapa final'!$AA$14="Catastrófico"),CONCATENATE("R1C",'Mapa final'!$O$14),"")</f>
        <v/>
      </c>
      <c r="AM6" s="253" t="str">
        <f>IF(AND('Mapa final'!$Y$15="Muy Alta",'Mapa final'!$AA$15="Catastrófico"),CONCATENATE("R1C",'Mapa final'!$O$15),"")</f>
        <v/>
      </c>
      <c r="AN6" s="15"/>
      <c r="AO6" s="811" t="s">
        <v>190</v>
      </c>
      <c r="AP6" s="812"/>
      <c r="AQ6" s="812"/>
      <c r="AR6" s="812"/>
      <c r="AS6" s="812"/>
      <c r="AT6" s="81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6"/>
      <c r="C7" s="716"/>
      <c r="D7" s="717"/>
      <c r="E7" s="805"/>
      <c r="F7" s="806"/>
      <c r="G7" s="806"/>
      <c r="H7" s="806"/>
      <c r="I7" s="807"/>
      <c r="J7" s="254" t="str">
        <f>IF(AND('Mapa final'!$Y$16="Muy Alta",'Mapa final'!$AA$16="Leve"),CONCATENATE("R2C",'Mapa final'!$O$16),"")</f>
        <v/>
      </c>
      <c r="K7" s="255" t="str">
        <f>IF(AND('Mapa final'!$Y$17="Muy Alta",'Mapa final'!$AA$17="Leve"),CONCATENATE("R2C",'Mapa final'!$O$17),"")</f>
        <v/>
      </c>
      <c r="L7" s="255" t="str">
        <f>IF(AND('Mapa final'!$Y$18="Muy Alta",'Mapa final'!$AA$18="Leve"),CONCATENATE("R2C",'Mapa final'!$O$18),"")</f>
        <v/>
      </c>
      <c r="M7" s="255" t="str">
        <f>IF(AND('Mapa final'!$Y$19="Muy Alta",'Mapa final'!$AA$19="Leve"),CONCATENATE("R2C",'Mapa final'!$O$19),"")</f>
        <v/>
      </c>
      <c r="N7" s="255" t="str">
        <f>IF(AND('Mapa final'!$Y$20="Muy Alta",'Mapa final'!$AA$20="Leve"),CONCATENATE("R2C",'Mapa final'!$O$20),"")</f>
        <v/>
      </c>
      <c r="O7" s="256" t="str">
        <f>IF(AND('Mapa final'!$Y$21="Muy Alta",'Mapa final'!$AA$21="Leve"),CONCATENATE("R2C",'Mapa final'!$O$21),"")</f>
        <v/>
      </c>
      <c r="P7" s="254" t="str">
        <f>IF(AND('Mapa final'!$Y$16="Muy Alta",'Mapa final'!$AA$16="Menor"),CONCATENATE("R2C",'Mapa final'!$O$16),"")</f>
        <v/>
      </c>
      <c r="Q7" s="255" t="str">
        <f>IF(AND('Mapa final'!$Y$17="Muy Alta",'Mapa final'!$AA$17="Menor"),CONCATENATE("R2C",'Mapa final'!$O$17),"")</f>
        <v/>
      </c>
      <c r="R7" s="255" t="str">
        <f>IF(AND('Mapa final'!$Y$18="Muy Alta",'Mapa final'!$AA$18="Menor"),CONCATENATE("R2C",'Mapa final'!$O$18),"")</f>
        <v/>
      </c>
      <c r="S7" s="255" t="str">
        <f>IF(AND('Mapa final'!$Y$19="Muy Alta",'Mapa final'!$AA$19="Menor"),CONCATENATE("R2C",'Mapa final'!$O$19),"")</f>
        <v/>
      </c>
      <c r="T7" s="255" t="str">
        <f>IF(AND('Mapa final'!$Y$20="Muy Alta",'Mapa final'!$AA$20="Menor"),CONCATENATE("R2C",'Mapa final'!$O$20),"")</f>
        <v/>
      </c>
      <c r="U7" s="256" t="str">
        <f>IF(AND('Mapa final'!$Y$21="Muy Alta",'Mapa final'!$AA$21="Menor"),CONCATENATE("R2C",'Mapa final'!$O$21),"")</f>
        <v/>
      </c>
      <c r="V7" s="254" t="str">
        <f>IF(AND('Mapa final'!$Y$16="Muy Alta",'Mapa final'!$AA$16="Moderado"),CONCATENATE("R2C",'Mapa final'!$O$16),"")</f>
        <v/>
      </c>
      <c r="W7" s="255" t="str">
        <f>IF(AND('Mapa final'!$Y$17="Muy Alta",'Mapa final'!$AA$17="Moderado"),CONCATENATE("R2C",'Mapa final'!$O$17),"")</f>
        <v/>
      </c>
      <c r="X7" s="255" t="str">
        <f>IF(AND('Mapa final'!$Y$18="Muy Alta",'Mapa final'!$AA$18="Moderado"),CONCATENATE("R2C",'Mapa final'!$O$18),"")</f>
        <v/>
      </c>
      <c r="Y7" s="255" t="str">
        <f>IF(AND('Mapa final'!$Y$19="Muy Alta",'Mapa final'!$AA$19="Moderado"),CONCATENATE("R2C",'Mapa final'!$O$19),"")</f>
        <v/>
      </c>
      <c r="Z7" s="255" t="str">
        <f>IF(AND('Mapa final'!$Y$20="Muy Alta",'Mapa final'!$AA$20="Moderado"),CONCATENATE("R2C",'Mapa final'!$O$20),"")</f>
        <v/>
      </c>
      <c r="AA7" s="256" t="str">
        <f>IF(AND('Mapa final'!$Y$21="Muy Alta",'Mapa final'!$AA$21="Moderado"),CONCATENATE("R2C",'Mapa final'!$O$21),"")</f>
        <v/>
      </c>
      <c r="AB7" s="254" t="str">
        <f>IF(AND('Mapa final'!$Y$16="Muy Alta",'Mapa final'!$AA$16="Mayor"),CONCATENATE("R2C",'Mapa final'!$O$16),"")</f>
        <v/>
      </c>
      <c r="AC7" s="255" t="str">
        <f>IF(AND('Mapa final'!$Y$17="Muy Alta",'Mapa final'!$AA$17="Mayor"),CONCATENATE("R2C",'Mapa final'!$O$17),"")</f>
        <v/>
      </c>
      <c r="AD7" s="255" t="str">
        <f>IF(AND('Mapa final'!$Y$18="Muy Alta",'Mapa final'!$AA$18="Mayor"),CONCATENATE("R2C",'Mapa final'!$O$18),"")</f>
        <v/>
      </c>
      <c r="AE7" s="255" t="str">
        <f>IF(AND('Mapa final'!$Y$19="Muy Alta",'Mapa final'!$AA$19="Mayor"),CONCATENATE("R2C",'Mapa final'!$O$19),"")</f>
        <v/>
      </c>
      <c r="AF7" s="255" t="str">
        <f>IF(AND('Mapa final'!$Y$20="Muy Alta",'Mapa final'!$AA$20="Mayor"),CONCATENATE("R2C",'Mapa final'!$O$20),"")</f>
        <v/>
      </c>
      <c r="AG7" s="256" t="str">
        <f>IF(AND('Mapa final'!$Y$21="Muy Alta",'Mapa final'!$AA$21="Mayor"),CONCATENATE("R2C",'Mapa final'!$O$21),"")</f>
        <v/>
      </c>
      <c r="AH7" s="257" t="str">
        <f>IF(AND('Mapa final'!$Y$16="Muy Alta",'Mapa final'!$AA$16="Catastrófico"),CONCATENATE("R2C",'Mapa final'!$O$16),"")</f>
        <v/>
      </c>
      <c r="AI7" s="258" t="str">
        <f>IF(AND('Mapa final'!$Y$17="Muy Alta",'Mapa final'!$AA$17="Catastrófico"),CONCATENATE("R2C",'Mapa final'!$O$17),"")</f>
        <v/>
      </c>
      <c r="AJ7" s="258" t="str">
        <f>IF(AND('Mapa final'!$Y$18="Muy Alta",'Mapa final'!$AA$18="Catastrófico"),CONCATENATE("R2C",'Mapa final'!$O$18),"")</f>
        <v/>
      </c>
      <c r="AK7" s="258" t="str">
        <f>IF(AND('Mapa final'!$Y$19="Muy Alta",'Mapa final'!$AA$19="Catastrófico"),CONCATENATE("R2C",'Mapa final'!$O$19),"")</f>
        <v/>
      </c>
      <c r="AL7" s="258" t="str">
        <f>IF(AND('Mapa final'!$Y$20="Muy Alta",'Mapa final'!$AA$20="Catastrófico"),CONCATENATE("R2C",'Mapa final'!$O$20),"")</f>
        <v/>
      </c>
      <c r="AM7" s="259" t="str">
        <f>IF(AND('Mapa final'!$Y$21="Muy Alta",'Mapa final'!$AA$21="Catastrófico"),CONCATENATE("R2C",'Mapa final'!$O$21),"")</f>
        <v/>
      </c>
      <c r="AN7" s="15"/>
      <c r="AO7" s="814"/>
      <c r="AP7" s="815"/>
      <c r="AQ7" s="815"/>
      <c r="AR7" s="815"/>
      <c r="AS7" s="815"/>
      <c r="AT7" s="81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6"/>
      <c r="C8" s="716"/>
      <c r="D8" s="717"/>
      <c r="E8" s="805"/>
      <c r="F8" s="806"/>
      <c r="G8" s="806"/>
      <c r="H8" s="806"/>
      <c r="I8" s="807"/>
      <c r="J8" s="254" t="str">
        <f>IF(AND('Mapa final'!$Y$22="Muy Alta",'Mapa final'!$AA$22="Leve"),CONCATENATE("R3C",'Mapa final'!$O$22),"")</f>
        <v/>
      </c>
      <c r="K8" s="255" t="str">
        <f>IF(AND('Mapa final'!$Y$23="Muy Alta",'Mapa final'!$AA$23="Leve"),CONCATENATE("R3C",'Mapa final'!$O$23),"")</f>
        <v/>
      </c>
      <c r="L8" s="255" t="str">
        <f>IF(AND('Mapa final'!$Y$24="Muy Alta",'Mapa final'!$AA$24="Leve"),CONCATENATE("R3C",'Mapa final'!$O$24),"")</f>
        <v/>
      </c>
      <c r="M8" s="255" t="str">
        <f>IF(AND('Mapa final'!$Y$25="Muy Alta",'Mapa final'!$AA$25="Leve"),CONCATENATE("R3C",'Mapa final'!$O$25),"")</f>
        <v/>
      </c>
      <c r="N8" s="255" t="str">
        <f>IF(AND('Mapa final'!$Y$26="Muy Alta",'Mapa final'!$AA$26="Leve"),CONCATENATE("R3C",'Mapa final'!$O$26),"")</f>
        <v/>
      </c>
      <c r="O8" s="256" t="str">
        <f>IF(AND('Mapa final'!$Y$27="Muy Alta",'Mapa final'!$AA$27="Leve"),CONCATENATE("R3C",'Mapa final'!$O$27),"")</f>
        <v/>
      </c>
      <c r="P8" s="254" t="str">
        <f>IF(AND('Mapa final'!$Y$22="Muy Alta",'Mapa final'!$AA$22="Menor"),CONCATENATE("R3C",'Mapa final'!$O$22),"")</f>
        <v/>
      </c>
      <c r="Q8" s="255" t="str">
        <f>IF(AND('Mapa final'!$Y$23="Muy Alta",'Mapa final'!$AA$23="Menor"),CONCATENATE("R3C",'Mapa final'!$O$23),"")</f>
        <v/>
      </c>
      <c r="R8" s="255" t="str">
        <f>IF(AND('Mapa final'!$Y$24="Muy Alta",'Mapa final'!$AA$24="Menor"),CONCATENATE("R3C",'Mapa final'!$O$24),"")</f>
        <v/>
      </c>
      <c r="S8" s="255" t="str">
        <f>IF(AND('Mapa final'!$Y$25="Muy Alta",'Mapa final'!$AA$25="Menor"),CONCATENATE("R3C",'Mapa final'!$O$25),"")</f>
        <v/>
      </c>
      <c r="T8" s="255" t="str">
        <f>IF(AND('Mapa final'!$Y$26="Muy Alta",'Mapa final'!$AA$26="Menor"),CONCATENATE("R3C",'Mapa final'!$O$26),"")</f>
        <v/>
      </c>
      <c r="U8" s="256" t="str">
        <f>IF(AND('Mapa final'!$Y$27="Muy Alta",'Mapa final'!$AA$27="Menor"),CONCATENATE("R3C",'Mapa final'!$O$27),"")</f>
        <v/>
      </c>
      <c r="V8" s="254" t="str">
        <f>IF(AND('Mapa final'!$Y$22="Muy Alta",'Mapa final'!$AA$22="Moderado"),CONCATENATE("R3C",'Mapa final'!$O$22),"")</f>
        <v/>
      </c>
      <c r="W8" s="255" t="str">
        <f>IF(AND('Mapa final'!$Y$23="Muy Alta",'Mapa final'!$AA$23="Moderado"),CONCATENATE("R3C",'Mapa final'!$O$23),"")</f>
        <v/>
      </c>
      <c r="X8" s="255" t="str">
        <f>IF(AND('Mapa final'!$Y$24="Muy Alta",'Mapa final'!$AA$24="Moderado"),CONCATENATE("R3C",'Mapa final'!$O$24),"")</f>
        <v/>
      </c>
      <c r="Y8" s="255" t="str">
        <f>IF(AND('Mapa final'!$Y$25="Muy Alta",'Mapa final'!$AA$25="Moderado"),CONCATENATE("R3C",'Mapa final'!$O$25),"")</f>
        <v/>
      </c>
      <c r="Z8" s="255" t="str">
        <f>IF(AND('Mapa final'!$Y$26="Muy Alta",'Mapa final'!$AA$26="Moderado"),CONCATENATE("R3C",'Mapa final'!$O$26),"")</f>
        <v/>
      </c>
      <c r="AA8" s="256" t="str">
        <f>IF(AND('Mapa final'!$Y$27="Muy Alta",'Mapa final'!$AA$27="Moderado"),CONCATENATE("R3C",'Mapa final'!$O$27),"")</f>
        <v/>
      </c>
      <c r="AB8" s="254" t="str">
        <f>IF(AND('Mapa final'!$Y$22="Muy Alta",'Mapa final'!$AA$22="Mayor"),CONCATENATE("R3C",'Mapa final'!$O$22),"")</f>
        <v/>
      </c>
      <c r="AC8" s="255" t="str">
        <f>IF(AND('Mapa final'!$Y$23="Muy Alta",'Mapa final'!$AA$23="Mayor"),CONCATENATE("R3C",'Mapa final'!$O$23),"")</f>
        <v/>
      </c>
      <c r="AD8" s="255" t="str">
        <f>IF(AND('Mapa final'!$Y$24="Muy Alta",'Mapa final'!$AA$24="Mayor"),CONCATENATE("R3C",'Mapa final'!$O$24),"")</f>
        <v/>
      </c>
      <c r="AE8" s="255" t="str">
        <f>IF(AND('Mapa final'!$Y$25="Muy Alta",'Mapa final'!$AA$25="Mayor"),CONCATENATE("R3C",'Mapa final'!$O$25),"")</f>
        <v/>
      </c>
      <c r="AF8" s="255" t="str">
        <f>IF(AND('Mapa final'!$Y$26="Muy Alta",'Mapa final'!$AA$26="Mayor"),CONCATENATE("R3C",'Mapa final'!$O$26),"")</f>
        <v/>
      </c>
      <c r="AG8" s="256" t="str">
        <f>IF(AND('Mapa final'!$Y$27="Muy Alta",'Mapa final'!$AA$27="Mayor"),CONCATENATE("R3C",'Mapa final'!$O$27),"")</f>
        <v/>
      </c>
      <c r="AH8" s="257" t="str">
        <f>IF(AND('Mapa final'!$Y$22="Muy Alta",'Mapa final'!$AA$22="Catastrófico"),CONCATENATE("R3C",'Mapa final'!$O$22),"")</f>
        <v/>
      </c>
      <c r="AI8" s="258" t="str">
        <f>IF(AND('Mapa final'!$Y$23="Muy Alta",'Mapa final'!$AA$23="Catastrófico"),CONCATENATE("R3C",'Mapa final'!$O$23),"")</f>
        <v/>
      </c>
      <c r="AJ8" s="258" t="str">
        <f>IF(AND('Mapa final'!$Y$24="Muy Alta",'Mapa final'!$AA$24="Catastrófico"),CONCATENATE("R3C",'Mapa final'!$O$24),"")</f>
        <v/>
      </c>
      <c r="AK8" s="258" t="str">
        <f>IF(AND('Mapa final'!$Y$25="Muy Alta",'Mapa final'!$AA$25="Catastrófico"),CONCATENATE("R3C",'Mapa final'!$O$25),"")</f>
        <v/>
      </c>
      <c r="AL8" s="258" t="str">
        <f>IF(AND('Mapa final'!$Y$26="Muy Alta",'Mapa final'!$AA$26="Catastrófico"),CONCATENATE("R3C",'Mapa final'!$O$26),"")</f>
        <v/>
      </c>
      <c r="AM8" s="259" t="str">
        <f>IF(AND('Mapa final'!$Y$27="Muy Alta",'Mapa final'!$AA$27="Catastrófico"),CONCATENATE("R3C",'Mapa final'!$O$27),"")</f>
        <v/>
      </c>
      <c r="AN8" s="15"/>
      <c r="AO8" s="814"/>
      <c r="AP8" s="815"/>
      <c r="AQ8" s="815"/>
      <c r="AR8" s="815"/>
      <c r="AS8" s="815"/>
      <c r="AT8" s="81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6"/>
      <c r="C9" s="716"/>
      <c r="D9" s="717"/>
      <c r="E9" s="805"/>
      <c r="F9" s="806"/>
      <c r="G9" s="806"/>
      <c r="H9" s="806"/>
      <c r="I9" s="807"/>
      <c r="J9" s="254" t="str">
        <f>IF(AND('Mapa final'!$Y$28="Muy Alta",'Mapa final'!$AA$28="Leve"),CONCATENATE("R4C",'Mapa final'!$O$28),"")</f>
        <v/>
      </c>
      <c r="K9" s="255" t="str">
        <f>IF(AND('Mapa final'!$Y$29="Muy Alta",'Mapa final'!$AA$29="Leve"),CONCATENATE("R4C",'Mapa final'!$O$29),"")</f>
        <v/>
      </c>
      <c r="L9" s="255" t="str">
        <f>IF(AND('Mapa final'!$Y$30="Muy Alta",'Mapa final'!$AA$30="Leve"),CONCATENATE("R4C",'Mapa final'!$O$30),"")</f>
        <v/>
      </c>
      <c r="M9" s="255" t="str">
        <f>IF(AND('Mapa final'!$Y$31="Muy Alta",'Mapa final'!$AA$31="Leve"),CONCATENATE("R4C",'Mapa final'!$O$31),"")</f>
        <v/>
      </c>
      <c r="N9" s="255" t="str">
        <f>IF(AND('Mapa final'!$Y$32="Muy Alta",'Mapa final'!$AA$32="Leve"),CONCATENATE("R4C",'Mapa final'!$O$32),"")</f>
        <v/>
      </c>
      <c r="O9" s="256" t="str">
        <f>IF(AND('Mapa final'!$Y$33="Muy Alta",'Mapa final'!$AA$33="Leve"),CONCATENATE("R4C",'Mapa final'!$O$33),"")</f>
        <v/>
      </c>
      <c r="P9" s="254" t="str">
        <f>IF(AND('Mapa final'!$Y$28="Muy Alta",'Mapa final'!$AA$28="Menor"),CONCATENATE("R4C",'Mapa final'!$O$28),"")</f>
        <v/>
      </c>
      <c r="Q9" s="255" t="str">
        <f>IF(AND('Mapa final'!$Y$29="Muy Alta",'Mapa final'!$AA$29="Menor"),CONCATENATE("R4C",'Mapa final'!$O$29),"")</f>
        <v/>
      </c>
      <c r="R9" s="255" t="str">
        <f>IF(AND('Mapa final'!$Y$30="Muy Alta",'Mapa final'!$AA$30="Menor"),CONCATENATE("R4C",'Mapa final'!$O$30),"")</f>
        <v/>
      </c>
      <c r="S9" s="255" t="str">
        <f>IF(AND('Mapa final'!$Y$31="Muy Alta",'Mapa final'!$AA$31="Menor"),CONCATENATE("R4C",'Mapa final'!$O$31),"")</f>
        <v/>
      </c>
      <c r="T9" s="255" t="str">
        <f>IF(AND('Mapa final'!$Y$32="Muy Alta",'Mapa final'!$AA$32="Menor"),CONCATENATE("R4C",'Mapa final'!$O$32),"")</f>
        <v/>
      </c>
      <c r="U9" s="256" t="str">
        <f>IF(AND('Mapa final'!$Y$33="Muy Alta",'Mapa final'!$AA$33="Menor"),CONCATENATE("R4C",'Mapa final'!$O$33),"")</f>
        <v/>
      </c>
      <c r="V9" s="254" t="str">
        <f>IF(AND('Mapa final'!$Y$28="Muy Alta",'Mapa final'!$AA$28="Moderado"),CONCATENATE("R4C",'Mapa final'!$O$28),"")</f>
        <v/>
      </c>
      <c r="W9" s="255" t="str">
        <f>IF(AND('Mapa final'!$Y$29="Muy Alta",'Mapa final'!$AA$29="Moderado"),CONCATENATE("R4C",'Mapa final'!$O$29),"")</f>
        <v/>
      </c>
      <c r="X9" s="255" t="str">
        <f>IF(AND('Mapa final'!$Y$30="Muy Alta",'Mapa final'!$AA$30="Moderado"),CONCATENATE("R4C",'Mapa final'!$O$30),"")</f>
        <v/>
      </c>
      <c r="Y9" s="255" t="str">
        <f>IF(AND('Mapa final'!$Y$31="Muy Alta",'Mapa final'!$AA$31="Moderado"),CONCATENATE("R4C",'Mapa final'!$O$31),"")</f>
        <v/>
      </c>
      <c r="Z9" s="255" t="str">
        <f>IF(AND('Mapa final'!$Y$32="Muy Alta",'Mapa final'!$AA$32="Moderado"),CONCATENATE("R4C",'Mapa final'!$O$32),"")</f>
        <v/>
      </c>
      <c r="AA9" s="256" t="str">
        <f>IF(AND('Mapa final'!$Y$33="Muy Alta",'Mapa final'!$AA$33="Moderado"),CONCATENATE("R4C",'Mapa final'!$O$33),"")</f>
        <v/>
      </c>
      <c r="AB9" s="254" t="str">
        <f>IF(AND('Mapa final'!$Y$28="Muy Alta",'Mapa final'!$AA$28="Mayor"),CONCATENATE("R4C",'Mapa final'!$O$28),"")</f>
        <v/>
      </c>
      <c r="AC9" s="255" t="str">
        <f>IF(AND('Mapa final'!$Y$29="Muy Alta",'Mapa final'!$AA$29="Mayor"),CONCATENATE("R4C",'Mapa final'!$O$29),"")</f>
        <v/>
      </c>
      <c r="AD9" s="255" t="str">
        <f>IF(AND('Mapa final'!$Y$30="Muy Alta",'Mapa final'!$AA$30="Mayor"),CONCATENATE("R4C",'Mapa final'!$O$30),"")</f>
        <v/>
      </c>
      <c r="AE9" s="255" t="str">
        <f>IF(AND('Mapa final'!$Y$31="Muy Alta",'Mapa final'!$AA$31="Mayor"),CONCATENATE("R4C",'Mapa final'!$O$31),"")</f>
        <v/>
      </c>
      <c r="AF9" s="255" t="str">
        <f>IF(AND('Mapa final'!$Y$32="Muy Alta",'Mapa final'!$AA$32="Mayor"),CONCATENATE("R4C",'Mapa final'!$O$32),"")</f>
        <v/>
      </c>
      <c r="AG9" s="256" t="str">
        <f>IF(AND('Mapa final'!$Y$33="Muy Alta",'Mapa final'!$AA$33="Mayor"),CONCATENATE("R4C",'Mapa final'!$O$33),"")</f>
        <v/>
      </c>
      <c r="AH9" s="257" t="str">
        <f>IF(AND('Mapa final'!$Y$28="Muy Alta",'Mapa final'!$AA$28="Catastrófico"),CONCATENATE("R4C",'Mapa final'!$O$28),"")</f>
        <v/>
      </c>
      <c r="AI9" s="258" t="str">
        <f>IF(AND('Mapa final'!$Y$29="Muy Alta",'Mapa final'!$AA$29="Catastrófico"),CONCATENATE("R4C",'Mapa final'!$O$29),"")</f>
        <v/>
      </c>
      <c r="AJ9" s="258" t="str">
        <f>IF(AND('Mapa final'!$Y$30="Muy Alta",'Mapa final'!$AA$30="Catastrófico"),CONCATENATE("R4C",'Mapa final'!$O$30),"")</f>
        <v/>
      </c>
      <c r="AK9" s="258" t="str">
        <f>IF(AND('Mapa final'!$Y$31="Muy Alta",'Mapa final'!$AA$31="Catastrófico"),CONCATENATE("R4C",'Mapa final'!$O$31),"")</f>
        <v/>
      </c>
      <c r="AL9" s="258" t="str">
        <f>IF(AND('Mapa final'!$Y$32="Muy Alta",'Mapa final'!$AA$32="Catastrófico"),CONCATENATE("R4C",'Mapa final'!$O$32),"")</f>
        <v/>
      </c>
      <c r="AM9" s="259" t="str">
        <f>IF(AND('Mapa final'!$Y$33="Muy Alta",'Mapa final'!$AA$33="Catastrófico"),CONCATENATE("R4C",'Mapa final'!$O$33),"")</f>
        <v/>
      </c>
      <c r="AN9" s="15"/>
      <c r="AO9" s="814"/>
      <c r="AP9" s="815"/>
      <c r="AQ9" s="815"/>
      <c r="AR9" s="815"/>
      <c r="AS9" s="815"/>
      <c r="AT9" s="81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6"/>
      <c r="C10" s="716"/>
      <c r="D10" s="717"/>
      <c r="E10" s="805"/>
      <c r="F10" s="806"/>
      <c r="G10" s="806"/>
      <c r="H10" s="806"/>
      <c r="I10" s="807"/>
      <c r="J10" s="254" t="str">
        <f>IF(AND('Mapa final'!$Y$34="Muy Alta",'Mapa final'!$AA$34="Leve"),CONCATENATE("R5C",'Mapa final'!$O$34),"")</f>
        <v/>
      </c>
      <c r="K10" s="255" t="str">
        <f>IF(AND('Mapa final'!$Y$35="Muy Alta",'Mapa final'!$AA$35="Leve"),CONCATENATE("R5C",'Mapa final'!$O$35),"")</f>
        <v/>
      </c>
      <c r="L10" s="255" t="str">
        <f>IF(AND('Mapa final'!$Y$36="Muy Alta",'Mapa final'!$AA$36="Leve"),CONCATENATE("R5C",'Mapa final'!$O$36),"")</f>
        <v/>
      </c>
      <c r="M10" s="255" t="str">
        <f>IF(AND('Mapa final'!$Y$37="Muy Alta",'Mapa final'!$AA$37="Leve"),CONCATENATE("R5C",'Mapa final'!$O$37),"")</f>
        <v/>
      </c>
      <c r="N10" s="255" t="str">
        <f>IF(AND('Mapa final'!$Y$38="Muy Alta",'Mapa final'!$AA$38="Leve"),CONCATENATE("R5C",'Mapa final'!$O$38),"")</f>
        <v/>
      </c>
      <c r="O10" s="256" t="str">
        <f>IF(AND('Mapa final'!$Y$39="Muy Alta",'Mapa final'!$AA$39="Leve"),CONCATENATE("R5C",'Mapa final'!$O$39),"")</f>
        <v/>
      </c>
      <c r="P10" s="254" t="str">
        <f>IF(AND('Mapa final'!$Y$34="Muy Alta",'Mapa final'!$AA$34="Menor"),CONCATENATE("R5C",'Mapa final'!$O$34),"")</f>
        <v/>
      </c>
      <c r="Q10" s="255" t="str">
        <f>IF(AND('Mapa final'!$Y$35="Muy Alta",'Mapa final'!$AA$35="Menor"),CONCATENATE("R5C",'Mapa final'!$O$35),"")</f>
        <v/>
      </c>
      <c r="R10" s="255" t="str">
        <f>IF(AND('Mapa final'!$Y$36="Muy Alta",'Mapa final'!$AA$36="Menor"),CONCATENATE("R5C",'Mapa final'!$O$36),"")</f>
        <v/>
      </c>
      <c r="S10" s="255" t="str">
        <f>IF(AND('Mapa final'!$Y$37="Muy Alta",'Mapa final'!$AA$37="Menor"),CONCATENATE("R5C",'Mapa final'!$O$37),"")</f>
        <v/>
      </c>
      <c r="T10" s="255" t="str">
        <f>IF(AND('Mapa final'!$Y$38="Muy Alta",'Mapa final'!$AA$38="Menor"),CONCATENATE("R5C",'Mapa final'!$O$38),"")</f>
        <v/>
      </c>
      <c r="U10" s="256" t="str">
        <f>IF(AND('Mapa final'!$Y$39="Muy Alta",'Mapa final'!$AA$39="Menor"),CONCATENATE("R5C",'Mapa final'!$O$39),"")</f>
        <v/>
      </c>
      <c r="V10" s="254" t="str">
        <f>IF(AND('Mapa final'!$Y$34="Muy Alta",'Mapa final'!$AA$34="Moderado"),CONCATENATE("R5C",'Mapa final'!$O$34),"")</f>
        <v/>
      </c>
      <c r="W10" s="255" t="str">
        <f>IF(AND('Mapa final'!$Y$35="Muy Alta",'Mapa final'!$AA$35="Moderado"),CONCATENATE("R5C",'Mapa final'!$O$35),"")</f>
        <v/>
      </c>
      <c r="X10" s="255" t="str">
        <f>IF(AND('Mapa final'!$Y$36="Muy Alta",'Mapa final'!$AA$36="Moderado"),CONCATENATE("R5C",'Mapa final'!$O$36),"")</f>
        <v/>
      </c>
      <c r="Y10" s="255" t="str">
        <f>IF(AND('Mapa final'!$Y$37="Muy Alta",'Mapa final'!$AA$37="Moderado"),CONCATENATE("R5C",'Mapa final'!$O$37),"")</f>
        <v/>
      </c>
      <c r="Z10" s="255" t="str">
        <f>IF(AND('Mapa final'!$Y$38="Muy Alta",'Mapa final'!$AA$38="Moderado"),CONCATENATE("R5C",'Mapa final'!$O$38),"")</f>
        <v/>
      </c>
      <c r="AA10" s="256" t="str">
        <f>IF(AND('Mapa final'!$Y$39="Muy Alta",'Mapa final'!$AA$39="Moderado"),CONCATENATE("R5C",'Mapa final'!$O$39),"")</f>
        <v/>
      </c>
      <c r="AB10" s="254" t="str">
        <f>IF(AND('Mapa final'!$Y$34="Muy Alta",'Mapa final'!$AA$34="Mayor"),CONCATENATE("R5C",'Mapa final'!$O$34),"")</f>
        <v/>
      </c>
      <c r="AC10" s="255" t="str">
        <f>IF(AND('Mapa final'!$Y$35="Muy Alta",'Mapa final'!$AA$35="Mayor"),CONCATENATE("R5C",'Mapa final'!$O$35),"")</f>
        <v/>
      </c>
      <c r="AD10" s="255" t="str">
        <f>IF(AND('Mapa final'!$Y$36="Muy Alta",'Mapa final'!$AA$36="Mayor"),CONCATENATE("R5C",'Mapa final'!$O$36),"")</f>
        <v/>
      </c>
      <c r="AE10" s="255" t="str">
        <f>IF(AND('Mapa final'!$Y$37="Muy Alta",'Mapa final'!$AA$37="Mayor"),CONCATENATE("R5C",'Mapa final'!$O$37),"")</f>
        <v/>
      </c>
      <c r="AF10" s="255" t="str">
        <f>IF(AND('Mapa final'!$Y$38="Muy Alta",'Mapa final'!$AA$38="Mayor"),CONCATENATE("R5C",'Mapa final'!$O$38),"")</f>
        <v/>
      </c>
      <c r="AG10" s="256" t="str">
        <f>IF(AND('Mapa final'!$Y$39="Muy Alta",'Mapa final'!$AA$39="Mayor"),CONCATENATE("R5C",'Mapa final'!$O$39),"")</f>
        <v/>
      </c>
      <c r="AH10" s="257" t="str">
        <f>IF(AND('Mapa final'!$Y$34="Muy Alta",'Mapa final'!$AA$34="Catastrófico"),CONCATENATE("R5C",'Mapa final'!$O$34),"")</f>
        <v/>
      </c>
      <c r="AI10" s="258" t="str">
        <f>IF(AND('Mapa final'!$Y$35="Muy Alta",'Mapa final'!$AA$35="Catastrófico"),CONCATENATE("R5C",'Mapa final'!$O$35),"")</f>
        <v/>
      </c>
      <c r="AJ10" s="258" t="str">
        <f>IF(AND('Mapa final'!$Y$36="Muy Alta",'Mapa final'!$AA$36="Catastrófico"),CONCATENATE("R5C",'Mapa final'!$O$36),"")</f>
        <v/>
      </c>
      <c r="AK10" s="258" t="str">
        <f>IF(AND('Mapa final'!$Y$37="Muy Alta",'Mapa final'!$AA$37="Catastrófico"),CONCATENATE("R5C",'Mapa final'!$O$37),"")</f>
        <v/>
      </c>
      <c r="AL10" s="258" t="str">
        <f>IF(AND('Mapa final'!$Y$38="Muy Alta",'Mapa final'!$AA$38="Catastrófico"),CONCATENATE("R5C",'Mapa final'!$O$38),"")</f>
        <v/>
      </c>
      <c r="AM10" s="259" t="str">
        <f>IF(AND('Mapa final'!$Y$39="Muy Alta",'Mapa final'!$AA$39="Catastrófico"),CONCATENATE("R5C",'Mapa final'!$O$39),"")</f>
        <v/>
      </c>
      <c r="AN10" s="15"/>
      <c r="AO10" s="814"/>
      <c r="AP10" s="815"/>
      <c r="AQ10" s="815"/>
      <c r="AR10" s="815"/>
      <c r="AS10" s="815"/>
      <c r="AT10" s="81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6"/>
      <c r="C11" s="716"/>
      <c r="D11" s="717"/>
      <c r="E11" s="805"/>
      <c r="F11" s="806"/>
      <c r="G11" s="806"/>
      <c r="H11" s="806"/>
      <c r="I11" s="807"/>
      <c r="J11" s="254" t="str">
        <f>IF(AND('Mapa final'!$Y$40="Muy Alta",'Mapa final'!$AA$40="Leve"),CONCATENATE("R6C",'Mapa final'!$O$40),"")</f>
        <v/>
      </c>
      <c r="K11" s="255" t="str">
        <f>IF(AND('Mapa final'!$Y$41="Muy Alta",'Mapa final'!$AA$41="Leve"),CONCATENATE("R6C",'Mapa final'!$O$41),"")</f>
        <v/>
      </c>
      <c r="L11" s="255" t="str">
        <f>IF(AND('Mapa final'!$Y$42="Muy Alta",'Mapa final'!$AA$42="Leve"),CONCATENATE("R6C",'Mapa final'!$O$42),"")</f>
        <v/>
      </c>
      <c r="M11" s="255" t="str">
        <f>IF(AND('Mapa final'!$Y$43="Muy Alta",'Mapa final'!$AA$43="Leve"),CONCATENATE("R6C",'Mapa final'!$O$43),"")</f>
        <v/>
      </c>
      <c r="N11" s="255" t="str">
        <f>IF(AND('Mapa final'!$Y$44="Muy Alta",'Mapa final'!$AA$44="Leve"),CONCATENATE("R6C",'Mapa final'!$O$44),"")</f>
        <v/>
      </c>
      <c r="O11" s="256" t="str">
        <f>IF(AND('Mapa final'!$Y$45="Muy Alta",'Mapa final'!$AA$45="Leve"),CONCATENATE("R6C",'Mapa final'!$O$45),"")</f>
        <v/>
      </c>
      <c r="P11" s="254" t="str">
        <f>IF(AND('Mapa final'!$Y$40="Muy Alta",'Mapa final'!$AA$40="Menor"),CONCATENATE("R6C",'Mapa final'!$O$40),"")</f>
        <v/>
      </c>
      <c r="Q11" s="255" t="str">
        <f>IF(AND('Mapa final'!$Y$41="Muy Alta",'Mapa final'!$AA$41="Menor"),CONCATENATE("R6C",'Mapa final'!$O$41),"")</f>
        <v/>
      </c>
      <c r="R11" s="255" t="str">
        <f>IF(AND('Mapa final'!$Y$42="Muy Alta",'Mapa final'!$AA$42="Menor"),CONCATENATE("R6C",'Mapa final'!$O$42),"")</f>
        <v/>
      </c>
      <c r="S11" s="255" t="str">
        <f>IF(AND('Mapa final'!$Y$43="Muy Alta",'Mapa final'!$AA$43="Menor"),CONCATENATE("R6C",'Mapa final'!$O$43),"")</f>
        <v/>
      </c>
      <c r="T11" s="255" t="str">
        <f>IF(AND('Mapa final'!$Y$44="Muy Alta",'Mapa final'!$AA$44="Menor"),CONCATENATE("R6C",'Mapa final'!$O$44),"")</f>
        <v/>
      </c>
      <c r="U11" s="256" t="str">
        <f>IF(AND('Mapa final'!$Y$45="Muy Alta",'Mapa final'!$AA$45="Menor"),CONCATENATE("R6C",'Mapa final'!$O$45),"")</f>
        <v/>
      </c>
      <c r="V11" s="254" t="str">
        <f>IF(AND('Mapa final'!$Y$40="Muy Alta",'Mapa final'!$AA$40="Moderado"),CONCATENATE("R6C",'Mapa final'!$O$40),"")</f>
        <v/>
      </c>
      <c r="W11" s="255" t="str">
        <f>IF(AND('Mapa final'!$Y$41="Muy Alta",'Mapa final'!$AA$41="Moderado"),CONCATENATE("R6C",'Mapa final'!$O$41),"")</f>
        <v/>
      </c>
      <c r="X11" s="255" t="str">
        <f>IF(AND('Mapa final'!$Y$42="Muy Alta",'Mapa final'!$AA$42="Moderado"),CONCATENATE("R6C",'Mapa final'!$O$42),"")</f>
        <v/>
      </c>
      <c r="Y11" s="255" t="str">
        <f>IF(AND('Mapa final'!$Y$43="Muy Alta",'Mapa final'!$AA$43="Moderado"),CONCATENATE("R6C",'Mapa final'!$O$43),"")</f>
        <v/>
      </c>
      <c r="Z11" s="255" t="str">
        <f>IF(AND('Mapa final'!$Y$44="Muy Alta",'Mapa final'!$AA$44="Moderado"),CONCATENATE("R6C",'Mapa final'!$O$44),"")</f>
        <v/>
      </c>
      <c r="AA11" s="256" t="str">
        <f>IF(AND('Mapa final'!$Y$45="Muy Alta",'Mapa final'!$AA$45="Moderado"),CONCATENATE("R6C",'Mapa final'!$O$45),"")</f>
        <v/>
      </c>
      <c r="AB11" s="254" t="str">
        <f>IF(AND('Mapa final'!$Y$40="Muy Alta",'Mapa final'!$AA$40="Mayor"),CONCATENATE("R6C",'Mapa final'!$O$40),"")</f>
        <v/>
      </c>
      <c r="AC11" s="255" t="str">
        <f>IF(AND('Mapa final'!$Y$41="Muy Alta",'Mapa final'!$AA$41="Mayor"),CONCATENATE("R6C",'Mapa final'!$O$41),"")</f>
        <v/>
      </c>
      <c r="AD11" s="255" t="str">
        <f>IF(AND('Mapa final'!$Y$42="Muy Alta",'Mapa final'!$AA$42="Mayor"),CONCATENATE("R6C",'Mapa final'!$O$42),"")</f>
        <v/>
      </c>
      <c r="AE11" s="255" t="str">
        <f>IF(AND('Mapa final'!$Y$43="Muy Alta",'Mapa final'!$AA$43="Mayor"),CONCATENATE("R6C",'Mapa final'!$O$43),"")</f>
        <v/>
      </c>
      <c r="AF11" s="255" t="str">
        <f>IF(AND('Mapa final'!$Y$44="Muy Alta",'Mapa final'!$AA$44="Mayor"),CONCATENATE("R6C",'Mapa final'!$O$44),"")</f>
        <v/>
      </c>
      <c r="AG11" s="256" t="str">
        <f>IF(AND('Mapa final'!$Y$45="Muy Alta",'Mapa final'!$AA$45="Mayor"),CONCATENATE("R6C",'Mapa final'!$O$45),"")</f>
        <v/>
      </c>
      <c r="AH11" s="257" t="str">
        <f>IF(AND('Mapa final'!$Y$40="Muy Alta",'Mapa final'!$AA$40="Catastrófico"),CONCATENATE("R6C",'Mapa final'!$O$40),"")</f>
        <v/>
      </c>
      <c r="AI11" s="258" t="str">
        <f>IF(AND('Mapa final'!$Y$41="Muy Alta",'Mapa final'!$AA$41="Catastrófico"),CONCATENATE("R6C",'Mapa final'!$O$41),"")</f>
        <v/>
      </c>
      <c r="AJ11" s="258" t="str">
        <f>IF(AND('Mapa final'!$Y$42="Muy Alta",'Mapa final'!$AA$42="Catastrófico"),CONCATENATE("R6C",'Mapa final'!$O$42),"")</f>
        <v/>
      </c>
      <c r="AK11" s="258" t="str">
        <f>IF(AND('Mapa final'!$Y$43="Muy Alta",'Mapa final'!$AA$43="Catastrófico"),CONCATENATE("R6C",'Mapa final'!$O$43),"")</f>
        <v/>
      </c>
      <c r="AL11" s="258" t="str">
        <f>IF(AND('Mapa final'!$Y$44="Muy Alta",'Mapa final'!$AA$44="Catastrófico"),CONCATENATE("R6C",'Mapa final'!$O$44),"")</f>
        <v/>
      </c>
      <c r="AM11" s="259" t="str">
        <f>IF(AND('Mapa final'!$Y$45="Muy Alta",'Mapa final'!$AA$45="Catastrófico"),CONCATENATE("R6C",'Mapa final'!$O$45),"")</f>
        <v/>
      </c>
      <c r="AN11" s="15"/>
      <c r="AO11" s="814"/>
      <c r="AP11" s="815"/>
      <c r="AQ11" s="815"/>
      <c r="AR11" s="815"/>
      <c r="AS11" s="815"/>
      <c r="AT11" s="81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6"/>
      <c r="C12" s="716"/>
      <c r="D12" s="717"/>
      <c r="E12" s="805"/>
      <c r="F12" s="806"/>
      <c r="G12" s="806"/>
      <c r="H12" s="806"/>
      <c r="I12" s="807"/>
      <c r="J12" s="254" t="str">
        <f>IF(AND('Mapa final'!$Y$46="Muy Alta",'Mapa final'!$AA$46="Leve"),CONCATENATE("R7C",'Mapa final'!$O$46),"")</f>
        <v/>
      </c>
      <c r="K12" s="255" t="str">
        <f>IF(AND('Mapa final'!$Y$47="Muy Alta",'Mapa final'!$AA$47="Leve"),CONCATENATE("R7C",'Mapa final'!$O$47),"")</f>
        <v/>
      </c>
      <c r="L12" s="255" t="str">
        <f>IF(AND('Mapa final'!$Y$48="Muy Alta",'Mapa final'!$AA$48="Leve"),CONCATENATE("R7C",'Mapa final'!$O$48),"")</f>
        <v/>
      </c>
      <c r="M12" s="255" t="str">
        <f>IF(AND('Mapa final'!$Y$49="Muy Alta",'Mapa final'!$AA$49="Leve"),CONCATENATE("R7C",'Mapa final'!$O$49),"")</f>
        <v/>
      </c>
      <c r="N12" s="255" t="str">
        <f>IF(AND('Mapa final'!$Y$50="Muy Alta",'Mapa final'!$AA$50="Leve"),CONCATENATE("R7C",'Mapa final'!$O$50),"")</f>
        <v/>
      </c>
      <c r="O12" s="256" t="str">
        <f>IF(AND('Mapa final'!$Y$51="Muy Alta",'Mapa final'!$AA$51="Leve"),CONCATENATE("R7C",'Mapa final'!$O$51),"")</f>
        <v/>
      </c>
      <c r="P12" s="254" t="str">
        <f>IF(AND('Mapa final'!$Y$46="Muy Alta",'Mapa final'!$AA$46="Menor"),CONCATENATE("R7C",'Mapa final'!$O$46),"")</f>
        <v/>
      </c>
      <c r="Q12" s="255" t="str">
        <f>IF(AND('Mapa final'!$Y$47="Muy Alta",'Mapa final'!$AA$47="Menor"),CONCATENATE("R7C",'Mapa final'!$O$47),"")</f>
        <v/>
      </c>
      <c r="R12" s="255" t="str">
        <f>IF(AND('Mapa final'!$Y$48="Muy Alta",'Mapa final'!$AA$48="Menor"),CONCATENATE("R7C",'Mapa final'!$O$48),"")</f>
        <v/>
      </c>
      <c r="S12" s="255" t="str">
        <f>IF(AND('Mapa final'!$Y$49="Muy Alta",'Mapa final'!$AA$49="Menor"),CONCATENATE("R7C",'Mapa final'!$O$49),"")</f>
        <v/>
      </c>
      <c r="T12" s="255" t="str">
        <f>IF(AND('Mapa final'!$Y$50="Muy Alta",'Mapa final'!$AA$50="Menor"),CONCATENATE("R7C",'Mapa final'!$O$50),"")</f>
        <v/>
      </c>
      <c r="U12" s="256" t="str">
        <f>IF(AND('Mapa final'!$Y$51="Muy Alta",'Mapa final'!$AA$51="Menor"),CONCATENATE("R7C",'Mapa final'!$O$51),"")</f>
        <v/>
      </c>
      <c r="V12" s="254" t="str">
        <f>IF(AND('Mapa final'!$Y$46="Muy Alta",'Mapa final'!$AA$46="Moderado"),CONCATENATE("R7C",'Mapa final'!$O$46),"")</f>
        <v/>
      </c>
      <c r="W12" s="255" t="str">
        <f>IF(AND('Mapa final'!$Y$47="Muy Alta",'Mapa final'!$AA$47="Moderado"),CONCATENATE("R7C",'Mapa final'!$O$47),"")</f>
        <v/>
      </c>
      <c r="X12" s="255" t="str">
        <f>IF(AND('Mapa final'!$Y$48="Muy Alta",'Mapa final'!$AA$48="Moderado"),CONCATENATE("R7C",'Mapa final'!$O$48),"")</f>
        <v/>
      </c>
      <c r="Y12" s="255" t="str">
        <f>IF(AND('Mapa final'!$Y$49="Muy Alta",'Mapa final'!$AA$49="Moderado"),CONCATENATE("R7C",'Mapa final'!$O$49),"")</f>
        <v/>
      </c>
      <c r="Z12" s="255" t="str">
        <f>IF(AND('Mapa final'!$Y$50="Muy Alta",'Mapa final'!$AA$50="Moderado"),CONCATENATE("R7C",'Mapa final'!$O$50),"")</f>
        <v/>
      </c>
      <c r="AA12" s="256" t="str">
        <f>IF(AND('Mapa final'!$Y$51="Muy Alta",'Mapa final'!$AA$51="Moderado"),CONCATENATE("R7C",'Mapa final'!$O$51),"")</f>
        <v/>
      </c>
      <c r="AB12" s="254" t="str">
        <f>IF(AND('Mapa final'!$Y$46="Muy Alta",'Mapa final'!$AA$46="Mayor"),CONCATENATE("R7C",'Mapa final'!$O$46),"")</f>
        <v/>
      </c>
      <c r="AC12" s="255" t="str">
        <f>IF(AND('Mapa final'!$Y$47="Muy Alta",'Mapa final'!$AA$47="Mayor"),CONCATENATE("R7C",'Mapa final'!$O$47),"")</f>
        <v/>
      </c>
      <c r="AD12" s="255" t="str">
        <f>IF(AND('Mapa final'!$Y$48="Muy Alta",'Mapa final'!$AA$48="Mayor"),CONCATENATE("R7C",'Mapa final'!$O$48),"")</f>
        <v/>
      </c>
      <c r="AE12" s="255" t="str">
        <f>IF(AND('Mapa final'!$Y$49="Muy Alta",'Mapa final'!$AA$49="Mayor"),CONCATENATE("R7C",'Mapa final'!$O$49),"")</f>
        <v/>
      </c>
      <c r="AF12" s="255" t="str">
        <f>IF(AND('Mapa final'!$Y$50="Muy Alta",'Mapa final'!$AA$50="Mayor"),CONCATENATE("R7C",'Mapa final'!$O$50),"")</f>
        <v/>
      </c>
      <c r="AG12" s="256" t="str">
        <f>IF(AND('Mapa final'!$Y$51="Muy Alta",'Mapa final'!$AA$51="Mayor"),CONCATENATE("R7C",'Mapa final'!$O$51),"")</f>
        <v/>
      </c>
      <c r="AH12" s="257" t="str">
        <f>IF(AND('Mapa final'!$Y$46="Muy Alta",'Mapa final'!$AA$46="Catastrófico"),CONCATENATE("R7C",'Mapa final'!$O$46),"")</f>
        <v/>
      </c>
      <c r="AI12" s="258" t="str">
        <f>IF(AND('Mapa final'!$Y$47="Muy Alta",'Mapa final'!$AA$47="Catastrófico"),CONCATENATE("R7C",'Mapa final'!$O$47),"")</f>
        <v/>
      </c>
      <c r="AJ12" s="258" t="str">
        <f>IF(AND('Mapa final'!$Y$48="Muy Alta",'Mapa final'!$AA$48="Catastrófico"),CONCATENATE("R7C",'Mapa final'!$O$48),"")</f>
        <v/>
      </c>
      <c r="AK12" s="258" t="str">
        <f>IF(AND('Mapa final'!$Y$49="Muy Alta",'Mapa final'!$AA$49="Catastrófico"),CONCATENATE("R7C",'Mapa final'!$O$49),"")</f>
        <v/>
      </c>
      <c r="AL12" s="258" t="str">
        <f>IF(AND('Mapa final'!$Y$50="Muy Alta",'Mapa final'!$AA$50="Catastrófico"),CONCATENATE("R7C",'Mapa final'!$O$50),"")</f>
        <v/>
      </c>
      <c r="AM12" s="259" t="str">
        <f>IF(AND('Mapa final'!$Y$51="Muy Alta",'Mapa final'!$AA$51="Catastrófico"),CONCATENATE("R7C",'Mapa final'!$O$51),"")</f>
        <v/>
      </c>
      <c r="AN12" s="15"/>
      <c r="AO12" s="814"/>
      <c r="AP12" s="815"/>
      <c r="AQ12" s="815"/>
      <c r="AR12" s="815"/>
      <c r="AS12" s="815"/>
      <c r="AT12" s="81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6"/>
      <c r="C13" s="716"/>
      <c r="D13" s="717"/>
      <c r="E13" s="805"/>
      <c r="F13" s="806"/>
      <c r="G13" s="806"/>
      <c r="H13" s="806"/>
      <c r="I13" s="807"/>
      <c r="J13" s="254" t="str">
        <f>IF(AND('Mapa final'!$Y$52="Muy Alta",'Mapa final'!$AA$52="Leve"),CONCATENATE("R8C",'Mapa final'!$O$52),"")</f>
        <v/>
      </c>
      <c r="K13" s="255" t="str">
        <f>IF(AND('Mapa final'!$Y$53="Muy Alta",'Mapa final'!$AA$53="Leve"),CONCATENATE("R8C",'Mapa final'!$O$53),"")</f>
        <v/>
      </c>
      <c r="L13" s="255" t="str">
        <f>IF(AND('Mapa final'!$Y$54="Muy Alta",'Mapa final'!$AA$54="Leve"),CONCATENATE("R8C",'Mapa final'!$O$54),"")</f>
        <v/>
      </c>
      <c r="M13" s="255" t="str">
        <f>IF(AND('Mapa final'!$Y$55="Muy Alta",'Mapa final'!$AA$55="Leve"),CONCATENATE("R8C",'Mapa final'!$O$55),"")</f>
        <v/>
      </c>
      <c r="N13" s="255" t="str">
        <f>IF(AND('Mapa final'!$Y$56="Muy Alta",'Mapa final'!$AA$56="Leve"),CONCATENATE("R8C",'Mapa final'!$O$56),"")</f>
        <v/>
      </c>
      <c r="O13" s="256" t="str">
        <f>IF(AND('Mapa final'!$Y$57="Muy Alta",'Mapa final'!$AA$57="Leve"),CONCATENATE("R8C",'Mapa final'!$O$57),"")</f>
        <v/>
      </c>
      <c r="P13" s="254" t="str">
        <f>IF(AND('Mapa final'!$Y$52="Muy Alta",'Mapa final'!$AA$52="Menor"),CONCATENATE("R8C",'Mapa final'!$O$52),"")</f>
        <v/>
      </c>
      <c r="Q13" s="255" t="str">
        <f>IF(AND('Mapa final'!$Y$53="Muy Alta",'Mapa final'!$AA$53="Menor"),CONCATENATE("R8C",'Mapa final'!$O$53),"")</f>
        <v/>
      </c>
      <c r="R13" s="255" t="str">
        <f>IF(AND('Mapa final'!$Y$54="Muy Alta",'Mapa final'!$AA$54="Menor"),CONCATENATE("R8C",'Mapa final'!$O$54),"")</f>
        <v/>
      </c>
      <c r="S13" s="255" t="str">
        <f>IF(AND('Mapa final'!$Y$55="Muy Alta",'Mapa final'!$AA$55="Menor"),CONCATENATE("R8C",'Mapa final'!$O$55),"")</f>
        <v/>
      </c>
      <c r="T13" s="255" t="str">
        <f>IF(AND('Mapa final'!$Y$56="Muy Alta",'Mapa final'!$AA$56="Menor"),CONCATENATE("R8C",'Mapa final'!$O$56),"")</f>
        <v/>
      </c>
      <c r="U13" s="256" t="str">
        <f>IF(AND('Mapa final'!$Y$57="Muy Alta",'Mapa final'!$AA$57="Menor"),CONCATENATE("R8C",'Mapa final'!$O$57),"")</f>
        <v/>
      </c>
      <c r="V13" s="254" t="str">
        <f>IF(AND('Mapa final'!$Y$52="Muy Alta",'Mapa final'!$AA$52="Moderado"),CONCATENATE("R8C",'Mapa final'!$O$52),"")</f>
        <v/>
      </c>
      <c r="W13" s="255" t="str">
        <f>IF(AND('Mapa final'!$Y$53="Muy Alta",'Mapa final'!$AA$53="Moderado"),CONCATENATE("R8C",'Mapa final'!$O$53),"")</f>
        <v/>
      </c>
      <c r="X13" s="255" t="str">
        <f>IF(AND('Mapa final'!$Y$54="Muy Alta",'Mapa final'!$AA$54="Moderado"),CONCATENATE("R8C",'Mapa final'!$O$54),"")</f>
        <v/>
      </c>
      <c r="Y13" s="255" t="str">
        <f>IF(AND('Mapa final'!$Y$55="Muy Alta",'Mapa final'!$AA$55="Moderado"),CONCATENATE("R8C",'Mapa final'!$O$55),"")</f>
        <v/>
      </c>
      <c r="Z13" s="255" t="str">
        <f>IF(AND('Mapa final'!$Y$56="Muy Alta",'Mapa final'!$AA$56="Moderado"),CONCATENATE("R8C",'Mapa final'!$O$56),"")</f>
        <v/>
      </c>
      <c r="AA13" s="256" t="str">
        <f>IF(AND('Mapa final'!$Y$57="Muy Alta",'Mapa final'!$AA$57="Moderado"),CONCATENATE("R8C",'Mapa final'!$O$57),"")</f>
        <v/>
      </c>
      <c r="AB13" s="254" t="str">
        <f>IF(AND('Mapa final'!$Y$52="Muy Alta",'Mapa final'!$AA$52="Mayor"),CONCATENATE("R8C",'Mapa final'!$O$52),"")</f>
        <v/>
      </c>
      <c r="AC13" s="255" t="str">
        <f>IF(AND('Mapa final'!$Y$53="Muy Alta",'Mapa final'!$AA$53="Mayor"),CONCATENATE("R8C",'Mapa final'!$O$53),"")</f>
        <v/>
      </c>
      <c r="AD13" s="255" t="str">
        <f>IF(AND('Mapa final'!$Y$54="Muy Alta",'Mapa final'!$AA$54="Mayor"),CONCATENATE("R8C",'Mapa final'!$O$54),"")</f>
        <v/>
      </c>
      <c r="AE13" s="255" t="str">
        <f>IF(AND('Mapa final'!$Y$55="Muy Alta",'Mapa final'!$AA$55="Mayor"),CONCATENATE("R8C",'Mapa final'!$O$55),"")</f>
        <v/>
      </c>
      <c r="AF13" s="255" t="str">
        <f>IF(AND('Mapa final'!$Y$56="Muy Alta",'Mapa final'!$AA$56="Mayor"),CONCATENATE("R8C",'Mapa final'!$O$56),"")</f>
        <v/>
      </c>
      <c r="AG13" s="256" t="str">
        <f>IF(AND('Mapa final'!$Y$57="Muy Alta",'Mapa final'!$AA$57="Mayor"),CONCATENATE("R8C",'Mapa final'!$O$57),"")</f>
        <v/>
      </c>
      <c r="AH13" s="257" t="str">
        <f>IF(AND('Mapa final'!$Y$52="Muy Alta",'Mapa final'!$AA$52="Catastrófico"),CONCATENATE("R8C",'Mapa final'!$O$52),"")</f>
        <v/>
      </c>
      <c r="AI13" s="258" t="str">
        <f>IF(AND('Mapa final'!$Y$53="Muy Alta",'Mapa final'!$AA$53="Catastrófico"),CONCATENATE("R8C",'Mapa final'!$O$53),"")</f>
        <v/>
      </c>
      <c r="AJ13" s="258" t="str">
        <f>IF(AND('Mapa final'!$Y$54="Muy Alta",'Mapa final'!$AA$54="Catastrófico"),CONCATENATE("R8C",'Mapa final'!$O$54),"")</f>
        <v/>
      </c>
      <c r="AK13" s="258" t="str">
        <f>IF(AND('Mapa final'!$Y$55="Muy Alta",'Mapa final'!$AA$55="Catastrófico"),CONCATENATE("R8C",'Mapa final'!$O$55),"")</f>
        <v/>
      </c>
      <c r="AL13" s="258" t="str">
        <f>IF(AND('Mapa final'!$Y$56="Muy Alta",'Mapa final'!$AA$56="Catastrófico"),CONCATENATE("R8C",'Mapa final'!$O$56),"")</f>
        <v/>
      </c>
      <c r="AM13" s="259" t="str">
        <f>IF(AND('Mapa final'!$Y$57="Muy Alta",'Mapa final'!$AA$57="Catastrófico"),CONCATENATE("R8C",'Mapa final'!$O$57),"")</f>
        <v/>
      </c>
      <c r="AN13" s="15"/>
      <c r="AO13" s="814"/>
      <c r="AP13" s="815"/>
      <c r="AQ13" s="815"/>
      <c r="AR13" s="815"/>
      <c r="AS13" s="815"/>
      <c r="AT13" s="81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6"/>
      <c r="C14" s="716"/>
      <c r="D14" s="717"/>
      <c r="E14" s="805"/>
      <c r="F14" s="806"/>
      <c r="G14" s="806"/>
      <c r="H14" s="806"/>
      <c r="I14" s="807"/>
      <c r="J14" s="254" t="str">
        <f>IF(AND('Mapa final'!$Y$58="Muy Alta",'Mapa final'!$AA$58="Leve"),CONCATENATE("R9C",'Mapa final'!$O$58),"")</f>
        <v/>
      </c>
      <c r="K14" s="255" t="str">
        <f>IF(AND('Mapa final'!$Y$59="Muy Alta",'Mapa final'!$AA$59="Leve"),CONCATENATE("R9C",'Mapa final'!$O$59),"")</f>
        <v/>
      </c>
      <c r="L14" s="255" t="str">
        <f>IF(AND('Mapa final'!$Y$60="Muy Alta",'Mapa final'!$AA$60="Leve"),CONCATENATE("R9C",'Mapa final'!$O$60),"")</f>
        <v/>
      </c>
      <c r="M14" s="255" t="str">
        <f>IF(AND('Mapa final'!$Y$61="Muy Alta",'Mapa final'!$AA$61="Leve"),CONCATENATE("R9C",'Mapa final'!$O$61),"")</f>
        <v/>
      </c>
      <c r="N14" s="255" t="str">
        <f>IF(AND('Mapa final'!$Y$62="Muy Alta",'Mapa final'!$AA$62="Leve"),CONCATENATE("R9C",'Mapa final'!$O$62),"")</f>
        <v/>
      </c>
      <c r="O14" s="256" t="str">
        <f>IF(AND('Mapa final'!$Y$63="Muy Alta",'Mapa final'!$AA$63="Leve"),CONCATENATE("R9C",'Mapa final'!$O$63),"")</f>
        <v/>
      </c>
      <c r="P14" s="254" t="str">
        <f>IF(AND('Mapa final'!$Y$58="Muy Alta",'Mapa final'!$AA$58="Menor"),CONCATENATE("R9C",'Mapa final'!$O$58),"")</f>
        <v/>
      </c>
      <c r="Q14" s="255" t="str">
        <f>IF(AND('Mapa final'!$Y$59="Muy Alta",'Mapa final'!$AA$59="Menor"),CONCATENATE("R9C",'Mapa final'!$O$59),"")</f>
        <v/>
      </c>
      <c r="R14" s="255" t="str">
        <f>IF(AND('Mapa final'!$Y$60="Muy Alta",'Mapa final'!$AA$60="Menor"),CONCATENATE("R9C",'Mapa final'!$O$60),"")</f>
        <v/>
      </c>
      <c r="S14" s="255" t="str">
        <f>IF(AND('Mapa final'!$Y$61="Muy Alta",'Mapa final'!$AA$61="Menor"),CONCATENATE("R9C",'Mapa final'!$O$61),"")</f>
        <v/>
      </c>
      <c r="T14" s="255" t="str">
        <f>IF(AND('Mapa final'!$Y$62="Muy Alta",'Mapa final'!$AA$62="Menor"),CONCATENATE("R9C",'Mapa final'!$O$62),"")</f>
        <v/>
      </c>
      <c r="U14" s="256" t="str">
        <f>IF(AND('Mapa final'!$Y$63="Muy Alta",'Mapa final'!$AA$63="Menor"),CONCATENATE("R9C",'Mapa final'!$O$63),"")</f>
        <v/>
      </c>
      <c r="V14" s="254" t="str">
        <f>IF(AND('Mapa final'!$Y$58="Muy Alta",'Mapa final'!$AA$58="Moderado"),CONCATENATE("R9C",'Mapa final'!$O$58),"")</f>
        <v/>
      </c>
      <c r="W14" s="255" t="str">
        <f>IF(AND('Mapa final'!$Y$59="Muy Alta",'Mapa final'!$AA$59="Moderado"),CONCATENATE("R9C",'Mapa final'!$O$59),"")</f>
        <v/>
      </c>
      <c r="X14" s="255" t="str">
        <f>IF(AND('Mapa final'!$Y$60="Muy Alta",'Mapa final'!$AA$60="Moderado"),CONCATENATE("R9C",'Mapa final'!$O$60),"")</f>
        <v/>
      </c>
      <c r="Y14" s="255" t="str">
        <f>IF(AND('Mapa final'!$Y$61="Muy Alta",'Mapa final'!$AA$61="Moderado"),CONCATENATE("R9C",'Mapa final'!$O$61),"")</f>
        <v/>
      </c>
      <c r="Z14" s="255" t="str">
        <f>IF(AND('Mapa final'!$Y$62="Muy Alta",'Mapa final'!$AA$62="Moderado"),CONCATENATE("R9C",'Mapa final'!$O$62),"")</f>
        <v/>
      </c>
      <c r="AA14" s="256" t="str">
        <f>IF(AND('Mapa final'!$Y$63="Muy Alta",'Mapa final'!$AA$63="Moderado"),CONCATENATE("R9C",'Mapa final'!$O$63),"")</f>
        <v/>
      </c>
      <c r="AB14" s="254" t="str">
        <f>IF(AND('Mapa final'!$Y$58="Muy Alta",'Mapa final'!$AA$58="Mayor"),CONCATENATE("R9C",'Mapa final'!$O$58),"")</f>
        <v/>
      </c>
      <c r="AC14" s="255" t="str">
        <f>IF(AND('Mapa final'!$Y$59="Muy Alta",'Mapa final'!$AA$59="Mayor"),CONCATENATE("R9C",'Mapa final'!$O$59),"")</f>
        <v/>
      </c>
      <c r="AD14" s="255" t="str">
        <f>IF(AND('Mapa final'!$Y$60="Muy Alta",'Mapa final'!$AA$60="Mayor"),CONCATENATE("R9C",'Mapa final'!$O$60),"")</f>
        <v/>
      </c>
      <c r="AE14" s="255" t="str">
        <f>IF(AND('Mapa final'!$Y$61="Muy Alta",'Mapa final'!$AA$61="Mayor"),CONCATENATE("R9C",'Mapa final'!$O$61),"")</f>
        <v/>
      </c>
      <c r="AF14" s="255" t="str">
        <f>IF(AND('Mapa final'!$Y$62="Muy Alta",'Mapa final'!$AA$62="Mayor"),CONCATENATE("R9C",'Mapa final'!$O$62),"")</f>
        <v/>
      </c>
      <c r="AG14" s="256" t="str">
        <f>IF(AND('Mapa final'!$Y$63="Muy Alta",'Mapa final'!$AA$63="Mayor"),CONCATENATE("R9C",'Mapa final'!$O$63),"")</f>
        <v/>
      </c>
      <c r="AH14" s="257" t="str">
        <f>IF(AND('Mapa final'!$Y$58="Muy Alta",'Mapa final'!$AA$58="Catastrófico"),CONCATENATE("R9C",'Mapa final'!$O$58),"")</f>
        <v/>
      </c>
      <c r="AI14" s="258" t="str">
        <f>IF(AND('Mapa final'!$Y$59="Muy Alta",'Mapa final'!$AA$59="Catastrófico"),CONCATENATE("R9C",'Mapa final'!$O$59),"")</f>
        <v/>
      </c>
      <c r="AJ14" s="258" t="str">
        <f>IF(AND('Mapa final'!$Y$60="Muy Alta",'Mapa final'!$AA$60="Catastrófico"),CONCATENATE("R9C",'Mapa final'!$O$60),"")</f>
        <v/>
      </c>
      <c r="AK14" s="258" t="str">
        <f>IF(AND('Mapa final'!$Y$61="Muy Alta",'Mapa final'!$AA$61="Catastrófico"),CONCATENATE("R9C",'Mapa final'!$O$61),"")</f>
        <v/>
      </c>
      <c r="AL14" s="258" t="str">
        <f>IF(AND('Mapa final'!$Y$62="Muy Alta",'Mapa final'!$AA$62="Catastrófico"),CONCATENATE("R9C",'Mapa final'!$O$62),"")</f>
        <v/>
      </c>
      <c r="AM14" s="259" t="str">
        <f>IF(AND('Mapa final'!$Y$63="Muy Alta",'Mapa final'!$AA$63="Catastrófico"),CONCATENATE("R9C",'Mapa final'!$O$63),"")</f>
        <v/>
      </c>
      <c r="AN14" s="15"/>
      <c r="AO14" s="814"/>
      <c r="AP14" s="815"/>
      <c r="AQ14" s="815"/>
      <c r="AR14" s="815"/>
      <c r="AS14" s="815"/>
      <c r="AT14" s="8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6"/>
      <c r="C15" s="716"/>
      <c r="D15" s="717"/>
      <c r="E15" s="808"/>
      <c r="F15" s="809"/>
      <c r="G15" s="809"/>
      <c r="H15" s="809"/>
      <c r="I15" s="810"/>
      <c r="J15" s="260" t="str">
        <f>IF(AND('Mapa final'!$Y$64="Muy Alta",'Mapa final'!$AA$64="Leve"),CONCATENATE("R10C",'Mapa final'!$O$64),"")</f>
        <v/>
      </c>
      <c r="K15" s="261" t="str">
        <f>IF(AND('Mapa final'!$Y$65="Muy Alta",'Mapa final'!$AA$65="Leve"),CONCATENATE("R10C",'Mapa final'!$O$65),"")</f>
        <v/>
      </c>
      <c r="L15" s="261" t="str">
        <f>IF(AND('Mapa final'!$Y$66="Muy Alta",'Mapa final'!$AA$66="Leve"),CONCATENATE("R10C",'Mapa final'!$O$66),"")</f>
        <v/>
      </c>
      <c r="M15" s="261" t="str">
        <f>IF(AND('Mapa final'!$Y$67="Muy Alta",'Mapa final'!$AA$67="Leve"),CONCATENATE("R10C",'Mapa final'!$O$67),"")</f>
        <v/>
      </c>
      <c r="N15" s="261" t="str">
        <f>IF(AND('Mapa final'!$Y$68="Muy Alta",'Mapa final'!$AA$68="Leve"),CONCATENATE("R10C",'Mapa final'!$O$68),"")</f>
        <v/>
      </c>
      <c r="O15" s="262" t="str">
        <f>IF(AND('Mapa final'!$Y$69="Muy Alta",'Mapa final'!$AA$69="Leve"),CONCATENATE("R10C",'Mapa final'!$O$69),"")</f>
        <v/>
      </c>
      <c r="P15" s="254" t="str">
        <f>IF(AND('Mapa final'!$Y$64="Muy Alta",'Mapa final'!$AA$64="Menor"),CONCATENATE("R10C",'Mapa final'!$O$64),"")</f>
        <v/>
      </c>
      <c r="Q15" s="255" t="str">
        <f>IF(AND('Mapa final'!$Y$65="Muy Alta",'Mapa final'!$AA$65="Menor"),CONCATENATE("R10C",'Mapa final'!$O$65),"")</f>
        <v/>
      </c>
      <c r="R15" s="255" t="str">
        <f>IF(AND('Mapa final'!$Y$66="Muy Alta",'Mapa final'!$AA$66="Menor"),CONCATENATE("R10C",'Mapa final'!$O$66),"")</f>
        <v/>
      </c>
      <c r="S15" s="255" t="str">
        <f>IF(AND('Mapa final'!$Y$67="Muy Alta",'Mapa final'!$AA$67="Menor"),CONCATENATE("R10C",'Mapa final'!$O$67),"")</f>
        <v/>
      </c>
      <c r="T15" s="255" t="str">
        <f>IF(AND('Mapa final'!$Y$68="Muy Alta",'Mapa final'!$AA$68="Menor"),CONCATENATE("R10C",'Mapa final'!$O$68),"")</f>
        <v/>
      </c>
      <c r="U15" s="256" t="str">
        <f>IF(AND('Mapa final'!$Y$69="Muy Alta",'Mapa final'!$AA$69="Menor"),CONCATENATE("R10C",'Mapa final'!$O$69),"")</f>
        <v/>
      </c>
      <c r="V15" s="260" t="str">
        <f>IF(AND('Mapa final'!$Y$64="Muy Alta",'Mapa final'!$AA$64="Moderado"),CONCATENATE("R10C",'Mapa final'!$O$64),"")</f>
        <v/>
      </c>
      <c r="W15" s="261" t="str">
        <f>IF(AND('Mapa final'!$Y$65="Muy Alta",'Mapa final'!$AA$65="Moderado"),CONCATENATE("R10C",'Mapa final'!$O$65),"")</f>
        <v/>
      </c>
      <c r="X15" s="261" t="str">
        <f>IF(AND('Mapa final'!$Y$66="Muy Alta",'Mapa final'!$AA$66="Moderado"),CONCATENATE("R10C",'Mapa final'!$O$66),"")</f>
        <v/>
      </c>
      <c r="Y15" s="261" t="str">
        <f>IF(AND('Mapa final'!$Y$67="Muy Alta",'Mapa final'!$AA$67="Moderado"),CONCATENATE("R10C",'Mapa final'!$O$67),"")</f>
        <v/>
      </c>
      <c r="Z15" s="261" t="str">
        <f>IF(AND('Mapa final'!$Y$68="Muy Alta",'Mapa final'!$AA$68="Moderado"),CONCATENATE("R10C",'Mapa final'!$O$68),"")</f>
        <v/>
      </c>
      <c r="AA15" s="262" t="str">
        <f>IF(AND('Mapa final'!$Y$69="Muy Alta",'Mapa final'!$AA$69="Moderado"),CONCATENATE("R10C",'Mapa final'!$O$69),"")</f>
        <v/>
      </c>
      <c r="AB15" s="254" t="str">
        <f>IF(AND('Mapa final'!$Y$64="Muy Alta",'Mapa final'!$AA$64="Mayor"),CONCATENATE("R10C",'Mapa final'!$O$64),"")</f>
        <v/>
      </c>
      <c r="AC15" s="255" t="str">
        <f>IF(AND('Mapa final'!$Y$65="Muy Alta",'Mapa final'!$AA$65="Mayor"),CONCATENATE("R10C",'Mapa final'!$O$65),"")</f>
        <v/>
      </c>
      <c r="AD15" s="255" t="str">
        <f>IF(AND('Mapa final'!$Y$66="Muy Alta",'Mapa final'!$AA$66="Mayor"),CONCATENATE("R10C",'Mapa final'!$O$66),"")</f>
        <v/>
      </c>
      <c r="AE15" s="255" t="str">
        <f>IF(AND('Mapa final'!$Y$67="Muy Alta",'Mapa final'!$AA$67="Mayor"),CONCATENATE("R10C",'Mapa final'!$O$67),"")</f>
        <v/>
      </c>
      <c r="AF15" s="255" t="str">
        <f>IF(AND('Mapa final'!$Y$68="Muy Alta",'Mapa final'!$AA$68="Mayor"),CONCATENATE("R10C",'Mapa final'!$O$68),"")</f>
        <v/>
      </c>
      <c r="AG15" s="256" t="str">
        <f>IF(AND('Mapa final'!$Y$69="Muy Alta",'Mapa final'!$AA$69="Mayor"),CONCATENATE("R10C",'Mapa final'!$O$69),"")</f>
        <v/>
      </c>
      <c r="AH15" s="263" t="str">
        <f>IF(AND('Mapa final'!$Y$64="Muy Alta",'Mapa final'!$AA$64="Catastrófico"),CONCATENATE("R10C",'Mapa final'!$O$64),"")</f>
        <v/>
      </c>
      <c r="AI15" s="264" t="str">
        <f>IF(AND('Mapa final'!$Y$65="Muy Alta",'Mapa final'!$AA$65="Catastrófico"),CONCATENATE("R10C",'Mapa final'!$O$65),"")</f>
        <v/>
      </c>
      <c r="AJ15" s="264" t="str">
        <f>IF(AND('Mapa final'!$Y$66="Muy Alta",'Mapa final'!$AA$66="Catastrófico"),CONCATENATE("R10C",'Mapa final'!$O$66),"")</f>
        <v/>
      </c>
      <c r="AK15" s="264" t="str">
        <f>IF(AND('Mapa final'!$Y$67="Muy Alta",'Mapa final'!$AA$67="Catastrófico"),CONCATENATE("R10C",'Mapa final'!$O$67),"")</f>
        <v/>
      </c>
      <c r="AL15" s="264" t="str">
        <f>IF(AND('Mapa final'!$Y$68="Muy Alta",'Mapa final'!$AA$68="Catastrófico"),CONCATENATE("R10C",'Mapa final'!$O$68),"")</f>
        <v/>
      </c>
      <c r="AM15" s="265" t="str">
        <f>IF(AND('Mapa final'!$Y$69="Muy Alta",'Mapa final'!$AA$69="Catastrófico"),CONCATENATE("R10C",'Mapa final'!$O$69),"")</f>
        <v/>
      </c>
      <c r="AN15" s="15"/>
      <c r="AO15" s="817"/>
      <c r="AP15" s="818"/>
      <c r="AQ15" s="818"/>
      <c r="AR15" s="818"/>
      <c r="AS15" s="818"/>
      <c r="AT15" s="8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6"/>
      <c r="C16" s="716"/>
      <c r="D16" s="717"/>
      <c r="E16" s="802" t="s">
        <v>191</v>
      </c>
      <c r="F16" s="803"/>
      <c r="G16" s="803"/>
      <c r="H16" s="803"/>
      <c r="I16" s="803"/>
      <c r="J16" s="266" t="str">
        <f>IF(AND('Mapa final'!$Y$10="Alta",'Mapa final'!$AA$10="Leve"),CONCATENATE("R1C",'Mapa final'!$O$10),"")</f>
        <v/>
      </c>
      <c r="K16" s="267" t="str">
        <f>IF(AND('Mapa final'!$Y$11="Alta",'Mapa final'!$AA$11="Leve"),CONCATENATE("R1C",'Mapa final'!$O$11),"")</f>
        <v/>
      </c>
      <c r="L16" s="267" t="str">
        <f>IF(AND('Mapa final'!$Y$12="Alta",'Mapa final'!$AA$12="Leve"),CONCATENATE("R1C",'Mapa final'!$O$12),"")</f>
        <v/>
      </c>
      <c r="M16" s="267" t="str">
        <f>IF(AND('Mapa final'!$Y$13="Alta",'Mapa final'!$AA$13="Leve"),CONCATENATE("R1C",'Mapa final'!$O$13),"")</f>
        <v/>
      </c>
      <c r="N16" s="267" t="str">
        <f>IF(AND('Mapa final'!$Y$14="Alta",'Mapa final'!$AA$14="Leve"),CONCATENATE("R1C",'Mapa final'!$O$14),"")</f>
        <v/>
      </c>
      <c r="O16" s="268" t="str">
        <f>IF(AND('Mapa final'!$Y$15="Alta",'Mapa final'!$AA$15="Leve"),CONCATENATE("R1C",'Mapa final'!$O$15),"")</f>
        <v/>
      </c>
      <c r="P16" s="266" t="str">
        <f>IF(AND('Mapa final'!$Y$10="Alta",'Mapa final'!$AA$10="Menor"),CONCATENATE("R1C",'Mapa final'!$O$10),"")</f>
        <v/>
      </c>
      <c r="Q16" s="267" t="str">
        <f>IF(AND('Mapa final'!$Y$11="Alta",'Mapa final'!$AA$11="Menor"),CONCATENATE("R1C",'Mapa final'!$O$11),"")</f>
        <v/>
      </c>
      <c r="R16" s="267" t="str">
        <f>IF(AND('Mapa final'!$Y$12="Alta",'Mapa final'!$AA$12="Menor"),CONCATENATE("R1C",'Mapa final'!$O$12),"")</f>
        <v/>
      </c>
      <c r="S16" s="267" t="str">
        <f>IF(AND('Mapa final'!$Y$13="Alta",'Mapa final'!$AA$13="Menor"),CONCATENATE("R1C",'Mapa final'!$O$13),"")</f>
        <v/>
      </c>
      <c r="T16" s="267" t="str">
        <f>IF(AND('Mapa final'!$Y$14="Alta",'Mapa final'!$AA$14="Menor"),CONCATENATE("R1C",'Mapa final'!$O$14),"")</f>
        <v/>
      </c>
      <c r="U16" s="268" t="str">
        <f>IF(AND('Mapa final'!$Y$15="Alta",'Mapa final'!$AA$15="Menor"),CONCATENATE("R1C",'Mapa final'!$O$15),"")</f>
        <v/>
      </c>
      <c r="V16" s="248" t="str">
        <f>IF(AND('Mapa final'!$Y$10="Alta",'Mapa final'!$AA$10="Moderado"),CONCATENATE("R1C",'Mapa final'!$O$10),"")</f>
        <v/>
      </c>
      <c r="W16" s="249" t="str">
        <f>IF(AND('Mapa final'!$Y$11="Alta",'Mapa final'!$AA$11="Moderado"),CONCATENATE("R1C",'Mapa final'!$O$11),"")</f>
        <v/>
      </c>
      <c r="X16" s="249" t="str">
        <f>IF(AND('Mapa final'!$Y$12="Alta",'Mapa final'!$AA$12="Moderado"),CONCATENATE("R1C",'Mapa final'!$O$12),"")</f>
        <v/>
      </c>
      <c r="Y16" s="249" t="str">
        <f>IF(AND('Mapa final'!$Y$13="Alta",'Mapa final'!$AA$13="Moderado"),CONCATENATE("R1C",'Mapa final'!$O$13),"")</f>
        <v/>
      </c>
      <c r="Z16" s="249" t="str">
        <f>IF(AND('Mapa final'!$Y$14="Alta",'Mapa final'!$AA$14="Moderado"),CONCATENATE("R1C",'Mapa final'!$O$14),"")</f>
        <v/>
      </c>
      <c r="AA16" s="250" t="str">
        <f>IF(AND('Mapa final'!$Y$15="Alta",'Mapa final'!$AA$15="Moderado"),CONCATENATE("R1C",'Mapa final'!$O$15),"")</f>
        <v/>
      </c>
      <c r="AB16" s="248" t="str">
        <f>IF(AND('Mapa final'!$Y$10="Alta",'Mapa final'!$AA$10="Mayor"),CONCATENATE("R1C",'Mapa final'!$O$10),"")</f>
        <v/>
      </c>
      <c r="AC16" s="249" t="str">
        <f>IF(AND('Mapa final'!$Y$11="Alta",'Mapa final'!$AA$11="Mayor"),CONCATENATE("R1C",'Mapa final'!$O$11),"")</f>
        <v/>
      </c>
      <c r="AD16" s="249" t="str">
        <f>IF(AND('Mapa final'!$Y$12="Alta",'Mapa final'!$AA$12="Mayor"),CONCATENATE("R1C",'Mapa final'!$O$12),"")</f>
        <v/>
      </c>
      <c r="AE16" s="249" t="str">
        <f>IF(AND('Mapa final'!$Y$13="Alta",'Mapa final'!$AA$13="Mayor"),CONCATENATE("R1C",'Mapa final'!$O$13),"")</f>
        <v/>
      </c>
      <c r="AF16" s="249" t="str">
        <f>IF(AND('Mapa final'!$Y$14="Alta",'Mapa final'!$AA$14="Mayor"),CONCATENATE("R1C",'Mapa final'!$O$14),"")</f>
        <v/>
      </c>
      <c r="AG16" s="250" t="str">
        <f>IF(AND('Mapa final'!$Y$15="Alta",'Mapa final'!$AA$15="Mayor"),CONCATENATE("R1C",'Mapa final'!$O$15),"")</f>
        <v/>
      </c>
      <c r="AH16" s="251" t="str">
        <f>IF(AND('Mapa final'!$Y$10="Alta",'Mapa final'!$AA$10="Catastrófico"),CONCATENATE("R1C",'Mapa final'!$O$10),"")</f>
        <v/>
      </c>
      <c r="AI16" s="252" t="str">
        <f>IF(AND('Mapa final'!$Y$11="Alta",'Mapa final'!$AA$11="Catastrófico"),CONCATENATE("R1C",'Mapa final'!$O$11),"")</f>
        <v/>
      </c>
      <c r="AJ16" s="252" t="str">
        <f>IF(AND('Mapa final'!$Y$12="Alta",'Mapa final'!$AA$12="Catastrófico"),CONCATENATE("R1C",'Mapa final'!$O$12),"")</f>
        <v/>
      </c>
      <c r="AK16" s="252" t="str">
        <f>IF(AND('Mapa final'!$Y$13="Alta",'Mapa final'!$AA$13="Catastrófico"),CONCATENATE("R1C",'Mapa final'!$O$13),"")</f>
        <v/>
      </c>
      <c r="AL16" s="252" t="str">
        <f>IF(AND('Mapa final'!$Y$14="Alta",'Mapa final'!$AA$14="Catastrófico"),CONCATENATE("R1C",'Mapa final'!$O$14),"")</f>
        <v/>
      </c>
      <c r="AM16" s="253" t="str">
        <f>IF(AND('Mapa final'!$Y$15="Alta",'Mapa final'!$AA$15="Catastrófico"),CONCATENATE("R1C",'Mapa final'!$O$15),"")</f>
        <v/>
      </c>
      <c r="AN16" s="15"/>
      <c r="AO16" s="821" t="s">
        <v>192</v>
      </c>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6"/>
      <c r="C17" s="716"/>
      <c r="D17" s="717"/>
      <c r="E17" s="820"/>
      <c r="F17" s="806"/>
      <c r="G17" s="806"/>
      <c r="H17" s="806"/>
      <c r="I17" s="806"/>
      <c r="J17" s="269" t="str">
        <f>IF(AND('Mapa final'!$Y$16="Alta",'Mapa final'!$AA$16="Leve"),CONCATENATE("R2C",'Mapa final'!$O$16),"")</f>
        <v/>
      </c>
      <c r="K17" s="270" t="str">
        <f>IF(AND('Mapa final'!$Y$17="Alta",'Mapa final'!$AA$17="Leve"),CONCATENATE("R2C",'Mapa final'!$O$17),"")</f>
        <v/>
      </c>
      <c r="L17" s="270" t="str">
        <f>IF(AND('Mapa final'!$Y$18="Alta",'Mapa final'!$AA$18="Leve"),CONCATENATE("R2C",'Mapa final'!$O$18),"")</f>
        <v/>
      </c>
      <c r="M17" s="270" t="str">
        <f>IF(AND('Mapa final'!$Y$19="Alta",'Mapa final'!$AA$19="Leve"),CONCATENATE("R2C",'Mapa final'!$O$19),"")</f>
        <v/>
      </c>
      <c r="N17" s="270" t="str">
        <f>IF(AND('Mapa final'!$Y$20="Alta",'Mapa final'!$AA$20="Leve"),CONCATENATE("R2C",'Mapa final'!$O$20),"")</f>
        <v/>
      </c>
      <c r="O17" s="271" t="str">
        <f>IF(AND('Mapa final'!$Y$21="Alta",'Mapa final'!$AA$21="Leve"),CONCATENATE("R2C",'Mapa final'!$O$21),"")</f>
        <v/>
      </c>
      <c r="P17" s="269" t="str">
        <f>IF(AND('Mapa final'!$Y$16="Alta",'Mapa final'!$AA$16="Menor"),CONCATENATE("R2C",'Mapa final'!$O$16),"")</f>
        <v/>
      </c>
      <c r="Q17" s="270" t="str">
        <f>IF(AND('Mapa final'!$Y$17="Alta",'Mapa final'!$AA$17="Menor"),CONCATENATE("R2C",'Mapa final'!$O$17),"")</f>
        <v/>
      </c>
      <c r="R17" s="270" t="str">
        <f>IF(AND('Mapa final'!$Y$18="Alta",'Mapa final'!$AA$18="Menor"),CONCATENATE("R2C",'Mapa final'!$O$18),"")</f>
        <v/>
      </c>
      <c r="S17" s="270" t="str">
        <f>IF(AND('Mapa final'!$Y$19="Alta",'Mapa final'!$AA$19="Menor"),CONCATENATE("R2C",'Mapa final'!$O$19),"")</f>
        <v/>
      </c>
      <c r="T17" s="270" t="str">
        <f>IF(AND('Mapa final'!$Y$20="Alta",'Mapa final'!$AA$20="Menor"),CONCATENATE("R2C",'Mapa final'!$O$20),"")</f>
        <v/>
      </c>
      <c r="U17" s="271" t="str">
        <f>IF(AND('Mapa final'!$Y$21="Alta",'Mapa final'!$AA$21="Menor"),CONCATENATE("R2C",'Mapa final'!$O$21),"")</f>
        <v/>
      </c>
      <c r="V17" s="254" t="str">
        <f>IF(AND('Mapa final'!$Y$16="Alta",'Mapa final'!$AA$16="Moderado"),CONCATENATE("R2C",'Mapa final'!$O$16),"")</f>
        <v/>
      </c>
      <c r="W17" s="255" t="str">
        <f>IF(AND('Mapa final'!$Y$17="Alta",'Mapa final'!$AA$17="Moderado"),CONCATENATE("R2C",'Mapa final'!$O$17),"")</f>
        <v/>
      </c>
      <c r="X17" s="255" t="str">
        <f>IF(AND('Mapa final'!$Y$18="Alta",'Mapa final'!$AA$18="Moderado"),CONCATENATE("R2C",'Mapa final'!$O$18),"")</f>
        <v/>
      </c>
      <c r="Y17" s="255" t="str">
        <f>IF(AND('Mapa final'!$Y$19="Alta",'Mapa final'!$AA$19="Moderado"),CONCATENATE("R2C",'Mapa final'!$O$19),"")</f>
        <v/>
      </c>
      <c r="Z17" s="255" t="str">
        <f>IF(AND('Mapa final'!$Y$20="Alta",'Mapa final'!$AA$20="Moderado"),CONCATENATE("R2C",'Mapa final'!$O$20),"")</f>
        <v/>
      </c>
      <c r="AA17" s="256" t="str">
        <f>IF(AND('Mapa final'!$Y$21="Alta",'Mapa final'!$AA$21="Moderado"),CONCATENATE("R2C",'Mapa final'!$O$21),"")</f>
        <v/>
      </c>
      <c r="AB17" s="254" t="str">
        <f>IF(AND('Mapa final'!$Y$16="Alta",'Mapa final'!$AA$16="Mayor"),CONCATENATE("R2C",'Mapa final'!$O$16),"")</f>
        <v/>
      </c>
      <c r="AC17" s="255" t="str">
        <f>IF(AND('Mapa final'!$Y$17="Alta",'Mapa final'!$AA$17="Mayor"),CONCATENATE("R2C",'Mapa final'!$O$17),"")</f>
        <v/>
      </c>
      <c r="AD17" s="255" t="str">
        <f>IF(AND('Mapa final'!$Y$18="Alta",'Mapa final'!$AA$18="Mayor"),CONCATENATE("R2C",'Mapa final'!$O$18),"")</f>
        <v/>
      </c>
      <c r="AE17" s="255" t="str">
        <f>IF(AND('Mapa final'!$Y$19="Alta",'Mapa final'!$AA$19="Mayor"),CONCATENATE("R2C",'Mapa final'!$O$19),"")</f>
        <v/>
      </c>
      <c r="AF17" s="255" t="str">
        <f>IF(AND('Mapa final'!$Y$20="Alta",'Mapa final'!$AA$20="Mayor"),CONCATENATE("R2C",'Mapa final'!$O$20),"")</f>
        <v/>
      </c>
      <c r="AG17" s="256" t="str">
        <f>IF(AND('Mapa final'!$Y$21="Alta",'Mapa final'!$AA$21="Mayor"),CONCATENATE("R2C",'Mapa final'!$O$21),"")</f>
        <v/>
      </c>
      <c r="AH17" s="257" t="str">
        <f>IF(AND('Mapa final'!$Y$16="Alta",'Mapa final'!$AA$16="Catastrófico"),CONCATENATE("R2C",'Mapa final'!$O$16),"")</f>
        <v/>
      </c>
      <c r="AI17" s="258" t="str">
        <f>IF(AND('Mapa final'!$Y$17="Alta",'Mapa final'!$AA$17="Catastrófico"),CONCATENATE("R2C",'Mapa final'!$O$17),"")</f>
        <v/>
      </c>
      <c r="AJ17" s="258" t="str">
        <f>IF(AND('Mapa final'!$Y$18="Alta",'Mapa final'!$AA$18="Catastrófico"),CONCATENATE("R2C",'Mapa final'!$O$18),"")</f>
        <v/>
      </c>
      <c r="AK17" s="258" t="str">
        <f>IF(AND('Mapa final'!$Y$19="Alta",'Mapa final'!$AA$19="Catastrófico"),CONCATENATE("R2C",'Mapa final'!$O$19),"")</f>
        <v/>
      </c>
      <c r="AL17" s="258" t="str">
        <f>IF(AND('Mapa final'!$Y$20="Alta",'Mapa final'!$AA$20="Catastrófico"),CONCATENATE("R2C",'Mapa final'!$O$20),"")</f>
        <v/>
      </c>
      <c r="AM17" s="259" t="str">
        <f>IF(AND('Mapa final'!$Y$21="Alta",'Mapa final'!$AA$21="Catastrófico"),CONCATENATE("R2C",'Mapa final'!$O$21),"")</f>
        <v/>
      </c>
      <c r="AN17" s="15"/>
      <c r="AO17" s="824"/>
      <c r="AP17" s="825"/>
      <c r="AQ17" s="825"/>
      <c r="AR17" s="825"/>
      <c r="AS17" s="825"/>
      <c r="AT17" s="82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6"/>
      <c r="C18" s="716"/>
      <c r="D18" s="717"/>
      <c r="E18" s="805"/>
      <c r="F18" s="806"/>
      <c r="G18" s="806"/>
      <c r="H18" s="806"/>
      <c r="I18" s="806"/>
      <c r="J18" s="269" t="str">
        <f>IF(AND('Mapa final'!$Y$22="Alta",'Mapa final'!$AA$22="Leve"),CONCATENATE("R3C",'Mapa final'!$O$22),"")</f>
        <v/>
      </c>
      <c r="K18" s="270" t="str">
        <f>IF(AND('Mapa final'!$Y$23="Alta",'Mapa final'!$AA$23="Leve"),CONCATENATE("R3C",'Mapa final'!$O$23),"")</f>
        <v/>
      </c>
      <c r="L18" s="270" t="str">
        <f>IF(AND('Mapa final'!$Y$24="Alta",'Mapa final'!$AA$24="Leve"),CONCATENATE("R3C",'Mapa final'!$O$24),"")</f>
        <v/>
      </c>
      <c r="M18" s="270" t="str">
        <f>IF(AND('Mapa final'!$Y$25="Alta",'Mapa final'!$AA$25="Leve"),CONCATENATE("R3C",'Mapa final'!$O$25),"")</f>
        <v/>
      </c>
      <c r="N18" s="270" t="str">
        <f>IF(AND('Mapa final'!$Y$26="Alta",'Mapa final'!$AA$26="Leve"),CONCATENATE("R3C",'Mapa final'!$O$26),"")</f>
        <v/>
      </c>
      <c r="O18" s="271" t="str">
        <f>IF(AND('Mapa final'!$Y$27="Alta",'Mapa final'!$AA$27="Leve"),CONCATENATE("R3C",'Mapa final'!$O$27),"")</f>
        <v/>
      </c>
      <c r="P18" s="269" t="str">
        <f>IF(AND('Mapa final'!$Y$22="Alta",'Mapa final'!$AA$22="Menor"),CONCATENATE("R3C",'Mapa final'!$O$22),"")</f>
        <v/>
      </c>
      <c r="Q18" s="270" t="str">
        <f>IF(AND('Mapa final'!$Y$23="Alta",'Mapa final'!$AA$23="Menor"),CONCATENATE("R3C",'Mapa final'!$O$23),"")</f>
        <v/>
      </c>
      <c r="R18" s="270" t="str">
        <f>IF(AND('Mapa final'!$Y$24="Alta",'Mapa final'!$AA$24="Menor"),CONCATENATE("R3C",'Mapa final'!$O$24),"")</f>
        <v/>
      </c>
      <c r="S18" s="270" t="str">
        <f>IF(AND('Mapa final'!$Y$25="Alta",'Mapa final'!$AA$25="Menor"),CONCATENATE("R3C",'Mapa final'!$O$25),"")</f>
        <v/>
      </c>
      <c r="T18" s="270" t="str">
        <f>IF(AND('Mapa final'!$Y$26="Alta",'Mapa final'!$AA$26="Menor"),CONCATENATE("R3C",'Mapa final'!$O$26),"")</f>
        <v/>
      </c>
      <c r="U18" s="271" t="str">
        <f>IF(AND('Mapa final'!$Y$27="Alta",'Mapa final'!$AA$27="Menor"),CONCATENATE("R3C",'Mapa final'!$O$27),"")</f>
        <v/>
      </c>
      <c r="V18" s="254" t="str">
        <f>IF(AND('Mapa final'!$Y$22="Alta",'Mapa final'!$AA$22="Moderado"),CONCATENATE("R3C",'Mapa final'!$O$22),"")</f>
        <v/>
      </c>
      <c r="W18" s="255" t="str">
        <f>IF(AND('Mapa final'!$Y$23="Alta",'Mapa final'!$AA$23="Moderado"),CONCATENATE("R3C",'Mapa final'!$O$23),"")</f>
        <v/>
      </c>
      <c r="X18" s="255" t="str">
        <f>IF(AND('Mapa final'!$Y$24="Alta",'Mapa final'!$AA$24="Moderado"),CONCATENATE("R3C",'Mapa final'!$O$24),"")</f>
        <v/>
      </c>
      <c r="Y18" s="255" t="str">
        <f>IF(AND('Mapa final'!$Y$25="Alta",'Mapa final'!$AA$25="Moderado"),CONCATENATE("R3C",'Mapa final'!$O$25),"")</f>
        <v/>
      </c>
      <c r="Z18" s="255" t="str">
        <f>IF(AND('Mapa final'!$Y$26="Alta",'Mapa final'!$AA$26="Moderado"),CONCATENATE("R3C",'Mapa final'!$O$26),"")</f>
        <v/>
      </c>
      <c r="AA18" s="256" t="str">
        <f>IF(AND('Mapa final'!$Y$27="Alta",'Mapa final'!$AA$27="Moderado"),CONCATENATE("R3C",'Mapa final'!$O$27),"")</f>
        <v/>
      </c>
      <c r="AB18" s="254" t="str">
        <f>IF(AND('Mapa final'!$Y$22="Alta",'Mapa final'!$AA$22="Mayor"),CONCATENATE("R3C",'Mapa final'!$O$22),"")</f>
        <v/>
      </c>
      <c r="AC18" s="255" t="str">
        <f>IF(AND('Mapa final'!$Y$23="Alta",'Mapa final'!$AA$23="Mayor"),CONCATENATE("R3C",'Mapa final'!$O$23),"")</f>
        <v/>
      </c>
      <c r="AD18" s="255" t="str">
        <f>IF(AND('Mapa final'!$Y$24="Alta",'Mapa final'!$AA$24="Mayor"),CONCATENATE("R3C",'Mapa final'!$O$24),"")</f>
        <v/>
      </c>
      <c r="AE18" s="255" t="str">
        <f>IF(AND('Mapa final'!$Y$25="Alta",'Mapa final'!$AA$25="Mayor"),CONCATENATE("R3C",'Mapa final'!$O$25),"")</f>
        <v/>
      </c>
      <c r="AF18" s="255" t="str">
        <f>IF(AND('Mapa final'!$Y$26="Alta",'Mapa final'!$AA$26="Mayor"),CONCATENATE("R3C",'Mapa final'!$O$26),"")</f>
        <v/>
      </c>
      <c r="AG18" s="256" t="str">
        <f>IF(AND('Mapa final'!$Y$27="Alta",'Mapa final'!$AA$27="Mayor"),CONCATENATE("R3C",'Mapa final'!$O$27),"")</f>
        <v/>
      </c>
      <c r="AH18" s="257" t="str">
        <f>IF(AND('Mapa final'!$Y$22="Alta",'Mapa final'!$AA$22="Catastrófico"),CONCATENATE("R3C",'Mapa final'!$O$22),"")</f>
        <v/>
      </c>
      <c r="AI18" s="258" t="str">
        <f>IF(AND('Mapa final'!$Y$23="Alta",'Mapa final'!$AA$23="Catastrófico"),CONCATENATE("R3C",'Mapa final'!$O$23),"")</f>
        <v/>
      </c>
      <c r="AJ18" s="258" t="str">
        <f>IF(AND('Mapa final'!$Y$24="Alta",'Mapa final'!$AA$24="Catastrófico"),CONCATENATE("R3C",'Mapa final'!$O$24),"")</f>
        <v/>
      </c>
      <c r="AK18" s="258" t="str">
        <f>IF(AND('Mapa final'!$Y$25="Alta",'Mapa final'!$AA$25="Catastrófico"),CONCATENATE("R3C",'Mapa final'!$O$25),"")</f>
        <v/>
      </c>
      <c r="AL18" s="258" t="str">
        <f>IF(AND('Mapa final'!$Y$26="Alta",'Mapa final'!$AA$26="Catastrófico"),CONCATENATE("R3C",'Mapa final'!$O$26),"")</f>
        <v/>
      </c>
      <c r="AM18" s="259" t="str">
        <f>IF(AND('Mapa final'!$Y$27="Alta",'Mapa final'!$AA$27="Catastrófico"),CONCATENATE("R3C",'Mapa final'!$O$27),"")</f>
        <v/>
      </c>
      <c r="AN18" s="15"/>
      <c r="AO18" s="824"/>
      <c r="AP18" s="825"/>
      <c r="AQ18" s="825"/>
      <c r="AR18" s="825"/>
      <c r="AS18" s="825"/>
      <c r="AT18" s="82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6"/>
      <c r="C19" s="716"/>
      <c r="D19" s="717"/>
      <c r="E19" s="805"/>
      <c r="F19" s="806"/>
      <c r="G19" s="806"/>
      <c r="H19" s="806"/>
      <c r="I19" s="806"/>
      <c r="J19" s="269" t="str">
        <f>IF(AND('Mapa final'!$Y$28="Alta",'Mapa final'!$AA$28="Leve"),CONCATENATE("R4C",'Mapa final'!$O$28),"")</f>
        <v/>
      </c>
      <c r="K19" s="270" t="str">
        <f>IF(AND('Mapa final'!$Y$29="Alta",'Mapa final'!$AA$29="Leve"),CONCATENATE("R4C",'Mapa final'!$O$29),"")</f>
        <v/>
      </c>
      <c r="L19" s="270" t="str">
        <f>IF(AND('Mapa final'!$Y$30="Alta",'Mapa final'!$AA$30="Leve"),CONCATENATE("R4C",'Mapa final'!$O$30),"")</f>
        <v/>
      </c>
      <c r="M19" s="270" t="str">
        <f>IF(AND('Mapa final'!$Y$31="Alta",'Mapa final'!$AA$31="Leve"),CONCATENATE("R4C",'Mapa final'!$O$31),"")</f>
        <v/>
      </c>
      <c r="N19" s="270" t="str">
        <f>IF(AND('Mapa final'!$Y$32="Alta",'Mapa final'!$AA$32="Leve"),CONCATENATE("R4C",'Mapa final'!$O$32),"")</f>
        <v/>
      </c>
      <c r="O19" s="271" t="str">
        <f>IF(AND('Mapa final'!$Y$33="Alta",'Mapa final'!$AA$33="Leve"),CONCATENATE("R4C",'Mapa final'!$O$33),"")</f>
        <v/>
      </c>
      <c r="P19" s="269" t="str">
        <f>IF(AND('Mapa final'!$Y$28="Alta",'Mapa final'!$AA$28="Menor"),CONCATENATE("R4C",'Mapa final'!$O$28),"")</f>
        <v/>
      </c>
      <c r="Q19" s="270" t="str">
        <f>IF(AND('Mapa final'!$Y$29="Alta",'Mapa final'!$AA$29="Menor"),CONCATENATE("R4C",'Mapa final'!$O$29),"")</f>
        <v/>
      </c>
      <c r="R19" s="270" t="str">
        <f>IF(AND('Mapa final'!$Y$30="Alta",'Mapa final'!$AA$30="Menor"),CONCATENATE("R4C",'Mapa final'!$O$30),"")</f>
        <v/>
      </c>
      <c r="S19" s="270" t="str">
        <f>IF(AND('Mapa final'!$Y$31="Alta",'Mapa final'!$AA$31="Menor"),CONCATENATE("R4C",'Mapa final'!$O$31),"")</f>
        <v/>
      </c>
      <c r="T19" s="270" t="str">
        <f>IF(AND('Mapa final'!$Y$32="Alta",'Mapa final'!$AA$32="Menor"),CONCATENATE("R4C",'Mapa final'!$O$32),"")</f>
        <v/>
      </c>
      <c r="U19" s="271" t="str">
        <f>IF(AND('Mapa final'!$Y$33="Alta",'Mapa final'!$AA$33="Menor"),CONCATENATE("R4C",'Mapa final'!$O$33),"")</f>
        <v/>
      </c>
      <c r="V19" s="254" t="str">
        <f>IF(AND('Mapa final'!$Y$28="Alta",'Mapa final'!$AA$28="Moderado"),CONCATENATE("R4C",'Mapa final'!$O$28),"")</f>
        <v/>
      </c>
      <c r="W19" s="255" t="str">
        <f>IF(AND('Mapa final'!$Y$29="Alta",'Mapa final'!$AA$29="Moderado"),CONCATENATE("R4C",'Mapa final'!$O$29),"")</f>
        <v/>
      </c>
      <c r="X19" s="255" t="str">
        <f>IF(AND('Mapa final'!$Y$30="Alta",'Mapa final'!$AA$30="Moderado"),CONCATENATE("R4C",'Mapa final'!$O$30),"")</f>
        <v/>
      </c>
      <c r="Y19" s="255" t="str">
        <f>IF(AND('Mapa final'!$Y$31="Alta",'Mapa final'!$AA$31="Moderado"),CONCATENATE("R4C",'Mapa final'!$O$31),"")</f>
        <v/>
      </c>
      <c r="Z19" s="255" t="str">
        <f>IF(AND('Mapa final'!$Y$32="Alta",'Mapa final'!$AA$32="Moderado"),CONCATENATE("R4C",'Mapa final'!$O$32),"")</f>
        <v/>
      </c>
      <c r="AA19" s="256" t="str">
        <f>IF(AND('Mapa final'!$Y$33="Alta",'Mapa final'!$AA$33="Moderado"),CONCATENATE("R4C",'Mapa final'!$O$33),"")</f>
        <v/>
      </c>
      <c r="AB19" s="254" t="str">
        <f>IF(AND('Mapa final'!$Y$28="Alta",'Mapa final'!$AA$28="Mayor"),CONCATENATE("R4C",'Mapa final'!$O$28),"")</f>
        <v/>
      </c>
      <c r="AC19" s="255" t="str">
        <f>IF(AND('Mapa final'!$Y$29="Alta",'Mapa final'!$AA$29="Mayor"),CONCATENATE("R4C",'Mapa final'!$O$29),"")</f>
        <v/>
      </c>
      <c r="AD19" s="255" t="str">
        <f>IF(AND('Mapa final'!$Y$30="Alta",'Mapa final'!$AA$30="Mayor"),CONCATENATE("R4C",'Mapa final'!$O$30),"")</f>
        <v/>
      </c>
      <c r="AE19" s="255" t="str">
        <f>IF(AND('Mapa final'!$Y$31="Alta",'Mapa final'!$AA$31="Mayor"),CONCATENATE("R4C",'Mapa final'!$O$31),"")</f>
        <v/>
      </c>
      <c r="AF19" s="255" t="str">
        <f>IF(AND('Mapa final'!$Y$32="Alta",'Mapa final'!$AA$32="Mayor"),CONCATENATE("R4C",'Mapa final'!$O$32),"")</f>
        <v/>
      </c>
      <c r="AG19" s="256" t="str">
        <f>IF(AND('Mapa final'!$Y$33="Alta",'Mapa final'!$AA$33="Mayor"),CONCATENATE("R4C",'Mapa final'!$O$33),"")</f>
        <v/>
      </c>
      <c r="AH19" s="257" t="str">
        <f>IF(AND('Mapa final'!$Y$28="Alta",'Mapa final'!$AA$28="Catastrófico"),CONCATENATE("R4C",'Mapa final'!$O$28),"")</f>
        <v/>
      </c>
      <c r="AI19" s="258" t="str">
        <f>IF(AND('Mapa final'!$Y$29="Alta",'Mapa final'!$AA$29="Catastrófico"),CONCATENATE("R4C",'Mapa final'!$O$29),"")</f>
        <v/>
      </c>
      <c r="AJ19" s="258" t="str">
        <f>IF(AND('Mapa final'!$Y$30="Alta",'Mapa final'!$AA$30="Catastrófico"),CONCATENATE("R4C",'Mapa final'!$O$30),"")</f>
        <v/>
      </c>
      <c r="AK19" s="258" t="str">
        <f>IF(AND('Mapa final'!$Y$31="Alta",'Mapa final'!$AA$31="Catastrófico"),CONCATENATE("R4C",'Mapa final'!$O$31),"")</f>
        <v/>
      </c>
      <c r="AL19" s="258" t="str">
        <f>IF(AND('Mapa final'!$Y$32="Alta",'Mapa final'!$AA$32="Catastrófico"),CONCATENATE("R4C",'Mapa final'!$O$32),"")</f>
        <v/>
      </c>
      <c r="AM19" s="259" t="str">
        <f>IF(AND('Mapa final'!$Y$33="Alta",'Mapa final'!$AA$33="Catastrófico"),CONCATENATE("R4C",'Mapa final'!$O$33),"")</f>
        <v/>
      </c>
      <c r="AN19" s="15"/>
      <c r="AO19" s="824"/>
      <c r="AP19" s="825"/>
      <c r="AQ19" s="825"/>
      <c r="AR19" s="825"/>
      <c r="AS19" s="825"/>
      <c r="AT19" s="82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6"/>
      <c r="C20" s="716"/>
      <c r="D20" s="717"/>
      <c r="E20" s="805"/>
      <c r="F20" s="806"/>
      <c r="G20" s="806"/>
      <c r="H20" s="806"/>
      <c r="I20" s="806"/>
      <c r="J20" s="269" t="str">
        <f>IF(AND('Mapa final'!$Y$34="Alta",'Mapa final'!$AA$34="Leve"),CONCATENATE("R5C",'Mapa final'!$O$34),"")</f>
        <v/>
      </c>
      <c r="K20" s="270" t="str">
        <f>IF(AND('Mapa final'!$Y$35="Alta",'Mapa final'!$AA$35="Leve"),CONCATENATE("R5C",'Mapa final'!$O$35),"")</f>
        <v/>
      </c>
      <c r="L20" s="270" t="str">
        <f>IF(AND('Mapa final'!$Y$36="Alta",'Mapa final'!$AA$36="Leve"),CONCATENATE("R5C",'Mapa final'!$O$36),"")</f>
        <v/>
      </c>
      <c r="M20" s="270" t="str">
        <f>IF(AND('Mapa final'!$Y$37="Alta",'Mapa final'!$AA$37="Leve"),CONCATENATE("R5C",'Mapa final'!$O$37),"")</f>
        <v/>
      </c>
      <c r="N20" s="270" t="str">
        <f>IF(AND('Mapa final'!$Y$38="Alta",'Mapa final'!$AA$38="Leve"),CONCATENATE("R5C",'Mapa final'!$O$38),"")</f>
        <v/>
      </c>
      <c r="O20" s="271" t="str">
        <f>IF(AND('Mapa final'!$Y$39="Alta",'Mapa final'!$AA$39="Leve"),CONCATENATE("R5C",'Mapa final'!$O$39),"")</f>
        <v/>
      </c>
      <c r="P20" s="269" t="str">
        <f>IF(AND('Mapa final'!$Y$34="Alta",'Mapa final'!$AA$34="Menor"),CONCATENATE("R5C",'Mapa final'!$O$34),"")</f>
        <v/>
      </c>
      <c r="Q20" s="270" t="str">
        <f>IF(AND('Mapa final'!$Y$35="Alta",'Mapa final'!$AA$35="Menor"),CONCATENATE("R5C",'Mapa final'!$O$35),"")</f>
        <v/>
      </c>
      <c r="R20" s="270" t="str">
        <f>IF(AND('Mapa final'!$Y$36="Alta",'Mapa final'!$AA$36="Menor"),CONCATENATE("R5C",'Mapa final'!$O$36),"")</f>
        <v/>
      </c>
      <c r="S20" s="270" t="str">
        <f>IF(AND('Mapa final'!$Y$37="Alta",'Mapa final'!$AA$37="Menor"),CONCATENATE("R5C",'Mapa final'!$O$37),"")</f>
        <v/>
      </c>
      <c r="T20" s="270" t="str">
        <f>IF(AND('Mapa final'!$Y$38="Alta",'Mapa final'!$AA$38="Menor"),CONCATENATE("R5C",'Mapa final'!$O$38),"")</f>
        <v/>
      </c>
      <c r="U20" s="271" t="str">
        <f>IF(AND('Mapa final'!$Y$39="Alta",'Mapa final'!$AA$39="Menor"),CONCATENATE("R5C",'Mapa final'!$O$39),"")</f>
        <v/>
      </c>
      <c r="V20" s="254" t="str">
        <f>IF(AND('Mapa final'!$Y$34="Alta",'Mapa final'!$AA$34="Moderado"),CONCATENATE("R5C",'Mapa final'!$O$34),"")</f>
        <v/>
      </c>
      <c r="W20" s="255" t="str">
        <f>IF(AND('Mapa final'!$Y$35="Alta",'Mapa final'!$AA$35="Moderado"),CONCATENATE("R5C",'Mapa final'!$O$35),"")</f>
        <v/>
      </c>
      <c r="X20" s="255" t="str">
        <f>IF(AND('Mapa final'!$Y$36="Alta",'Mapa final'!$AA$36="Moderado"),CONCATENATE("R5C",'Mapa final'!$O$36),"")</f>
        <v/>
      </c>
      <c r="Y20" s="255" t="str">
        <f>IF(AND('Mapa final'!$Y$37="Alta",'Mapa final'!$AA$37="Moderado"),CONCATENATE("R5C",'Mapa final'!$O$37),"")</f>
        <v/>
      </c>
      <c r="Z20" s="255" t="str">
        <f>IF(AND('Mapa final'!$Y$38="Alta",'Mapa final'!$AA$38="Moderado"),CONCATENATE("R5C",'Mapa final'!$O$38),"")</f>
        <v/>
      </c>
      <c r="AA20" s="256" t="str">
        <f>IF(AND('Mapa final'!$Y$39="Alta",'Mapa final'!$AA$39="Moderado"),CONCATENATE("R5C",'Mapa final'!$O$39),"")</f>
        <v/>
      </c>
      <c r="AB20" s="254" t="str">
        <f>IF(AND('Mapa final'!$Y$34="Alta",'Mapa final'!$AA$34="Mayor"),CONCATENATE("R5C",'Mapa final'!$O$34),"")</f>
        <v/>
      </c>
      <c r="AC20" s="255" t="str">
        <f>IF(AND('Mapa final'!$Y$35="Alta",'Mapa final'!$AA$35="Mayor"),CONCATENATE("R5C",'Mapa final'!$O$35),"")</f>
        <v/>
      </c>
      <c r="AD20" s="255" t="str">
        <f>IF(AND('Mapa final'!$Y$36="Alta",'Mapa final'!$AA$36="Mayor"),CONCATENATE("R5C",'Mapa final'!$O$36),"")</f>
        <v/>
      </c>
      <c r="AE20" s="255" t="str">
        <f>IF(AND('Mapa final'!$Y$37="Alta",'Mapa final'!$AA$37="Mayor"),CONCATENATE("R5C",'Mapa final'!$O$37),"")</f>
        <v/>
      </c>
      <c r="AF20" s="255" t="str">
        <f>IF(AND('Mapa final'!$Y$38="Alta",'Mapa final'!$AA$38="Mayor"),CONCATENATE("R5C",'Mapa final'!$O$38),"")</f>
        <v/>
      </c>
      <c r="AG20" s="256" t="str">
        <f>IF(AND('Mapa final'!$Y$39="Alta",'Mapa final'!$AA$39="Mayor"),CONCATENATE("R5C",'Mapa final'!$O$39),"")</f>
        <v/>
      </c>
      <c r="AH20" s="257" t="str">
        <f>IF(AND('Mapa final'!$Y$34="Alta",'Mapa final'!$AA$34="Catastrófico"),CONCATENATE("R5C",'Mapa final'!$O$34),"")</f>
        <v/>
      </c>
      <c r="AI20" s="258" t="str">
        <f>IF(AND('Mapa final'!$Y$35="Alta",'Mapa final'!$AA$35="Catastrófico"),CONCATENATE("R5C",'Mapa final'!$O$35),"")</f>
        <v/>
      </c>
      <c r="AJ20" s="258" t="str">
        <f>IF(AND('Mapa final'!$Y$36="Alta",'Mapa final'!$AA$36="Catastrófico"),CONCATENATE("R5C",'Mapa final'!$O$36),"")</f>
        <v/>
      </c>
      <c r="AK20" s="258" t="str">
        <f>IF(AND('Mapa final'!$Y$37="Alta",'Mapa final'!$AA$37="Catastrófico"),CONCATENATE("R5C",'Mapa final'!$O$37),"")</f>
        <v/>
      </c>
      <c r="AL20" s="258" t="str">
        <f>IF(AND('Mapa final'!$Y$38="Alta",'Mapa final'!$AA$38="Catastrófico"),CONCATENATE("R5C",'Mapa final'!$O$38),"")</f>
        <v/>
      </c>
      <c r="AM20" s="259" t="str">
        <f>IF(AND('Mapa final'!$Y$39="Alta",'Mapa final'!$AA$39="Catastrófico"),CONCATENATE("R5C",'Mapa final'!$O$39),"")</f>
        <v/>
      </c>
      <c r="AN20" s="15"/>
      <c r="AO20" s="824"/>
      <c r="AP20" s="825"/>
      <c r="AQ20" s="825"/>
      <c r="AR20" s="825"/>
      <c r="AS20" s="825"/>
      <c r="AT20" s="82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6"/>
      <c r="C21" s="716"/>
      <c r="D21" s="717"/>
      <c r="E21" s="805"/>
      <c r="F21" s="806"/>
      <c r="G21" s="806"/>
      <c r="H21" s="806"/>
      <c r="I21" s="806"/>
      <c r="J21" s="269" t="str">
        <f>IF(AND('Mapa final'!$Y$40="Alta",'Mapa final'!$AA$40="Leve"),CONCATENATE("R6C",'Mapa final'!$O$40),"")</f>
        <v/>
      </c>
      <c r="K21" s="270" t="str">
        <f>IF(AND('Mapa final'!$Y$41="Alta",'Mapa final'!$AA$41="Leve"),CONCATENATE("R6C",'Mapa final'!$O$41),"")</f>
        <v/>
      </c>
      <c r="L21" s="270" t="str">
        <f>IF(AND('Mapa final'!$Y$42="Alta",'Mapa final'!$AA$42="Leve"),CONCATENATE("R6C",'Mapa final'!$O$42),"")</f>
        <v/>
      </c>
      <c r="M21" s="270" t="str">
        <f>IF(AND('Mapa final'!$Y$43="Alta",'Mapa final'!$AA$43="Leve"),CONCATENATE("R6C",'Mapa final'!$O$43),"")</f>
        <v/>
      </c>
      <c r="N21" s="270" t="str">
        <f>IF(AND('Mapa final'!$Y$44="Alta",'Mapa final'!$AA$44="Leve"),CONCATENATE("R6C",'Mapa final'!$O$44),"")</f>
        <v/>
      </c>
      <c r="O21" s="271" t="str">
        <f>IF(AND('Mapa final'!$Y$45="Alta",'Mapa final'!$AA$45="Leve"),CONCATENATE("R6C",'Mapa final'!$O$45),"")</f>
        <v/>
      </c>
      <c r="P21" s="269" t="str">
        <f>IF(AND('Mapa final'!$Y$40="Alta",'Mapa final'!$AA$40="Menor"),CONCATENATE("R6C",'Mapa final'!$O$40),"")</f>
        <v/>
      </c>
      <c r="Q21" s="270" t="str">
        <f>IF(AND('Mapa final'!$Y$41="Alta",'Mapa final'!$AA$41="Menor"),CONCATENATE("R6C",'Mapa final'!$O$41),"")</f>
        <v/>
      </c>
      <c r="R21" s="270" t="str">
        <f>IF(AND('Mapa final'!$Y$42="Alta",'Mapa final'!$AA$42="Menor"),CONCATENATE("R6C",'Mapa final'!$O$42),"")</f>
        <v/>
      </c>
      <c r="S21" s="270" t="str">
        <f>IF(AND('Mapa final'!$Y$43="Alta",'Mapa final'!$AA$43="Menor"),CONCATENATE("R6C",'Mapa final'!$O$43),"")</f>
        <v/>
      </c>
      <c r="T21" s="270" t="str">
        <f>IF(AND('Mapa final'!$Y$44="Alta",'Mapa final'!$AA$44="Menor"),CONCATENATE("R6C",'Mapa final'!$O$44),"")</f>
        <v/>
      </c>
      <c r="U21" s="271" t="str">
        <f>IF(AND('Mapa final'!$Y$45="Alta",'Mapa final'!$AA$45="Menor"),CONCATENATE("R6C",'Mapa final'!$O$45),"")</f>
        <v/>
      </c>
      <c r="V21" s="254" t="str">
        <f>IF(AND('Mapa final'!$Y$40="Alta",'Mapa final'!$AA$40="Moderado"),CONCATENATE("R6C",'Mapa final'!$O$40),"")</f>
        <v/>
      </c>
      <c r="W21" s="255" t="str">
        <f>IF(AND('Mapa final'!$Y$41="Alta",'Mapa final'!$AA$41="Moderado"),CONCATENATE("R6C",'Mapa final'!$O$41),"")</f>
        <v/>
      </c>
      <c r="X21" s="255" t="str">
        <f>IF(AND('Mapa final'!$Y$42="Alta",'Mapa final'!$AA$42="Moderado"),CONCATENATE("R6C",'Mapa final'!$O$42),"")</f>
        <v/>
      </c>
      <c r="Y21" s="255" t="str">
        <f>IF(AND('Mapa final'!$Y$43="Alta",'Mapa final'!$AA$43="Moderado"),CONCATENATE("R6C",'Mapa final'!$O$43),"")</f>
        <v/>
      </c>
      <c r="Z21" s="255" t="str">
        <f>IF(AND('Mapa final'!$Y$44="Alta",'Mapa final'!$AA$44="Moderado"),CONCATENATE("R6C",'Mapa final'!$O$44),"")</f>
        <v/>
      </c>
      <c r="AA21" s="256" t="str">
        <f>IF(AND('Mapa final'!$Y$45="Alta",'Mapa final'!$AA$45="Moderado"),CONCATENATE("R6C",'Mapa final'!$O$45),"")</f>
        <v/>
      </c>
      <c r="AB21" s="254" t="str">
        <f>IF(AND('Mapa final'!$Y$40="Alta",'Mapa final'!$AA$40="Mayor"),CONCATENATE("R6C",'Mapa final'!$O$40),"")</f>
        <v/>
      </c>
      <c r="AC21" s="255" t="str">
        <f>IF(AND('Mapa final'!$Y$41="Alta",'Mapa final'!$AA$41="Mayor"),CONCATENATE("R6C",'Mapa final'!$O$41),"")</f>
        <v/>
      </c>
      <c r="AD21" s="255" t="str">
        <f>IF(AND('Mapa final'!$Y$42="Alta",'Mapa final'!$AA$42="Mayor"),CONCATENATE("R6C",'Mapa final'!$O$42),"")</f>
        <v/>
      </c>
      <c r="AE21" s="255" t="str">
        <f>IF(AND('Mapa final'!$Y$43="Alta",'Mapa final'!$AA$43="Mayor"),CONCATENATE("R6C",'Mapa final'!$O$43),"")</f>
        <v/>
      </c>
      <c r="AF21" s="255" t="str">
        <f>IF(AND('Mapa final'!$Y$44="Alta",'Mapa final'!$AA$44="Mayor"),CONCATENATE("R6C",'Mapa final'!$O$44),"")</f>
        <v/>
      </c>
      <c r="AG21" s="256" t="str">
        <f>IF(AND('Mapa final'!$Y$45="Alta",'Mapa final'!$AA$45="Mayor"),CONCATENATE("R6C",'Mapa final'!$O$45),"")</f>
        <v/>
      </c>
      <c r="AH21" s="257" t="str">
        <f>IF(AND('Mapa final'!$Y$40="Alta",'Mapa final'!$AA$40="Catastrófico"),CONCATENATE("R6C",'Mapa final'!$O$40),"")</f>
        <v/>
      </c>
      <c r="AI21" s="258" t="str">
        <f>IF(AND('Mapa final'!$Y$41="Alta",'Mapa final'!$AA$41="Catastrófico"),CONCATENATE("R6C",'Mapa final'!$O$41),"")</f>
        <v/>
      </c>
      <c r="AJ21" s="258" t="str">
        <f>IF(AND('Mapa final'!$Y$42="Alta",'Mapa final'!$AA$42="Catastrófico"),CONCATENATE("R6C",'Mapa final'!$O$42),"")</f>
        <v/>
      </c>
      <c r="AK21" s="258" t="str">
        <f>IF(AND('Mapa final'!$Y$43="Alta",'Mapa final'!$AA$43="Catastrófico"),CONCATENATE("R6C",'Mapa final'!$O$43),"")</f>
        <v/>
      </c>
      <c r="AL21" s="258" t="str">
        <f>IF(AND('Mapa final'!$Y$44="Alta",'Mapa final'!$AA$44="Catastrófico"),CONCATENATE("R6C",'Mapa final'!$O$44),"")</f>
        <v/>
      </c>
      <c r="AM21" s="259" t="str">
        <f>IF(AND('Mapa final'!$Y$45="Alta",'Mapa final'!$AA$45="Catastrófico"),CONCATENATE("R6C",'Mapa final'!$O$45),"")</f>
        <v/>
      </c>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6"/>
      <c r="C22" s="716"/>
      <c r="D22" s="717"/>
      <c r="E22" s="805"/>
      <c r="F22" s="806"/>
      <c r="G22" s="806"/>
      <c r="H22" s="806"/>
      <c r="I22" s="806"/>
      <c r="J22" s="269" t="str">
        <f>IF(AND('Mapa final'!$Y$46="Alta",'Mapa final'!$AA$46="Leve"),CONCATENATE("R7C",'Mapa final'!$O$46),"")</f>
        <v/>
      </c>
      <c r="K22" s="270" t="str">
        <f>IF(AND('Mapa final'!$Y$47="Alta",'Mapa final'!$AA$47="Leve"),CONCATENATE("R7C",'Mapa final'!$O$47),"")</f>
        <v/>
      </c>
      <c r="L22" s="270" t="str">
        <f>IF(AND('Mapa final'!$Y$48="Alta",'Mapa final'!$AA$48="Leve"),CONCATENATE("R7C",'Mapa final'!$O$48),"")</f>
        <v/>
      </c>
      <c r="M22" s="270" t="str">
        <f>IF(AND('Mapa final'!$Y$49="Alta",'Mapa final'!$AA$49="Leve"),CONCATENATE("R7C",'Mapa final'!$O$49),"")</f>
        <v/>
      </c>
      <c r="N22" s="270" t="str">
        <f>IF(AND('Mapa final'!$Y$50="Alta",'Mapa final'!$AA$50="Leve"),CONCATENATE("R7C",'Mapa final'!$O$50),"")</f>
        <v/>
      </c>
      <c r="O22" s="271" t="str">
        <f>IF(AND('Mapa final'!$Y$51="Alta",'Mapa final'!$AA$51="Leve"),CONCATENATE("R7C",'Mapa final'!$O$51),"")</f>
        <v/>
      </c>
      <c r="P22" s="269" t="str">
        <f>IF(AND('Mapa final'!$Y$46="Alta",'Mapa final'!$AA$46="Menor"),CONCATENATE("R7C",'Mapa final'!$O$46),"")</f>
        <v/>
      </c>
      <c r="Q22" s="270" t="str">
        <f>IF(AND('Mapa final'!$Y$47="Alta",'Mapa final'!$AA$47="Menor"),CONCATENATE("R7C",'Mapa final'!$O$47),"")</f>
        <v/>
      </c>
      <c r="R22" s="270" t="str">
        <f>IF(AND('Mapa final'!$Y$48="Alta",'Mapa final'!$AA$48="Menor"),CONCATENATE("R7C",'Mapa final'!$O$48),"")</f>
        <v/>
      </c>
      <c r="S22" s="270" t="str">
        <f>IF(AND('Mapa final'!$Y$49="Alta",'Mapa final'!$AA$49="Menor"),CONCATENATE("R7C",'Mapa final'!$O$49),"")</f>
        <v/>
      </c>
      <c r="T22" s="270" t="str">
        <f>IF(AND('Mapa final'!$Y$50="Alta",'Mapa final'!$AA$50="Menor"),CONCATENATE("R7C",'Mapa final'!$O$50),"")</f>
        <v/>
      </c>
      <c r="U22" s="271" t="str">
        <f>IF(AND('Mapa final'!$Y$51="Alta",'Mapa final'!$AA$51="Menor"),CONCATENATE("R7C",'Mapa final'!$O$51),"")</f>
        <v/>
      </c>
      <c r="V22" s="254" t="str">
        <f>IF(AND('Mapa final'!$Y$46="Alta",'Mapa final'!$AA$46="Moderado"),CONCATENATE("R7C",'Mapa final'!$O$46),"")</f>
        <v/>
      </c>
      <c r="W22" s="255" t="str">
        <f>IF(AND('Mapa final'!$Y$47="Alta",'Mapa final'!$AA$47="Moderado"),CONCATENATE("R7C",'Mapa final'!$O$47),"")</f>
        <v/>
      </c>
      <c r="X22" s="255" t="str">
        <f>IF(AND('Mapa final'!$Y$48="Alta",'Mapa final'!$AA$48="Moderado"),CONCATENATE("R7C",'Mapa final'!$O$48),"")</f>
        <v/>
      </c>
      <c r="Y22" s="255" t="str">
        <f>IF(AND('Mapa final'!$Y$49="Alta",'Mapa final'!$AA$49="Moderado"),CONCATENATE("R7C",'Mapa final'!$O$49),"")</f>
        <v/>
      </c>
      <c r="Z22" s="255" t="str">
        <f>IF(AND('Mapa final'!$Y$50="Alta",'Mapa final'!$AA$50="Moderado"),CONCATENATE("R7C",'Mapa final'!$O$50),"")</f>
        <v/>
      </c>
      <c r="AA22" s="256" t="str">
        <f>IF(AND('Mapa final'!$Y$51="Alta",'Mapa final'!$AA$51="Moderado"),CONCATENATE("R7C",'Mapa final'!$O$51),"")</f>
        <v/>
      </c>
      <c r="AB22" s="254" t="str">
        <f>IF(AND('Mapa final'!$Y$46="Alta",'Mapa final'!$AA$46="Mayor"),CONCATENATE("R7C",'Mapa final'!$O$46),"")</f>
        <v/>
      </c>
      <c r="AC22" s="255" t="str">
        <f>IF(AND('Mapa final'!$Y$47="Alta",'Mapa final'!$AA$47="Mayor"),CONCATENATE("R7C",'Mapa final'!$O$47),"")</f>
        <v/>
      </c>
      <c r="AD22" s="255" t="str">
        <f>IF(AND('Mapa final'!$Y$48="Alta",'Mapa final'!$AA$48="Mayor"),CONCATENATE("R7C",'Mapa final'!$O$48),"")</f>
        <v/>
      </c>
      <c r="AE22" s="255" t="str">
        <f>IF(AND('Mapa final'!$Y$49="Alta",'Mapa final'!$AA$49="Mayor"),CONCATENATE("R7C",'Mapa final'!$O$49),"")</f>
        <v/>
      </c>
      <c r="AF22" s="255" t="str">
        <f>IF(AND('Mapa final'!$Y$50="Alta",'Mapa final'!$AA$50="Mayor"),CONCATENATE("R7C",'Mapa final'!$O$50),"")</f>
        <v/>
      </c>
      <c r="AG22" s="256" t="str">
        <f>IF(AND('Mapa final'!$Y$51="Alta",'Mapa final'!$AA$51="Mayor"),CONCATENATE("R7C",'Mapa final'!$O$51),"")</f>
        <v/>
      </c>
      <c r="AH22" s="257" t="str">
        <f>IF(AND('Mapa final'!$Y$46="Alta",'Mapa final'!$AA$46="Catastrófico"),CONCATENATE("R7C",'Mapa final'!$O$46),"")</f>
        <v/>
      </c>
      <c r="AI22" s="258" t="str">
        <f>IF(AND('Mapa final'!$Y$47="Alta",'Mapa final'!$AA$47="Catastrófico"),CONCATENATE("R7C",'Mapa final'!$O$47),"")</f>
        <v/>
      </c>
      <c r="AJ22" s="258" t="str">
        <f>IF(AND('Mapa final'!$Y$48="Alta",'Mapa final'!$AA$48="Catastrófico"),CONCATENATE("R7C",'Mapa final'!$O$48),"")</f>
        <v/>
      </c>
      <c r="AK22" s="258" t="str">
        <f>IF(AND('Mapa final'!$Y$49="Alta",'Mapa final'!$AA$49="Catastrófico"),CONCATENATE("R7C",'Mapa final'!$O$49),"")</f>
        <v/>
      </c>
      <c r="AL22" s="258" t="str">
        <f>IF(AND('Mapa final'!$Y$50="Alta",'Mapa final'!$AA$50="Catastrófico"),CONCATENATE("R7C",'Mapa final'!$O$50),"")</f>
        <v/>
      </c>
      <c r="AM22" s="259" t="str">
        <f>IF(AND('Mapa final'!$Y$51="Alta",'Mapa final'!$AA$51="Catastrófico"),CONCATENATE("R7C",'Mapa final'!$O$51),"")</f>
        <v/>
      </c>
      <c r="AN22" s="15"/>
      <c r="AO22" s="824"/>
      <c r="AP22" s="825"/>
      <c r="AQ22" s="825"/>
      <c r="AR22" s="825"/>
      <c r="AS22" s="825"/>
      <c r="AT22" s="82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6"/>
      <c r="C23" s="716"/>
      <c r="D23" s="717"/>
      <c r="E23" s="805"/>
      <c r="F23" s="806"/>
      <c r="G23" s="806"/>
      <c r="H23" s="806"/>
      <c r="I23" s="806"/>
      <c r="J23" s="269" t="str">
        <f>IF(AND('Mapa final'!$Y$52="Alta",'Mapa final'!$AA$52="Leve"),CONCATENATE("R8C",'Mapa final'!$O$52),"")</f>
        <v/>
      </c>
      <c r="K23" s="270" t="str">
        <f>IF(AND('Mapa final'!$Y$53="Alta",'Mapa final'!$AA$53="Leve"),CONCATENATE("R8C",'Mapa final'!$O$53),"")</f>
        <v/>
      </c>
      <c r="L23" s="270" t="str">
        <f>IF(AND('Mapa final'!$Y$54="Alta",'Mapa final'!$AA$54="Leve"),CONCATENATE("R8C",'Mapa final'!$O$54),"")</f>
        <v/>
      </c>
      <c r="M23" s="270" t="str">
        <f>IF(AND('Mapa final'!$Y$55="Alta",'Mapa final'!$AA$55="Leve"),CONCATENATE("R8C",'Mapa final'!$O$55),"")</f>
        <v/>
      </c>
      <c r="N23" s="270" t="str">
        <f>IF(AND('Mapa final'!$Y$56="Alta",'Mapa final'!$AA$56="Leve"),CONCATENATE("R8C",'Mapa final'!$O$56),"")</f>
        <v/>
      </c>
      <c r="O23" s="271" t="str">
        <f>IF(AND('Mapa final'!$Y$57="Alta",'Mapa final'!$AA$57="Leve"),CONCATENATE("R8C",'Mapa final'!$O$57),"")</f>
        <v/>
      </c>
      <c r="P23" s="269" t="str">
        <f>IF(AND('Mapa final'!$Y$52="Alta",'Mapa final'!$AA$52="Menor"),CONCATENATE("R8C",'Mapa final'!$O$52),"")</f>
        <v/>
      </c>
      <c r="Q23" s="270" t="str">
        <f>IF(AND('Mapa final'!$Y$53="Alta",'Mapa final'!$AA$53="Menor"),CONCATENATE("R8C",'Mapa final'!$O$53),"")</f>
        <v/>
      </c>
      <c r="R23" s="270" t="str">
        <f>IF(AND('Mapa final'!$Y$54="Alta",'Mapa final'!$AA$54="Menor"),CONCATENATE("R8C",'Mapa final'!$O$54),"")</f>
        <v/>
      </c>
      <c r="S23" s="270" t="str">
        <f>IF(AND('Mapa final'!$Y$55="Alta",'Mapa final'!$AA$55="Menor"),CONCATENATE("R8C",'Mapa final'!$O$55),"")</f>
        <v/>
      </c>
      <c r="T23" s="270" t="str">
        <f>IF(AND('Mapa final'!$Y$56="Alta",'Mapa final'!$AA$56="Menor"),CONCATENATE("R8C",'Mapa final'!$O$56),"")</f>
        <v/>
      </c>
      <c r="U23" s="271" t="str">
        <f>IF(AND('Mapa final'!$Y$57="Alta",'Mapa final'!$AA$57="Menor"),CONCATENATE("R8C",'Mapa final'!$O$57),"")</f>
        <v/>
      </c>
      <c r="V23" s="254" t="str">
        <f>IF(AND('Mapa final'!$Y$52="Alta",'Mapa final'!$AA$52="Moderado"),CONCATENATE("R8C",'Mapa final'!$O$52),"")</f>
        <v/>
      </c>
      <c r="W23" s="255" t="str">
        <f>IF(AND('Mapa final'!$Y$53="Alta",'Mapa final'!$AA$53="Moderado"),CONCATENATE("R8C",'Mapa final'!$O$53),"")</f>
        <v/>
      </c>
      <c r="X23" s="255" t="str">
        <f>IF(AND('Mapa final'!$Y$54="Alta",'Mapa final'!$AA$54="Moderado"),CONCATENATE("R8C",'Mapa final'!$O$54),"")</f>
        <v/>
      </c>
      <c r="Y23" s="255" t="str">
        <f>IF(AND('Mapa final'!$Y$55="Alta",'Mapa final'!$AA$55="Moderado"),CONCATENATE("R8C",'Mapa final'!$O$55),"")</f>
        <v/>
      </c>
      <c r="Z23" s="255" t="str">
        <f>IF(AND('Mapa final'!$Y$56="Alta",'Mapa final'!$AA$56="Moderado"),CONCATENATE("R8C",'Mapa final'!$O$56),"")</f>
        <v/>
      </c>
      <c r="AA23" s="256" t="str">
        <f>IF(AND('Mapa final'!$Y$57="Alta",'Mapa final'!$AA$57="Moderado"),CONCATENATE("R8C",'Mapa final'!$O$57),"")</f>
        <v/>
      </c>
      <c r="AB23" s="254" t="str">
        <f>IF(AND('Mapa final'!$Y$52="Alta",'Mapa final'!$AA$52="Mayor"),CONCATENATE("R8C",'Mapa final'!$O$52),"")</f>
        <v/>
      </c>
      <c r="AC23" s="255" t="str">
        <f>IF(AND('Mapa final'!$Y$53="Alta",'Mapa final'!$AA$53="Mayor"),CONCATENATE("R8C",'Mapa final'!$O$53),"")</f>
        <v/>
      </c>
      <c r="AD23" s="255" t="str">
        <f>IF(AND('Mapa final'!$Y$54="Alta",'Mapa final'!$AA$54="Mayor"),CONCATENATE("R8C",'Mapa final'!$O$54),"")</f>
        <v/>
      </c>
      <c r="AE23" s="255" t="str">
        <f>IF(AND('Mapa final'!$Y$55="Alta",'Mapa final'!$AA$55="Mayor"),CONCATENATE("R8C",'Mapa final'!$O$55),"")</f>
        <v/>
      </c>
      <c r="AF23" s="255" t="str">
        <f>IF(AND('Mapa final'!$Y$56="Alta",'Mapa final'!$AA$56="Mayor"),CONCATENATE("R8C",'Mapa final'!$O$56),"")</f>
        <v/>
      </c>
      <c r="AG23" s="256" t="str">
        <f>IF(AND('Mapa final'!$Y$57="Alta",'Mapa final'!$AA$57="Mayor"),CONCATENATE("R8C",'Mapa final'!$O$57),"")</f>
        <v/>
      </c>
      <c r="AH23" s="257" t="str">
        <f>IF(AND('Mapa final'!$Y$52="Alta",'Mapa final'!$AA$52="Catastrófico"),CONCATENATE("R8C",'Mapa final'!$O$52),"")</f>
        <v/>
      </c>
      <c r="AI23" s="258" t="str">
        <f>IF(AND('Mapa final'!$Y$53="Alta",'Mapa final'!$AA$53="Catastrófico"),CONCATENATE("R8C",'Mapa final'!$O$53),"")</f>
        <v/>
      </c>
      <c r="AJ23" s="258" t="str">
        <f>IF(AND('Mapa final'!$Y$54="Alta",'Mapa final'!$AA$54="Catastrófico"),CONCATENATE("R8C",'Mapa final'!$O$54),"")</f>
        <v/>
      </c>
      <c r="AK23" s="258" t="str">
        <f>IF(AND('Mapa final'!$Y$55="Alta",'Mapa final'!$AA$55="Catastrófico"),CONCATENATE("R8C",'Mapa final'!$O$55),"")</f>
        <v/>
      </c>
      <c r="AL23" s="258" t="str">
        <f>IF(AND('Mapa final'!$Y$56="Alta",'Mapa final'!$AA$56="Catastrófico"),CONCATENATE("R8C",'Mapa final'!$O$56),"")</f>
        <v/>
      </c>
      <c r="AM23" s="259" t="str">
        <f>IF(AND('Mapa final'!$Y$57="Alta",'Mapa final'!$AA$57="Catastrófico"),CONCATENATE("R8C",'Mapa final'!$O$57),"")</f>
        <v/>
      </c>
      <c r="AN23" s="15"/>
      <c r="AO23" s="824"/>
      <c r="AP23" s="825"/>
      <c r="AQ23" s="825"/>
      <c r="AR23" s="825"/>
      <c r="AS23" s="825"/>
      <c r="AT23" s="82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6"/>
      <c r="C24" s="716"/>
      <c r="D24" s="717"/>
      <c r="E24" s="805"/>
      <c r="F24" s="806"/>
      <c r="G24" s="806"/>
      <c r="H24" s="806"/>
      <c r="I24" s="806"/>
      <c r="J24" s="269" t="str">
        <f>IF(AND('Mapa final'!$Y$58="Alta",'Mapa final'!$AA$58="Leve"),CONCATENATE("R9C",'Mapa final'!$O$58),"")</f>
        <v/>
      </c>
      <c r="K24" s="270" t="str">
        <f>IF(AND('Mapa final'!$Y$59="Alta",'Mapa final'!$AA$59="Leve"),CONCATENATE("R9C",'Mapa final'!$O$59),"")</f>
        <v/>
      </c>
      <c r="L24" s="270" t="str">
        <f>IF(AND('Mapa final'!$Y$60="Alta",'Mapa final'!$AA$60="Leve"),CONCATENATE("R9C",'Mapa final'!$O$60),"")</f>
        <v/>
      </c>
      <c r="M24" s="270" t="str">
        <f>IF(AND('Mapa final'!$Y$61="Alta",'Mapa final'!$AA$61="Leve"),CONCATENATE("R9C",'Mapa final'!$O$61),"")</f>
        <v/>
      </c>
      <c r="N24" s="270" t="str">
        <f>IF(AND('Mapa final'!$Y$62="Alta",'Mapa final'!$AA$62="Leve"),CONCATENATE("R9C",'Mapa final'!$O$62),"")</f>
        <v/>
      </c>
      <c r="O24" s="271" t="str">
        <f>IF(AND('Mapa final'!$Y$63="Alta",'Mapa final'!$AA$63="Leve"),CONCATENATE("R9C",'Mapa final'!$O$63),"")</f>
        <v/>
      </c>
      <c r="P24" s="269" t="str">
        <f>IF(AND('Mapa final'!$Y$58="Alta",'Mapa final'!$AA$58="Menor"),CONCATENATE("R9C",'Mapa final'!$O$58),"")</f>
        <v/>
      </c>
      <c r="Q24" s="270" t="str">
        <f>IF(AND('Mapa final'!$Y$59="Alta",'Mapa final'!$AA$59="Menor"),CONCATENATE("R9C",'Mapa final'!$O$59),"")</f>
        <v/>
      </c>
      <c r="R24" s="270" t="str">
        <f>IF(AND('Mapa final'!$Y$60="Alta",'Mapa final'!$AA$60="Menor"),CONCATENATE("R9C",'Mapa final'!$O$60),"")</f>
        <v/>
      </c>
      <c r="S24" s="270" t="str">
        <f>IF(AND('Mapa final'!$Y$61="Alta",'Mapa final'!$AA$61="Menor"),CONCATENATE("R9C",'Mapa final'!$O$61),"")</f>
        <v/>
      </c>
      <c r="T24" s="270" t="str">
        <f>IF(AND('Mapa final'!$Y$62="Alta",'Mapa final'!$AA$62="Menor"),CONCATENATE("R9C",'Mapa final'!$O$62),"")</f>
        <v/>
      </c>
      <c r="U24" s="271" t="str">
        <f>IF(AND('Mapa final'!$Y$63="Alta",'Mapa final'!$AA$63="Menor"),CONCATENATE("R9C",'Mapa final'!$O$63),"")</f>
        <v/>
      </c>
      <c r="V24" s="254" t="str">
        <f>IF(AND('Mapa final'!$Y$58="Alta",'Mapa final'!$AA$58="Moderado"),CONCATENATE("R9C",'Mapa final'!$O$58),"")</f>
        <v/>
      </c>
      <c r="W24" s="255" t="str">
        <f>IF(AND('Mapa final'!$Y$59="Alta",'Mapa final'!$AA$59="Moderado"),CONCATENATE("R9C",'Mapa final'!$O$59),"")</f>
        <v/>
      </c>
      <c r="X24" s="255" t="str">
        <f>IF(AND('Mapa final'!$Y$60="Alta",'Mapa final'!$AA$60="Moderado"),CONCATENATE("R9C",'Mapa final'!$O$60),"")</f>
        <v/>
      </c>
      <c r="Y24" s="255" t="str">
        <f>IF(AND('Mapa final'!$Y$61="Alta",'Mapa final'!$AA$61="Moderado"),CONCATENATE("R9C",'Mapa final'!$O$61),"")</f>
        <v/>
      </c>
      <c r="Z24" s="255" t="str">
        <f>IF(AND('Mapa final'!$Y$62="Alta",'Mapa final'!$AA$62="Moderado"),CONCATENATE("R9C",'Mapa final'!$O$62),"")</f>
        <v/>
      </c>
      <c r="AA24" s="256" t="str">
        <f>IF(AND('Mapa final'!$Y$63="Alta",'Mapa final'!$AA$63="Moderado"),CONCATENATE("R9C",'Mapa final'!$O$63),"")</f>
        <v/>
      </c>
      <c r="AB24" s="254" t="str">
        <f>IF(AND('Mapa final'!$Y$58="Alta",'Mapa final'!$AA$58="Mayor"),CONCATENATE("R9C",'Mapa final'!$O$58),"")</f>
        <v/>
      </c>
      <c r="AC24" s="255" t="str">
        <f>IF(AND('Mapa final'!$Y$59="Alta",'Mapa final'!$AA$59="Mayor"),CONCATENATE("R9C",'Mapa final'!$O$59),"")</f>
        <v/>
      </c>
      <c r="AD24" s="255" t="str">
        <f>IF(AND('Mapa final'!$Y$60="Alta",'Mapa final'!$AA$60="Mayor"),CONCATENATE("R9C",'Mapa final'!$O$60),"")</f>
        <v/>
      </c>
      <c r="AE24" s="255" t="str">
        <f>IF(AND('Mapa final'!$Y$61="Alta",'Mapa final'!$AA$61="Mayor"),CONCATENATE("R9C",'Mapa final'!$O$61),"")</f>
        <v/>
      </c>
      <c r="AF24" s="255" t="str">
        <f>IF(AND('Mapa final'!$Y$62="Alta",'Mapa final'!$AA$62="Mayor"),CONCATENATE("R9C",'Mapa final'!$O$62),"")</f>
        <v/>
      </c>
      <c r="AG24" s="256" t="str">
        <f>IF(AND('Mapa final'!$Y$63="Alta",'Mapa final'!$AA$63="Mayor"),CONCATENATE("R9C",'Mapa final'!$O$63),"")</f>
        <v/>
      </c>
      <c r="AH24" s="257" t="str">
        <f>IF(AND('Mapa final'!$Y$58="Alta",'Mapa final'!$AA$58="Catastrófico"),CONCATENATE("R9C",'Mapa final'!$O$58),"")</f>
        <v/>
      </c>
      <c r="AI24" s="258" t="str">
        <f>IF(AND('Mapa final'!$Y$59="Alta",'Mapa final'!$AA$59="Catastrófico"),CONCATENATE("R9C",'Mapa final'!$O$59),"")</f>
        <v/>
      </c>
      <c r="AJ24" s="258" t="str">
        <f>IF(AND('Mapa final'!$Y$60="Alta",'Mapa final'!$AA$60="Catastrófico"),CONCATENATE("R9C",'Mapa final'!$O$60),"")</f>
        <v/>
      </c>
      <c r="AK24" s="258" t="str">
        <f>IF(AND('Mapa final'!$Y$61="Alta",'Mapa final'!$AA$61="Catastrófico"),CONCATENATE("R9C",'Mapa final'!$O$61),"")</f>
        <v/>
      </c>
      <c r="AL24" s="258" t="str">
        <f>IF(AND('Mapa final'!$Y$62="Alta",'Mapa final'!$AA$62="Catastrófico"),CONCATENATE("R9C",'Mapa final'!$O$62),"")</f>
        <v/>
      </c>
      <c r="AM24" s="259" t="str">
        <f>IF(AND('Mapa final'!$Y$63="Alta",'Mapa final'!$AA$63="Catastrófico"),CONCATENATE("R9C",'Mapa final'!$O$63),"")</f>
        <v/>
      </c>
      <c r="AN24" s="15"/>
      <c r="AO24" s="824"/>
      <c r="AP24" s="825"/>
      <c r="AQ24" s="825"/>
      <c r="AR24" s="825"/>
      <c r="AS24" s="825"/>
      <c r="AT24" s="82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6"/>
      <c r="C25" s="716"/>
      <c r="D25" s="717"/>
      <c r="E25" s="808"/>
      <c r="F25" s="809"/>
      <c r="G25" s="809"/>
      <c r="H25" s="809"/>
      <c r="I25" s="809"/>
      <c r="J25" s="272" t="str">
        <f>IF(AND('Mapa final'!$Y$64="Alta",'Mapa final'!$AA$64="Leve"),CONCATENATE("R10C",'Mapa final'!$O$64),"")</f>
        <v/>
      </c>
      <c r="K25" s="273" t="str">
        <f>IF(AND('Mapa final'!$Y$65="Alta",'Mapa final'!$AA$65="Leve"),CONCATENATE("R10C",'Mapa final'!$O$65),"")</f>
        <v/>
      </c>
      <c r="L25" s="273" t="str">
        <f>IF(AND('Mapa final'!$Y$66="Alta",'Mapa final'!$AA$66="Leve"),CONCATENATE("R10C",'Mapa final'!$O$66),"")</f>
        <v/>
      </c>
      <c r="M25" s="273" t="str">
        <f>IF(AND('Mapa final'!$Y$67="Alta",'Mapa final'!$AA$67="Leve"),CONCATENATE("R10C",'Mapa final'!$O$67),"")</f>
        <v/>
      </c>
      <c r="N25" s="273" t="str">
        <f>IF(AND('Mapa final'!$Y$68="Alta",'Mapa final'!$AA$68="Leve"),CONCATENATE("R10C",'Mapa final'!$O$68),"")</f>
        <v/>
      </c>
      <c r="O25" s="274" t="str">
        <f>IF(AND('Mapa final'!$Y$69="Alta",'Mapa final'!$AA$69="Leve"),CONCATENATE("R10C",'Mapa final'!$O$69),"")</f>
        <v/>
      </c>
      <c r="P25" s="272" t="str">
        <f>IF(AND('Mapa final'!$Y$64="Alta",'Mapa final'!$AA$64="Menor"),CONCATENATE("R10C",'Mapa final'!$O$64),"")</f>
        <v/>
      </c>
      <c r="Q25" s="273" t="str">
        <f>IF(AND('Mapa final'!$Y$65="Alta",'Mapa final'!$AA$65="Menor"),CONCATENATE("R10C",'Mapa final'!$O$65),"")</f>
        <v/>
      </c>
      <c r="R25" s="273" t="str">
        <f>IF(AND('Mapa final'!$Y$66="Alta",'Mapa final'!$AA$66="Menor"),CONCATENATE("R10C",'Mapa final'!$O$66),"")</f>
        <v/>
      </c>
      <c r="S25" s="273" t="str">
        <f>IF(AND('Mapa final'!$Y$67="Alta",'Mapa final'!$AA$67="Menor"),CONCATENATE("R10C",'Mapa final'!$O$67),"")</f>
        <v/>
      </c>
      <c r="T25" s="273" t="str">
        <f>IF(AND('Mapa final'!$Y$68="Alta",'Mapa final'!$AA$68="Menor"),CONCATENATE("R10C",'Mapa final'!$O$68),"")</f>
        <v/>
      </c>
      <c r="U25" s="274" t="str">
        <f>IF(AND('Mapa final'!$Y$69="Alta",'Mapa final'!$AA$69="Menor"),CONCATENATE("R10C",'Mapa final'!$O$69),"")</f>
        <v/>
      </c>
      <c r="V25" s="260" t="str">
        <f>IF(AND('Mapa final'!$Y$64="Alta",'Mapa final'!$AA$64="Moderado"),CONCATENATE("R10C",'Mapa final'!$O$64),"")</f>
        <v/>
      </c>
      <c r="W25" s="261" t="str">
        <f>IF(AND('Mapa final'!$Y$65="Alta",'Mapa final'!$AA$65="Moderado"),CONCATENATE("R10C",'Mapa final'!$O$65),"")</f>
        <v/>
      </c>
      <c r="X25" s="261" t="str">
        <f>IF(AND('Mapa final'!$Y$66="Alta",'Mapa final'!$AA$66="Moderado"),CONCATENATE("R10C",'Mapa final'!$O$66),"")</f>
        <v/>
      </c>
      <c r="Y25" s="261" t="str">
        <f>IF(AND('Mapa final'!$Y$67="Alta",'Mapa final'!$AA$67="Moderado"),CONCATENATE("R10C",'Mapa final'!$O$67),"")</f>
        <v/>
      </c>
      <c r="Z25" s="261" t="str">
        <f>IF(AND('Mapa final'!$Y$68="Alta",'Mapa final'!$AA$68="Moderado"),CONCATENATE("R10C",'Mapa final'!$O$68),"")</f>
        <v/>
      </c>
      <c r="AA25" s="262" t="str">
        <f>IF(AND('Mapa final'!$Y$69="Alta",'Mapa final'!$AA$69="Moderado"),CONCATENATE("R10C",'Mapa final'!$O$69),"")</f>
        <v/>
      </c>
      <c r="AB25" s="260" t="str">
        <f>IF(AND('Mapa final'!$Y$64="Alta",'Mapa final'!$AA$64="Mayor"),CONCATENATE("R10C",'Mapa final'!$O$64),"")</f>
        <v/>
      </c>
      <c r="AC25" s="261" t="str">
        <f>IF(AND('Mapa final'!$Y$65="Alta",'Mapa final'!$AA$65="Mayor"),CONCATENATE("R10C",'Mapa final'!$O$65),"")</f>
        <v/>
      </c>
      <c r="AD25" s="261" t="str">
        <f>IF(AND('Mapa final'!$Y$66="Alta",'Mapa final'!$AA$66="Mayor"),CONCATENATE("R10C",'Mapa final'!$O$66),"")</f>
        <v/>
      </c>
      <c r="AE25" s="261" t="str">
        <f>IF(AND('Mapa final'!$Y$67="Alta",'Mapa final'!$AA$67="Mayor"),CONCATENATE("R10C",'Mapa final'!$O$67),"")</f>
        <v/>
      </c>
      <c r="AF25" s="261" t="str">
        <f>IF(AND('Mapa final'!$Y$68="Alta",'Mapa final'!$AA$68="Mayor"),CONCATENATE("R10C",'Mapa final'!$O$68),"")</f>
        <v/>
      </c>
      <c r="AG25" s="262" t="str">
        <f>IF(AND('Mapa final'!$Y$69="Alta",'Mapa final'!$AA$69="Mayor"),CONCATENATE("R10C",'Mapa final'!$O$69),"")</f>
        <v/>
      </c>
      <c r="AH25" s="263" t="str">
        <f>IF(AND('Mapa final'!$Y$64="Alta",'Mapa final'!$AA$64="Catastrófico"),CONCATENATE("R10C",'Mapa final'!$O$64),"")</f>
        <v/>
      </c>
      <c r="AI25" s="264" t="str">
        <f>IF(AND('Mapa final'!$Y$65="Alta",'Mapa final'!$AA$65="Catastrófico"),CONCATENATE("R10C",'Mapa final'!$O$65),"")</f>
        <v/>
      </c>
      <c r="AJ25" s="264" t="str">
        <f>IF(AND('Mapa final'!$Y$66="Alta",'Mapa final'!$AA$66="Catastrófico"),CONCATENATE("R10C",'Mapa final'!$O$66),"")</f>
        <v/>
      </c>
      <c r="AK25" s="264" t="str">
        <f>IF(AND('Mapa final'!$Y$67="Alta",'Mapa final'!$AA$67="Catastrófico"),CONCATENATE("R10C",'Mapa final'!$O$67),"")</f>
        <v/>
      </c>
      <c r="AL25" s="264" t="str">
        <f>IF(AND('Mapa final'!$Y$68="Alta",'Mapa final'!$AA$68="Catastrófico"),CONCATENATE("R10C",'Mapa final'!$O$68),"")</f>
        <v/>
      </c>
      <c r="AM25" s="265" t="str">
        <f>IF(AND('Mapa final'!$Y$69="Alta",'Mapa final'!$AA$69="Catastrófico"),CONCATENATE("R10C",'Mapa final'!$O$69),"")</f>
        <v/>
      </c>
      <c r="AN25" s="15"/>
      <c r="AO25" s="827"/>
      <c r="AP25" s="828"/>
      <c r="AQ25" s="828"/>
      <c r="AR25" s="828"/>
      <c r="AS25" s="828"/>
      <c r="AT25" s="82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6"/>
      <c r="C26" s="716"/>
      <c r="D26" s="717"/>
      <c r="E26" s="802" t="s">
        <v>193</v>
      </c>
      <c r="F26" s="803"/>
      <c r="G26" s="803"/>
      <c r="H26" s="803"/>
      <c r="I26" s="804"/>
      <c r="J26" s="266" t="str">
        <f>IF(AND('Mapa final'!$Y$10="Media",'Mapa final'!$AA$10="Leve"),CONCATENATE("R1C",'Mapa final'!$O$10),"")</f>
        <v/>
      </c>
      <c r="K26" s="267" t="str">
        <f>IF(AND('Mapa final'!$Y$11="Media",'Mapa final'!$AA$11="Leve"),CONCATENATE("R1C",'Mapa final'!$O$11),"")</f>
        <v/>
      </c>
      <c r="L26" s="267" t="str">
        <f>IF(AND('Mapa final'!$Y$12="Media",'Mapa final'!$AA$12="Leve"),CONCATENATE("R1C",'Mapa final'!$O$12),"")</f>
        <v/>
      </c>
      <c r="M26" s="267" t="str">
        <f>IF(AND('Mapa final'!$Y$13="Media",'Mapa final'!$AA$13="Leve"),CONCATENATE("R1C",'Mapa final'!$O$13),"")</f>
        <v/>
      </c>
      <c r="N26" s="267" t="str">
        <f>IF(AND('Mapa final'!$Y$14="Media",'Mapa final'!$AA$14="Leve"),CONCATENATE("R1C",'Mapa final'!$O$14),"")</f>
        <v/>
      </c>
      <c r="O26" s="268" t="str">
        <f>IF(AND('Mapa final'!$Y$15="Media",'Mapa final'!$AA$15="Leve"),CONCATENATE("R1C",'Mapa final'!$O$15),"")</f>
        <v/>
      </c>
      <c r="P26" s="266" t="str">
        <f>IF(AND('Mapa final'!$Y$10="Media",'Mapa final'!$AA$10="Menor"),CONCATENATE("R1C",'Mapa final'!$O$10),"")</f>
        <v/>
      </c>
      <c r="Q26" s="267" t="str">
        <f>IF(AND('Mapa final'!$Y$11="Media",'Mapa final'!$AA$11="Menor"),CONCATENATE("R1C",'Mapa final'!$O$11),"")</f>
        <v/>
      </c>
      <c r="R26" s="267" t="str">
        <f>IF(AND('Mapa final'!$Y$12="Media",'Mapa final'!$AA$12="Menor"),CONCATENATE("R1C",'Mapa final'!$O$12),"")</f>
        <v/>
      </c>
      <c r="S26" s="267" t="str">
        <f>IF(AND('Mapa final'!$Y$13="Media",'Mapa final'!$AA$13="Menor"),CONCATENATE("R1C",'Mapa final'!$O$13),"")</f>
        <v/>
      </c>
      <c r="T26" s="267" t="str">
        <f>IF(AND('Mapa final'!$Y$14="Media",'Mapa final'!$AA$14="Menor"),CONCATENATE("R1C",'Mapa final'!$O$14),"")</f>
        <v/>
      </c>
      <c r="U26" s="268" t="str">
        <f>IF(AND('Mapa final'!$Y$15="Media",'Mapa final'!$AA$15="Menor"),CONCATENATE("R1C",'Mapa final'!$O$15),"")</f>
        <v/>
      </c>
      <c r="V26" s="266" t="str">
        <f>IF(AND('Mapa final'!$Y$10="Media",'Mapa final'!$AA$10="Moderado"),CONCATENATE("R1C",'Mapa final'!$O$10),"")</f>
        <v/>
      </c>
      <c r="W26" s="267" t="str">
        <f>IF(AND('Mapa final'!$Y$11="Media",'Mapa final'!$AA$11="Moderado"),CONCATENATE("R1C",'Mapa final'!$O$11),"")</f>
        <v/>
      </c>
      <c r="X26" s="267" t="str">
        <f>IF(AND('Mapa final'!$Y$12="Media",'Mapa final'!$AA$12="Moderado"),CONCATENATE("R1C",'Mapa final'!$O$12),"")</f>
        <v/>
      </c>
      <c r="Y26" s="267" t="str">
        <f>IF(AND('Mapa final'!$Y$13="Media",'Mapa final'!$AA$13="Moderado"),CONCATENATE("R1C",'Mapa final'!$O$13),"")</f>
        <v/>
      </c>
      <c r="Z26" s="267" t="str">
        <f>IF(AND('Mapa final'!$Y$14="Media",'Mapa final'!$AA$14="Moderado"),CONCATENATE("R1C",'Mapa final'!$O$14),"")</f>
        <v/>
      </c>
      <c r="AA26" s="268" t="str">
        <f>IF(AND('Mapa final'!$Y$15="Media",'Mapa final'!$AA$15="Moderado"),CONCATENATE("R1C",'Mapa final'!$O$15),"")</f>
        <v/>
      </c>
      <c r="AB26" s="248" t="str">
        <f>IF(AND('Mapa final'!$Y$10="Media",'Mapa final'!$AA$10="Mayor"),CONCATENATE("R1C",'Mapa final'!$O$10),"")</f>
        <v/>
      </c>
      <c r="AC26" s="249" t="str">
        <f>IF(AND('Mapa final'!$Y$11="Media",'Mapa final'!$AA$11="Mayor"),CONCATENATE("R1C",'Mapa final'!$O$11),"")</f>
        <v/>
      </c>
      <c r="AD26" s="249" t="str">
        <f>IF(AND('Mapa final'!$Y$12="Media",'Mapa final'!$AA$12="Mayor"),CONCATENATE("R1C",'Mapa final'!$O$12),"")</f>
        <v/>
      </c>
      <c r="AE26" s="249" t="str">
        <f>IF(AND('Mapa final'!$Y$13="Media",'Mapa final'!$AA$13="Mayor"),CONCATENATE("R1C",'Mapa final'!$O$13),"")</f>
        <v/>
      </c>
      <c r="AF26" s="249" t="str">
        <f>IF(AND('Mapa final'!$Y$14="Media",'Mapa final'!$AA$14="Mayor"),CONCATENATE("R1C",'Mapa final'!$O$14),"")</f>
        <v/>
      </c>
      <c r="AG26" s="250" t="str">
        <f>IF(AND('Mapa final'!$Y$15="Media",'Mapa final'!$AA$15="Mayor"),CONCATENATE("R1C",'Mapa final'!$O$15),"")</f>
        <v/>
      </c>
      <c r="AH26" s="251" t="str">
        <f>IF(AND('Mapa final'!$Y$10="Media",'Mapa final'!$AA$10="Catastrófico"),CONCATENATE("R1C",'Mapa final'!$O$10),"")</f>
        <v/>
      </c>
      <c r="AI26" s="252" t="str">
        <f>IF(AND('Mapa final'!$Y$11="Media",'Mapa final'!$AA$11="Catastrófico"),CONCATENATE("R1C",'Mapa final'!$O$11),"")</f>
        <v/>
      </c>
      <c r="AJ26" s="252" t="str">
        <f>IF(AND('Mapa final'!$Y$12="Media",'Mapa final'!$AA$12="Catastrófico"),CONCATENATE("R1C",'Mapa final'!$O$12),"")</f>
        <v/>
      </c>
      <c r="AK26" s="252" t="str">
        <f>IF(AND('Mapa final'!$Y$13="Media",'Mapa final'!$AA$13="Catastrófico"),CONCATENATE("R1C",'Mapa final'!$O$13),"")</f>
        <v/>
      </c>
      <c r="AL26" s="252" t="str">
        <f>IF(AND('Mapa final'!$Y$14="Media",'Mapa final'!$AA$14="Catastrófico"),CONCATENATE("R1C",'Mapa final'!$O$14),"")</f>
        <v/>
      </c>
      <c r="AM26" s="253" t="str">
        <f>IF(AND('Mapa final'!$Y$15="Media",'Mapa final'!$AA$15="Catastrófico"),CONCATENATE("R1C",'Mapa final'!$O$15),"")</f>
        <v/>
      </c>
      <c r="AN26" s="15"/>
      <c r="AO26" s="830" t="s">
        <v>194</v>
      </c>
      <c r="AP26" s="831"/>
      <c r="AQ26" s="831"/>
      <c r="AR26" s="831"/>
      <c r="AS26" s="831"/>
      <c r="AT26" s="8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6"/>
      <c r="C27" s="716"/>
      <c r="D27" s="717"/>
      <c r="E27" s="820"/>
      <c r="F27" s="806"/>
      <c r="G27" s="806"/>
      <c r="H27" s="806"/>
      <c r="I27" s="807"/>
      <c r="J27" s="269" t="str">
        <f>IF(AND('Mapa final'!$Y$16="Media",'Mapa final'!$AA$16="Leve"),CONCATENATE("R2C",'Mapa final'!$O$16),"")</f>
        <v/>
      </c>
      <c r="K27" s="270" t="str">
        <f>IF(AND('Mapa final'!$Y$17="Media",'Mapa final'!$AA$17="Leve"),CONCATENATE("R2C",'Mapa final'!$O$17),"")</f>
        <v/>
      </c>
      <c r="L27" s="270" t="str">
        <f>IF(AND('Mapa final'!$Y$18="Media",'Mapa final'!$AA$18="Leve"),CONCATENATE("R2C",'Mapa final'!$O$18),"")</f>
        <v/>
      </c>
      <c r="M27" s="270" t="str">
        <f>IF(AND('Mapa final'!$Y$19="Media",'Mapa final'!$AA$19="Leve"),CONCATENATE("R2C",'Mapa final'!$O$19),"")</f>
        <v/>
      </c>
      <c r="N27" s="270" t="str">
        <f>IF(AND('Mapa final'!$Y$20="Media",'Mapa final'!$AA$20="Leve"),CONCATENATE("R2C",'Mapa final'!$O$20),"")</f>
        <v/>
      </c>
      <c r="O27" s="271" t="str">
        <f>IF(AND('Mapa final'!$Y$21="Media",'Mapa final'!$AA$21="Leve"),CONCATENATE("R2C",'Mapa final'!$O$21),"")</f>
        <v/>
      </c>
      <c r="P27" s="269" t="str">
        <f>IF(AND('Mapa final'!$Y$16="Media",'Mapa final'!$AA$16="Menor"),CONCATENATE("R2C",'Mapa final'!$O$16),"")</f>
        <v/>
      </c>
      <c r="Q27" s="270" t="str">
        <f>IF(AND('Mapa final'!$Y$17="Media",'Mapa final'!$AA$17="Menor"),CONCATENATE("R2C",'Mapa final'!$O$17),"")</f>
        <v/>
      </c>
      <c r="R27" s="270" t="str">
        <f>IF(AND('Mapa final'!$Y$18="Media",'Mapa final'!$AA$18="Menor"),CONCATENATE("R2C",'Mapa final'!$O$18),"")</f>
        <v/>
      </c>
      <c r="S27" s="270" t="str">
        <f>IF(AND('Mapa final'!$Y$19="Media",'Mapa final'!$AA$19="Menor"),CONCATENATE("R2C",'Mapa final'!$O$19),"")</f>
        <v/>
      </c>
      <c r="T27" s="270" t="str">
        <f>IF(AND('Mapa final'!$Y$20="Media",'Mapa final'!$AA$20="Menor"),CONCATENATE("R2C",'Mapa final'!$O$20),"")</f>
        <v/>
      </c>
      <c r="U27" s="271" t="str">
        <f>IF(AND('Mapa final'!$Y$21="Media",'Mapa final'!$AA$21="Menor"),CONCATENATE("R2C",'Mapa final'!$O$21),"")</f>
        <v/>
      </c>
      <c r="V27" s="269" t="str">
        <f>IF(AND('Mapa final'!$Y$16="Media",'Mapa final'!$AA$16="Moderado"),CONCATENATE("R2C",'Mapa final'!$O$16),"")</f>
        <v/>
      </c>
      <c r="W27" s="270" t="str">
        <f>IF(AND('Mapa final'!$Y$17="Media",'Mapa final'!$AA$17="Moderado"),CONCATENATE("R2C",'Mapa final'!$O$17),"")</f>
        <v/>
      </c>
      <c r="X27" s="270" t="str">
        <f>IF(AND('Mapa final'!$Y$18="Media",'Mapa final'!$AA$18="Moderado"),CONCATENATE("R2C",'Mapa final'!$O$18),"")</f>
        <v/>
      </c>
      <c r="Y27" s="270" t="str">
        <f>IF(AND('Mapa final'!$Y$19="Media",'Mapa final'!$AA$19="Moderado"),CONCATENATE("R2C",'Mapa final'!$O$19),"")</f>
        <v/>
      </c>
      <c r="Z27" s="270" t="str">
        <f>IF(AND('Mapa final'!$Y$20="Media",'Mapa final'!$AA$20="Moderado"),CONCATENATE("R2C",'Mapa final'!$O$20),"")</f>
        <v/>
      </c>
      <c r="AA27" s="271" t="str">
        <f>IF(AND('Mapa final'!$Y$21="Media",'Mapa final'!$AA$21="Moderado"),CONCATENATE("R2C",'Mapa final'!$O$21),"")</f>
        <v/>
      </c>
      <c r="AB27" s="254" t="str">
        <f>IF(AND('Mapa final'!$Y$16="Media",'Mapa final'!$AA$16="Mayor"),CONCATENATE("R2C",'Mapa final'!$O$16),"")</f>
        <v/>
      </c>
      <c r="AC27" s="255" t="str">
        <f>IF(AND('Mapa final'!$Y$17="Media",'Mapa final'!$AA$17="Mayor"),CONCATENATE("R2C",'Mapa final'!$O$17),"")</f>
        <v/>
      </c>
      <c r="AD27" s="255" t="str">
        <f>IF(AND('Mapa final'!$Y$18="Media",'Mapa final'!$AA$18="Mayor"),CONCATENATE("R2C",'Mapa final'!$O$18),"")</f>
        <v/>
      </c>
      <c r="AE27" s="255" t="str">
        <f>IF(AND('Mapa final'!$Y$19="Media",'Mapa final'!$AA$19="Mayor"),CONCATENATE("R2C",'Mapa final'!$O$19),"")</f>
        <v/>
      </c>
      <c r="AF27" s="255" t="str">
        <f>IF(AND('Mapa final'!$Y$20="Media",'Mapa final'!$AA$20="Mayor"),CONCATENATE("R2C",'Mapa final'!$O$20),"")</f>
        <v/>
      </c>
      <c r="AG27" s="256" t="str">
        <f>IF(AND('Mapa final'!$Y$21="Media",'Mapa final'!$AA$21="Mayor"),CONCATENATE("R2C",'Mapa final'!$O$21),"")</f>
        <v/>
      </c>
      <c r="AH27" s="257" t="str">
        <f>IF(AND('Mapa final'!$Y$16="Media",'Mapa final'!$AA$16="Catastrófico"),CONCATENATE("R2C",'Mapa final'!$O$16),"")</f>
        <v/>
      </c>
      <c r="AI27" s="258" t="str">
        <f>IF(AND('Mapa final'!$Y$17="Media",'Mapa final'!$AA$17="Catastrófico"),CONCATENATE("R2C",'Mapa final'!$O$17),"")</f>
        <v/>
      </c>
      <c r="AJ27" s="258" t="str">
        <f>IF(AND('Mapa final'!$Y$18="Media",'Mapa final'!$AA$18="Catastrófico"),CONCATENATE("R2C",'Mapa final'!$O$18),"")</f>
        <v/>
      </c>
      <c r="AK27" s="258" t="str">
        <f>IF(AND('Mapa final'!$Y$19="Media",'Mapa final'!$AA$19="Catastrófico"),CONCATENATE("R2C",'Mapa final'!$O$19),"")</f>
        <v/>
      </c>
      <c r="AL27" s="258" t="str">
        <f>IF(AND('Mapa final'!$Y$20="Media",'Mapa final'!$AA$20="Catastrófico"),CONCATENATE("R2C",'Mapa final'!$O$20),"")</f>
        <v/>
      </c>
      <c r="AM27" s="259" t="str">
        <f>IF(AND('Mapa final'!$Y$21="Media",'Mapa final'!$AA$21="Catastrófico"),CONCATENATE("R2C",'Mapa final'!$O$21),"")</f>
        <v/>
      </c>
      <c r="AN27" s="15"/>
      <c r="AO27" s="833"/>
      <c r="AP27" s="834"/>
      <c r="AQ27" s="834"/>
      <c r="AR27" s="834"/>
      <c r="AS27" s="834"/>
      <c r="AT27" s="83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6"/>
      <c r="C28" s="716"/>
      <c r="D28" s="717"/>
      <c r="E28" s="805"/>
      <c r="F28" s="806"/>
      <c r="G28" s="806"/>
      <c r="H28" s="806"/>
      <c r="I28" s="807"/>
      <c r="J28" s="269" t="str">
        <f>IF(AND('Mapa final'!$Y$22="Media",'Mapa final'!$AA$22="Leve"),CONCATENATE("R3C",'Mapa final'!$O$22),"")</f>
        <v/>
      </c>
      <c r="K28" s="270" t="str">
        <f>IF(AND('Mapa final'!$Y$23="Media",'Mapa final'!$AA$23="Leve"),CONCATENATE("R3C",'Mapa final'!$O$23),"")</f>
        <v/>
      </c>
      <c r="L28" s="270" t="str">
        <f>IF(AND('Mapa final'!$Y$24="Media",'Mapa final'!$AA$24="Leve"),CONCATENATE("R3C",'Mapa final'!$O$24),"")</f>
        <v/>
      </c>
      <c r="M28" s="270" t="str">
        <f>IF(AND('Mapa final'!$Y$25="Media",'Mapa final'!$AA$25="Leve"),CONCATENATE("R3C",'Mapa final'!$O$25),"")</f>
        <v/>
      </c>
      <c r="N28" s="270" t="str">
        <f>IF(AND('Mapa final'!$Y$26="Media",'Mapa final'!$AA$26="Leve"),CONCATENATE("R3C",'Mapa final'!$O$26),"")</f>
        <v/>
      </c>
      <c r="O28" s="271" t="str">
        <f>IF(AND('Mapa final'!$Y$27="Media",'Mapa final'!$AA$27="Leve"),CONCATENATE("R3C",'Mapa final'!$O$27),"")</f>
        <v/>
      </c>
      <c r="P28" s="269" t="str">
        <f>IF(AND('Mapa final'!$Y$22="Media",'Mapa final'!$AA$22="Menor"),CONCATENATE("R3C",'Mapa final'!$O$22),"")</f>
        <v/>
      </c>
      <c r="Q28" s="270" t="str">
        <f>IF(AND('Mapa final'!$Y$23="Media",'Mapa final'!$AA$23="Menor"),CONCATENATE("R3C",'Mapa final'!$O$23),"")</f>
        <v/>
      </c>
      <c r="R28" s="270" t="str">
        <f>IF(AND('Mapa final'!$Y$24="Media",'Mapa final'!$AA$24="Menor"),CONCATENATE("R3C",'Mapa final'!$O$24),"")</f>
        <v/>
      </c>
      <c r="S28" s="270" t="str">
        <f>IF(AND('Mapa final'!$Y$25="Media",'Mapa final'!$AA$25="Menor"),CONCATENATE("R3C",'Mapa final'!$O$25),"")</f>
        <v/>
      </c>
      <c r="T28" s="270" t="str">
        <f>IF(AND('Mapa final'!$Y$26="Media",'Mapa final'!$AA$26="Menor"),CONCATENATE("R3C",'Mapa final'!$O$26),"")</f>
        <v/>
      </c>
      <c r="U28" s="271" t="str">
        <f>IF(AND('Mapa final'!$Y$27="Media",'Mapa final'!$AA$27="Menor"),CONCATENATE("R3C",'Mapa final'!$O$27),"")</f>
        <v/>
      </c>
      <c r="V28" s="269" t="str">
        <f>IF(AND('Mapa final'!$Y$22="Media",'Mapa final'!$AA$22="Moderado"),CONCATENATE("R3C",'Mapa final'!$O$22),"")</f>
        <v/>
      </c>
      <c r="W28" s="270" t="str">
        <f>IF(AND('Mapa final'!$Y$23="Media",'Mapa final'!$AA$23="Moderado"),CONCATENATE("R3C",'Mapa final'!$O$23),"")</f>
        <v/>
      </c>
      <c r="X28" s="270" t="str">
        <f>IF(AND('Mapa final'!$Y$24="Media",'Mapa final'!$AA$24="Moderado"),CONCATENATE("R3C",'Mapa final'!$O$24),"")</f>
        <v/>
      </c>
      <c r="Y28" s="270" t="str">
        <f>IF(AND('Mapa final'!$Y$25="Media",'Mapa final'!$AA$25="Moderado"),CONCATENATE("R3C",'Mapa final'!$O$25),"")</f>
        <v/>
      </c>
      <c r="Z28" s="270" t="str">
        <f>IF(AND('Mapa final'!$Y$26="Media",'Mapa final'!$AA$26="Moderado"),CONCATENATE("R3C",'Mapa final'!$O$26),"")</f>
        <v/>
      </c>
      <c r="AA28" s="271" t="str">
        <f>IF(AND('Mapa final'!$Y$27="Media",'Mapa final'!$AA$27="Moderado"),CONCATENATE("R3C",'Mapa final'!$O$27),"")</f>
        <v/>
      </c>
      <c r="AB28" s="254" t="str">
        <f>IF(AND('Mapa final'!$Y$22="Media",'Mapa final'!$AA$22="Mayor"),CONCATENATE("R3C",'Mapa final'!$O$22),"")</f>
        <v/>
      </c>
      <c r="AC28" s="255" t="str">
        <f>IF(AND('Mapa final'!$Y$23="Media",'Mapa final'!$AA$23="Mayor"),CONCATENATE("R3C",'Mapa final'!$O$23),"")</f>
        <v/>
      </c>
      <c r="AD28" s="255" t="str">
        <f>IF(AND('Mapa final'!$Y$24="Media",'Mapa final'!$AA$24="Mayor"),CONCATENATE("R3C",'Mapa final'!$O$24),"")</f>
        <v/>
      </c>
      <c r="AE28" s="255" t="str">
        <f>IF(AND('Mapa final'!$Y$25="Media",'Mapa final'!$AA$25="Mayor"),CONCATENATE("R3C",'Mapa final'!$O$25),"")</f>
        <v/>
      </c>
      <c r="AF28" s="255" t="str">
        <f>IF(AND('Mapa final'!$Y$26="Media",'Mapa final'!$AA$26="Mayor"),CONCATENATE("R3C",'Mapa final'!$O$26),"")</f>
        <v/>
      </c>
      <c r="AG28" s="256" t="str">
        <f>IF(AND('Mapa final'!$Y$27="Media",'Mapa final'!$AA$27="Mayor"),CONCATENATE("R3C",'Mapa final'!$O$27),"")</f>
        <v/>
      </c>
      <c r="AH28" s="257" t="str">
        <f>IF(AND('Mapa final'!$Y$22="Media",'Mapa final'!$AA$22="Catastrófico"),CONCATENATE("R3C",'Mapa final'!$O$22),"")</f>
        <v/>
      </c>
      <c r="AI28" s="258" t="str">
        <f>IF(AND('Mapa final'!$Y$23="Media",'Mapa final'!$AA$23="Catastrófico"),CONCATENATE("R3C",'Mapa final'!$O$23),"")</f>
        <v/>
      </c>
      <c r="AJ28" s="258" t="str">
        <f>IF(AND('Mapa final'!$Y$24="Media",'Mapa final'!$AA$24="Catastrófico"),CONCATENATE("R3C",'Mapa final'!$O$24),"")</f>
        <v/>
      </c>
      <c r="AK28" s="258" t="str">
        <f>IF(AND('Mapa final'!$Y$25="Media",'Mapa final'!$AA$25="Catastrófico"),CONCATENATE("R3C",'Mapa final'!$O$25),"")</f>
        <v/>
      </c>
      <c r="AL28" s="258" t="str">
        <f>IF(AND('Mapa final'!$Y$26="Media",'Mapa final'!$AA$26="Catastrófico"),CONCATENATE("R3C",'Mapa final'!$O$26),"")</f>
        <v/>
      </c>
      <c r="AM28" s="259" t="str">
        <f>IF(AND('Mapa final'!$Y$27="Media",'Mapa final'!$AA$27="Catastrófico"),CONCATENATE("R3C",'Mapa final'!$O$27),"")</f>
        <v/>
      </c>
      <c r="AN28" s="15"/>
      <c r="AO28" s="833"/>
      <c r="AP28" s="834"/>
      <c r="AQ28" s="834"/>
      <c r="AR28" s="834"/>
      <c r="AS28" s="834"/>
      <c r="AT28" s="83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6"/>
      <c r="C29" s="716"/>
      <c r="D29" s="717"/>
      <c r="E29" s="805"/>
      <c r="F29" s="806"/>
      <c r="G29" s="806"/>
      <c r="H29" s="806"/>
      <c r="I29" s="807"/>
      <c r="J29" s="269" t="str">
        <f>IF(AND('Mapa final'!$Y$28="Media",'Mapa final'!$AA$28="Leve"),CONCATENATE("R4C",'Mapa final'!$O$28),"")</f>
        <v/>
      </c>
      <c r="K29" s="270" t="str">
        <f>IF(AND('Mapa final'!$Y$29="Media",'Mapa final'!$AA$29="Leve"),CONCATENATE("R4C",'Mapa final'!$O$29),"")</f>
        <v/>
      </c>
      <c r="L29" s="270" t="str">
        <f>IF(AND('Mapa final'!$Y$30="Media",'Mapa final'!$AA$30="Leve"),CONCATENATE("R4C",'Mapa final'!$O$30),"")</f>
        <v/>
      </c>
      <c r="M29" s="270" t="str">
        <f>IF(AND('Mapa final'!$Y$31="Media",'Mapa final'!$AA$31="Leve"),CONCATENATE("R4C",'Mapa final'!$O$31),"")</f>
        <v/>
      </c>
      <c r="N29" s="270" t="str">
        <f>IF(AND('Mapa final'!$Y$32="Media",'Mapa final'!$AA$32="Leve"),CONCATENATE("R4C",'Mapa final'!$O$32),"")</f>
        <v/>
      </c>
      <c r="O29" s="271" t="str">
        <f>IF(AND('Mapa final'!$Y$33="Media",'Mapa final'!$AA$33="Leve"),CONCATENATE("R4C",'Mapa final'!$O$33),"")</f>
        <v/>
      </c>
      <c r="P29" s="269" t="str">
        <f>IF(AND('Mapa final'!$Y$28="Media",'Mapa final'!$AA$28="Menor"),CONCATENATE("R4C",'Mapa final'!$O$28),"")</f>
        <v/>
      </c>
      <c r="Q29" s="270" t="str">
        <f>IF(AND('Mapa final'!$Y$29="Media",'Mapa final'!$AA$29="Menor"),CONCATENATE("R4C",'Mapa final'!$O$29),"")</f>
        <v/>
      </c>
      <c r="R29" s="270" t="str">
        <f>IF(AND('Mapa final'!$Y$30="Media",'Mapa final'!$AA$30="Menor"),CONCATENATE("R4C",'Mapa final'!$O$30),"")</f>
        <v/>
      </c>
      <c r="S29" s="270" t="str">
        <f>IF(AND('Mapa final'!$Y$31="Media",'Mapa final'!$AA$31="Menor"),CONCATENATE("R4C",'Mapa final'!$O$31),"")</f>
        <v/>
      </c>
      <c r="T29" s="270" t="str">
        <f>IF(AND('Mapa final'!$Y$32="Media",'Mapa final'!$AA$32="Menor"),CONCATENATE("R4C",'Mapa final'!$O$32),"")</f>
        <v/>
      </c>
      <c r="U29" s="271" t="str">
        <f>IF(AND('Mapa final'!$Y$33="Media",'Mapa final'!$AA$33="Menor"),CONCATENATE("R4C",'Mapa final'!$O$33),"")</f>
        <v/>
      </c>
      <c r="V29" s="269" t="str">
        <f>IF(AND('Mapa final'!$Y$28="Media",'Mapa final'!$AA$28="Moderado"),CONCATENATE("R4C",'Mapa final'!$O$28),"")</f>
        <v/>
      </c>
      <c r="W29" s="270" t="str">
        <f>IF(AND('Mapa final'!$Y$29="Media",'Mapa final'!$AA$29="Moderado"),CONCATENATE("R4C",'Mapa final'!$O$29),"")</f>
        <v/>
      </c>
      <c r="X29" s="270" t="str">
        <f>IF(AND('Mapa final'!$Y$30="Media",'Mapa final'!$AA$30="Moderado"),CONCATENATE("R4C",'Mapa final'!$O$30),"")</f>
        <v/>
      </c>
      <c r="Y29" s="270" t="str">
        <f>IF(AND('Mapa final'!$Y$31="Media",'Mapa final'!$AA$31="Moderado"),CONCATENATE("R4C",'Mapa final'!$O$31),"")</f>
        <v/>
      </c>
      <c r="Z29" s="270" t="str">
        <f>IF(AND('Mapa final'!$Y$32="Media",'Mapa final'!$AA$32="Moderado"),CONCATENATE("R4C",'Mapa final'!$O$32),"")</f>
        <v/>
      </c>
      <c r="AA29" s="271" t="str">
        <f>IF(AND('Mapa final'!$Y$33="Media",'Mapa final'!$AA$33="Moderado"),CONCATENATE("R4C",'Mapa final'!$O$33),"")</f>
        <v/>
      </c>
      <c r="AB29" s="254" t="str">
        <f>IF(AND('Mapa final'!$Y$28="Media",'Mapa final'!$AA$28="Mayor"),CONCATENATE("R4C",'Mapa final'!$O$28),"")</f>
        <v/>
      </c>
      <c r="AC29" s="255" t="str">
        <f>IF(AND('Mapa final'!$Y$29="Media",'Mapa final'!$AA$29="Mayor"),CONCATENATE("R4C",'Mapa final'!$O$29),"")</f>
        <v/>
      </c>
      <c r="AD29" s="255" t="str">
        <f>IF(AND('Mapa final'!$Y$30="Media",'Mapa final'!$AA$30="Mayor"),CONCATENATE("R4C",'Mapa final'!$O$30),"")</f>
        <v/>
      </c>
      <c r="AE29" s="255" t="str">
        <f>IF(AND('Mapa final'!$Y$31="Media",'Mapa final'!$AA$31="Mayor"),CONCATENATE("R4C",'Mapa final'!$O$31),"")</f>
        <v/>
      </c>
      <c r="AF29" s="255" t="str">
        <f>IF(AND('Mapa final'!$Y$32="Media",'Mapa final'!$AA$32="Mayor"),CONCATENATE("R4C",'Mapa final'!$O$32),"")</f>
        <v/>
      </c>
      <c r="AG29" s="256" t="str">
        <f>IF(AND('Mapa final'!$Y$33="Media",'Mapa final'!$AA$33="Mayor"),CONCATENATE("R4C",'Mapa final'!$O$33),"")</f>
        <v/>
      </c>
      <c r="AH29" s="257" t="str">
        <f>IF(AND('Mapa final'!$Y$28="Media",'Mapa final'!$AA$28="Catastrófico"),CONCATENATE("R4C",'Mapa final'!$O$28),"")</f>
        <v/>
      </c>
      <c r="AI29" s="258" t="str">
        <f>IF(AND('Mapa final'!$Y$29="Media",'Mapa final'!$AA$29="Catastrófico"),CONCATENATE("R4C",'Mapa final'!$O$29),"")</f>
        <v/>
      </c>
      <c r="AJ29" s="258" t="str">
        <f>IF(AND('Mapa final'!$Y$30="Media",'Mapa final'!$AA$30="Catastrófico"),CONCATENATE("R4C",'Mapa final'!$O$30),"")</f>
        <v/>
      </c>
      <c r="AK29" s="258" t="str">
        <f>IF(AND('Mapa final'!$Y$31="Media",'Mapa final'!$AA$31="Catastrófico"),CONCATENATE("R4C",'Mapa final'!$O$31),"")</f>
        <v/>
      </c>
      <c r="AL29" s="258" t="str">
        <f>IF(AND('Mapa final'!$Y$32="Media",'Mapa final'!$AA$32="Catastrófico"),CONCATENATE("R4C",'Mapa final'!$O$32),"")</f>
        <v/>
      </c>
      <c r="AM29" s="259" t="str">
        <f>IF(AND('Mapa final'!$Y$33="Media",'Mapa final'!$AA$33="Catastrófico"),CONCATENATE("R4C",'Mapa final'!$O$33),"")</f>
        <v/>
      </c>
      <c r="AN29" s="15"/>
      <c r="AO29" s="833"/>
      <c r="AP29" s="834"/>
      <c r="AQ29" s="834"/>
      <c r="AR29" s="834"/>
      <c r="AS29" s="834"/>
      <c r="AT29" s="8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6"/>
      <c r="C30" s="716"/>
      <c r="D30" s="717"/>
      <c r="E30" s="805"/>
      <c r="F30" s="806"/>
      <c r="G30" s="806"/>
      <c r="H30" s="806"/>
      <c r="I30" s="807"/>
      <c r="J30" s="269" t="str">
        <f>IF(AND('Mapa final'!$Y$34="Media",'Mapa final'!$AA$34="Leve"),CONCATENATE("R5C",'Mapa final'!$O$34),"")</f>
        <v/>
      </c>
      <c r="K30" s="270" t="str">
        <f>IF(AND('Mapa final'!$Y$35="Media",'Mapa final'!$AA$35="Leve"),CONCATENATE("R5C",'Mapa final'!$O$35),"")</f>
        <v/>
      </c>
      <c r="L30" s="270" t="str">
        <f>IF(AND('Mapa final'!$Y$36="Media",'Mapa final'!$AA$36="Leve"),CONCATENATE("R5C",'Mapa final'!$O$36),"")</f>
        <v/>
      </c>
      <c r="M30" s="270" t="str">
        <f>IF(AND('Mapa final'!$Y$37="Media",'Mapa final'!$AA$37="Leve"),CONCATENATE("R5C",'Mapa final'!$O$37),"")</f>
        <v/>
      </c>
      <c r="N30" s="270" t="str">
        <f>IF(AND('Mapa final'!$Y$38="Media",'Mapa final'!$AA$38="Leve"),CONCATENATE("R5C",'Mapa final'!$O$38),"")</f>
        <v/>
      </c>
      <c r="O30" s="271" t="str">
        <f>IF(AND('Mapa final'!$Y$39="Media",'Mapa final'!$AA$39="Leve"),CONCATENATE("R5C",'Mapa final'!$O$39),"")</f>
        <v/>
      </c>
      <c r="P30" s="269" t="str">
        <f>IF(AND('Mapa final'!$Y$34="Media",'Mapa final'!$AA$34="Menor"),CONCATENATE("R5C",'Mapa final'!$O$34),"")</f>
        <v/>
      </c>
      <c r="Q30" s="270" t="str">
        <f>IF(AND('Mapa final'!$Y$35="Media",'Mapa final'!$AA$35="Menor"),CONCATENATE("R5C",'Mapa final'!$O$35),"")</f>
        <v/>
      </c>
      <c r="R30" s="270" t="str">
        <f>IF(AND('Mapa final'!$Y$36="Media",'Mapa final'!$AA$36="Menor"),CONCATENATE("R5C",'Mapa final'!$O$36),"")</f>
        <v/>
      </c>
      <c r="S30" s="270" t="str">
        <f>IF(AND('Mapa final'!$Y$37="Media",'Mapa final'!$AA$37="Menor"),CONCATENATE("R5C",'Mapa final'!$O$37),"")</f>
        <v/>
      </c>
      <c r="T30" s="270" t="str">
        <f>IF(AND('Mapa final'!$Y$38="Media",'Mapa final'!$AA$38="Menor"),CONCATENATE("R5C",'Mapa final'!$O$38),"")</f>
        <v/>
      </c>
      <c r="U30" s="271" t="str">
        <f>IF(AND('Mapa final'!$Y$39="Media",'Mapa final'!$AA$39="Menor"),CONCATENATE("R5C",'Mapa final'!$O$39),"")</f>
        <v/>
      </c>
      <c r="V30" s="269" t="str">
        <f>IF(AND('Mapa final'!$Y$34="Media",'Mapa final'!$AA$34="Moderado"),CONCATENATE("R5C",'Mapa final'!$O$34),"")</f>
        <v/>
      </c>
      <c r="W30" s="270" t="str">
        <f>IF(AND('Mapa final'!$Y$35="Media",'Mapa final'!$AA$35="Moderado"),CONCATENATE("R5C",'Mapa final'!$O$35),"")</f>
        <v/>
      </c>
      <c r="X30" s="270" t="str">
        <f>IF(AND('Mapa final'!$Y$36="Media",'Mapa final'!$AA$36="Moderado"),CONCATENATE("R5C",'Mapa final'!$O$36),"")</f>
        <v/>
      </c>
      <c r="Y30" s="270" t="str">
        <f>IF(AND('Mapa final'!$Y$37="Media",'Mapa final'!$AA$37="Moderado"),CONCATENATE("R5C",'Mapa final'!$O$37),"")</f>
        <v/>
      </c>
      <c r="Z30" s="270" t="str">
        <f>IF(AND('Mapa final'!$Y$38="Media",'Mapa final'!$AA$38="Moderado"),CONCATENATE("R5C",'Mapa final'!$O$38),"")</f>
        <v/>
      </c>
      <c r="AA30" s="271" t="str">
        <f>IF(AND('Mapa final'!$Y$39="Media",'Mapa final'!$AA$39="Moderado"),CONCATENATE("R5C",'Mapa final'!$O$39),"")</f>
        <v/>
      </c>
      <c r="AB30" s="254" t="str">
        <f>IF(AND('Mapa final'!$Y$34="Media",'Mapa final'!$AA$34="Mayor"),CONCATENATE("R5C",'Mapa final'!$O$34),"")</f>
        <v/>
      </c>
      <c r="AC30" s="255" t="str">
        <f>IF(AND('Mapa final'!$Y$35="Media",'Mapa final'!$AA$35="Mayor"),CONCATENATE("R5C",'Mapa final'!$O$35),"")</f>
        <v/>
      </c>
      <c r="AD30" s="255" t="str">
        <f>IF(AND('Mapa final'!$Y$36="Media",'Mapa final'!$AA$36="Mayor"),CONCATENATE("R5C",'Mapa final'!$O$36),"")</f>
        <v/>
      </c>
      <c r="AE30" s="255" t="str">
        <f>IF(AND('Mapa final'!$Y$37="Media",'Mapa final'!$AA$37="Mayor"),CONCATENATE("R5C",'Mapa final'!$O$37),"")</f>
        <v/>
      </c>
      <c r="AF30" s="255" t="str">
        <f>IF(AND('Mapa final'!$Y$38="Media",'Mapa final'!$AA$38="Mayor"),CONCATENATE("R5C",'Mapa final'!$O$38),"")</f>
        <v/>
      </c>
      <c r="AG30" s="256" t="str">
        <f>IF(AND('Mapa final'!$Y$39="Media",'Mapa final'!$AA$39="Mayor"),CONCATENATE("R5C",'Mapa final'!$O$39),"")</f>
        <v/>
      </c>
      <c r="AH30" s="257" t="str">
        <f>IF(AND('Mapa final'!$Y$34="Media",'Mapa final'!$AA$34="Catastrófico"),CONCATENATE("R5C",'Mapa final'!$O$34),"")</f>
        <v/>
      </c>
      <c r="AI30" s="258" t="str">
        <f>IF(AND('Mapa final'!$Y$35="Media",'Mapa final'!$AA$35="Catastrófico"),CONCATENATE("R5C",'Mapa final'!$O$35),"")</f>
        <v/>
      </c>
      <c r="AJ30" s="258" t="str">
        <f>IF(AND('Mapa final'!$Y$36="Media",'Mapa final'!$AA$36="Catastrófico"),CONCATENATE("R5C",'Mapa final'!$O$36),"")</f>
        <v/>
      </c>
      <c r="AK30" s="258" t="str">
        <f>IF(AND('Mapa final'!$Y$37="Media",'Mapa final'!$AA$37="Catastrófico"),CONCATENATE("R5C",'Mapa final'!$O$37),"")</f>
        <v/>
      </c>
      <c r="AL30" s="258" t="str">
        <f>IF(AND('Mapa final'!$Y$38="Media",'Mapa final'!$AA$38="Catastrófico"),CONCATENATE("R5C",'Mapa final'!$O$38),"")</f>
        <v/>
      </c>
      <c r="AM30" s="259" t="str">
        <f>IF(AND('Mapa final'!$Y$39="Media",'Mapa final'!$AA$39="Catastrófico"),CONCATENATE("R5C",'Mapa final'!$O$39),"")</f>
        <v/>
      </c>
      <c r="AN30" s="15"/>
      <c r="AO30" s="833"/>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6"/>
      <c r="C31" s="716"/>
      <c r="D31" s="717"/>
      <c r="E31" s="805"/>
      <c r="F31" s="806"/>
      <c r="G31" s="806"/>
      <c r="H31" s="806"/>
      <c r="I31" s="807"/>
      <c r="J31" s="269" t="str">
        <f>IF(AND('Mapa final'!$Y$40="Media",'Mapa final'!$AA$40="Leve"),CONCATENATE("R6C",'Mapa final'!$O$40),"")</f>
        <v/>
      </c>
      <c r="K31" s="270" t="str">
        <f>IF(AND('Mapa final'!$Y$41="Media",'Mapa final'!$AA$41="Leve"),CONCATENATE("R6C",'Mapa final'!$O$41),"")</f>
        <v/>
      </c>
      <c r="L31" s="270" t="str">
        <f>IF(AND('Mapa final'!$Y$42="Media",'Mapa final'!$AA$42="Leve"),CONCATENATE("R6C",'Mapa final'!$O$42),"")</f>
        <v/>
      </c>
      <c r="M31" s="270" t="str">
        <f>IF(AND('Mapa final'!$Y$43="Media",'Mapa final'!$AA$43="Leve"),CONCATENATE("R6C",'Mapa final'!$O$43),"")</f>
        <v/>
      </c>
      <c r="N31" s="270" t="str">
        <f>IF(AND('Mapa final'!$Y$44="Media",'Mapa final'!$AA$44="Leve"),CONCATENATE("R6C",'Mapa final'!$O$44),"")</f>
        <v/>
      </c>
      <c r="O31" s="271" t="str">
        <f>IF(AND('Mapa final'!$Y$45="Media",'Mapa final'!$AA$45="Leve"),CONCATENATE("R6C",'Mapa final'!$O$45),"")</f>
        <v/>
      </c>
      <c r="P31" s="269" t="str">
        <f>IF(AND('Mapa final'!$Y$40="Media",'Mapa final'!$AA$40="Menor"),CONCATENATE("R6C",'Mapa final'!$O$40),"")</f>
        <v/>
      </c>
      <c r="Q31" s="270" t="str">
        <f>IF(AND('Mapa final'!$Y$41="Media",'Mapa final'!$AA$41="Menor"),CONCATENATE("R6C",'Mapa final'!$O$41),"")</f>
        <v/>
      </c>
      <c r="R31" s="270" t="str">
        <f>IF(AND('Mapa final'!$Y$42="Media",'Mapa final'!$AA$42="Menor"),CONCATENATE("R6C",'Mapa final'!$O$42),"")</f>
        <v/>
      </c>
      <c r="S31" s="270" t="str">
        <f>IF(AND('Mapa final'!$Y$43="Media",'Mapa final'!$AA$43="Menor"),CONCATENATE("R6C",'Mapa final'!$O$43),"")</f>
        <v/>
      </c>
      <c r="T31" s="270" t="str">
        <f>IF(AND('Mapa final'!$Y$44="Media",'Mapa final'!$AA$44="Menor"),CONCATENATE("R6C",'Mapa final'!$O$44),"")</f>
        <v/>
      </c>
      <c r="U31" s="271" t="str">
        <f>IF(AND('Mapa final'!$Y$45="Media",'Mapa final'!$AA$45="Menor"),CONCATENATE("R6C",'Mapa final'!$O$45),"")</f>
        <v/>
      </c>
      <c r="V31" s="269" t="str">
        <f>IF(AND('Mapa final'!$Y$40="Media",'Mapa final'!$AA$40="Moderado"),CONCATENATE("R6C",'Mapa final'!$O$40),"")</f>
        <v/>
      </c>
      <c r="W31" s="270" t="str">
        <f>IF(AND('Mapa final'!$Y$41="Media",'Mapa final'!$AA$41="Moderado"),CONCATENATE("R6C",'Mapa final'!$O$41),"")</f>
        <v/>
      </c>
      <c r="X31" s="270" t="str">
        <f>IF(AND('Mapa final'!$Y$42="Media",'Mapa final'!$AA$42="Moderado"),CONCATENATE("R6C",'Mapa final'!$O$42),"")</f>
        <v/>
      </c>
      <c r="Y31" s="270" t="str">
        <f>IF(AND('Mapa final'!$Y$43="Media",'Mapa final'!$AA$43="Moderado"),CONCATENATE("R6C",'Mapa final'!$O$43),"")</f>
        <v/>
      </c>
      <c r="Z31" s="270" t="str">
        <f>IF(AND('Mapa final'!$Y$44="Media",'Mapa final'!$AA$44="Moderado"),CONCATENATE("R6C",'Mapa final'!$O$44),"")</f>
        <v/>
      </c>
      <c r="AA31" s="271" t="str">
        <f>IF(AND('Mapa final'!$Y$45="Media",'Mapa final'!$AA$45="Moderado"),CONCATENATE("R6C",'Mapa final'!$O$45),"")</f>
        <v/>
      </c>
      <c r="AB31" s="254" t="str">
        <f>IF(AND('Mapa final'!$Y$40="Media",'Mapa final'!$AA$40="Mayor"),CONCATENATE("R6C",'Mapa final'!$O$40),"")</f>
        <v/>
      </c>
      <c r="AC31" s="255" t="str">
        <f>IF(AND('Mapa final'!$Y$41="Media",'Mapa final'!$AA$41="Mayor"),CONCATENATE("R6C",'Mapa final'!$O$41),"")</f>
        <v/>
      </c>
      <c r="AD31" s="255" t="str">
        <f>IF(AND('Mapa final'!$Y$42="Media",'Mapa final'!$AA$42="Mayor"),CONCATENATE("R6C",'Mapa final'!$O$42),"")</f>
        <v/>
      </c>
      <c r="AE31" s="255" t="str">
        <f>IF(AND('Mapa final'!$Y$43="Media",'Mapa final'!$AA$43="Mayor"),CONCATENATE("R6C",'Mapa final'!$O$43),"")</f>
        <v/>
      </c>
      <c r="AF31" s="255" t="str">
        <f>IF(AND('Mapa final'!$Y$44="Media",'Mapa final'!$AA$44="Mayor"),CONCATENATE("R6C",'Mapa final'!$O$44),"")</f>
        <v/>
      </c>
      <c r="AG31" s="256" t="str">
        <f>IF(AND('Mapa final'!$Y$45="Media",'Mapa final'!$AA$45="Mayor"),CONCATENATE("R6C",'Mapa final'!$O$45),"")</f>
        <v/>
      </c>
      <c r="AH31" s="257" t="str">
        <f>IF(AND('Mapa final'!$Y$40="Media",'Mapa final'!$AA$40="Catastrófico"),CONCATENATE("R6C",'Mapa final'!$O$40),"")</f>
        <v/>
      </c>
      <c r="AI31" s="258" t="str">
        <f>IF(AND('Mapa final'!$Y$41="Media",'Mapa final'!$AA$41="Catastrófico"),CONCATENATE("R6C",'Mapa final'!$O$41),"")</f>
        <v/>
      </c>
      <c r="AJ31" s="258" t="str">
        <f>IF(AND('Mapa final'!$Y$42="Media",'Mapa final'!$AA$42="Catastrófico"),CONCATENATE("R6C",'Mapa final'!$O$42),"")</f>
        <v/>
      </c>
      <c r="AK31" s="258" t="str">
        <f>IF(AND('Mapa final'!$Y$43="Media",'Mapa final'!$AA$43="Catastrófico"),CONCATENATE("R6C",'Mapa final'!$O$43),"")</f>
        <v/>
      </c>
      <c r="AL31" s="258" t="str">
        <f>IF(AND('Mapa final'!$Y$44="Media",'Mapa final'!$AA$44="Catastrófico"),CONCATENATE("R6C",'Mapa final'!$O$44),"")</f>
        <v/>
      </c>
      <c r="AM31" s="259" t="str">
        <f>IF(AND('Mapa final'!$Y$45="Media",'Mapa final'!$AA$45="Catastrófico"),CONCATENATE("R6C",'Mapa final'!$O$45),"")</f>
        <v/>
      </c>
      <c r="AN31" s="15"/>
      <c r="AO31" s="833"/>
      <c r="AP31" s="834"/>
      <c r="AQ31" s="834"/>
      <c r="AR31" s="834"/>
      <c r="AS31" s="834"/>
      <c r="AT31" s="83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6"/>
      <c r="C32" s="716"/>
      <c r="D32" s="717"/>
      <c r="E32" s="805"/>
      <c r="F32" s="806"/>
      <c r="G32" s="806"/>
      <c r="H32" s="806"/>
      <c r="I32" s="807"/>
      <c r="J32" s="269" t="str">
        <f>IF(AND('Mapa final'!$Y$46="Media",'Mapa final'!$AA$46="Leve"),CONCATENATE("R7C",'Mapa final'!$O$46),"")</f>
        <v/>
      </c>
      <c r="K32" s="270" t="str">
        <f>IF(AND('Mapa final'!$Y$47="Media",'Mapa final'!$AA$47="Leve"),CONCATENATE("R7C",'Mapa final'!$O$47),"")</f>
        <v/>
      </c>
      <c r="L32" s="270" t="str">
        <f>IF(AND('Mapa final'!$Y$48="Media",'Mapa final'!$AA$48="Leve"),CONCATENATE("R7C",'Mapa final'!$O$48),"")</f>
        <v/>
      </c>
      <c r="M32" s="270" t="str">
        <f>IF(AND('Mapa final'!$Y$49="Media",'Mapa final'!$AA$49="Leve"),CONCATENATE("R7C",'Mapa final'!$O$49),"")</f>
        <v/>
      </c>
      <c r="N32" s="270" t="str">
        <f>IF(AND('Mapa final'!$Y$50="Media",'Mapa final'!$AA$50="Leve"),CONCATENATE("R7C",'Mapa final'!$O$50),"")</f>
        <v/>
      </c>
      <c r="O32" s="271" t="str">
        <f>IF(AND('Mapa final'!$Y$51="Media",'Mapa final'!$AA$51="Leve"),CONCATENATE("R7C",'Mapa final'!$O$51),"")</f>
        <v/>
      </c>
      <c r="P32" s="269" t="str">
        <f>IF(AND('Mapa final'!$Y$46="Media",'Mapa final'!$AA$46="Menor"),CONCATENATE("R7C",'Mapa final'!$O$46),"")</f>
        <v/>
      </c>
      <c r="Q32" s="270" t="str">
        <f>IF(AND('Mapa final'!$Y$47="Media",'Mapa final'!$AA$47="Menor"),CONCATENATE("R7C",'Mapa final'!$O$47),"")</f>
        <v/>
      </c>
      <c r="R32" s="270" t="str">
        <f>IF(AND('Mapa final'!$Y$48="Media",'Mapa final'!$AA$48="Menor"),CONCATENATE("R7C",'Mapa final'!$O$48),"")</f>
        <v/>
      </c>
      <c r="S32" s="270" t="str">
        <f>IF(AND('Mapa final'!$Y$49="Media",'Mapa final'!$AA$49="Menor"),CONCATENATE("R7C",'Mapa final'!$O$49),"")</f>
        <v/>
      </c>
      <c r="T32" s="270" t="str">
        <f>IF(AND('Mapa final'!$Y$50="Media",'Mapa final'!$AA$50="Menor"),CONCATENATE("R7C",'Mapa final'!$O$50),"")</f>
        <v/>
      </c>
      <c r="U32" s="271" t="str">
        <f>IF(AND('Mapa final'!$Y$51="Media",'Mapa final'!$AA$51="Menor"),CONCATENATE("R7C",'Mapa final'!$O$51),"")</f>
        <v/>
      </c>
      <c r="V32" s="269" t="str">
        <f>IF(AND('Mapa final'!$Y$46="Media",'Mapa final'!$AA$46="Moderado"),CONCATENATE("R7C",'Mapa final'!$O$46),"")</f>
        <v/>
      </c>
      <c r="W32" s="270" t="str">
        <f>IF(AND('Mapa final'!$Y$47="Media",'Mapa final'!$AA$47="Moderado"),CONCATENATE("R7C",'Mapa final'!$O$47),"")</f>
        <v/>
      </c>
      <c r="X32" s="270" t="str">
        <f>IF(AND('Mapa final'!$Y$48="Media",'Mapa final'!$AA$48="Moderado"),CONCATENATE("R7C",'Mapa final'!$O$48),"")</f>
        <v/>
      </c>
      <c r="Y32" s="270" t="str">
        <f>IF(AND('Mapa final'!$Y$49="Media",'Mapa final'!$AA$49="Moderado"),CONCATENATE("R7C",'Mapa final'!$O$49),"")</f>
        <v/>
      </c>
      <c r="Z32" s="270" t="str">
        <f>IF(AND('Mapa final'!$Y$50="Media",'Mapa final'!$AA$50="Moderado"),CONCATENATE("R7C",'Mapa final'!$O$50),"")</f>
        <v/>
      </c>
      <c r="AA32" s="271" t="str">
        <f>IF(AND('Mapa final'!$Y$51="Media",'Mapa final'!$AA$51="Moderado"),CONCATENATE("R7C",'Mapa final'!$O$51),"")</f>
        <v/>
      </c>
      <c r="AB32" s="254" t="str">
        <f>IF(AND('Mapa final'!$Y$46="Media",'Mapa final'!$AA$46="Mayor"),CONCATENATE("R7C",'Mapa final'!$O$46),"")</f>
        <v/>
      </c>
      <c r="AC32" s="255" t="str">
        <f>IF(AND('Mapa final'!$Y$47="Media",'Mapa final'!$AA$47="Mayor"),CONCATENATE("R7C",'Mapa final'!$O$47),"")</f>
        <v/>
      </c>
      <c r="AD32" s="255" t="str">
        <f>IF(AND('Mapa final'!$Y$48="Media",'Mapa final'!$AA$48="Mayor"),CONCATENATE("R7C",'Mapa final'!$O$48),"")</f>
        <v/>
      </c>
      <c r="AE32" s="255" t="str">
        <f>IF(AND('Mapa final'!$Y$49="Media",'Mapa final'!$AA$49="Mayor"),CONCATENATE("R7C",'Mapa final'!$O$49),"")</f>
        <v/>
      </c>
      <c r="AF32" s="255" t="str">
        <f>IF(AND('Mapa final'!$Y$50="Media",'Mapa final'!$AA$50="Mayor"),CONCATENATE("R7C",'Mapa final'!$O$50),"")</f>
        <v/>
      </c>
      <c r="AG32" s="256" t="str">
        <f>IF(AND('Mapa final'!$Y$51="Media",'Mapa final'!$AA$51="Mayor"),CONCATENATE("R7C",'Mapa final'!$O$51),"")</f>
        <v/>
      </c>
      <c r="AH32" s="257" t="str">
        <f>IF(AND('Mapa final'!$Y$46="Media",'Mapa final'!$AA$46="Catastrófico"),CONCATENATE("R7C",'Mapa final'!$O$46),"")</f>
        <v/>
      </c>
      <c r="AI32" s="258" t="str">
        <f>IF(AND('Mapa final'!$Y$47="Media",'Mapa final'!$AA$47="Catastrófico"),CONCATENATE("R7C",'Mapa final'!$O$47),"")</f>
        <v/>
      </c>
      <c r="AJ32" s="258" t="str">
        <f>IF(AND('Mapa final'!$Y$48="Media",'Mapa final'!$AA$48="Catastrófico"),CONCATENATE("R7C",'Mapa final'!$O$48),"")</f>
        <v/>
      </c>
      <c r="AK32" s="258" t="str">
        <f>IF(AND('Mapa final'!$Y$49="Media",'Mapa final'!$AA$49="Catastrófico"),CONCATENATE("R7C",'Mapa final'!$O$49),"")</f>
        <v/>
      </c>
      <c r="AL32" s="258" t="str">
        <f>IF(AND('Mapa final'!$Y$50="Media",'Mapa final'!$AA$50="Catastrófico"),CONCATENATE("R7C",'Mapa final'!$O$50),"")</f>
        <v/>
      </c>
      <c r="AM32" s="259" t="str">
        <f>IF(AND('Mapa final'!$Y$51="Media",'Mapa final'!$AA$51="Catastrófico"),CONCATENATE("R7C",'Mapa final'!$O$51),"")</f>
        <v/>
      </c>
      <c r="AN32" s="15"/>
      <c r="AO32" s="833"/>
      <c r="AP32" s="834"/>
      <c r="AQ32" s="834"/>
      <c r="AR32" s="834"/>
      <c r="AS32" s="834"/>
      <c r="AT32" s="83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6"/>
      <c r="C33" s="716"/>
      <c r="D33" s="717"/>
      <c r="E33" s="805"/>
      <c r="F33" s="806"/>
      <c r="G33" s="806"/>
      <c r="H33" s="806"/>
      <c r="I33" s="807"/>
      <c r="J33" s="269" t="str">
        <f>IF(AND('Mapa final'!$Y$52="Media",'Mapa final'!$AA$52="Leve"),CONCATENATE("R8C",'Mapa final'!$O$52),"")</f>
        <v/>
      </c>
      <c r="K33" s="270" t="str">
        <f>IF(AND('Mapa final'!$Y$53="Media",'Mapa final'!$AA$53="Leve"),CONCATENATE("R8C",'Mapa final'!$O$53),"")</f>
        <v/>
      </c>
      <c r="L33" s="270" t="str">
        <f>IF(AND('Mapa final'!$Y$54="Media",'Mapa final'!$AA$54="Leve"),CONCATENATE("R8C",'Mapa final'!$O$54),"")</f>
        <v/>
      </c>
      <c r="M33" s="270" t="str">
        <f>IF(AND('Mapa final'!$Y$55="Media",'Mapa final'!$AA$55="Leve"),CONCATENATE("R8C",'Mapa final'!$O$55),"")</f>
        <v/>
      </c>
      <c r="N33" s="270" t="str">
        <f>IF(AND('Mapa final'!$Y$56="Media",'Mapa final'!$AA$56="Leve"),CONCATENATE("R8C",'Mapa final'!$O$56),"")</f>
        <v/>
      </c>
      <c r="O33" s="271" t="str">
        <f>IF(AND('Mapa final'!$Y$57="Media",'Mapa final'!$AA$57="Leve"),CONCATENATE("R8C",'Mapa final'!$O$57),"")</f>
        <v/>
      </c>
      <c r="P33" s="269" t="str">
        <f>IF(AND('Mapa final'!$Y$52="Media",'Mapa final'!$AA$52="Menor"),CONCATENATE("R8C",'Mapa final'!$O$52),"")</f>
        <v/>
      </c>
      <c r="Q33" s="270" t="str">
        <f>IF(AND('Mapa final'!$Y$53="Media",'Mapa final'!$AA$53="Menor"),CONCATENATE("R8C",'Mapa final'!$O$53),"")</f>
        <v/>
      </c>
      <c r="R33" s="270" t="str">
        <f>IF(AND('Mapa final'!$Y$54="Media",'Mapa final'!$AA$54="Menor"),CONCATENATE("R8C",'Mapa final'!$O$54),"")</f>
        <v/>
      </c>
      <c r="S33" s="270" t="str">
        <f>IF(AND('Mapa final'!$Y$55="Media",'Mapa final'!$AA$55="Menor"),CONCATENATE("R8C",'Mapa final'!$O$55),"")</f>
        <v/>
      </c>
      <c r="T33" s="270" t="str">
        <f>IF(AND('Mapa final'!$Y$56="Media",'Mapa final'!$AA$56="Menor"),CONCATENATE("R8C",'Mapa final'!$O$56),"")</f>
        <v/>
      </c>
      <c r="U33" s="271" t="str">
        <f>IF(AND('Mapa final'!$Y$57="Media",'Mapa final'!$AA$57="Menor"),CONCATENATE("R8C",'Mapa final'!$O$57),"")</f>
        <v/>
      </c>
      <c r="V33" s="269" t="str">
        <f>IF(AND('Mapa final'!$Y$52="Media",'Mapa final'!$AA$52="Moderado"),CONCATENATE("R8C",'Mapa final'!$O$52),"")</f>
        <v/>
      </c>
      <c r="W33" s="270" t="str">
        <f>IF(AND('Mapa final'!$Y$53="Media",'Mapa final'!$AA$53="Moderado"),CONCATENATE("R8C",'Mapa final'!$O$53),"")</f>
        <v/>
      </c>
      <c r="X33" s="270" t="str">
        <f>IF(AND('Mapa final'!$Y$54="Media",'Mapa final'!$AA$54="Moderado"),CONCATENATE("R8C",'Mapa final'!$O$54),"")</f>
        <v/>
      </c>
      <c r="Y33" s="270" t="str">
        <f>IF(AND('Mapa final'!$Y$55="Media",'Mapa final'!$AA$55="Moderado"),CONCATENATE("R8C",'Mapa final'!$O$55),"")</f>
        <v/>
      </c>
      <c r="Z33" s="270" t="str">
        <f>IF(AND('Mapa final'!$Y$56="Media",'Mapa final'!$AA$56="Moderado"),CONCATENATE("R8C",'Mapa final'!$O$56),"")</f>
        <v/>
      </c>
      <c r="AA33" s="271" t="str">
        <f>IF(AND('Mapa final'!$Y$57="Media",'Mapa final'!$AA$57="Moderado"),CONCATENATE("R8C",'Mapa final'!$O$57),"")</f>
        <v/>
      </c>
      <c r="AB33" s="254" t="str">
        <f>IF(AND('Mapa final'!$Y$52="Media",'Mapa final'!$AA$52="Mayor"),CONCATENATE("R8C",'Mapa final'!$O$52),"")</f>
        <v/>
      </c>
      <c r="AC33" s="255" t="str">
        <f>IF(AND('Mapa final'!$Y$53="Media",'Mapa final'!$AA$53="Mayor"),CONCATENATE("R8C",'Mapa final'!$O$53),"")</f>
        <v/>
      </c>
      <c r="AD33" s="255" t="str">
        <f>IF(AND('Mapa final'!$Y$54="Media",'Mapa final'!$AA$54="Mayor"),CONCATENATE("R8C",'Mapa final'!$O$54),"")</f>
        <v/>
      </c>
      <c r="AE33" s="255" t="str">
        <f>IF(AND('Mapa final'!$Y$55="Media",'Mapa final'!$AA$55="Mayor"),CONCATENATE("R8C",'Mapa final'!$O$55),"")</f>
        <v/>
      </c>
      <c r="AF33" s="255" t="str">
        <f>IF(AND('Mapa final'!$Y$56="Media",'Mapa final'!$AA$56="Mayor"),CONCATENATE("R8C",'Mapa final'!$O$56),"")</f>
        <v/>
      </c>
      <c r="AG33" s="256" t="str">
        <f>IF(AND('Mapa final'!$Y$57="Media",'Mapa final'!$AA$57="Mayor"),CONCATENATE("R8C",'Mapa final'!$O$57),"")</f>
        <v/>
      </c>
      <c r="AH33" s="257" t="str">
        <f>IF(AND('Mapa final'!$Y$52="Media",'Mapa final'!$AA$52="Catastrófico"),CONCATENATE("R8C",'Mapa final'!$O$52),"")</f>
        <v/>
      </c>
      <c r="AI33" s="258" t="str">
        <f>IF(AND('Mapa final'!$Y$53="Media",'Mapa final'!$AA$53="Catastrófico"),CONCATENATE("R8C",'Mapa final'!$O$53),"")</f>
        <v/>
      </c>
      <c r="AJ33" s="258" t="str">
        <f>IF(AND('Mapa final'!$Y$54="Media",'Mapa final'!$AA$54="Catastrófico"),CONCATENATE("R8C",'Mapa final'!$O$54),"")</f>
        <v/>
      </c>
      <c r="AK33" s="258" t="str">
        <f>IF(AND('Mapa final'!$Y$55="Media",'Mapa final'!$AA$55="Catastrófico"),CONCATENATE("R8C",'Mapa final'!$O$55),"")</f>
        <v/>
      </c>
      <c r="AL33" s="258" t="str">
        <f>IF(AND('Mapa final'!$Y$56="Media",'Mapa final'!$AA$56="Catastrófico"),CONCATENATE("R8C",'Mapa final'!$O$56),"")</f>
        <v/>
      </c>
      <c r="AM33" s="259" t="str">
        <f>IF(AND('Mapa final'!$Y$57="Media",'Mapa final'!$AA$57="Catastrófico"),CONCATENATE("R8C",'Mapa final'!$O$57),"")</f>
        <v/>
      </c>
      <c r="AN33" s="15"/>
      <c r="AO33" s="833"/>
      <c r="AP33" s="834"/>
      <c r="AQ33" s="834"/>
      <c r="AR33" s="834"/>
      <c r="AS33" s="834"/>
      <c r="AT33" s="83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6"/>
      <c r="C34" s="716"/>
      <c r="D34" s="717"/>
      <c r="E34" s="805"/>
      <c r="F34" s="806"/>
      <c r="G34" s="806"/>
      <c r="H34" s="806"/>
      <c r="I34" s="807"/>
      <c r="J34" s="269" t="str">
        <f>IF(AND('Mapa final'!$Y$58="Media",'Mapa final'!$AA$58="Leve"),CONCATENATE("R9C",'Mapa final'!$O$58),"")</f>
        <v/>
      </c>
      <c r="K34" s="270" t="str">
        <f>IF(AND('Mapa final'!$Y$59="Media",'Mapa final'!$AA$59="Leve"),CONCATENATE("R9C",'Mapa final'!$O$59),"")</f>
        <v/>
      </c>
      <c r="L34" s="270" t="str">
        <f>IF(AND('Mapa final'!$Y$60="Media",'Mapa final'!$AA$60="Leve"),CONCATENATE("R9C",'Mapa final'!$O$60),"")</f>
        <v/>
      </c>
      <c r="M34" s="270" t="str">
        <f>IF(AND('Mapa final'!$Y$61="Media",'Mapa final'!$AA$61="Leve"),CONCATENATE("R9C",'Mapa final'!$O$61),"")</f>
        <v/>
      </c>
      <c r="N34" s="270" t="str">
        <f>IF(AND('Mapa final'!$Y$62="Media",'Mapa final'!$AA$62="Leve"),CONCATENATE("R9C",'Mapa final'!$O$62),"")</f>
        <v/>
      </c>
      <c r="O34" s="271" t="str">
        <f>IF(AND('Mapa final'!$Y$63="Media",'Mapa final'!$AA$63="Leve"),CONCATENATE("R9C",'Mapa final'!$O$63),"")</f>
        <v/>
      </c>
      <c r="P34" s="269" t="str">
        <f>IF(AND('Mapa final'!$Y$58="Media",'Mapa final'!$AA$58="Menor"),CONCATENATE("R9C",'Mapa final'!$O$58),"")</f>
        <v/>
      </c>
      <c r="Q34" s="270" t="str">
        <f>IF(AND('Mapa final'!$Y$59="Media",'Mapa final'!$AA$59="Menor"),CONCATENATE("R9C",'Mapa final'!$O$59),"")</f>
        <v/>
      </c>
      <c r="R34" s="270" t="str">
        <f>IF(AND('Mapa final'!$Y$60="Media",'Mapa final'!$AA$60="Menor"),CONCATENATE("R9C",'Mapa final'!$O$60),"")</f>
        <v/>
      </c>
      <c r="S34" s="270" t="str">
        <f>IF(AND('Mapa final'!$Y$61="Media",'Mapa final'!$AA$61="Menor"),CONCATENATE("R9C",'Mapa final'!$O$61),"")</f>
        <v/>
      </c>
      <c r="T34" s="270" t="str">
        <f>IF(AND('Mapa final'!$Y$62="Media",'Mapa final'!$AA$62="Menor"),CONCATENATE("R9C",'Mapa final'!$O$62),"")</f>
        <v/>
      </c>
      <c r="U34" s="271" t="str">
        <f>IF(AND('Mapa final'!$Y$63="Media",'Mapa final'!$AA$63="Menor"),CONCATENATE("R9C",'Mapa final'!$O$63),"")</f>
        <v/>
      </c>
      <c r="V34" s="269" t="str">
        <f>IF(AND('Mapa final'!$Y$58="Media",'Mapa final'!$AA$58="Moderado"),CONCATENATE("R9C",'Mapa final'!$O$58),"")</f>
        <v/>
      </c>
      <c r="W34" s="270" t="str">
        <f>IF(AND('Mapa final'!$Y$59="Media",'Mapa final'!$AA$59="Moderado"),CONCATENATE("R9C",'Mapa final'!$O$59),"")</f>
        <v/>
      </c>
      <c r="X34" s="270" t="str">
        <f>IF(AND('Mapa final'!$Y$60="Media",'Mapa final'!$AA$60="Moderado"),CONCATENATE("R9C",'Mapa final'!$O$60),"")</f>
        <v/>
      </c>
      <c r="Y34" s="270" t="str">
        <f>IF(AND('Mapa final'!$Y$61="Media",'Mapa final'!$AA$61="Moderado"),CONCATENATE("R9C",'Mapa final'!$O$61),"")</f>
        <v/>
      </c>
      <c r="Z34" s="270" t="str">
        <f>IF(AND('Mapa final'!$Y$62="Media",'Mapa final'!$AA$62="Moderado"),CONCATENATE("R9C",'Mapa final'!$O$62),"")</f>
        <v/>
      </c>
      <c r="AA34" s="271" t="str">
        <f>IF(AND('Mapa final'!$Y$63="Media",'Mapa final'!$AA$63="Moderado"),CONCATENATE("R9C",'Mapa final'!$O$63),"")</f>
        <v/>
      </c>
      <c r="AB34" s="254" t="str">
        <f>IF(AND('Mapa final'!$Y$58="Media",'Mapa final'!$AA$58="Mayor"),CONCATENATE("R9C",'Mapa final'!$O$58),"")</f>
        <v/>
      </c>
      <c r="AC34" s="255" t="str">
        <f>IF(AND('Mapa final'!$Y$59="Media",'Mapa final'!$AA$59="Mayor"),CONCATENATE("R9C",'Mapa final'!$O$59),"")</f>
        <v/>
      </c>
      <c r="AD34" s="255" t="str">
        <f>IF(AND('Mapa final'!$Y$60="Media",'Mapa final'!$AA$60="Mayor"),CONCATENATE("R9C",'Mapa final'!$O$60),"")</f>
        <v/>
      </c>
      <c r="AE34" s="255" t="str">
        <f>IF(AND('Mapa final'!$Y$61="Media",'Mapa final'!$AA$61="Mayor"),CONCATENATE("R9C",'Mapa final'!$O$61),"")</f>
        <v/>
      </c>
      <c r="AF34" s="255" t="str">
        <f>IF(AND('Mapa final'!$Y$62="Media",'Mapa final'!$AA$62="Mayor"),CONCATENATE("R9C",'Mapa final'!$O$62),"")</f>
        <v/>
      </c>
      <c r="AG34" s="256" t="str">
        <f>IF(AND('Mapa final'!$Y$63="Media",'Mapa final'!$AA$63="Mayor"),CONCATENATE("R9C",'Mapa final'!$O$63),"")</f>
        <v/>
      </c>
      <c r="AH34" s="257" t="str">
        <f>IF(AND('Mapa final'!$Y$58="Media",'Mapa final'!$AA$58="Catastrófico"),CONCATENATE("R9C",'Mapa final'!$O$58),"")</f>
        <v/>
      </c>
      <c r="AI34" s="258" t="str">
        <f>IF(AND('Mapa final'!$Y$59="Media",'Mapa final'!$AA$59="Catastrófico"),CONCATENATE("R9C",'Mapa final'!$O$59),"")</f>
        <v/>
      </c>
      <c r="AJ34" s="258" t="str">
        <f>IF(AND('Mapa final'!$Y$60="Media",'Mapa final'!$AA$60="Catastrófico"),CONCATENATE("R9C",'Mapa final'!$O$60),"")</f>
        <v/>
      </c>
      <c r="AK34" s="258" t="str">
        <f>IF(AND('Mapa final'!$Y$61="Media",'Mapa final'!$AA$61="Catastrófico"),CONCATENATE("R9C",'Mapa final'!$O$61),"")</f>
        <v/>
      </c>
      <c r="AL34" s="258" t="str">
        <f>IF(AND('Mapa final'!$Y$62="Media",'Mapa final'!$AA$62="Catastrófico"),CONCATENATE("R9C",'Mapa final'!$O$62),"")</f>
        <v/>
      </c>
      <c r="AM34" s="259" t="str">
        <f>IF(AND('Mapa final'!$Y$63="Media",'Mapa final'!$AA$63="Catastrófico"),CONCATENATE("R9C",'Mapa final'!$O$63),"")</f>
        <v/>
      </c>
      <c r="AN34" s="15"/>
      <c r="AO34" s="833"/>
      <c r="AP34" s="834"/>
      <c r="AQ34" s="834"/>
      <c r="AR34" s="834"/>
      <c r="AS34" s="834"/>
      <c r="AT34" s="83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6"/>
      <c r="C35" s="716"/>
      <c r="D35" s="717"/>
      <c r="E35" s="808"/>
      <c r="F35" s="809"/>
      <c r="G35" s="809"/>
      <c r="H35" s="809"/>
      <c r="I35" s="810"/>
      <c r="J35" s="269" t="str">
        <f>IF(AND('Mapa final'!$Y$64="Media",'Mapa final'!$AA$64="Leve"),CONCATENATE("R10C",'Mapa final'!$O$64),"")</f>
        <v/>
      </c>
      <c r="K35" s="270" t="str">
        <f>IF(AND('Mapa final'!$Y$65="Media",'Mapa final'!$AA$65="Leve"),CONCATENATE("R10C",'Mapa final'!$O$65),"")</f>
        <v/>
      </c>
      <c r="L35" s="270" t="str">
        <f>IF(AND('Mapa final'!$Y$66="Media",'Mapa final'!$AA$66="Leve"),CONCATENATE("R10C",'Mapa final'!$O$66),"")</f>
        <v/>
      </c>
      <c r="M35" s="270" t="str">
        <f>IF(AND('Mapa final'!$Y$67="Media",'Mapa final'!$AA$67="Leve"),CONCATENATE("R10C",'Mapa final'!$O$67),"")</f>
        <v/>
      </c>
      <c r="N35" s="270" t="str">
        <f>IF(AND('Mapa final'!$Y$68="Media",'Mapa final'!$AA$68="Leve"),CONCATENATE("R10C",'Mapa final'!$O$68),"")</f>
        <v/>
      </c>
      <c r="O35" s="271" t="str">
        <f>IF(AND('Mapa final'!$Y$69="Media",'Mapa final'!$AA$69="Leve"),CONCATENATE("R10C",'Mapa final'!$O$69),"")</f>
        <v/>
      </c>
      <c r="P35" s="269" t="str">
        <f>IF(AND('Mapa final'!$Y$64="Media",'Mapa final'!$AA$64="Menor"),CONCATENATE("R10C",'Mapa final'!$O$64),"")</f>
        <v/>
      </c>
      <c r="Q35" s="270" t="str">
        <f>IF(AND('Mapa final'!$Y$65="Media",'Mapa final'!$AA$65="Menor"),CONCATENATE("R10C",'Mapa final'!$O$65),"")</f>
        <v/>
      </c>
      <c r="R35" s="270" t="str">
        <f>IF(AND('Mapa final'!$Y$66="Media",'Mapa final'!$AA$66="Menor"),CONCATENATE("R10C",'Mapa final'!$O$66),"")</f>
        <v/>
      </c>
      <c r="S35" s="270" t="str">
        <f>IF(AND('Mapa final'!$Y$67="Media",'Mapa final'!$AA$67="Menor"),CONCATENATE("R10C",'Mapa final'!$O$67),"")</f>
        <v/>
      </c>
      <c r="T35" s="270" t="str">
        <f>IF(AND('Mapa final'!$Y$68="Media",'Mapa final'!$AA$68="Menor"),CONCATENATE("R10C",'Mapa final'!$O$68),"")</f>
        <v/>
      </c>
      <c r="U35" s="271" t="str">
        <f>IF(AND('Mapa final'!$Y$69="Media",'Mapa final'!$AA$69="Menor"),CONCATENATE("R10C",'Mapa final'!$O$69),"")</f>
        <v/>
      </c>
      <c r="V35" s="269" t="str">
        <f>IF(AND('Mapa final'!$Y$64="Media",'Mapa final'!$AA$64="Moderado"),CONCATENATE("R10C",'Mapa final'!$O$64),"")</f>
        <v/>
      </c>
      <c r="W35" s="270" t="str">
        <f>IF(AND('Mapa final'!$Y$65="Media",'Mapa final'!$AA$65="Moderado"),CONCATENATE("R10C",'Mapa final'!$O$65),"")</f>
        <v/>
      </c>
      <c r="X35" s="270" t="str">
        <f>IF(AND('Mapa final'!$Y$66="Media",'Mapa final'!$AA$66="Moderado"),CONCATENATE("R10C",'Mapa final'!$O$66),"")</f>
        <v/>
      </c>
      <c r="Y35" s="270" t="str">
        <f>IF(AND('Mapa final'!$Y$67="Media",'Mapa final'!$AA$67="Moderado"),CONCATENATE("R10C",'Mapa final'!$O$67),"")</f>
        <v/>
      </c>
      <c r="Z35" s="270" t="str">
        <f>IF(AND('Mapa final'!$Y$68="Media",'Mapa final'!$AA$68="Moderado"),CONCATENATE("R10C",'Mapa final'!$O$68),"")</f>
        <v/>
      </c>
      <c r="AA35" s="271" t="str">
        <f>IF(AND('Mapa final'!$Y$69="Media",'Mapa final'!$AA$69="Moderado"),CONCATENATE("R10C",'Mapa final'!$O$69),"")</f>
        <v/>
      </c>
      <c r="AB35" s="260" t="str">
        <f>IF(AND('Mapa final'!$Y$64="Media",'Mapa final'!$AA$64="Mayor"),CONCATENATE("R10C",'Mapa final'!$O$64),"")</f>
        <v/>
      </c>
      <c r="AC35" s="261" t="str">
        <f>IF(AND('Mapa final'!$Y$65="Media",'Mapa final'!$AA$65="Mayor"),CONCATENATE("R10C",'Mapa final'!$O$65),"")</f>
        <v/>
      </c>
      <c r="AD35" s="261" t="str">
        <f>IF(AND('Mapa final'!$Y$66="Media",'Mapa final'!$AA$66="Mayor"),CONCATENATE("R10C",'Mapa final'!$O$66),"")</f>
        <v/>
      </c>
      <c r="AE35" s="261" t="str">
        <f>IF(AND('Mapa final'!$Y$67="Media",'Mapa final'!$AA$67="Mayor"),CONCATENATE("R10C",'Mapa final'!$O$67),"")</f>
        <v/>
      </c>
      <c r="AF35" s="261" t="str">
        <f>IF(AND('Mapa final'!$Y$68="Media",'Mapa final'!$AA$68="Mayor"),CONCATENATE("R10C",'Mapa final'!$O$68),"")</f>
        <v/>
      </c>
      <c r="AG35" s="262" t="str">
        <f>IF(AND('Mapa final'!$Y$69="Media",'Mapa final'!$AA$69="Mayor"),CONCATENATE("R10C",'Mapa final'!$O$69),"")</f>
        <v/>
      </c>
      <c r="AH35" s="263" t="str">
        <f>IF(AND('Mapa final'!$Y$64="Media",'Mapa final'!$AA$64="Catastrófico"),CONCATENATE("R10C",'Mapa final'!$O$64),"")</f>
        <v/>
      </c>
      <c r="AI35" s="264" t="str">
        <f>IF(AND('Mapa final'!$Y$65="Media",'Mapa final'!$AA$65="Catastrófico"),CONCATENATE("R10C",'Mapa final'!$O$65),"")</f>
        <v/>
      </c>
      <c r="AJ35" s="264" t="str">
        <f>IF(AND('Mapa final'!$Y$66="Media",'Mapa final'!$AA$66="Catastrófico"),CONCATENATE("R10C",'Mapa final'!$O$66),"")</f>
        <v/>
      </c>
      <c r="AK35" s="264" t="str">
        <f>IF(AND('Mapa final'!$Y$67="Media",'Mapa final'!$AA$67="Catastrófico"),CONCATENATE("R10C",'Mapa final'!$O$67),"")</f>
        <v/>
      </c>
      <c r="AL35" s="264" t="str">
        <f>IF(AND('Mapa final'!$Y$68="Media",'Mapa final'!$AA$68="Catastrófico"),CONCATENATE("R10C",'Mapa final'!$O$68),"")</f>
        <v/>
      </c>
      <c r="AM35" s="265" t="str">
        <f>IF(AND('Mapa final'!$Y$69="Media",'Mapa final'!$AA$69="Catastrófico"),CONCATENATE("R10C",'Mapa final'!$O$69),"")</f>
        <v/>
      </c>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6"/>
      <c r="C36" s="716"/>
      <c r="D36" s="717"/>
      <c r="E36" s="802" t="s">
        <v>195</v>
      </c>
      <c r="F36" s="803"/>
      <c r="G36" s="803"/>
      <c r="H36" s="803"/>
      <c r="I36" s="803"/>
      <c r="J36" s="275" t="str">
        <f>IF(AND('Mapa final'!$Y$10="Baja",'Mapa final'!$AA$10="Leve"),CONCATENATE("R1C",'Mapa final'!$O$10),"")</f>
        <v/>
      </c>
      <c r="K36" s="276" t="str">
        <f>IF(AND('Mapa final'!$Y$11="Baja",'Mapa final'!$AA$11="Leve"),CONCATENATE("R1C",'Mapa final'!$O$11),"")</f>
        <v/>
      </c>
      <c r="L36" s="276" t="str">
        <f>IF(AND('Mapa final'!$Y$12="Baja",'Mapa final'!$AA$12="Leve"),CONCATENATE("R1C",'Mapa final'!$O$12),"")</f>
        <v/>
      </c>
      <c r="M36" s="276" t="str">
        <f>IF(AND('Mapa final'!$Y$13="Baja",'Mapa final'!$AA$13="Leve"),CONCATENATE("R1C",'Mapa final'!$O$13),"")</f>
        <v/>
      </c>
      <c r="N36" s="276" t="str">
        <f>IF(AND('Mapa final'!$Y$14="Baja",'Mapa final'!$AA$14="Leve"),CONCATENATE("R1C",'Mapa final'!$O$14),"")</f>
        <v/>
      </c>
      <c r="O36" s="277" t="str">
        <f>IF(AND('Mapa final'!$Y$15="Baja",'Mapa final'!$AA$15="Leve"),CONCATENATE("R1C",'Mapa final'!$O$15),"")</f>
        <v/>
      </c>
      <c r="P36" s="266" t="str">
        <f>IF(AND('Mapa final'!$Y$10="Baja",'Mapa final'!$AA$10="Menor"),CONCATENATE("R1C",'Mapa final'!$O$10),"")</f>
        <v/>
      </c>
      <c r="Q36" s="267" t="str">
        <f>IF(AND('Mapa final'!$Y$11="Baja",'Mapa final'!$AA$11="Menor"),CONCATENATE("R1C",'Mapa final'!$O$11),"")</f>
        <v/>
      </c>
      <c r="R36" s="267" t="str">
        <f>IF(AND('Mapa final'!$Y$12="Baja",'Mapa final'!$AA$12="Menor"),CONCATENATE("R1C",'Mapa final'!$O$12),"")</f>
        <v/>
      </c>
      <c r="S36" s="267" t="str">
        <f>IF(AND('Mapa final'!$Y$13="Baja",'Mapa final'!$AA$13="Menor"),CONCATENATE("R1C",'Mapa final'!$O$13),"")</f>
        <v/>
      </c>
      <c r="T36" s="267" t="str">
        <f>IF(AND('Mapa final'!$Y$14="Baja",'Mapa final'!$AA$14="Menor"),CONCATENATE("R1C",'Mapa final'!$O$14),"")</f>
        <v/>
      </c>
      <c r="U36" s="268" t="str">
        <f>IF(AND('Mapa final'!$Y$15="Baja",'Mapa final'!$AA$15="Menor"),CONCATENATE("R1C",'Mapa final'!$O$15),"")</f>
        <v/>
      </c>
      <c r="V36" s="266" t="str">
        <f>IF(AND('Mapa final'!$Y$10="Baja",'Mapa final'!$AA$10="Moderado"),CONCATENATE("R1C",'Mapa final'!$O$10),"")</f>
        <v/>
      </c>
      <c r="W36" s="267" t="str">
        <f>IF(AND('Mapa final'!$Y$11="Baja",'Mapa final'!$AA$11="Moderado"),CONCATENATE("R1C",'Mapa final'!$O$11),"")</f>
        <v/>
      </c>
      <c r="X36" s="267" t="str">
        <f>IF(AND('Mapa final'!$Y$12="Baja",'Mapa final'!$AA$12="Moderado"),CONCATENATE("R1C",'Mapa final'!$O$12),"")</f>
        <v/>
      </c>
      <c r="Y36" s="267" t="str">
        <f>IF(AND('Mapa final'!$Y$13="Baja",'Mapa final'!$AA$13="Moderado"),CONCATENATE("R1C",'Mapa final'!$O$13),"")</f>
        <v/>
      </c>
      <c r="Z36" s="267" t="str">
        <f>IF(AND('Mapa final'!$Y$14="Baja",'Mapa final'!$AA$14="Moderado"),CONCATENATE("R1C",'Mapa final'!$O$14),"")</f>
        <v/>
      </c>
      <c r="AA36" s="268" t="str">
        <f>IF(AND('Mapa final'!$Y$15="Baja",'Mapa final'!$AA$15="Moderado"),CONCATENATE("R1C",'Mapa final'!$O$15),"")</f>
        <v/>
      </c>
      <c r="AB36" s="248" t="str">
        <f>IF(AND('Mapa final'!$Y$10="Baja",'Mapa final'!$AA$10="Mayor"),CONCATENATE("R1C",'Mapa final'!$O$10),"")</f>
        <v/>
      </c>
      <c r="AC36" s="249" t="str">
        <f>IF(AND('Mapa final'!$Y$11="Baja",'Mapa final'!$AA$11="Mayor"),CONCATENATE("R1C",'Mapa final'!$O$11),"")</f>
        <v/>
      </c>
      <c r="AD36" s="249" t="str">
        <f>IF(AND('Mapa final'!$Y$12="Baja",'Mapa final'!$AA$12="Mayor"),CONCATENATE("R1C",'Mapa final'!$O$12),"")</f>
        <v/>
      </c>
      <c r="AE36" s="249" t="str">
        <f>IF(AND('Mapa final'!$Y$13="Baja",'Mapa final'!$AA$13="Mayor"),CONCATENATE("R1C",'Mapa final'!$O$13),"")</f>
        <v/>
      </c>
      <c r="AF36" s="249" t="str">
        <f>IF(AND('Mapa final'!$Y$14="Baja",'Mapa final'!$AA$14="Mayor"),CONCATENATE("R1C",'Mapa final'!$O$14),"")</f>
        <v/>
      </c>
      <c r="AG36" s="250" t="str">
        <f>IF(AND('Mapa final'!$Y$15="Baja",'Mapa final'!$AA$15="Mayor"),CONCATENATE("R1C",'Mapa final'!$O$15),"")</f>
        <v/>
      </c>
      <c r="AH36" s="251" t="str">
        <f>IF(AND('Mapa final'!$Y$10="Baja",'Mapa final'!$AA$10="Catastrófico"),CONCATENATE("R1C",'Mapa final'!$O$10),"")</f>
        <v>R1C1</v>
      </c>
      <c r="AI36" s="252" t="str">
        <f>IF(AND('Mapa final'!$Y$11="Baja",'Mapa final'!$AA$11="Catastrófico"),CONCATENATE("R1C",'Mapa final'!$O$11),"")</f>
        <v/>
      </c>
      <c r="AJ36" s="252" t="str">
        <f>IF(AND('Mapa final'!$Y$12="Baja",'Mapa final'!$AA$12="Catastrófico"),CONCATENATE("R1C",'Mapa final'!$O$12),"")</f>
        <v/>
      </c>
      <c r="AK36" s="252" t="str">
        <f>IF(AND('Mapa final'!$Y$13="Baja",'Mapa final'!$AA$13="Catastrófico"),CONCATENATE("R1C",'Mapa final'!$O$13),"")</f>
        <v/>
      </c>
      <c r="AL36" s="252" t="str">
        <f>IF(AND('Mapa final'!$Y$14="Baja",'Mapa final'!$AA$14="Catastrófico"),CONCATENATE("R1C",'Mapa final'!$O$14),"")</f>
        <v/>
      </c>
      <c r="AM36" s="253" t="str">
        <f>IF(AND('Mapa final'!$Y$15="Baja",'Mapa final'!$AA$15="Catastrófico"),CONCATENATE("R1C",'Mapa final'!$O$15),"")</f>
        <v/>
      </c>
      <c r="AN36" s="15"/>
      <c r="AO36" s="839" t="s">
        <v>196</v>
      </c>
      <c r="AP36" s="840"/>
      <c r="AQ36" s="840"/>
      <c r="AR36" s="840"/>
      <c r="AS36" s="840"/>
      <c r="AT36" s="8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6"/>
      <c r="C37" s="716"/>
      <c r="D37" s="717"/>
      <c r="E37" s="820"/>
      <c r="F37" s="806"/>
      <c r="G37" s="806"/>
      <c r="H37" s="806"/>
      <c r="I37" s="806"/>
      <c r="J37" s="278" t="str">
        <f>IF(AND('Mapa final'!$Y$16="Baja",'Mapa final'!$AA$16="Leve"),CONCATENATE("R2C",'Mapa final'!$O$16),"")</f>
        <v/>
      </c>
      <c r="K37" s="279" t="str">
        <f>IF(AND('Mapa final'!$Y$17="Baja",'Mapa final'!$AA$17="Leve"),CONCATENATE("R2C",'Mapa final'!$O$17),"")</f>
        <v/>
      </c>
      <c r="L37" s="279" t="str">
        <f>IF(AND('Mapa final'!$Y$18="Baja",'Mapa final'!$AA$18="Leve"),CONCATENATE("R2C",'Mapa final'!$O$18),"")</f>
        <v/>
      </c>
      <c r="M37" s="279" t="str">
        <f>IF(AND('Mapa final'!$Y$19="Baja",'Mapa final'!$AA$19="Leve"),CONCATENATE("R2C",'Mapa final'!$O$19),"")</f>
        <v/>
      </c>
      <c r="N37" s="279" t="str">
        <f>IF(AND('Mapa final'!$Y$20="Baja",'Mapa final'!$AA$20="Leve"),CONCATENATE("R2C",'Mapa final'!$O$20),"")</f>
        <v/>
      </c>
      <c r="O37" s="280" t="str">
        <f>IF(AND('Mapa final'!$Y$21="Baja",'Mapa final'!$AA$21="Leve"),CONCATENATE("R2C",'Mapa final'!$O$21),"")</f>
        <v/>
      </c>
      <c r="P37" s="269" t="str">
        <f>IF(AND('Mapa final'!$Y$16="Baja",'Mapa final'!$AA$16="Menor"),CONCATENATE("R2C",'Mapa final'!$O$16),"")</f>
        <v/>
      </c>
      <c r="Q37" s="270" t="str">
        <f>IF(AND('Mapa final'!$Y$17="Baja",'Mapa final'!$AA$17="Menor"),CONCATENATE("R2C",'Mapa final'!$O$17),"")</f>
        <v/>
      </c>
      <c r="R37" s="270" t="str">
        <f>IF(AND('Mapa final'!$Y$18="Baja",'Mapa final'!$AA$18="Menor"),CONCATENATE("R2C",'Mapa final'!$O$18),"")</f>
        <v/>
      </c>
      <c r="S37" s="270" t="str">
        <f>IF(AND('Mapa final'!$Y$19="Baja",'Mapa final'!$AA$19="Menor"),CONCATENATE("R2C",'Mapa final'!$O$19),"")</f>
        <v/>
      </c>
      <c r="T37" s="270" t="str">
        <f>IF(AND('Mapa final'!$Y$20="Baja",'Mapa final'!$AA$20="Menor"),CONCATENATE("R2C",'Mapa final'!$O$20),"")</f>
        <v/>
      </c>
      <c r="U37" s="271" t="str">
        <f>IF(AND('Mapa final'!$Y$21="Baja",'Mapa final'!$AA$21="Menor"),CONCATENATE("R2C",'Mapa final'!$O$21),"")</f>
        <v/>
      </c>
      <c r="V37" s="269" t="str">
        <f>IF(AND('Mapa final'!$Y$16="Baja",'Mapa final'!$AA$16="Moderado"),CONCATENATE("R2C",'Mapa final'!$O$16),"")</f>
        <v/>
      </c>
      <c r="W37" s="270" t="str">
        <f>IF(AND('Mapa final'!$Y$17="Baja",'Mapa final'!$AA$17="Moderado"),CONCATENATE("R2C",'Mapa final'!$O$17),"")</f>
        <v/>
      </c>
      <c r="X37" s="270" t="str">
        <f>IF(AND('Mapa final'!$Y$18="Baja",'Mapa final'!$AA$18="Moderado"),CONCATENATE("R2C",'Mapa final'!$O$18),"")</f>
        <v/>
      </c>
      <c r="Y37" s="270" t="str">
        <f>IF(AND('Mapa final'!$Y$19="Baja",'Mapa final'!$AA$19="Moderado"),CONCATENATE("R2C",'Mapa final'!$O$19),"")</f>
        <v/>
      </c>
      <c r="Z37" s="270" t="str">
        <f>IF(AND('Mapa final'!$Y$20="Baja",'Mapa final'!$AA$20="Moderado"),CONCATENATE("R2C",'Mapa final'!$O$20),"")</f>
        <v/>
      </c>
      <c r="AA37" s="271" t="str">
        <f>IF(AND('Mapa final'!$Y$21="Baja",'Mapa final'!$AA$21="Moderado"),CONCATENATE("R2C",'Mapa final'!$O$21),"")</f>
        <v/>
      </c>
      <c r="AB37" s="254" t="str">
        <f>IF(AND('Mapa final'!$Y$16="Baja",'Mapa final'!$AA$16="Mayor"),CONCATENATE("R2C",'Mapa final'!$O$16),"")</f>
        <v/>
      </c>
      <c r="AC37" s="255" t="str">
        <f>IF(AND('Mapa final'!$Y$17="Baja",'Mapa final'!$AA$17="Mayor"),CONCATENATE("R2C",'Mapa final'!$O$17),"")</f>
        <v/>
      </c>
      <c r="AD37" s="255" t="str">
        <f>IF(AND('Mapa final'!$Y$18="Baja",'Mapa final'!$AA$18="Mayor"),CONCATENATE("R2C",'Mapa final'!$O$18),"")</f>
        <v/>
      </c>
      <c r="AE37" s="255" t="str">
        <f>IF(AND('Mapa final'!$Y$19="Baja",'Mapa final'!$AA$19="Mayor"),CONCATENATE("R2C",'Mapa final'!$O$19),"")</f>
        <v/>
      </c>
      <c r="AF37" s="255" t="str">
        <f>IF(AND('Mapa final'!$Y$20="Baja",'Mapa final'!$AA$20="Mayor"),CONCATENATE("R2C",'Mapa final'!$O$20),"")</f>
        <v/>
      </c>
      <c r="AG37" s="256" t="str">
        <f>IF(AND('Mapa final'!$Y$21="Baja",'Mapa final'!$AA$21="Mayor"),CONCATENATE("R2C",'Mapa final'!$O$21),"")</f>
        <v/>
      </c>
      <c r="AH37" s="257" t="str">
        <f>IF(AND('Mapa final'!$Y$16="Baja",'Mapa final'!$AA$16="Catastrófico"),CONCATENATE("R2C",'Mapa final'!$O$16),"")</f>
        <v/>
      </c>
      <c r="AI37" s="258" t="str">
        <f>IF(AND('Mapa final'!$Y$17="Baja",'Mapa final'!$AA$17="Catastrófico"),CONCATENATE("R2C",'Mapa final'!$O$17),"")</f>
        <v/>
      </c>
      <c r="AJ37" s="258" t="str">
        <f>IF(AND('Mapa final'!$Y$18="Baja",'Mapa final'!$AA$18="Catastrófico"),CONCATENATE("R2C",'Mapa final'!$O$18),"")</f>
        <v/>
      </c>
      <c r="AK37" s="258" t="str">
        <f>IF(AND('Mapa final'!$Y$19="Baja",'Mapa final'!$AA$19="Catastrófico"),CONCATENATE("R2C",'Mapa final'!$O$19),"")</f>
        <v/>
      </c>
      <c r="AL37" s="258" t="str">
        <f>IF(AND('Mapa final'!$Y$20="Baja",'Mapa final'!$AA$20="Catastrófico"),CONCATENATE("R2C",'Mapa final'!$O$20),"")</f>
        <v/>
      </c>
      <c r="AM37" s="259" t="str">
        <f>IF(AND('Mapa final'!$Y$21="Baja",'Mapa final'!$AA$21="Catastrófico"),CONCATENATE("R2C",'Mapa final'!$O$21),"")</f>
        <v/>
      </c>
      <c r="AN37" s="15"/>
      <c r="AO37" s="842"/>
      <c r="AP37" s="843"/>
      <c r="AQ37" s="843"/>
      <c r="AR37" s="843"/>
      <c r="AS37" s="843"/>
      <c r="AT37" s="8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6"/>
      <c r="C38" s="716"/>
      <c r="D38" s="717"/>
      <c r="E38" s="805"/>
      <c r="F38" s="806"/>
      <c r="G38" s="806"/>
      <c r="H38" s="806"/>
      <c r="I38" s="806"/>
      <c r="J38" s="278" t="str">
        <f>IF(AND('Mapa final'!$Y$22="Baja",'Mapa final'!$AA$22="Leve"),CONCATENATE("R3C",'Mapa final'!$O$22),"")</f>
        <v/>
      </c>
      <c r="K38" s="279" t="str">
        <f>IF(AND('Mapa final'!$Y$23="Baja",'Mapa final'!$AA$23="Leve"),CONCATENATE("R3C",'Mapa final'!$O$23),"")</f>
        <v/>
      </c>
      <c r="L38" s="279" t="str">
        <f>IF(AND('Mapa final'!$Y$24="Baja",'Mapa final'!$AA$24="Leve"),CONCATENATE("R3C",'Mapa final'!$O$24),"")</f>
        <v/>
      </c>
      <c r="M38" s="279" t="str">
        <f>IF(AND('Mapa final'!$Y$25="Baja",'Mapa final'!$AA$25="Leve"),CONCATENATE("R3C",'Mapa final'!$O$25),"")</f>
        <v/>
      </c>
      <c r="N38" s="279" t="str">
        <f>IF(AND('Mapa final'!$Y$26="Baja",'Mapa final'!$AA$26="Leve"),CONCATENATE("R3C",'Mapa final'!$O$26),"")</f>
        <v/>
      </c>
      <c r="O38" s="280" t="str">
        <f>IF(AND('Mapa final'!$Y$27="Baja",'Mapa final'!$AA$27="Leve"),CONCATENATE("R3C",'Mapa final'!$O$27),"")</f>
        <v/>
      </c>
      <c r="P38" s="269" t="str">
        <f>IF(AND('Mapa final'!$Y$22="Baja",'Mapa final'!$AA$22="Menor"),CONCATENATE("R3C",'Mapa final'!$O$22),"")</f>
        <v/>
      </c>
      <c r="Q38" s="270" t="str">
        <f>IF(AND('Mapa final'!$Y$23="Baja",'Mapa final'!$AA$23="Menor"),CONCATENATE("R3C",'Mapa final'!$O$23),"")</f>
        <v/>
      </c>
      <c r="R38" s="270" t="str">
        <f>IF(AND('Mapa final'!$Y$24="Baja",'Mapa final'!$AA$24="Menor"),CONCATENATE("R3C",'Mapa final'!$O$24),"")</f>
        <v/>
      </c>
      <c r="S38" s="270" t="str">
        <f>IF(AND('Mapa final'!$Y$25="Baja",'Mapa final'!$AA$25="Menor"),CONCATENATE("R3C",'Mapa final'!$O$25),"")</f>
        <v/>
      </c>
      <c r="T38" s="270" t="str">
        <f>IF(AND('Mapa final'!$Y$26="Baja",'Mapa final'!$AA$26="Menor"),CONCATENATE("R3C",'Mapa final'!$O$26),"")</f>
        <v/>
      </c>
      <c r="U38" s="271" t="str">
        <f>IF(AND('Mapa final'!$Y$27="Baja",'Mapa final'!$AA$27="Menor"),CONCATENATE("R3C",'Mapa final'!$O$27),"")</f>
        <v/>
      </c>
      <c r="V38" s="269" t="str">
        <f>IF(AND('Mapa final'!$Y$22="Baja",'Mapa final'!$AA$22="Moderado"),CONCATENATE("R3C",'Mapa final'!$O$22),"")</f>
        <v/>
      </c>
      <c r="W38" s="270" t="str">
        <f>IF(AND('Mapa final'!$Y$23="Baja",'Mapa final'!$AA$23="Moderado"),CONCATENATE("R3C",'Mapa final'!$O$23),"")</f>
        <v/>
      </c>
      <c r="X38" s="270" t="str">
        <f>IF(AND('Mapa final'!$Y$24="Baja",'Mapa final'!$AA$24="Moderado"),CONCATENATE("R3C",'Mapa final'!$O$24),"")</f>
        <v/>
      </c>
      <c r="Y38" s="270" t="str">
        <f>IF(AND('Mapa final'!$Y$25="Baja",'Mapa final'!$AA$25="Moderado"),CONCATENATE("R3C",'Mapa final'!$O$25),"")</f>
        <v/>
      </c>
      <c r="Z38" s="270" t="str">
        <f>IF(AND('Mapa final'!$Y$26="Baja",'Mapa final'!$AA$26="Moderado"),CONCATENATE("R3C",'Mapa final'!$O$26),"")</f>
        <v/>
      </c>
      <c r="AA38" s="271" t="str">
        <f>IF(AND('Mapa final'!$Y$27="Baja",'Mapa final'!$AA$27="Moderado"),CONCATENATE("R3C",'Mapa final'!$O$27),"")</f>
        <v/>
      </c>
      <c r="AB38" s="254" t="str">
        <f>IF(AND('Mapa final'!$Y$22="Baja",'Mapa final'!$AA$22="Mayor"),CONCATENATE("R3C",'Mapa final'!$O$22),"")</f>
        <v/>
      </c>
      <c r="AC38" s="255" t="str">
        <f>IF(AND('Mapa final'!$Y$23="Baja",'Mapa final'!$AA$23="Mayor"),CONCATENATE("R3C",'Mapa final'!$O$23),"")</f>
        <v/>
      </c>
      <c r="AD38" s="255" t="str">
        <f>IF(AND('Mapa final'!$Y$24="Baja",'Mapa final'!$AA$24="Mayor"),CONCATENATE("R3C",'Mapa final'!$O$24),"")</f>
        <v/>
      </c>
      <c r="AE38" s="255" t="str">
        <f>IF(AND('Mapa final'!$Y$25="Baja",'Mapa final'!$AA$25="Mayor"),CONCATENATE("R3C",'Mapa final'!$O$25),"")</f>
        <v/>
      </c>
      <c r="AF38" s="255" t="str">
        <f>IF(AND('Mapa final'!$Y$26="Baja",'Mapa final'!$AA$26="Mayor"),CONCATENATE("R3C",'Mapa final'!$O$26),"")</f>
        <v/>
      </c>
      <c r="AG38" s="256" t="str">
        <f>IF(AND('Mapa final'!$Y$27="Baja",'Mapa final'!$AA$27="Mayor"),CONCATENATE("R3C",'Mapa final'!$O$27),"")</f>
        <v/>
      </c>
      <c r="AH38" s="257" t="str">
        <f>IF(AND('Mapa final'!$Y$22="Baja",'Mapa final'!$AA$22="Catastrófico"),CONCATENATE("R3C",'Mapa final'!$O$22),"")</f>
        <v/>
      </c>
      <c r="AI38" s="258" t="str">
        <f>IF(AND('Mapa final'!$Y$23="Baja",'Mapa final'!$AA$23="Catastrófico"),CONCATENATE("R3C",'Mapa final'!$O$23),"")</f>
        <v/>
      </c>
      <c r="AJ38" s="258" t="str">
        <f>IF(AND('Mapa final'!$Y$24="Baja",'Mapa final'!$AA$24="Catastrófico"),CONCATENATE("R3C",'Mapa final'!$O$24),"")</f>
        <v/>
      </c>
      <c r="AK38" s="258" t="str">
        <f>IF(AND('Mapa final'!$Y$25="Baja",'Mapa final'!$AA$25="Catastrófico"),CONCATENATE("R3C",'Mapa final'!$O$25),"")</f>
        <v/>
      </c>
      <c r="AL38" s="258" t="str">
        <f>IF(AND('Mapa final'!$Y$26="Baja",'Mapa final'!$AA$26="Catastrófico"),CONCATENATE("R3C",'Mapa final'!$O$26),"")</f>
        <v/>
      </c>
      <c r="AM38" s="259" t="str">
        <f>IF(AND('Mapa final'!$Y$27="Baja",'Mapa final'!$AA$27="Catastrófico"),CONCATENATE("R3C",'Mapa final'!$O$27),"")</f>
        <v/>
      </c>
      <c r="AN38" s="15"/>
      <c r="AO38" s="842"/>
      <c r="AP38" s="843"/>
      <c r="AQ38" s="843"/>
      <c r="AR38" s="843"/>
      <c r="AS38" s="843"/>
      <c r="AT38" s="84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6"/>
      <c r="C39" s="716"/>
      <c r="D39" s="717"/>
      <c r="E39" s="805"/>
      <c r="F39" s="806"/>
      <c r="G39" s="806"/>
      <c r="H39" s="806"/>
      <c r="I39" s="806"/>
      <c r="J39" s="278" t="str">
        <f>IF(AND('Mapa final'!$Y$28="Baja",'Mapa final'!$AA$28="Leve"),CONCATENATE("R4C",'Mapa final'!$O$28),"")</f>
        <v/>
      </c>
      <c r="K39" s="279" t="str">
        <f>IF(AND('Mapa final'!$Y$29="Baja",'Mapa final'!$AA$29="Leve"),CONCATENATE("R4C",'Mapa final'!$O$29),"")</f>
        <v/>
      </c>
      <c r="L39" s="279" t="str">
        <f>IF(AND('Mapa final'!$Y$30="Baja",'Mapa final'!$AA$30="Leve"),CONCATENATE("R4C",'Mapa final'!$O$30),"")</f>
        <v/>
      </c>
      <c r="M39" s="279" t="str">
        <f>IF(AND('Mapa final'!$Y$31="Baja",'Mapa final'!$AA$31="Leve"),CONCATENATE("R4C",'Mapa final'!$O$31),"")</f>
        <v/>
      </c>
      <c r="N39" s="279" t="str">
        <f>IF(AND('Mapa final'!$Y$32="Baja",'Mapa final'!$AA$32="Leve"),CONCATENATE("R4C",'Mapa final'!$O$32),"")</f>
        <v/>
      </c>
      <c r="O39" s="280" t="str">
        <f>IF(AND('Mapa final'!$Y$33="Baja",'Mapa final'!$AA$33="Leve"),CONCATENATE("R4C",'Mapa final'!$O$33),"")</f>
        <v/>
      </c>
      <c r="P39" s="269" t="str">
        <f>IF(AND('Mapa final'!$Y$28="Baja",'Mapa final'!$AA$28="Menor"),CONCATENATE("R4C",'Mapa final'!$O$28),"")</f>
        <v/>
      </c>
      <c r="Q39" s="270" t="str">
        <f>IF(AND('Mapa final'!$Y$29="Baja",'Mapa final'!$AA$29="Menor"),CONCATENATE("R4C",'Mapa final'!$O$29),"")</f>
        <v/>
      </c>
      <c r="R39" s="270" t="str">
        <f>IF(AND('Mapa final'!$Y$30="Baja",'Mapa final'!$AA$30="Menor"),CONCATENATE("R4C",'Mapa final'!$O$30),"")</f>
        <v/>
      </c>
      <c r="S39" s="270" t="str">
        <f>IF(AND('Mapa final'!$Y$31="Baja",'Mapa final'!$AA$31="Menor"),CONCATENATE("R4C",'Mapa final'!$O$31),"")</f>
        <v/>
      </c>
      <c r="T39" s="270" t="str">
        <f>IF(AND('Mapa final'!$Y$32="Baja",'Mapa final'!$AA$32="Menor"),CONCATENATE("R4C",'Mapa final'!$O$32),"")</f>
        <v/>
      </c>
      <c r="U39" s="271" t="str">
        <f>IF(AND('Mapa final'!$Y$33="Baja",'Mapa final'!$AA$33="Menor"),CONCATENATE("R4C",'Mapa final'!$O$33),"")</f>
        <v/>
      </c>
      <c r="V39" s="269" t="str">
        <f>IF(AND('Mapa final'!$Y$28="Baja",'Mapa final'!$AA$28="Moderado"),CONCATENATE("R4C",'Mapa final'!$O$28),"")</f>
        <v/>
      </c>
      <c r="W39" s="270" t="str">
        <f>IF(AND('Mapa final'!$Y$29="Baja",'Mapa final'!$AA$29="Moderado"),CONCATENATE("R4C",'Mapa final'!$O$29),"")</f>
        <v/>
      </c>
      <c r="X39" s="270" t="str">
        <f>IF(AND('Mapa final'!$Y$30="Baja",'Mapa final'!$AA$30="Moderado"),CONCATENATE("R4C",'Mapa final'!$O$30),"")</f>
        <v/>
      </c>
      <c r="Y39" s="270" t="str">
        <f>IF(AND('Mapa final'!$Y$31="Baja",'Mapa final'!$AA$31="Moderado"),CONCATENATE("R4C",'Mapa final'!$O$31),"")</f>
        <v/>
      </c>
      <c r="Z39" s="270" t="str">
        <f>IF(AND('Mapa final'!$Y$32="Baja",'Mapa final'!$AA$32="Moderado"),CONCATENATE("R4C",'Mapa final'!$O$32),"")</f>
        <v/>
      </c>
      <c r="AA39" s="271" t="str">
        <f>IF(AND('Mapa final'!$Y$33="Baja",'Mapa final'!$AA$33="Moderado"),CONCATENATE("R4C",'Mapa final'!$O$33),"")</f>
        <v/>
      </c>
      <c r="AB39" s="254" t="str">
        <f>IF(AND('Mapa final'!$Y$28="Baja",'Mapa final'!$AA$28="Mayor"),CONCATENATE("R4C",'Mapa final'!$O$28),"")</f>
        <v/>
      </c>
      <c r="AC39" s="255" t="str">
        <f>IF(AND('Mapa final'!$Y$29="Baja",'Mapa final'!$AA$29="Mayor"),CONCATENATE("R4C",'Mapa final'!$O$29),"")</f>
        <v/>
      </c>
      <c r="AD39" s="255" t="str">
        <f>IF(AND('Mapa final'!$Y$30="Baja",'Mapa final'!$AA$30="Mayor"),CONCATENATE("R4C",'Mapa final'!$O$30),"")</f>
        <v/>
      </c>
      <c r="AE39" s="255" t="str">
        <f>IF(AND('Mapa final'!$Y$31="Baja",'Mapa final'!$AA$31="Mayor"),CONCATENATE("R4C",'Mapa final'!$O$31),"")</f>
        <v/>
      </c>
      <c r="AF39" s="255" t="str">
        <f>IF(AND('Mapa final'!$Y$32="Baja",'Mapa final'!$AA$32="Mayor"),CONCATENATE("R4C",'Mapa final'!$O$32),"")</f>
        <v/>
      </c>
      <c r="AG39" s="256" t="str">
        <f>IF(AND('Mapa final'!$Y$33="Baja",'Mapa final'!$AA$33="Mayor"),CONCATENATE("R4C",'Mapa final'!$O$33),"")</f>
        <v/>
      </c>
      <c r="AH39" s="257" t="str">
        <f>IF(AND('Mapa final'!$Y$28="Baja",'Mapa final'!$AA$28="Catastrófico"),CONCATENATE("R4C",'Mapa final'!$O$28),"")</f>
        <v/>
      </c>
      <c r="AI39" s="258" t="str">
        <f>IF(AND('Mapa final'!$Y$29="Baja",'Mapa final'!$AA$29="Catastrófico"),CONCATENATE("R4C",'Mapa final'!$O$29),"")</f>
        <v/>
      </c>
      <c r="AJ39" s="258" t="str">
        <f>IF(AND('Mapa final'!$Y$30="Baja",'Mapa final'!$AA$30="Catastrófico"),CONCATENATE("R4C",'Mapa final'!$O$30),"")</f>
        <v/>
      </c>
      <c r="AK39" s="258" t="str">
        <f>IF(AND('Mapa final'!$Y$31="Baja",'Mapa final'!$AA$31="Catastrófico"),CONCATENATE("R4C",'Mapa final'!$O$31),"")</f>
        <v/>
      </c>
      <c r="AL39" s="258" t="str">
        <f>IF(AND('Mapa final'!$Y$32="Baja",'Mapa final'!$AA$32="Catastrófico"),CONCATENATE("R4C",'Mapa final'!$O$32),"")</f>
        <v/>
      </c>
      <c r="AM39" s="259" t="str">
        <f>IF(AND('Mapa final'!$Y$33="Baja",'Mapa final'!$AA$33="Catastrófico"),CONCATENATE("R4C",'Mapa final'!$O$33),"")</f>
        <v/>
      </c>
      <c r="AN39" s="15"/>
      <c r="AO39" s="842"/>
      <c r="AP39" s="843"/>
      <c r="AQ39" s="843"/>
      <c r="AR39" s="843"/>
      <c r="AS39" s="843"/>
      <c r="AT39" s="84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6"/>
      <c r="C40" s="716"/>
      <c r="D40" s="717"/>
      <c r="E40" s="805"/>
      <c r="F40" s="806"/>
      <c r="G40" s="806"/>
      <c r="H40" s="806"/>
      <c r="I40" s="806"/>
      <c r="J40" s="278" t="str">
        <f>IF(AND('Mapa final'!$Y$34="Baja",'Mapa final'!$AA$34="Leve"),CONCATENATE("R5C",'Mapa final'!$O$34),"")</f>
        <v/>
      </c>
      <c r="K40" s="279" t="str">
        <f>IF(AND('Mapa final'!$Y$35="Baja",'Mapa final'!$AA$35="Leve"),CONCATENATE("R5C",'Mapa final'!$O$35),"")</f>
        <v/>
      </c>
      <c r="L40" s="279" t="str">
        <f>IF(AND('Mapa final'!$Y$36="Baja",'Mapa final'!$AA$36="Leve"),CONCATENATE("R5C",'Mapa final'!$O$36),"")</f>
        <v/>
      </c>
      <c r="M40" s="279" t="str">
        <f>IF(AND('Mapa final'!$Y$37="Baja",'Mapa final'!$AA$37="Leve"),CONCATENATE("R5C",'Mapa final'!$O$37),"")</f>
        <v/>
      </c>
      <c r="N40" s="279" t="str">
        <f>IF(AND('Mapa final'!$Y$38="Baja",'Mapa final'!$AA$38="Leve"),CONCATENATE("R5C",'Mapa final'!$O$38),"")</f>
        <v/>
      </c>
      <c r="O40" s="280" t="str">
        <f>IF(AND('Mapa final'!$Y$39="Baja",'Mapa final'!$AA$39="Leve"),CONCATENATE("R5C",'Mapa final'!$O$39),"")</f>
        <v/>
      </c>
      <c r="P40" s="269" t="str">
        <f>IF(AND('Mapa final'!$Y$34="Baja",'Mapa final'!$AA$34="Menor"),CONCATENATE("R5C",'Mapa final'!$O$34),"")</f>
        <v/>
      </c>
      <c r="Q40" s="270" t="str">
        <f>IF(AND('Mapa final'!$Y$35="Baja",'Mapa final'!$AA$35="Menor"),CONCATENATE("R5C",'Mapa final'!$O$35),"")</f>
        <v/>
      </c>
      <c r="R40" s="270" t="str">
        <f>IF(AND('Mapa final'!$Y$36="Baja",'Mapa final'!$AA$36="Menor"),CONCATENATE("R5C",'Mapa final'!$O$36),"")</f>
        <v/>
      </c>
      <c r="S40" s="270" t="str">
        <f>IF(AND('Mapa final'!$Y$37="Baja",'Mapa final'!$AA$37="Menor"),CONCATENATE("R5C",'Mapa final'!$O$37),"")</f>
        <v/>
      </c>
      <c r="T40" s="270" t="str">
        <f>IF(AND('Mapa final'!$Y$38="Baja",'Mapa final'!$AA$38="Menor"),CONCATENATE("R5C",'Mapa final'!$O$38),"")</f>
        <v/>
      </c>
      <c r="U40" s="271" t="str">
        <f>IF(AND('Mapa final'!$Y$39="Baja",'Mapa final'!$AA$39="Menor"),CONCATENATE("R5C",'Mapa final'!$O$39),"")</f>
        <v/>
      </c>
      <c r="V40" s="269" t="str">
        <f>IF(AND('Mapa final'!$Y$34="Baja",'Mapa final'!$AA$34="Moderado"),CONCATENATE("R5C",'Mapa final'!$O$34),"")</f>
        <v/>
      </c>
      <c r="W40" s="270" t="str">
        <f>IF(AND('Mapa final'!$Y$35="Baja",'Mapa final'!$AA$35="Moderado"),CONCATENATE("R5C",'Mapa final'!$O$35),"")</f>
        <v/>
      </c>
      <c r="X40" s="270" t="str">
        <f>IF(AND('Mapa final'!$Y$36="Baja",'Mapa final'!$AA$36="Moderado"),CONCATENATE("R5C",'Mapa final'!$O$36),"")</f>
        <v/>
      </c>
      <c r="Y40" s="270" t="str">
        <f>IF(AND('Mapa final'!$Y$37="Baja",'Mapa final'!$AA$37="Moderado"),CONCATENATE("R5C",'Mapa final'!$O$37),"")</f>
        <v/>
      </c>
      <c r="Z40" s="270" t="str">
        <f>IF(AND('Mapa final'!$Y$38="Baja",'Mapa final'!$AA$38="Moderado"),CONCATENATE("R5C",'Mapa final'!$O$38),"")</f>
        <v/>
      </c>
      <c r="AA40" s="271" t="str">
        <f>IF(AND('Mapa final'!$Y$39="Baja",'Mapa final'!$AA$39="Moderado"),CONCATENATE("R5C",'Mapa final'!$O$39),"")</f>
        <v/>
      </c>
      <c r="AB40" s="254" t="str">
        <f>IF(AND('Mapa final'!$Y$34="Baja",'Mapa final'!$AA$34="Mayor"),CONCATENATE("R5C",'Mapa final'!$O$34),"")</f>
        <v/>
      </c>
      <c r="AC40" s="255" t="str">
        <f>IF(AND('Mapa final'!$Y$35="Baja",'Mapa final'!$AA$35="Mayor"),CONCATENATE("R5C",'Mapa final'!$O$35),"")</f>
        <v/>
      </c>
      <c r="AD40" s="255" t="str">
        <f>IF(AND('Mapa final'!$Y$36="Baja",'Mapa final'!$AA$36="Mayor"),CONCATENATE("R5C",'Mapa final'!$O$36),"")</f>
        <v/>
      </c>
      <c r="AE40" s="255" t="str">
        <f>IF(AND('Mapa final'!$Y$37="Baja",'Mapa final'!$AA$37="Mayor"),CONCATENATE("R5C",'Mapa final'!$O$37),"")</f>
        <v/>
      </c>
      <c r="AF40" s="255" t="str">
        <f>IF(AND('Mapa final'!$Y$38="Baja",'Mapa final'!$AA$38="Mayor"),CONCATENATE("R5C",'Mapa final'!$O$38),"")</f>
        <v/>
      </c>
      <c r="AG40" s="256" t="str">
        <f>IF(AND('Mapa final'!$Y$39="Baja",'Mapa final'!$AA$39="Mayor"),CONCATENATE("R5C",'Mapa final'!$O$39),"")</f>
        <v/>
      </c>
      <c r="AH40" s="257" t="str">
        <f>IF(AND('Mapa final'!$Y$34="Baja",'Mapa final'!$AA$34="Catastrófico"),CONCATENATE("R5C",'Mapa final'!$O$34),"")</f>
        <v/>
      </c>
      <c r="AI40" s="258" t="str">
        <f>IF(AND('Mapa final'!$Y$35="Baja",'Mapa final'!$AA$35="Catastrófico"),CONCATENATE("R5C",'Mapa final'!$O$35),"")</f>
        <v/>
      </c>
      <c r="AJ40" s="258" t="str">
        <f>IF(AND('Mapa final'!$Y$36="Baja",'Mapa final'!$AA$36="Catastrófico"),CONCATENATE("R5C",'Mapa final'!$O$36),"")</f>
        <v/>
      </c>
      <c r="AK40" s="258" t="str">
        <f>IF(AND('Mapa final'!$Y$37="Baja",'Mapa final'!$AA$37="Catastrófico"),CONCATENATE("R5C",'Mapa final'!$O$37),"")</f>
        <v/>
      </c>
      <c r="AL40" s="258" t="str">
        <f>IF(AND('Mapa final'!$Y$38="Baja",'Mapa final'!$AA$38="Catastrófico"),CONCATENATE("R5C",'Mapa final'!$O$38),"")</f>
        <v/>
      </c>
      <c r="AM40" s="259" t="str">
        <f>IF(AND('Mapa final'!$Y$39="Baja",'Mapa final'!$AA$39="Catastrófico"),CONCATENATE("R5C",'Mapa final'!$O$39),"")</f>
        <v/>
      </c>
      <c r="AN40" s="15"/>
      <c r="AO40" s="842"/>
      <c r="AP40" s="843"/>
      <c r="AQ40" s="843"/>
      <c r="AR40" s="843"/>
      <c r="AS40" s="843"/>
      <c r="AT40" s="84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6"/>
      <c r="C41" s="716"/>
      <c r="D41" s="717"/>
      <c r="E41" s="805"/>
      <c r="F41" s="806"/>
      <c r="G41" s="806"/>
      <c r="H41" s="806"/>
      <c r="I41" s="806"/>
      <c r="J41" s="278" t="str">
        <f>IF(AND('Mapa final'!$Y$40="Baja",'Mapa final'!$AA$40="Leve"),CONCATENATE("R6C",'Mapa final'!$O$40),"")</f>
        <v/>
      </c>
      <c r="K41" s="279" t="str">
        <f>IF(AND('Mapa final'!$Y$41="Baja",'Mapa final'!$AA$41="Leve"),CONCATENATE("R6C",'Mapa final'!$O$41),"")</f>
        <v/>
      </c>
      <c r="L41" s="279" t="str">
        <f>IF(AND('Mapa final'!$Y$42="Baja",'Mapa final'!$AA$42="Leve"),CONCATENATE("R6C",'Mapa final'!$O$42),"")</f>
        <v/>
      </c>
      <c r="M41" s="279" t="str">
        <f>IF(AND('Mapa final'!$Y$43="Baja",'Mapa final'!$AA$43="Leve"),CONCATENATE("R6C",'Mapa final'!$O$43),"")</f>
        <v/>
      </c>
      <c r="N41" s="279" t="str">
        <f>IF(AND('Mapa final'!$Y$44="Baja",'Mapa final'!$AA$44="Leve"),CONCATENATE("R6C",'Mapa final'!$O$44),"")</f>
        <v/>
      </c>
      <c r="O41" s="280" t="str">
        <f>IF(AND('Mapa final'!$Y$45="Baja",'Mapa final'!$AA$45="Leve"),CONCATENATE("R6C",'Mapa final'!$O$45),"")</f>
        <v/>
      </c>
      <c r="P41" s="269" t="str">
        <f>IF(AND('Mapa final'!$Y$40="Baja",'Mapa final'!$AA$40="Menor"),CONCATENATE("R6C",'Mapa final'!$O$40),"")</f>
        <v/>
      </c>
      <c r="Q41" s="270" t="str">
        <f>IF(AND('Mapa final'!$Y$41="Baja",'Mapa final'!$AA$41="Menor"),CONCATENATE("R6C",'Mapa final'!$O$41),"")</f>
        <v/>
      </c>
      <c r="R41" s="270" t="str">
        <f>IF(AND('Mapa final'!$Y$42="Baja",'Mapa final'!$AA$42="Menor"),CONCATENATE("R6C",'Mapa final'!$O$42),"")</f>
        <v/>
      </c>
      <c r="S41" s="270" t="str">
        <f>IF(AND('Mapa final'!$Y$43="Baja",'Mapa final'!$AA$43="Menor"),CONCATENATE("R6C",'Mapa final'!$O$43),"")</f>
        <v/>
      </c>
      <c r="T41" s="270" t="str">
        <f>IF(AND('Mapa final'!$Y$44="Baja",'Mapa final'!$AA$44="Menor"),CONCATENATE("R6C",'Mapa final'!$O$44),"")</f>
        <v/>
      </c>
      <c r="U41" s="271" t="str">
        <f>IF(AND('Mapa final'!$Y$45="Baja",'Mapa final'!$AA$45="Menor"),CONCATENATE("R6C",'Mapa final'!$O$45),"")</f>
        <v/>
      </c>
      <c r="V41" s="269" t="str">
        <f>IF(AND('Mapa final'!$Y$40="Baja",'Mapa final'!$AA$40="Moderado"),CONCATENATE("R6C",'Mapa final'!$O$40),"")</f>
        <v/>
      </c>
      <c r="W41" s="270" t="str">
        <f>IF(AND('Mapa final'!$Y$41="Baja",'Mapa final'!$AA$41="Moderado"),CONCATENATE("R6C",'Mapa final'!$O$41),"")</f>
        <v/>
      </c>
      <c r="X41" s="270" t="str">
        <f>IF(AND('Mapa final'!$Y$42="Baja",'Mapa final'!$AA$42="Moderado"),CONCATENATE("R6C",'Mapa final'!$O$42),"")</f>
        <v/>
      </c>
      <c r="Y41" s="270" t="str">
        <f>IF(AND('Mapa final'!$Y$43="Baja",'Mapa final'!$AA$43="Moderado"),CONCATENATE("R6C",'Mapa final'!$O$43),"")</f>
        <v/>
      </c>
      <c r="Z41" s="270" t="str">
        <f>IF(AND('Mapa final'!$Y$44="Baja",'Mapa final'!$AA$44="Moderado"),CONCATENATE("R6C",'Mapa final'!$O$44),"")</f>
        <v/>
      </c>
      <c r="AA41" s="271" t="str">
        <f>IF(AND('Mapa final'!$Y$45="Baja",'Mapa final'!$AA$45="Moderado"),CONCATENATE("R6C",'Mapa final'!$O$45),"")</f>
        <v/>
      </c>
      <c r="AB41" s="254" t="str">
        <f>IF(AND('Mapa final'!$Y$40="Baja",'Mapa final'!$AA$40="Mayor"),CONCATENATE("R6C",'Mapa final'!$O$40),"")</f>
        <v/>
      </c>
      <c r="AC41" s="255" t="str">
        <f>IF(AND('Mapa final'!$Y$41="Baja",'Mapa final'!$AA$41="Mayor"),CONCATENATE("R6C",'Mapa final'!$O$41),"")</f>
        <v/>
      </c>
      <c r="AD41" s="255" t="str">
        <f>IF(AND('Mapa final'!$Y$42="Baja",'Mapa final'!$AA$42="Mayor"),CONCATENATE("R6C",'Mapa final'!$O$42),"")</f>
        <v/>
      </c>
      <c r="AE41" s="255" t="str">
        <f>IF(AND('Mapa final'!$Y$43="Baja",'Mapa final'!$AA$43="Mayor"),CONCATENATE("R6C",'Mapa final'!$O$43),"")</f>
        <v/>
      </c>
      <c r="AF41" s="255" t="str">
        <f>IF(AND('Mapa final'!$Y$44="Baja",'Mapa final'!$AA$44="Mayor"),CONCATENATE("R6C",'Mapa final'!$O$44),"")</f>
        <v/>
      </c>
      <c r="AG41" s="256" t="str">
        <f>IF(AND('Mapa final'!$Y$45="Baja",'Mapa final'!$AA$45="Mayor"),CONCATENATE("R6C",'Mapa final'!$O$45),"")</f>
        <v/>
      </c>
      <c r="AH41" s="257" t="str">
        <f>IF(AND('Mapa final'!$Y$40="Baja",'Mapa final'!$AA$40="Catastrófico"),CONCATENATE("R6C",'Mapa final'!$O$40),"")</f>
        <v/>
      </c>
      <c r="AI41" s="258" t="str">
        <f>IF(AND('Mapa final'!$Y$41="Baja",'Mapa final'!$AA$41="Catastrófico"),CONCATENATE("R6C",'Mapa final'!$O$41),"")</f>
        <v/>
      </c>
      <c r="AJ41" s="258" t="str">
        <f>IF(AND('Mapa final'!$Y$42="Baja",'Mapa final'!$AA$42="Catastrófico"),CONCATENATE("R6C",'Mapa final'!$O$42),"")</f>
        <v/>
      </c>
      <c r="AK41" s="258" t="str">
        <f>IF(AND('Mapa final'!$Y$43="Baja",'Mapa final'!$AA$43="Catastrófico"),CONCATENATE("R6C",'Mapa final'!$O$43),"")</f>
        <v/>
      </c>
      <c r="AL41" s="258" t="str">
        <f>IF(AND('Mapa final'!$Y$44="Baja",'Mapa final'!$AA$44="Catastrófico"),CONCATENATE("R6C",'Mapa final'!$O$44),"")</f>
        <v/>
      </c>
      <c r="AM41" s="259" t="str">
        <f>IF(AND('Mapa final'!$Y$45="Baja",'Mapa final'!$AA$45="Catastrófico"),CONCATENATE("R6C",'Mapa final'!$O$45),"")</f>
        <v/>
      </c>
      <c r="AN41" s="15"/>
      <c r="AO41" s="842"/>
      <c r="AP41" s="843"/>
      <c r="AQ41" s="843"/>
      <c r="AR41" s="843"/>
      <c r="AS41" s="843"/>
      <c r="AT41" s="84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6"/>
      <c r="C42" s="716"/>
      <c r="D42" s="717"/>
      <c r="E42" s="805"/>
      <c r="F42" s="806"/>
      <c r="G42" s="806"/>
      <c r="H42" s="806"/>
      <c r="I42" s="806"/>
      <c r="J42" s="278" t="str">
        <f>IF(AND('Mapa final'!$Y$46="Baja",'Mapa final'!$AA$46="Leve"),CONCATENATE("R7C",'Mapa final'!$O$46),"")</f>
        <v/>
      </c>
      <c r="K42" s="279" t="str">
        <f>IF(AND('Mapa final'!$Y$47="Baja",'Mapa final'!$AA$47="Leve"),CONCATENATE("R7C",'Mapa final'!$O$47),"")</f>
        <v/>
      </c>
      <c r="L42" s="279" t="str">
        <f>IF(AND('Mapa final'!$Y$48="Baja",'Mapa final'!$AA$48="Leve"),CONCATENATE("R7C",'Mapa final'!$O$48),"")</f>
        <v/>
      </c>
      <c r="M42" s="279" t="str">
        <f>IF(AND('Mapa final'!$Y$49="Baja",'Mapa final'!$AA$49="Leve"),CONCATENATE("R7C",'Mapa final'!$O$49),"")</f>
        <v/>
      </c>
      <c r="N42" s="279" t="str">
        <f>IF(AND('Mapa final'!$Y$50="Baja",'Mapa final'!$AA$50="Leve"),CONCATENATE("R7C",'Mapa final'!$O$50),"")</f>
        <v/>
      </c>
      <c r="O42" s="280" t="str">
        <f>IF(AND('Mapa final'!$Y$51="Baja",'Mapa final'!$AA$51="Leve"),CONCATENATE("R7C",'Mapa final'!$O$51),"")</f>
        <v/>
      </c>
      <c r="P42" s="269" t="str">
        <f>IF(AND('Mapa final'!$Y$46="Baja",'Mapa final'!$AA$46="Menor"),CONCATENATE("R7C",'Mapa final'!$O$46),"")</f>
        <v/>
      </c>
      <c r="Q42" s="270" t="str">
        <f>IF(AND('Mapa final'!$Y$47="Baja",'Mapa final'!$AA$47="Menor"),CONCATENATE("R7C",'Mapa final'!$O$47),"")</f>
        <v/>
      </c>
      <c r="R42" s="270" t="str">
        <f>IF(AND('Mapa final'!$Y$48="Baja",'Mapa final'!$AA$48="Menor"),CONCATENATE("R7C",'Mapa final'!$O$48),"")</f>
        <v/>
      </c>
      <c r="S42" s="270" t="str">
        <f>IF(AND('Mapa final'!$Y$49="Baja",'Mapa final'!$AA$49="Menor"),CONCATENATE("R7C",'Mapa final'!$O$49),"")</f>
        <v/>
      </c>
      <c r="T42" s="270" t="str">
        <f>IF(AND('Mapa final'!$Y$50="Baja",'Mapa final'!$AA$50="Menor"),CONCATENATE("R7C",'Mapa final'!$O$50),"")</f>
        <v/>
      </c>
      <c r="U42" s="271" t="str">
        <f>IF(AND('Mapa final'!$Y$51="Baja",'Mapa final'!$AA$51="Menor"),CONCATENATE("R7C",'Mapa final'!$O$51),"")</f>
        <v/>
      </c>
      <c r="V42" s="269" t="str">
        <f>IF(AND('Mapa final'!$Y$46="Baja",'Mapa final'!$AA$46="Moderado"),CONCATENATE("R7C",'Mapa final'!$O$46),"")</f>
        <v/>
      </c>
      <c r="W42" s="270" t="str">
        <f>IF(AND('Mapa final'!$Y$47="Baja",'Mapa final'!$AA$47="Moderado"),CONCATENATE("R7C",'Mapa final'!$O$47),"")</f>
        <v/>
      </c>
      <c r="X42" s="270" t="str">
        <f>IF(AND('Mapa final'!$Y$48="Baja",'Mapa final'!$AA$48="Moderado"),CONCATENATE("R7C",'Mapa final'!$O$48),"")</f>
        <v/>
      </c>
      <c r="Y42" s="270" t="str">
        <f>IF(AND('Mapa final'!$Y$49="Baja",'Mapa final'!$AA$49="Moderado"),CONCATENATE("R7C",'Mapa final'!$O$49),"")</f>
        <v/>
      </c>
      <c r="Z42" s="270" t="str">
        <f>IF(AND('Mapa final'!$Y$50="Baja",'Mapa final'!$AA$50="Moderado"),CONCATENATE("R7C",'Mapa final'!$O$50),"")</f>
        <v/>
      </c>
      <c r="AA42" s="271" t="str">
        <f>IF(AND('Mapa final'!$Y$51="Baja",'Mapa final'!$AA$51="Moderado"),CONCATENATE("R7C",'Mapa final'!$O$51),"")</f>
        <v/>
      </c>
      <c r="AB42" s="254" t="str">
        <f>IF(AND('Mapa final'!$Y$46="Baja",'Mapa final'!$AA$46="Mayor"),CONCATENATE("R7C",'Mapa final'!$O$46),"")</f>
        <v/>
      </c>
      <c r="AC42" s="255" t="str">
        <f>IF(AND('Mapa final'!$Y$47="Baja",'Mapa final'!$AA$47="Mayor"),CONCATENATE("R7C",'Mapa final'!$O$47),"")</f>
        <v/>
      </c>
      <c r="AD42" s="255" t="str">
        <f>IF(AND('Mapa final'!$Y$48="Baja",'Mapa final'!$AA$48="Mayor"),CONCATENATE("R7C",'Mapa final'!$O$48),"")</f>
        <v/>
      </c>
      <c r="AE42" s="255" t="str">
        <f>IF(AND('Mapa final'!$Y$49="Baja",'Mapa final'!$AA$49="Mayor"),CONCATENATE("R7C",'Mapa final'!$O$49),"")</f>
        <v/>
      </c>
      <c r="AF42" s="255" t="str">
        <f>IF(AND('Mapa final'!$Y$50="Baja",'Mapa final'!$AA$50="Mayor"),CONCATENATE("R7C",'Mapa final'!$O$50),"")</f>
        <v/>
      </c>
      <c r="AG42" s="256" t="str">
        <f>IF(AND('Mapa final'!$Y$51="Baja",'Mapa final'!$AA$51="Mayor"),CONCATENATE("R7C",'Mapa final'!$O$51),"")</f>
        <v/>
      </c>
      <c r="AH42" s="257" t="str">
        <f>IF(AND('Mapa final'!$Y$46="Baja",'Mapa final'!$AA$46="Catastrófico"),CONCATENATE("R7C",'Mapa final'!$O$46),"")</f>
        <v/>
      </c>
      <c r="AI42" s="258" t="str">
        <f>IF(AND('Mapa final'!$Y$47="Baja",'Mapa final'!$AA$47="Catastrófico"),CONCATENATE("R7C",'Mapa final'!$O$47),"")</f>
        <v/>
      </c>
      <c r="AJ42" s="258" t="str">
        <f>IF(AND('Mapa final'!$Y$48="Baja",'Mapa final'!$AA$48="Catastrófico"),CONCATENATE("R7C",'Mapa final'!$O$48),"")</f>
        <v/>
      </c>
      <c r="AK42" s="258" t="str">
        <f>IF(AND('Mapa final'!$Y$49="Baja",'Mapa final'!$AA$49="Catastrófico"),CONCATENATE("R7C",'Mapa final'!$O$49),"")</f>
        <v/>
      </c>
      <c r="AL42" s="258" t="str">
        <f>IF(AND('Mapa final'!$Y$50="Baja",'Mapa final'!$AA$50="Catastrófico"),CONCATENATE("R7C",'Mapa final'!$O$50),"")</f>
        <v/>
      </c>
      <c r="AM42" s="259" t="str">
        <f>IF(AND('Mapa final'!$Y$51="Baja",'Mapa final'!$AA$51="Catastrófico"),CONCATENATE("R7C",'Mapa final'!$O$51),"")</f>
        <v/>
      </c>
      <c r="AN42" s="15"/>
      <c r="AO42" s="842"/>
      <c r="AP42" s="843"/>
      <c r="AQ42" s="843"/>
      <c r="AR42" s="843"/>
      <c r="AS42" s="843"/>
      <c r="AT42" s="84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6"/>
      <c r="C43" s="716"/>
      <c r="D43" s="717"/>
      <c r="E43" s="805"/>
      <c r="F43" s="806"/>
      <c r="G43" s="806"/>
      <c r="H43" s="806"/>
      <c r="I43" s="806"/>
      <c r="J43" s="278" t="str">
        <f>IF(AND('Mapa final'!$Y$52="Baja",'Mapa final'!$AA$52="Leve"),CONCATENATE("R8C",'Mapa final'!$O$52),"")</f>
        <v/>
      </c>
      <c r="K43" s="279" t="str">
        <f>IF(AND('Mapa final'!$Y$53="Baja",'Mapa final'!$AA$53="Leve"),CONCATENATE("R8C",'Mapa final'!$O$53),"")</f>
        <v/>
      </c>
      <c r="L43" s="279" t="str">
        <f>IF(AND('Mapa final'!$Y$54="Baja",'Mapa final'!$AA$54="Leve"),CONCATENATE("R8C",'Mapa final'!$O$54),"")</f>
        <v/>
      </c>
      <c r="M43" s="279" t="str">
        <f>IF(AND('Mapa final'!$Y$55="Baja",'Mapa final'!$AA$55="Leve"),CONCATENATE("R8C",'Mapa final'!$O$55),"")</f>
        <v/>
      </c>
      <c r="N43" s="279" t="str">
        <f>IF(AND('Mapa final'!$Y$56="Baja",'Mapa final'!$AA$56="Leve"),CONCATENATE("R8C",'Mapa final'!$O$56),"")</f>
        <v/>
      </c>
      <c r="O43" s="280" t="str">
        <f>IF(AND('Mapa final'!$Y$57="Baja",'Mapa final'!$AA$57="Leve"),CONCATENATE("R8C",'Mapa final'!$O$57),"")</f>
        <v/>
      </c>
      <c r="P43" s="269" t="str">
        <f>IF(AND('Mapa final'!$Y$52="Baja",'Mapa final'!$AA$52="Menor"),CONCATENATE("R8C",'Mapa final'!$O$52),"")</f>
        <v/>
      </c>
      <c r="Q43" s="270" t="str">
        <f>IF(AND('Mapa final'!$Y$53="Baja",'Mapa final'!$AA$53="Menor"),CONCATENATE("R8C",'Mapa final'!$O$53),"")</f>
        <v/>
      </c>
      <c r="R43" s="270" t="str">
        <f>IF(AND('Mapa final'!$Y$54="Baja",'Mapa final'!$AA$54="Menor"),CONCATENATE("R8C",'Mapa final'!$O$54),"")</f>
        <v/>
      </c>
      <c r="S43" s="270" t="str">
        <f>IF(AND('Mapa final'!$Y$55="Baja",'Mapa final'!$AA$55="Menor"),CONCATENATE("R8C",'Mapa final'!$O$55),"")</f>
        <v/>
      </c>
      <c r="T43" s="270" t="str">
        <f>IF(AND('Mapa final'!$Y$56="Baja",'Mapa final'!$AA$56="Menor"),CONCATENATE("R8C",'Mapa final'!$O$56),"")</f>
        <v/>
      </c>
      <c r="U43" s="271" t="str">
        <f>IF(AND('Mapa final'!$Y$57="Baja",'Mapa final'!$AA$57="Menor"),CONCATENATE("R8C",'Mapa final'!$O$57),"")</f>
        <v/>
      </c>
      <c r="V43" s="269" t="str">
        <f>IF(AND('Mapa final'!$Y$52="Baja",'Mapa final'!$AA$52="Moderado"),CONCATENATE("R8C",'Mapa final'!$O$52),"")</f>
        <v/>
      </c>
      <c r="W43" s="270" t="str">
        <f>IF(AND('Mapa final'!$Y$53="Baja",'Mapa final'!$AA$53="Moderado"),CONCATENATE("R8C",'Mapa final'!$O$53),"")</f>
        <v/>
      </c>
      <c r="X43" s="270" t="str">
        <f>IF(AND('Mapa final'!$Y$54="Baja",'Mapa final'!$AA$54="Moderado"),CONCATENATE("R8C",'Mapa final'!$O$54),"")</f>
        <v/>
      </c>
      <c r="Y43" s="270" t="str">
        <f>IF(AND('Mapa final'!$Y$55="Baja",'Mapa final'!$AA$55="Moderado"),CONCATENATE("R8C",'Mapa final'!$O$55),"")</f>
        <v/>
      </c>
      <c r="Z43" s="270" t="str">
        <f>IF(AND('Mapa final'!$Y$56="Baja",'Mapa final'!$AA$56="Moderado"),CONCATENATE("R8C",'Mapa final'!$O$56),"")</f>
        <v/>
      </c>
      <c r="AA43" s="271" t="str">
        <f>IF(AND('Mapa final'!$Y$57="Baja",'Mapa final'!$AA$57="Moderado"),CONCATENATE("R8C",'Mapa final'!$O$57),"")</f>
        <v/>
      </c>
      <c r="AB43" s="254" t="str">
        <f>IF(AND('Mapa final'!$Y$52="Baja",'Mapa final'!$AA$52="Mayor"),CONCATENATE("R8C",'Mapa final'!$O$52),"")</f>
        <v/>
      </c>
      <c r="AC43" s="255" t="str">
        <f>IF(AND('Mapa final'!$Y$53="Baja",'Mapa final'!$AA$53="Mayor"),CONCATENATE("R8C",'Mapa final'!$O$53),"")</f>
        <v/>
      </c>
      <c r="AD43" s="255" t="str">
        <f>IF(AND('Mapa final'!$Y$54="Baja",'Mapa final'!$AA$54="Mayor"),CONCATENATE("R8C",'Mapa final'!$O$54),"")</f>
        <v/>
      </c>
      <c r="AE43" s="255" t="str">
        <f>IF(AND('Mapa final'!$Y$55="Baja",'Mapa final'!$AA$55="Mayor"),CONCATENATE("R8C",'Mapa final'!$O$55),"")</f>
        <v/>
      </c>
      <c r="AF43" s="255" t="str">
        <f>IF(AND('Mapa final'!$Y$56="Baja",'Mapa final'!$AA$56="Mayor"),CONCATENATE("R8C",'Mapa final'!$O$56),"")</f>
        <v/>
      </c>
      <c r="AG43" s="256" t="str">
        <f>IF(AND('Mapa final'!$Y$57="Baja",'Mapa final'!$AA$57="Mayor"),CONCATENATE("R8C",'Mapa final'!$O$57),"")</f>
        <v/>
      </c>
      <c r="AH43" s="257" t="str">
        <f>IF(AND('Mapa final'!$Y$52="Baja",'Mapa final'!$AA$52="Catastrófico"),CONCATENATE("R8C",'Mapa final'!$O$52),"")</f>
        <v/>
      </c>
      <c r="AI43" s="258" t="str">
        <f>IF(AND('Mapa final'!$Y$53="Baja",'Mapa final'!$AA$53="Catastrófico"),CONCATENATE("R8C",'Mapa final'!$O$53),"")</f>
        <v/>
      </c>
      <c r="AJ43" s="258" t="str">
        <f>IF(AND('Mapa final'!$Y$54="Baja",'Mapa final'!$AA$54="Catastrófico"),CONCATENATE("R8C",'Mapa final'!$O$54),"")</f>
        <v/>
      </c>
      <c r="AK43" s="258" t="str">
        <f>IF(AND('Mapa final'!$Y$55="Baja",'Mapa final'!$AA$55="Catastrófico"),CONCATENATE("R8C",'Mapa final'!$O$55),"")</f>
        <v/>
      </c>
      <c r="AL43" s="258" t="str">
        <f>IF(AND('Mapa final'!$Y$56="Baja",'Mapa final'!$AA$56="Catastrófico"),CONCATENATE("R8C",'Mapa final'!$O$56),"")</f>
        <v/>
      </c>
      <c r="AM43" s="259" t="str">
        <f>IF(AND('Mapa final'!$Y$57="Baja",'Mapa final'!$AA$57="Catastrófico"),CONCATENATE("R8C",'Mapa final'!$O$57),"")</f>
        <v/>
      </c>
      <c r="AN43" s="15"/>
      <c r="AO43" s="842"/>
      <c r="AP43" s="843"/>
      <c r="AQ43" s="843"/>
      <c r="AR43" s="843"/>
      <c r="AS43" s="843"/>
      <c r="AT43" s="84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6"/>
      <c r="C44" s="716"/>
      <c r="D44" s="717"/>
      <c r="E44" s="805"/>
      <c r="F44" s="806"/>
      <c r="G44" s="806"/>
      <c r="H44" s="806"/>
      <c r="I44" s="806"/>
      <c r="J44" s="278" t="str">
        <f>IF(AND('Mapa final'!$Y$58="Baja",'Mapa final'!$AA$58="Leve"),CONCATENATE("R9C",'Mapa final'!$O$58),"")</f>
        <v/>
      </c>
      <c r="K44" s="279" t="str">
        <f>IF(AND('Mapa final'!$Y$59="Baja",'Mapa final'!$AA$59="Leve"),CONCATENATE("R9C",'Mapa final'!$O$59),"")</f>
        <v/>
      </c>
      <c r="L44" s="279" t="str">
        <f>IF(AND('Mapa final'!$Y$60="Baja",'Mapa final'!$AA$60="Leve"),CONCATENATE("R9C",'Mapa final'!$O$60),"")</f>
        <v/>
      </c>
      <c r="M44" s="279" t="str">
        <f>IF(AND('Mapa final'!$Y$61="Baja",'Mapa final'!$AA$61="Leve"),CONCATENATE("R9C",'Mapa final'!$O$61),"")</f>
        <v/>
      </c>
      <c r="N44" s="279" t="str">
        <f>IF(AND('Mapa final'!$Y$62="Baja",'Mapa final'!$AA$62="Leve"),CONCATENATE("R9C",'Mapa final'!$O$62),"")</f>
        <v/>
      </c>
      <c r="O44" s="280" t="str">
        <f>IF(AND('Mapa final'!$Y$63="Baja",'Mapa final'!$AA$63="Leve"),CONCATENATE("R9C",'Mapa final'!$O$63),"")</f>
        <v/>
      </c>
      <c r="P44" s="269" t="str">
        <f>IF(AND('Mapa final'!$Y$58="Baja",'Mapa final'!$AA$58="Menor"),CONCATENATE("R9C",'Mapa final'!$O$58),"")</f>
        <v/>
      </c>
      <c r="Q44" s="270" t="str">
        <f>IF(AND('Mapa final'!$Y$59="Baja",'Mapa final'!$AA$59="Menor"),CONCATENATE("R9C",'Mapa final'!$O$59),"")</f>
        <v/>
      </c>
      <c r="R44" s="270" t="str">
        <f>IF(AND('Mapa final'!$Y$60="Baja",'Mapa final'!$AA$60="Menor"),CONCATENATE("R9C",'Mapa final'!$O$60),"")</f>
        <v/>
      </c>
      <c r="S44" s="270" t="str">
        <f>IF(AND('Mapa final'!$Y$61="Baja",'Mapa final'!$AA$61="Menor"),CONCATENATE("R9C",'Mapa final'!$O$61),"")</f>
        <v/>
      </c>
      <c r="T44" s="270" t="str">
        <f>IF(AND('Mapa final'!$Y$62="Baja",'Mapa final'!$AA$62="Menor"),CONCATENATE("R9C",'Mapa final'!$O$62),"")</f>
        <v/>
      </c>
      <c r="U44" s="271" t="str">
        <f>IF(AND('Mapa final'!$Y$63="Baja",'Mapa final'!$AA$63="Menor"),CONCATENATE("R9C",'Mapa final'!$O$63),"")</f>
        <v/>
      </c>
      <c r="V44" s="269" t="str">
        <f>IF(AND('Mapa final'!$Y$58="Baja",'Mapa final'!$AA$58="Moderado"),CONCATENATE("R9C",'Mapa final'!$O$58),"")</f>
        <v/>
      </c>
      <c r="W44" s="270" t="str">
        <f>IF(AND('Mapa final'!$Y$59="Baja",'Mapa final'!$AA$59="Moderado"),CONCATENATE("R9C",'Mapa final'!$O$59),"")</f>
        <v/>
      </c>
      <c r="X44" s="270" t="str">
        <f>IF(AND('Mapa final'!$Y$60="Baja",'Mapa final'!$AA$60="Moderado"),CONCATENATE("R9C",'Mapa final'!$O$60),"")</f>
        <v/>
      </c>
      <c r="Y44" s="270" t="str">
        <f>IF(AND('Mapa final'!$Y$61="Baja",'Mapa final'!$AA$61="Moderado"),CONCATENATE("R9C",'Mapa final'!$O$61),"")</f>
        <v/>
      </c>
      <c r="Z44" s="270" t="str">
        <f>IF(AND('Mapa final'!$Y$62="Baja",'Mapa final'!$AA$62="Moderado"),CONCATENATE("R9C",'Mapa final'!$O$62),"")</f>
        <v/>
      </c>
      <c r="AA44" s="271" t="str">
        <f>IF(AND('Mapa final'!$Y$63="Baja",'Mapa final'!$AA$63="Moderado"),CONCATENATE("R9C",'Mapa final'!$O$63),"")</f>
        <v/>
      </c>
      <c r="AB44" s="254" t="str">
        <f>IF(AND('Mapa final'!$Y$58="Baja",'Mapa final'!$AA$58="Mayor"),CONCATENATE("R9C",'Mapa final'!$O$58),"")</f>
        <v/>
      </c>
      <c r="AC44" s="255" t="str">
        <f>IF(AND('Mapa final'!$Y$59="Baja",'Mapa final'!$AA$59="Mayor"),CONCATENATE("R9C",'Mapa final'!$O$59),"")</f>
        <v/>
      </c>
      <c r="AD44" s="255" t="str">
        <f>IF(AND('Mapa final'!$Y$60="Baja",'Mapa final'!$AA$60="Mayor"),CONCATENATE("R9C",'Mapa final'!$O$60),"")</f>
        <v/>
      </c>
      <c r="AE44" s="255" t="str">
        <f>IF(AND('Mapa final'!$Y$61="Baja",'Mapa final'!$AA$61="Mayor"),CONCATENATE("R9C",'Mapa final'!$O$61),"")</f>
        <v/>
      </c>
      <c r="AF44" s="255" t="str">
        <f>IF(AND('Mapa final'!$Y$62="Baja",'Mapa final'!$AA$62="Mayor"),CONCATENATE("R9C",'Mapa final'!$O$62),"")</f>
        <v/>
      </c>
      <c r="AG44" s="256" t="str">
        <f>IF(AND('Mapa final'!$Y$63="Baja",'Mapa final'!$AA$63="Mayor"),CONCATENATE("R9C",'Mapa final'!$O$63),"")</f>
        <v/>
      </c>
      <c r="AH44" s="257" t="str">
        <f>IF(AND('Mapa final'!$Y$58="Baja",'Mapa final'!$AA$58="Catastrófico"),CONCATENATE("R9C",'Mapa final'!$O$58),"")</f>
        <v/>
      </c>
      <c r="AI44" s="258" t="str">
        <f>IF(AND('Mapa final'!$Y$59="Baja",'Mapa final'!$AA$59="Catastrófico"),CONCATENATE("R9C",'Mapa final'!$O$59),"")</f>
        <v/>
      </c>
      <c r="AJ44" s="258" t="str">
        <f>IF(AND('Mapa final'!$Y$60="Baja",'Mapa final'!$AA$60="Catastrófico"),CONCATENATE("R9C",'Mapa final'!$O$60),"")</f>
        <v/>
      </c>
      <c r="AK44" s="258" t="str">
        <f>IF(AND('Mapa final'!$Y$61="Baja",'Mapa final'!$AA$61="Catastrófico"),CONCATENATE("R9C",'Mapa final'!$O$61),"")</f>
        <v/>
      </c>
      <c r="AL44" s="258" t="str">
        <f>IF(AND('Mapa final'!$Y$62="Baja",'Mapa final'!$AA$62="Catastrófico"),CONCATENATE("R9C",'Mapa final'!$O$62),"")</f>
        <v/>
      </c>
      <c r="AM44" s="259" t="str">
        <f>IF(AND('Mapa final'!$Y$63="Baja",'Mapa final'!$AA$63="Catastrófico"),CONCATENATE("R9C",'Mapa final'!$O$63),"")</f>
        <v/>
      </c>
      <c r="AN44" s="15"/>
      <c r="AO44" s="842"/>
      <c r="AP44" s="843"/>
      <c r="AQ44" s="843"/>
      <c r="AR44" s="843"/>
      <c r="AS44" s="843"/>
      <c r="AT44" s="84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6"/>
      <c r="C45" s="716"/>
      <c r="D45" s="717"/>
      <c r="E45" s="808"/>
      <c r="F45" s="809"/>
      <c r="G45" s="809"/>
      <c r="H45" s="809"/>
      <c r="I45" s="809"/>
      <c r="J45" s="281" t="str">
        <f>IF(AND('Mapa final'!$Y$64="Baja",'Mapa final'!$AA$64="Leve"),CONCATENATE("R10C",'Mapa final'!$O$64),"")</f>
        <v/>
      </c>
      <c r="K45" s="282" t="str">
        <f>IF(AND('Mapa final'!$Y$65="Baja",'Mapa final'!$AA$65="Leve"),CONCATENATE("R10C",'Mapa final'!$O$65),"")</f>
        <v/>
      </c>
      <c r="L45" s="282" t="str">
        <f>IF(AND('Mapa final'!$Y$66="Baja",'Mapa final'!$AA$66="Leve"),CONCATENATE("R10C",'Mapa final'!$O$66),"")</f>
        <v/>
      </c>
      <c r="M45" s="282" t="str">
        <f>IF(AND('Mapa final'!$Y$67="Baja",'Mapa final'!$AA$67="Leve"),CONCATENATE("R10C",'Mapa final'!$O$67),"")</f>
        <v/>
      </c>
      <c r="N45" s="282" t="str">
        <f>IF(AND('Mapa final'!$Y$68="Baja",'Mapa final'!$AA$68="Leve"),CONCATENATE("R10C",'Mapa final'!$O$68),"")</f>
        <v/>
      </c>
      <c r="O45" s="283" t="str">
        <f>IF(AND('Mapa final'!$Y$69="Baja",'Mapa final'!$AA$69="Leve"),CONCATENATE("R10C",'Mapa final'!$O$69),"")</f>
        <v/>
      </c>
      <c r="P45" s="269" t="str">
        <f>IF(AND('Mapa final'!$Y$64="Baja",'Mapa final'!$AA$64="Menor"),CONCATENATE("R10C",'Mapa final'!$O$64),"")</f>
        <v/>
      </c>
      <c r="Q45" s="270" t="str">
        <f>IF(AND('Mapa final'!$Y$65="Baja",'Mapa final'!$AA$65="Menor"),CONCATENATE("R10C",'Mapa final'!$O$65),"")</f>
        <v/>
      </c>
      <c r="R45" s="270" t="str">
        <f>IF(AND('Mapa final'!$Y$66="Baja",'Mapa final'!$AA$66="Menor"),CONCATENATE("R10C",'Mapa final'!$O$66),"")</f>
        <v/>
      </c>
      <c r="S45" s="270" t="str">
        <f>IF(AND('Mapa final'!$Y$67="Baja",'Mapa final'!$AA$67="Menor"),CONCATENATE("R10C",'Mapa final'!$O$67),"")</f>
        <v/>
      </c>
      <c r="T45" s="270" t="str">
        <f>IF(AND('Mapa final'!$Y$68="Baja",'Mapa final'!$AA$68="Menor"),CONCATENATE("R10C",'Mapa final'!$O$68),"")</f>
        <v/>
      </c>
      <c r="U45" s="271" t="str">
        <f>IF(AND('Mapa final'!$Y$69="Baja",'Mapa final'!$AA$69="Menor"),CONCATENATE("R10C",'Mapa final'!$O$69),"")</f>
        <v/>
      </c>
      <c r="V45" s="272" t="str">
        <f>IF(AND('Mapa final'!$Y$64="Baja",'Mapa final'!$AA$64="Moderado"),CONCATENATE("R10C",'Mapa final'!$O$64),"")</f>
        <v/>
      </c>
      <c r="W45" s="273" t="str">
        <f>IF(AND('Mapa final'!$Y$65="Baja",'Mapa final'!$AA$65="Moderado"),CONCATENATE("R10C",'Mapa final'!$O$65),"")</f>
        <v/>
      </c>
      <c r="X45" s="273" t="str">
        <f>IF(AND('Mapa final'!$Y$66="Baja",'Mapa final'!$AA$66="Moderado"),CONCATENATE("R10C",'Mapa final'!$O$66),"")</f>
        <v/>
      </c>
      <c r="Y45" s="273" t="str">
        <f>IF(AND('Mapa final'!$Y$67="Baja",'Mapa final'!$AA$67="Moderado"),CONCATENATE("R10C",'Mapa final'!$O$67),"")</f>
        <v/>
      </c>
      <c r="Z45" s="273" t="str">
        <f>IF(AND('Mapa final'!$Y$68="Baja",'Mapa final'!$AA$68="Moderado"),CONCATENATE("R10C",'Mapa final'!$O$68),"")</f>
        <v/>
      </c>
      <c r="AA45" s="274" t="str">
        <f>IF(AND('Mapa final'!$Y$69="Baja",'Mapa final'!$AA$69="Moderado"),CONCATENATE("R10C",'Mapa final'!$O$69),"")</f>
        <v/>
      </c>
      <c r="AB45" s="260" t="str">
        <f>IF(AND('Mapa final'!$Y$64="Baja",'Mapa final'!$AA$64="Mayor"),CONCATENATE("R10C",'Mapa final'!$O$64),"")</f>
        <v/>
      </c>
      <c r="AC45" s="261" t="str">
        <f>IF(AND('Mapa final'!$Y$65="Baja",'Mapa final'!$AA$65="Mayor"),CONCATENATE("R10C",'Mapa final'!$O$65),"")</f>
        <v/>
      </c>
      <c r="AD45" s="261" t="str">
        <f>IF(AND('Mapa final'!$Y$66="Baja",'Mapa final'!$AA$66="Mayor"),CONCATENATE("R10C",'Mapa final'!$O$66),"")</f>
        <v/>
      </c>
      <c r="AE45" s="261" t="str">
        <f>IF(AND('Mapa final'!$Y$67="Baja",'Mapa final'!$AA$67="Mayor"),CONCATENATE("R10C",'Mapa final'!$O$67),"")</f>
        <v/>
      </c>
      <c r="AF45" s="261" t="str">
        <f>IF(AND('Mapa final'!$Y$68="Baja",'Mapa final'!$AA$68="Mayor"),CONCATENATE("R10C",'Mapa final'!$O$68),"")</f>
        <v/>
      </c>
      <c r="AG45" s="262" t="str">
        <f>IF(AND('Mapa final'!$Y$69="Baja",'Mapa final'!$AA$69="Mayor"),CONCATENATE("R10C",'Mapa final'!$O$69),"")</f>
        <v/>
      </c>
      <c r="AH45" s="263" t="str">
        <f>IF(AND('Mapa final'!$Y$64="Baja",'Mapa final'!$AA$64="Catastrófico"),CONCATENATE("R10C",'Mapa final'!$O$64),"")</f>
        <v/>
      </c>
      <c r="AI45" s="264" t="str">
        <f>IF(AND('Mapa final'!$Y$65="Baja",'Mapa final'!$AA$65="Catastrófico"),CONCATENATE("R10C",'Mapa final'!$O$65),"")</f>
        <v/>
      </c>
      <c r="AJ45" s="264" t="str">
        <f>IF(AND('Mapa final'!$Y$66="Baja",'Mapa final'!$AA$66="Catastrófico"),CONCATENATE("R10C",'Mapa final'!$O$66),"")</f>
        <v/>
      </c>
      <c r="AK45" s="264" t="str">
        <f>IF(AND('Mapa final'!$Y$67="Baja",'Mapa final'!$AA$67="Catastrófico"),CONCATENATE("R10C",'Mapa final'!$O$67),"")</f>
        <v/>
      </c>
      <c r="AL45" s="264" t="str">
        <f>IF(AND('Mapa final'!$Y$68="Baja",'Mapa final'!$AA$68="Catastrófico"),CONCATENATE("R10C",'Mapa final'!$O$68),"")</f>
        <v/>
      </c>
      <c r="AM45" s="265" t="str">
        <f>IF(AND('Mapa final'!$Y$69="Baja",'Mapa final'!$AA$69="Catastrófico"),CONCATENATE("R10C",'Mapa final'!$O$69),"")</f>
        <v/>
      </c>
      <c r="AN45" s="15"/>
      <c r="AO45" s="845"/>
      <c r="AP45" s="846"/>
      <c r="AQ45" s="846"/>
      <c r="AR45" s="846"/>
      <c r="AS45" s="846"/>
      <c r="AT45" s="847"/>
    </row>
    <row r="46" spans="1:80" ht="46.5" customHeight="1" x14ac:dyDescent="0.35">
      <c r="A46" s="15"/>
      <c r="B46" s="716"/>
      <c r="C46" s="716"/>
      <c r="D46" s="717"/>
      <c r="E46" s="802" t="s">
        <v>197</v>
      </c>
      <c r="F46" s="803"/>
      <c r="G46" s="803"/>
      <c r="H46" s="803"/>
      <c r="I46" s="804"/>
      <c r="J46" s="275" t="str">
        <f>IF(AND('Mapa final'!$Y$10="Muy Baja",'Mapa final'!$AA$10="Leve"),CONCATENATE("R1C",'Mapa final'!$O$10),"")</f>
        <v/>
      </c>
      <c r="K46" s="276" t="str">
        <f>IF(AND('Mapa final'!$Y$11="Muy Baja",'Mapa final'!$AA$11="Leve"),CONCATENATE("R1C",'Mapa final'!$O$11),"")</f>
        <v/>
      </c>
      <c r="L46" s="276" t="str">
        <f>IF(AND('Mapa final'!$Y$12="Muy Baja",'Mapa final'!$AA$12="Leve"),CONCATENATE("R1C",'Mapa final'!$O$12),"")</f>
        <v/>
      </c>
      <c r="M46" s="276" t="str">
        <f>IF(AND('Mapa final'!$Y$13="Muy Baja",'Mapa final'!$AA$13="Leve"),CONCATENATE("R1C",'Mapa final'!$O$13),"")</f>
        <v/>
      </c>
      <c r="N46" s="276" t="str">
        <f>IF(AND('Mapa final'!$Y$14="Muy Baja",'Mapa final'!$AA$14="Leve"),CONCATENATE("R1C",'Mapa final'!$O$14),"")</f>
        <v/>
      </c>
      <c r="O46" s="277" t="str">
        <f>IF(AND('Mapa final'!$Y$15="Muy Baja",'Mapa final'!$AA$15="Leve"),CONCATENATE("R1C",'Mapa final'!$O$15),"")</f>
        <v/>
      </c>
      <c r="P46" s="275" t="str">
        <f>IF(AND('Mapa final'!$Y$10="Muy Baja",'Mapa final'!$AA$10="Menor"),CONCATENATE("R1C",'Mapa final'!$O$10),"")</f>
        <v/>
      </c>
      <c r="Q46" s="276" t="str">
        <f>IF(AND('Mapa final'!$Y$11="Muy Baja",'Mapa final'!$AA$11="Menor"),CONCATENATE("R1C",'Mapa final'!$O$11),"")</f>
        <v/>
      </c>
      <c r="R46" s="276" t="str">
        <f>IF(AND('Mapa final'!$Y$12="Muy Baja",'Mapa final'!$AA$12="Menor"),CONCATENATE("R1C",'Mapa final'!$O$12),"")</f>
        <v/>
      </c>
      <c r="S46" s="276" t="str">
        <f>IF(AND('Mapa final'!$Y$13="Muy Baja",'Mapa final'!$AA$13="Menor"),CONCATENATE("R1C",'Mapa final'!$O$13),"")</f>
        <v/>
      </c>
      <c r="T46" s="276" t="str">
        <f>IF(AND('Mapa final'!$Y$14="Muy Baja",'Mapa final'!$AA$14="Menor"),CONCATENATE("R1C",'Mapa final'!$O$14),"")</f>
        <v/>
      </c>
      <c r="U46" s="277" t="str">
        <f>IF(AND('Mapa final'!$Y$15="Muy Baja",'Mapa final'!$AA$15="Menor"),CONCATENATE("R1C",'Mapa final'!$O$15),"")</f>
        <v/>
      </c>
      <c r="V46" s="266" t="str">
        <f>IF(AND('Mapa final'!$Y$10="Muy Baja",'Mapa final'!$AA$10="Moderado"),CONCATENATE("R1C",'Mapa final'!$O$10),"")</f>
        <v/>
      </c>
      <c r="W46" s="284" t="str">
        <f>IF(AND('Mapa final'!$Y$11="Muy Baja",'Mapa final'!$AA$11="Moderado"),CONCATENATE("R1C",'Mapa final'!$O$11),"")</f>
        <v/>
      </c>
      <c r="X46" s="267" t="str">
        <f>IF(AND('Mapa final'!$Y$12="Muy Baja",'Mapa final'!$AA$12="Moderado"),CONCATENATE("R1C",'Mapa final'!$O$12),"")</f>
        <v/>
      </c>
      <c r="Y46" s="267" t="str">
        <f>IF(AND('Mapa final'!$Y$13="Muy Baja",'Mapa final'!$AA$13="Moderado"),CONCATENATE("R1C",'Mapa final'!$O$13),"")</f>
        <v/>
      </c>
      <c r="Z46" s="267" t="str">
        <f>IF(AND('Mapa final'!$Y$14="Muy Baja",'Mapa final'!$AA$14="Moderado"),CONCATENATE("R1C",'Mapa final'!$O$14),"")</f>
        <v/>
      </c>
      <c r="AA46" s="268" t="str">
        <f>IF(AND('Mapa final'!$Y$15="Muy Baja",'Mapa final'!$AA$15="Moderado"),CONCATENATE("R1C",'Mapa final'!$O$15),"")</f>
        <v/>
      </c>
      <c r="AB46" s="248" t="str">
        <f>IF(AND('Mapa final'!$Y$10="Muy Baja",'Mapa final'!$AA$10="Mayor"),CONCATENATE("R1C",'Mapa final'!$O$10),"")</f>
        <v/>
      </c>
      <c r="AC46" s="249" t="str">
        <f>IF(AND('Mapa final'!$Y$11="Muy Baja",'Mapa final'!$AA$11="Mayor"),CONCATENATE("R1C",'Mapa final'!$O$11),"")</f>
        <v/>
      </c>
      <c r="AD46" s="249" t="str">
        <f>IF(AND('Mapa final'!$Y$12="Muy Baja",'Mapa final'!$AA$12="Mayor"),CONCATENATE("R1C",'Mapa final'!$O$12),"")</f>
        <v/>
      </c>
      <c r="AE46" s="249" t="str">
        <f>IF(AND('Mapa final'!$Y$13="Muy Baja",'Mapa final'!$AA$13="Mayor"),CONCATENATE("R1C",'Mapa final'!$O$13),"")</f>
        <v/>
      </c>
      <c r="AF46" s="249" t="str">
        <f>IF(AND('Mapa final'!$Y$14="Muy Baja",'Mapa final'!$AA$14="Mayor"),CONCATENATE("R1C",'Mapa final'!$O$14),"")</f>
        <v/>
      </c>
      <c r="AG46" s="250" t="str">
        <f>IF(AND('Mapa final'!$Y$15="Muy Baja",'Mapa final'!$AA$15="Mayor"),CONCATENATE("R1C",'Mapa final'!$O$15),"")</f>
        <v/>
      </c>
      <c r="AH46" s="251" t="str">
        <f>IF(AND('Mapa final'!$Y$10="Muy Baja",'Mapa final'!$AA$10="Catastrófico"),CONCATENATE("R1C",'Mapa final'!$O$10),"")</f>
        <v/>
      </c>
      <c r="AI46" s="252" t="str">
        <f>IF(AND('Mapa final'!$Y$11="Muy Baja",'Mapa final'!$AA$11="Catastrófico"),CONCATENATE("R1C",'Mapa final'!$O$11),"")</f>
        <v>R1C2</v>
      </c>
      <c r="AJ46" s="252" t="str">
        <f>IF(AND('Mapa final'!$Y$12="Muy Baja",'Mapa final'!$AA$12="Catastrófico"),CONCATENATE("R1C",'Mapa final'!$O$12),"")</f>
        <v>R1C3</v>
      </c>
      <c r="AK46" s="252" t="str">
        <f>IF(AND('Mapa final'!$Y$13="Muy Baja",'Mapa final'!$AA$13="Catastrófico"),CONCATENATE("R1C",'Mapa final'!$O$13),"")</f>
        <v/>
      </c>
      <c r="AL46" s="252" t="str">
        <f>IF(AND('Mapa final'!$Y$14="Muy Baja",'Mapa final'!$AA$14="Catastrófico"),CONCATENATE("R1C",'Mapa final'!$O$14),"")</f>
        <v/>
      </c>
      <c r="AM46" s="25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6"/>
      <c r="C47" s="716"/>
      <c r="D47" s="717"/>
      <c r="E47" s="820"/>
      <c r="F47" s="806"/>
      <c r="G47" s="806"/>
      <c r="H47" s="806"/>
      <c r="I47" s="807"/>
      <c r="J47" s="278" t="str">
        <f>IF(AND('Mapa final'!$Y$16="Muy Baja",'Mapa final'!$AA$16="Leve"),CONCATENATE("R2C",'Mapa final'!$O$16),"")</f>
        <v/>
      </c>
      <c r="K47" s="279" t="str">
        <f>IF(AND('Mapa final'!$Y$17="Muy Baja",'Mapa final'!$AA$17="Leve"),CONCATENATE("R2C",'Mapa final'!$O$17),"")</f>
        <v/>
      </c>
      <c r="L47" s="279" t="str">
        <f>IF(AND('Mapa final'!$Y$18="Muy Baja",'Mapa final'!$AA$18="Leve"),CONCATENATE("R2C",'Mapa final'!$O$18),"")</f>
        <v/>
      </c>
      <c r="M47" s="279" t="str">
        <f>IF(AND('Mapa final'!$Y$19="Muy Baja",'Mapa final'!$AA$19="Leve"),CONCATENATE("R2C",'Mapa final'!$O$19),"")</f>
        <v/>
      </c>
      <c r="N47" s="279" t="str">
        <f>IF(AND('Mapa final'!$Y$20="Muy Baja",'Mapa final'!$AA$20="Leve"),CONCATENATE("R2C",'Mapa final'!$O$20),"")</f>
        <v/>
      </c>
      <c r="O47" s="280" t="str">
        <f>IF(AND('Mapa final'!$Y$21="Muy Baja",'Mapa final'!$AA$21="Leve"),CONCATENATE("R2C",'Mapa final'!$O$21),"")</f>
        <v/>
      </c>
      <c r="P47" s="278" t="str">
        <f>IF(AND('Mapa final'!$Y$16="Muy Baja",'Mapa final'!$AA$16="Menor"),CONCATENATE("R2C",'Mapa final'!$O$16),"")</f>
        <v/>
      </c>
      <c r="Q47" s="279" t="str">
        <f>IF(AND('Mapa final'!$Y$17="Muy Baja",'Mapa final'!$AA$17="Menor"),CONCATENATE("R2C",'Mapa final'!$O$17),"")</f>
        <v/>
      </c>
      <c r="R47" s="279" t="str">
        <f>IF(AND('Mapa final'!$Y$18="Muy Baja",'Mapa final'!$AA$18="Menor"),CONCATENATE("R2C",'Mapa final'!$O$18),"")</f>
        <v/>
      </c>
      <c r="S47" s="279" t="str">
        <f>IF(AND('Mapa final'!$Y$19="Muy Baja",'Mapa final'!$AA$19="Menor"),CONCATENATE("R2C",'Mapa final'!$O$19),"")</f>
        <v/>
      </c>
      <c r="T47" s="279" t="str">
        <f>IF(AND('Mapa final'!$Y$20="Muy Baja",'Mapa final'!$AA$20="Menor"),CONCATENATE("R2C",'Mapa final'!$O$20),"")</f>
        <v/>
      </c>
      <c r="U47" s="280" t="str">
        <f>IF(AND('Mapa final'!$Y$21="Muy Baja",'Mapa final'!$AA$21="Menor"),CONCATENATE("R2C",'Mapa final'!$O$21),"")</f>
        <v/>
      </c>
      <c r="V47" s="269" t="str">
        <f>IF(AND('Mapa final'!$Y$16="Muy Baja",'Mapa final'!$AA$16="Moderado"),CONCATENATE("R2C",'Mapa final'!$O$16),"")</f>
        <v/>
      </c>
      <c r="W47" s="270" t="str">
        <f>IF(AND('Mapa final'!$Y$17="Muy Baja",'Mapa final'!$AA$17="Moderado"),CONCATENATE("R2C",'Mapa final'!$O$17),"")</f>
        <v/>
      </c>
      <c r="X47" s="270" t="str">
        <f>IF(AND('Mapa final'!$Y$18="Muy Baja",'Mapa final'!$AA$18="Moderado"),CONCATENATE("R2C",'Mapa final'!$O$18),"")</f>
        <v/>
      </c>
      <c r="Y47" s="270" t="str">
        <f>IF(AND('Mapa final'!$Y$19="Muy Baja",'Mapa final'!$AA$19="Moderado"),CONCATENATE("R2C",'Mapa final'!$O$19),"")</f>
        <v/>
      </c>
      <c r="Z47" s="270" t="str">
        <f>IF(AND('Mapa final'!$Y$20="Muy Baja",'Mapa final'!$AA$20="Moderado"),CONCATENATE("R2C",'Mapa final'!$O$20),"")</f>
        <v/>
      </c>
      <c r="AA47" s="271" t="str">
        <f>IF(AND('Mapa final'!$Y$21="Muy Baja",'Mapa final'!$AA$21="Moderado"),CONCATENATE("R2C",'Mapa final'!$O$21),"")</f>
        <v/>
      </c>
      <c r="AB47" s="254" t="str">
        <f>IF(AND('Mapa final'!$Y$16="Muy Baja",'Mapa final'!$AA$16="Mayor"),CONCATENATE("R2C",'Mapa final'!$O$16),"")</f>
        <v/>
      </c>
      <c r="AC47" s="255" t="str">
        <f>IF(AND('Mapa final'!$Y$17="Muy Baja",'Mapa final'!$AA$17="Mayor"),CONCATENATE("R2C",'Mapa final'!$O$17),"")</f>
        <v/>
      </c>
      <c r="AD47" s="255" t="str">
        <f>IF(AND('Mapa final'!$Y$18="Muy Baja",'Mapa final'!$AA$18="Mayor"),CONCATENATE("R2C",'Mapa final'!$O$18),"")</f>
        <v/>
      </c>
      <c r="AE47" s="255" t="str">
        <f>IF(AND('Mapa final'!$Y$19="Muy Baja",'Mapa final'!$AA$19="Mayor"),CONCATENATE("R2C",'Mapa final'!$O$19),"")</f>
        <v/>
      </c>
      <c r="AF47" s="255" t="str">
        <f>IF(AND('Mapa final'!$Y$20="Muy Baja",'Mapa final'!$AA$20="Mayor"),CONCATENATE("R2C",'Mapa final'!$O$20),"")</f>
        <v/>
      </c>
      <c r="AG47" s="256" t="str">
        <f>IF(AND('Mapa final'!$Y$21="Muy Baja",'Mapa final'!$AA$21="Mayor"),CONCATENATE("R2C",'Mapa final'!$O$21),"")</f>
        <v/>
      </c>
      <c r="AH47" s="257" t="str">
        <f>IF(AND('Mapa final'!$Y$16="Muy Baja",'Mapa final'!$AA$16="Catastrófico"),CONCATENATE("R2C",'Mapa final'!$O$16),"")</f>
        <v/>
      </c>
      <c r="AI47" s="258" t="str">
        <f>IF(AND('Mapa final'!$Y$17="Muy Baja",'Mapa final'!$AA$17="Catastrófico"),CONCATENATE("R2C",'Mapa final'!$O$17),"")</f>
        <v/>
      </c>
      <c r="AJ47" s="258" t="str">
        <f>IF(AND('Mapa final'!$Y$18="Muy Baja",'Mapa final'!$AA$18="Catastrófico"),CONCATENATE("R2C",'Mapa final'!$O$18),"")</f>
        <v/>
      </c>
      <c r="AK47" s="258" t="str">
        <f>IF(AND('Mapa final'!$Y$19="Muy Baja",'Mapa final'!$AA$19="Catastrófico"),CONCATENATE("R2C",'Mapa final'!$O$19),"")</f>
        <v/>
      </c>
      <c r="AL47" s="258" t="str">
        <f>IF(AND('Mapa final'!$Y$20="Muy Baja",'Mapa final'!$AA$20="Catastrófico"),CONCATENATE("R2C",'Mapa final'!$O$20),"")</f>
        <v/>
      </c>
      <c r="AM47" s="25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6"/>
      <c r="C48" s="716"/>
      <c r="D48" s="717"/>
      <c r="E48" s="820"/>
      <c r="F48" s="806"/>
      <c r="G48" s="806"/>
      <c r="H48" s="806"/>
      <c r="I48" s="807"/>
      <c r="J48" s="278" t="str">
        <f>IF(AND('Mapa final'!$Y$22="Muy Baja",'Mapa final'!$AA$22="Leve"),CONCATENATE("R3C",'Mapa final'!$O$22),"")</f>
        <v/>
      </c>
      <c r="K48" s="279" t="str">
        <f>IF(AND('Mapa final'!$Y$23="Muy Baja",'Mapa final'!$AA$23="Leve"),CONCATENATE("R3C",'Mapa final'!$O$23),"")</f>
        <v/>
      </c>
      <c r="L48" s="279" t="str">
        <f>IF(AND('Mapa final'!$Y$24="Muy Baja",'Mapa final'!$AA$24="Leve"),CONCATENATE("R3C",'Mapa final'!$O$24),"")</f>
        <v/>
      </c>
      <c r="M48" s="279" t="str">
        <f>IF(AND('Mapa final'!$Y$25="Muy Baja",'Mapa final'!$AA$25="Leve"),CONCATENATE("R3C",'Mapa final'!$O$25),"")</f>
        <v/>
      </c>
      <c r="N48" s="279" t="str">
        <f>IF(AND('Mapa final'!$Y$26="Muy Baja",'Mapa final'!$AA$26="Leve"),CONCATENATE("R3C",'Mapa final'!$O$26),"")</f>
        <v/>
      </c>
      <c r="O48" s="280" t="str">
        <f>IF(AND('Mapa final'!$Y$27="Muy Baja",'Mapa final'!$AA$27="Leve"),CONCATENATE("R3C",'Mapa final'!$O$27),"")</f>
        <v/>
      </c>
      <c r="P48" s="278" t="str">
        <f>IF(AND('Mapa final'!$Y$22="Muy Baja",'Mapa final'!$AA$22="Menor"),CONCATENATE("R3C",'Mapa final'!$O$22),"")</f>
        <v/>
      </c>
      <c r="Q48" s="279" t="str">
        <f>IF(AND('Mapa final'!$Y$23="Muy Baja",'Mapa final'!$AA$23="Menor"),CONCATENATE("R3C",'Mapa final'!$O$23),"")</f>
        <v/>
      </c>
      <c r="R48" s="279" t="str">
        <f>IF(AND('Mapa final'!$Y$24="Muy Baja",'Mapa final'!$AA$24="Menor"),CONCATENATE("R3C",'Mapa final'!$O$24),"")</f>
        <v/>
      </c>
      <c r="S48" s="279" t="str">
        <f>IF(AND('Mapa final'!$Y$25="Muy Baja",'Mapa final'!$AA$25="Menor"),CONCATENATE("R3C",'Mapa final'!$O$25),"")</f>
        <v/>
      </c>
      <c r="T48" s="279" t="str">
        <f>IF(AND('Mapa final'!$Y$26="Muy Baja",'Mapa final'!$AA$26="Menor"),CONCATENATE("R3C",'Mapa final'!$O$26),"")</f>
        <v/>
      </c>
      <c r="U48" s="280" t="str">
        <f>IF(AND('Mapa final'!$Y$27="Muy Baja",'Mapa final'!$AA$27="Menor"),CONCATENATE("R3C",'Mapa final'!$O$27),"")</f>
        <v/>
      </c>
      <c r="V48" s="269" t="str">
        <f>IF(AND('Mapa final'!$Y$22="Muy Baja",'Mapa final'!$AA$22="Moderado"),CONCATENATE("R3C",'Mapa final'!$O$22),"")</f>
        <v/>
      </c>
      <c r="W48" s="270" t="str">
        <f>IF(AND('Mapa final'!$Y$23="Muy Baja",'Mapa final'!$AA$23="Moderado"),CONCATENATE("R3C",'Mapa final'!$O$23),"")</f>
        <v/>
      </c>
      <c r="X48" s="270" t="str">
        <f>IF(AND('Mapa final'!$Y$24="Muy Baja",'Mapa final'!$AA$24="Moderado"),CONCATENATE("R3C",'Mapa final'!$O$24),"")</f>
        <v/>
      </c>
      <c r="Y48" s="270" t="str">
        <f>IF(AND('Mapa final'!$Y$25="Muy Baja",'Mapa final'!$AA$25="Moderado"),CONCATENATE("R3C",'Mapa final'!$O$25),"")</f>
        <v/>
      </c>
      <c r="Z48" s="270" t="str">
        <f>IF(AND('Mapa final'!$Y$26="Muy Baja",'Mapa final'!$AA$26="Moderado"),CONCATENATE("R3C",'Mapa final'!$O$26),"")</f>
        <v/>
      </c>
      <c r="AA48" s="271" t="str">
        <f>IF(AND('Mapa final'!$Y$27="Muy Baja",'Mapa final'!$AA$27="Moderado"),CONCATENATE("R3C",'Mapa final'!$O$27),"")</f>
        <v/>
      </c>
      <c r="AB48" s="254" t="str">
        <f>IF(AND('Mapa final'!$Y$22="Muy Baja",'Mapa final'!$AA$22="Mayor"),CONCATENATE("R3C",'Mapa final'!$O$22),"")</f>
        <v/>
      </c>
      <c r="AC48" s="255" t="str">
        <f>IF(AND('Mapa final'!$Y$23="Muy Baja",'Mapa final'!$AA$23="Mayor"),CONCATENATE("R3C",'Mapa final'!$O$23),"")</f>
        <v/>
      </c>
      <c r="AD48" s="255" t="str">
        <f>IF(AND('Mapa final'!$Y$24="Muy Baja",'Mapa final'!$AA$24="Mayor"),CONCATENATE("R3C",'Mapa final'!$O$24),"")</f>
        <v/>
      </c>
      <c r="AE48" s="255" t="str">
        <f>IF(AND('Mapa final'!$Y$25="Muy Baja",'Mapa final'!$AA$25="Mayor"),CONCATENATE("R3C",'Mapa final'!$O$25),"")</f>
        <v/>
      </c>
      <c r="AF48" s="255" t="str">
        <f>IF(AND('Mapa final'!$Y$26="Muy Baja",'Mapa final'!$AA$26="Mayor"),CONCATENATE("R3C",'Mapa final'!$O$26),"")</f>
        <v/>
      </c>
      <c r="AG48" s="256" t="str">
        <f>IF(AND('Mapa final'!$Y$27="Muy Baja",'Mapa final'!$AA$27="Mayor"),CONCATENATE("R3C",'Mapa final'!$O$27),"")</f>
        <v/>
      </c>
      <c r="AH48" s="257" t="str">
        <f>IF(AND('Mapa final'!$Y$22="Muy Baja",'Mapa final'!$AA$22="Catastrófico"),CONCATENATE("R3C",'Mapa final'!$O$22),"")</f>
        <v/>
      </c>
      <c r="AI48" s="258" t="str">
        <f>IF(AND('Mapa final'!$Y$23="Muy Baja",'Mapa final'!$AA$23="Catastrófico"),CONCATENATE("R3C",'Mapa final'!$O$23),"")</f>
        <v/>
      </c>
      <c r="AJ48" s="258" t="str">
        <f>IF(AND('Mapa final'!$Y$24="Muy Baja",'Mapa final'!$AA$24="Catastrófico"),CONCATENATE("R3C",'Mapa final'!$O$24),"")</f>
        <v/>
      </c>
      <c r="AK48" s="258" t="str">
        <f>IF(AND('Mapa final'!$Y$25="Muy Baja",'Mapa final'!$AA$25="Catastrófico"),CONCATENATE("R3C",'Mapa final'!$O$25),"")</f>
        <v/>
      </c>
      <c r="AL48" s="258" t="str">
        <f>IF(AND('Mapa final'!$Y$26="Muy Baja",'Mapa final'!$AA$26="Catastrófico"),CONCATENATE("R3C",'Mapa final'!$O$26),"")</f>
        <v/>
      </c>
      <c r="AM48" s="25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6"/>
      <c r="C49" s="716"/>
      <c r="D49" s="717"/>
      <c r="E49" s="805"/>
      <c r="F49" s="806"/>
      <c r="G49" s="806"/>
      <c r="H49" s="806"/>
      <c r="I49" s="807"/>
      <c r="J49" s="278" t="str">
        <f>IF(AND('Mapa final'!$Y$28="Muy Baja",'Mapa final'!$AA$28="Leve"),CONCATENATE("R4C",'Mapa final'!$O$28),"")</f>
        <v/>
      </c>
      <c r="K49" s="279" t="str">
        <f>IF(AND('Mapa final'!$Y$29="Muy Baja",'Mapa final'!$AA$29="Leve"),CONCATENATE("R4C",'Mapa final'!$O$29),"")</f>
        <v/>
      </c>
      <c r="L49" s="279" t="str">
        <f>IF(AND('Mapa final'!$Y$30="Muy Baja",'Mapa final'!$AA$30="Leve"),CONCATENATE("R4C",'Mapa final'!$O$30),"")</f>
        <v/>
      </c>
      <c r="M49" s="279" t="str">
        <f>IF(AND('Mapa final'!$Y$31="Muy Baja",'Mapa final'!$AA$31="Leve"),CONCATENATE("R4C",'Mapa final'!$O$31),"")</f>
        <v/>
      </c>
      <c r="N49" s="279" t="str">
        <f>IF(AND('Mapa final'!$Y$32="Muy Baja",'Mapa final'!$AA$32="Leve"),CONCATENATE("R4C",'Mapa final'!$O$32),"")</f>
        <v/>
      </c>
      <c r="O49" s="280" t="str">
        <f>IF(AND('Mapa final'!$Y$33="Muy Baja",'Mapa final'!$AA$33="Leve"),CONCATENATE("R4C",'Mapa final'!$O$33),"")</f>
        <v/>
      </c>
      <c r="P49" s="278" t="str">
        <f>IF(AND('Mapa final'!$Y$28="Muy Baja",'Mapa final'!$AA$28="Menor"),CONCATENATE("R4C",'Mapa final'!$O$28),"")</f>
        <v/>
      </c>
      <c r="Q49" s="279" t="str">
        <f>IF(AND('Mapa final'!$Y$29="Muy Baja",'Mapa final'!$AA$29="Menor"),CONCATENATE("R4C",'Mapa final'!$O$29),"")</f>
        <v/>
      </c>
      <c r="R49" s="279" t="str">
        <f>IF(AND('Mapa final'!$Y$30="Muy Baja",'Mapa final'!$AA$30="Menor"),CONCATENATE("R4C",'Mapa final'!$O$30),"")</f>
        <v/>
      </c>
      <c r="S49" s="279" t="str">
        <f>IF(AND('Mapa final'!$Y$31="Muy Baja",'Mapa final'!$AA$31="Menor"),CONCATENATE("R4C",'Mapa final'!$O$31),"")</f>
        <v/>
      </c>
      <c r="T49" s="279" t="str">
        <f>IF(AND('Mapa final'!$Y$32="Muy Baja",'Mapa final'!$AA$32="Menor"),CONCATENATE("R4C",'Mapa final'!$O$32),"")</f>
        <v/>
      </c>
      <c r="U49" s="280" t="str">
        <f>IF(AND('Mapa final'!$Y$33="Muy Baja",'Mapa final'!$AA$33="Menor"),CONCATENATE("R4C",'Mapa final'!$O$33),"")</f>
        <v/>
      </c>
      <c r="V49" s="269" t="str">
        <f>IF(AND('Mapa final'!$Y$28="Muy Baja",'Mapa final'!$AA$28="Moderado"),CONCATENATE("R4C",'Mapa final'!$O$28),"")</f>
        <v/>
      </c>
      <c r="W49" s="270" t="str">
        <f>IF(AND('Mapa final'!$Y$29="Muy Baja",'Mapa final'!$AA$29="Moderado"),CONCATENATE("R4C",'Mapa final'!$O$29),"")</f>
        <v/>
      </c>
      <c r="X49" s="270" t="str">
        <f>IF(AND('Mapa final'!$Y$30="Muy Baja",'Mapa final'!$AA$30="Moderado"),CONCATENATE("R4C",'Mapa final'!$O$30),"")</f>
        <v/>
      </c>
      <c r="Y49" s="270" t="str">
        <f>IF(AND('Mapa final'!$Y$31="Muy Baja",'Mapa final'!$AA$31="Moderado"),CONCATENATE("R4C",'Mapa final'!$O$31),"")</f>
        <v/>
      </c>
      <c r="Z49" s="270" t="str">
        <f>IF(AND('Mapa final'!$Y$32="Muy Baja",'Mapa final'!$AA$32="Moderado"),CONCATENATE("R4C",'Mapa final'!$O$32),"")</f>
        <v/>
      </c>
      <c r="AA49" s="271" t="str">
        <f>IF(AND('Mapa final'!$Y$33="Muy Baja",'Mapa final'!$AA$33="Moderado"),CONCATENATE("R4C",'Mapa final'!$O$33),"")</f>
        <v/>
      </c>
      <c r="AB49" s="254" t="str">
        <f>IF(AND('Mapa final'!$Y$28="Muy Baja",'Mapa final'!$AA$28="Mayor"),CONCATENATE("R4C",'Mapa final'!$O$28),"")</f>
        <v/>
      </c>
      <c r="AC49" s="255" t="str">
        <f>IF(AND('Mapa final'!$Y$29="Muy Baja",'Mapa final'!$AA$29="Mayor"),CONCATENATE("R4C",'Mapa final'!$O$29),"")</f>
        <v/>
      </c>
      <c r="AD49" s="255" t="str">
        <f>IF(AND('Mapa final'!$Y$30="Muy Baja",'Mapa final'!$AA$30="Mayor"),CONCATENATE("R4C",'Mapa final'!$O$30),"")</f>
        <v/>
      </c>
      <c r="AE49" s="255" t="str">
        <f>IF(AND('Mapa final'!$Y$31="Muy Baja",'Mapa final'!$AA$31="Mayor"),CONCATENATE("R4C",'Mapa final'!$O$31),"")</f>
        <v/>
      </c>
      <c r="AF49" s="255" t="str">
        <f>IF(AND('Mapa final'!$Y$32="Muy Baja",'Mapa final'!$AA$32="Mayor"),CONCATENATE("R4C",'Mapa final'!$O$32),"")</f>
        <v/>
      </c>
      <c r="AG49" s="256" t="str">
        <f>IF(AND('Mapa final'!$Y$33="Muy Baja",'Mapa final'!$AA$33="Mayor"),CONCATENATE("R4C",'Mapa final'!$O$33),"")</f>
        <v/>
      </c>
      <c r="AH49" s="257" t="str">
        <f>IF(AND('Mapa final'!$Y$28="Muy Baja",'Mapa final'!$AA$28="Catastrófico"),CONCATENATE("R4C",'Mapa final'!$O$28),"")</f>
        <v/>
      </c>
      <c r="AI49" s="258" t="str">
        <f>IF(AND('Mapa final'!$Y$29="Muy Baja",'Mapa final'!$AA$29="Catastrófico"),CONCATENATE("R4C",'Mapa final'!$O$29),"")</f>
        <v/>
      </c>
      <c r="AJ49" s="258" t="str">
        <f>IF(AND('Mapa final'!$Y$30="Muy Baja",'Mapa final'!$AA$30="Catastrófico"),CONCATENATE("R4C",'Mapa final'!$O$30),"")</f>
        <v/>
      </c>
      <c r="AK49" s="258" t="str">
        <f>IF(AND('Mapa final'!$Y$31="Muy Baja",'Mapa final'!$AA$31="Catastrófico"),CONCATENATE("R4C",'Mapa final'!$O$31),"")</f>
        <v/>
      </c>
      <c r="AL49" s="258" t="str">
        <f>IF(AND('Mapa final'!$Y$32="Muy Baja",'Mapa final'!$AA$32="Catastrófico"),CONCATENATE("R4C",'Mapa final'!$O$32),"")</f>
        <v/>
      </c>
      <c r="AM49" s="25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6"/>
      <c r="C50" s="716"/>
      <c r="D50" s="717"/>
      <c r="E50" s="805"/>
      <c r="F50" s="806"/>
      <c r="G50" s="806"/>
      <c r="H50" s="806"/>
      <c r="I50" s="807"/>
      <c r="J50" s="278" t="str">
        <f>IF(AND('Mapa final'!$Y$34="Muy Baja",'Mapa final'!$AA$34="Leve"),CONCATENATE("R5C",'Mapa final'!$O$34),"")</f>
        <v/>
      </c>
      <c r="K50" s="279" t="str">
        <f>IF(AND('Mapa final'!$Y$35="Muy Baja",'Mapa final'!$AA$35="Leve"),CONCATENATE("R5C",'Mapa final'!$O$35),"")</f>
        <v/>
      </c>
      <c r="L50" s="279" t="str">
        <f>IF(AND('Mapa final'!$Y$36="Muy Baja",'Mapa final'!$AA$36="Leve"),CONCATENATE("R5C",'Mapa final'!$O$36),"")</f>
        <v/>
      </c>
      <c r="M50" s="279" t="str">
        <f>IF(AND('Mapa final'!$Y$37="Muy Baja",'Mapa final'!$AA$37="Leve"),CONCATENATE("R5C",'Mapa final'!$O$37),"")</f>
        <v/>
      </c>
      <c r="N50" s="279" t="str">
        <f>IF(AND('Mapa final'!$Y$38="Muy Baja",'Mapa final'!$AA$38="Leve"),CONCATENATE("R5C",'Mapa final'!$O$38),"")</f>
        <v/>
      </c>
      <c r="O50" s="280" t="str">
        <f>IF(AND('Mapa final'!$Y$39="Muy Baja",'Mapa final'!$AA$39="Leve"),CONCATENATE("R5C",'Mapa final'!$O$39),"")</f>
        <v/>
      </c>
      <c r="P50" s="278" t="str">
        <f>IF(AND('Mapa final'!$Y$34="Muy Baja",'Mapa final'!$AA$34="Menor"),CONCATENATE("R5C",'Mapa final'!$O$34),"")</f>
        <v/>
      </c>
      <c r="Q50" s="279" t="str">
        <f>IF(AND('Mapa final'!$Y$35="Muy Baja",'Mapa final'!$AA$35="Menor"),CONCATENATE("R5C",'Mapa final'!$O$35),"")</f>
        <v/>
      </c>
      <c r="R50" s="279" t="str">
        <f>IF(AND('Mapa final'!$Y$36="Muy Baja",'Mapa final'!$AA$36="Menor"),CONCATENATE("R5C",'Mapa final'!$O$36),"")</f>
        <v/>
      </c>
      <c r="S50" s="279" t="str">
        <f>IF(AND('Mapa final'!$Y$37="Muy Baja",'Mapa final'!$AA$37="Menor"),CONCATENATE("R5C",'Mapa final'!$O$37),"")</f>
        <v/>
      </c>
      <c r="T50" s="279" t="str">
        <f>IF(AND('Mapa final'!$Y$38="Muy Baja",'Mapa final'!$AA$38="Menor"),CONCATENATE("R5C",'Mapa final'!$O$38),"")</f>
        <v/>
      </c>
      <c r="U50" s="280" t="str">
        <f>IF(AND('Mapa final'!$Y$39="Muy Baja",'Mapa final'!$AA$39="Menor"),CONCATENATE("R5C",'Mapa final'!$O$39),"")</f>
        <v/>
      </c>
      <c r="V50" s="269" t="str">
        <f>IF(AND('Mapa final'!$Y$34="Muy Baja",'Mapa final'!$AA$34="Moderado"),CONCATENATE("R5C",'Mapa final'!$O$34),"")</f>
        <v/>
      </c>
      <c r="W50" s="270" t="str">
        <f>IF(AND('Mapa final'!$Y$35="Muy Baja",'Mapa final'!$AA$35="Moderado"),CONCATENATE("R5C",'Mapa final'!$O$35),"")</f>
        <v/>
      </c>
      <c r="X50" s="270" t="str">
        <f>IF(AND('Mapa final'!$Y$36="Muy Baja",'Mapa final'!$AA$36="Moderado"),CONCATENATE("R5C",'Mapa final'!$O$36),"")</f>
        <v/>
      </c>
      <c r="Y50" s="270" t="str">
        <f>IF(AND('Mapa final'!$Y$37="Muy Baja",'Mapa final'!$AA$37="Moderado"),CONCATENATE("R5C",'Mapa final'!$O$37),"")</f>
        <v/>
      </c>
      <c r="Z50" s="270" t="str">
        <f>IF(AND('Mapa final'!$Y$38="Muy Baja",'Mapa final'!$AA$38="Moderado"),CONCATENATE("R5C",'Mapa final'!$O$38),"")</f>
        <v/>
      </c>
      <c r="AA50" s="271" t="str">
        <f>IF(AND('Mapa final'!$Y$39="Muy Baja",'Mapa final'!$AA$39="Moderado"),CONCATENATE("R5C",'Mapa final'!$O$39),"")</f>
        <v/>
      </c>
      <c r="AB50" s="254" t="str">
        <f>IF(AND('Mapa final'!$Y$34="Muy Baja",'Mapa final'!$AA$34="Mayor"),CONCATENATE("R5C",'Mapa final'!$O$34),"")</f>
        <v/>
      </c>
      <c r="AC50" s="255" t="str">
        <f>IF(AND('Mapa final'!$Y$35="Muy Baja",'Mapa final'!$AA$35="Mayor"),CONCATENATE("R5C",'Mapa final'!$O$35),"")</f>
        <v/>
      </c>
      <c r="AD50" s="255" t="str">
        <f>IF(AND('Mapa final'!$Y$36="Muy Baja",'Mapa final'!$AA$36="Mayor"),CONCATENATE("R5C",'Mapa final'!$O$36),"")</f>
        <v/>
      </c>
      <c r="AE50" s="255" t="str">
        <f>IF(AND('Mapa final'!$Y$37="Muy Baja",'Mapa final'!$AA$37="Mayor"),CONCATENATE("R5C",'Mapa final'!$O$37),"")</f>
        <v/>
      </c>
      <c r="AF50" s="255" t="str">
        <f>IF(AND('Mapa final'!$Y$38="Muy Baja",'Mapa final'!$AA$38="Mayor"),CONCATENATE("R5C",'Mapa final'!$O$38),"")</f>
        <v/>
      </c>
      <c r="AG50" s="256" t="str">
        <f>IF(AND('Mapa final'!$Y$39="Muy Baja",'Mapa final'!$AA$39="Mayor"),CONCATENATE("R5C",'Mapa final'!$O$39),"")</f>
        <v/>
      </c>
      <c r="AH50" s="257" t="str">
        <f>IF(AND('Mapa final'!$Y$34="Muy Baja",'Mapa final'!$AA$34="Catastrófico"),CONCATENATE("R5C",'Mapa final'!$O$34),"")</f>
        <v/>
      </c>
      <c r="AI50" s="258" t="str">
        <f>IF(AND('Mapa final'!$Y$35="Muy Baja",'Mapa final'!$AA$35="Catastrófico"),CONCATENATE("R5C",'Mapa final'!$O$35),"")</f>
        <v/>
      </c>
      <c r="AJ50" s="258" t="str">
        <f>IF(AND('Mapa final'!$Y$36="Muy Baja",'Mapa final'!$AA$36="Catastrófico"),CONCATENATE("R5C",'Mapa final'!$O$36),"")</f>
        <v/>
      </c>
      <c r="AK50" s="258" t="str">
        <f>IF(AND('Mapa final'!$Y$37="Muy Baja",'Mapa final'!$AA$37="Catastrófico"),CONCATENATE("R5C",'Mapa final'!$O$37),"")</f>
        <v/>
      </c>
      <c r="AL50" s="258" t="str">
        <f>IF(AND('Mapa final'!$Y$38="Muy Baja",'Mapa final'!$AA$38="Catastrófico"),CONCATENATE("R5C",'Mapa final'!$O$38),"")</f>
        <v/>
      </c>
      <c r="AM50" s="25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6"/>
      <c r="C51" s="716"/>
      <c r="D51" s="717"/>
      <c r="E51" s="805"/>
      <c r="F51" s="806"/>
      <c r="G51" s="806"/>
      <c r="H51" s="806"/>
      <c r="I51" s="807"/>
      <c r="J51" s="278" t="str">
        <f>IF(AND('Mapa final'!$Y$40="Muy Baja",'Mapa final'!$AA$40="Leve"),CONCATENATE("R6C",'Mapa final'!$O$40),"")</f>
        <v/>
      </c>
      <c r="K51" s="279" t="str">
        <f>IF(AND('Mapa final'!$Y$41="Muy Baja",'Mapa final'!$AA$41="Leve"),CONCATENATE("R6C",'Mapa final'!$O$41),"")</f>
        <v/>
      </c>
      <c r="L51" s="279" t="str">
        <f>IF(AND('Mapa final'!$Y$42="Muy Baja",'Mapa final'!$AA$42="Leve"),CONCATENATE("R6C",'Mapa final'!$O$42),"")</f>
        <v/>
      </c>
      <c r="M51" s="279" t="str">
        <f>IF(AND('Mapa final'!$Y$43="Muy Baja",'Mapa final'!$AA$43="Leve"),CONCATENATE("R6C",'Mapa final'!$O$43),"")</f>
        <v/>
      </c>
      <c r="N51" s="279" t="str">
        <f>IF(AND('Mapa final'!$Y$44="Muy Baja",'Mapa final'!$AA$44="Leve"),CONCATENATE("R6C",'Mapa final'!$O$44),"")</f>
        <v/>
      </c>
      <c r="O51" s="280" t="str">
        <f>IF(AND('Mapa final'!$Y$45="Muy Baja",'Mapa final'!$AA$45="Leve"),CONCATENATE("R6C",'Mapa final'!$O$45),"")</f>
        <v/>
      </c>
      <c r="P51" s="278" t="str">
        <f>IF(AND('Mapa final'!$Y$40="Muy Baja",'Mapa final'!$AA$40="Menor"),CONCATENATE("R6C",'Mapa final'!$O$40),"")</f>
        <v/>
      </c>
      <c r="Q51" s="279" t="str">
        <f>IF(AND('Mapa final'!$Y$41="Muy Baja",'Mapa final'!$AA$41="Menor"),CONCATENATE("R6C",'Mapa final'!$O$41),"")</f>
        <v/>
      </c>
      <c r="R51" s="279" t="str">
        <f>IF(AND('Mapa final'!$Y$42="Muy Baja",'Mapa final'!$AA$42="Menor"),CONCATENATE("R6C",'Mapa final'!$O$42),"")</f>
        <v/>
      </c>
      <c r="S51" s="279" t="str">
        <f>IF(AND('Mapa final'!$Y$43="Muy Baja",'Mapa final'!$AA$43="Menor"),CONCATENATE("R6C",'Mapa final'!$O$43),"")</f>
        <v/>
      </c>
      <c r="T51" s="279" t="str">
        <f>IF(AND('Mapa final'!$Y$44="Muy Baja",'Mapa final'!$AA$44="Menor"),CONCATENATE("R6C",'Mapa final'!$O$44),"")</f>
        <v/>
      </c>
      <c r="U51" s="280" t="str">
        <f>IF(AND('Mapa final'!$Y$45="Muy Baja",'Mapa final'!$AA$45="Menor"),CONCATENATE("R6C",'Mapa final'!$O$45),"")</f>
        <v/>
      </c>
      <c r="V51" s="269" t="str">
        <f>IF(AND('Mapa final'!$Y$40="Muy Baja",'Mapa final'!$AA$40="Moderado"),CONCATENATE("R6C",'Mapa final'!$O$40),"")</f>
        <v/>
      </c>
      <c r="W51" s="270" t="str">
        <f>IF(AND('Mapa final'!$Y$41="Muy Baja",'Mapa final'!$AA$41="Moderado"),CONCATENATE("R6C",'Mapa final'!$O$41),"")</f>
        <v/>
      </c>
      <c r="X51" s="270" t="str">
        <f>IF(AND('Mapa final'!$Y$42="Muy Baja",'Mapa final'!$AA$42="Moderado"),CONCATENATE("R6C",'Mapa final'!$O$42),"")</f>
        <v/>
      </c>
      <c r="Y51" s="270" t="str">
        <f>IF(AND('Mapa final'!$Y$43="Muy Baja",'Mapa final'!$AA$43="Moderado"),CONCATENATE("R6C",'Mapa final'!$O$43),"")</f>
        <v/>
      </c>
      <c r="Z51" s="270" t="str">
        <f>IF(AND('Mapa final'!$Y$44="Muy Baja",'Mapa final'!$AA$44="Moderado"),CONCATENATE("R6C",'Mapa final'!$O$44),"")</f>
        <v/>
      </c>
      <c r="AA51" s="271" t="str">
        <f>IF(AND('Mapa final'!$Y$45="Muy Baja",'Mapa final'!$AA$45="Moderado"),CONCATENATE("R6C",'Mapa final'!$O$45),"")</f>
        <v/>
      </c>
      <c r="AB51" s="254" t="str">
        <f>IF(AND('Mapa final'!$Y$40="Muy Baja",'Mapa final'!$AA$40="Mayor"),CONCATENATE("R6C",'Mapa final'!$O$40),"")</f>
        <v/>
      </c>
      <c r="AC51" s="255" t="str">
        <f>IF(AND('Mapa final'!$Y$41="Muy Baja",'Mapa final'!$AA$41="Mayor"),CONCATENATE("R6C",'Mapa final'!$O$41),"")</f>
        <v/>
      </c>
      <c r="AD51" s="255" t="str">
        <f>IF(AND('Mapa final'!$Y$42="Muy Baja",'Mapa final'!$AA$42="Mayor"),CONCATENATE("R6C",'Mapa final'!$O$42),"")</f>
        <v/>
      </c>
      <c r="AE51" s="255" t="str">
        <f>IF(AND('Mapa final'!$Y$43="Muy Baja",'Mapa final'!$AA$43="Mayor"),CONCATENATE("R6C",'Mapa final'!$O$43),"")</f>
        <v/>
      </c>
      <c r="AF51" s="255" t="str">
        <f>IF(AND('Mapa final'!$Y$44="Muy Baja",'Mapa final'!$AA$44="Mayor"),CONCATENATE("R6C",'Mapa final'!$O$44),"")</f>
        <v/>
      </c>
      <c r="AG51" s="256" t="str">
        <f>IF(AND('Mapa final'!$Y$45="Muy Baja",'Mapa final'!$AA$45="Mayor"),CONCATENATE("R6C",'Mapa final'!$O$45),"")</f>
        <v/>
      </c>
      <c r="AH51" s="257" t="str">
        <f>IF(AND('Mapa final'!$Y$40="Muy Baja",'Mapa final'!$AA$40="Catastrófico"),CONCATENATE("R6C",'Mapa final'!$O$40),"")</f>
        <v/>
      </c>
      <c r="AI51" s="258" t="str">
        <f>IF(AND('Mapa final'!$Y$41="Muy Baja",'Mapa final'!$AA$41="Catastrófico"),CONCATENATE("R6C",'Mapa final'!$O$41),"")</f>
        <v/>
      </c>
      <c r="AJ51" s="258" t="str">
        <f>IF(AND('Mapa final'!$Y$42="Muy Baja",'Mapa final'!$AA$42="Catastrófico"),CONCATENATE("R6C",'Mapa final'!$O$42),"")</f>
        <v/>
      </c>
      <c r="AK51" s="258" t="str">
        <f>IF(AND('Mapa final'!$Y$43="Muy Baja",'Mapa final'!$AA$43="Catastrófico"),CONCATENATE("R6C",'Mapa final'!$O$43),"")</f>
        <v/>
      </c>
      <c r="AL51" s="258" t="str">
        <f>IF(AND('Mapa final'!$Y$44="Muy Baja",'Mapa final'!$AA$44="Catastrófico"),CONCATENATE("R6C",'Mapa final'!$O$44),"")</f>
        <v/>
      </c>
      <c r="AM51" s="25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6"/>
      <c r="C52" s="716"/>
      <c r="D52" s="717"/>
      <c r="E52" s="805"/>
      <c r="F52" s="806"/>
      <c r="G52" s="806"/>
      <c r="H52" s="806"/>
      <c r="I52" s="807"/>
      <c r="J52" s="278" t="str">
        <f>IF(AND('Mapa final'!$Y$46="Muy Baja",'Mapa final'!$AA$46="Leve"),CONCATENATE("R7C",'Mapa final'!$O$46),"")</f>
        <v/>
      </c>
      <c r="K52" s="279" t="str">
        <f>IF(AND('Mapa final'!$Y$47="Muy Baja",'Mapa final'!$AA$47="Leve"),CONCATENATE("R7C",'Mapa final'!$O$47),"")</f>
        <v/>
      </c>
      <c r="L52" s="279" t="str">
        <f>IF(AND('Mapa final'!$Y$48="Muy Baja",'Mapa final'!$AA$48="Leve"),CONCATENATE("R7C",'Mapa final'!$O$48),"")</f>
        <v/>
      </c>
      <c r="M52" s="279" t="str">
        <f>IF(AND('Mapa final'!$Y$49="Muy Baja",'Mapa final'!$AA$49="Leve"),CONCATENATE("R7C",'Mapa final'!$O$49),"")</f>
        <v/>
      </c>
      <c r="N52" s="279" t="str">
        <f>IF(AND('Mapa final'!$Y$50="Muy Baja",'Mapa final'!$AA$50="Leve"),CONCATENATE("R7C",'Mapa final'!$O$50),"")</f>
        <v/>
      </c>
      <c r="O52" s="280" t="str">
        <f>IF(AND('Mapa final'!$Y$51="Muy Baja",'Mapa final'!$AA$51="Leve"),CONCATENATE("R7C",'Mapa final'!$O$51),"")</f>
        <v/>
      </c>
      <c r="P52" s="278" t="str">
        <f>IF(AND('Mapa final'!$Y$46="Muy Baja",'Mapa final'!$AA$46="Menor"),CONCATENATE("R7C",'Mapa final'!$O$46),"")</f>
        <v/>
      </c>
      <c r="Q52" s="279" t="str">
        <f>IF(AND('Mapa final'!$Y$47="Muy Baja",'Mapa final'!$AA$47="Menor"),CONCATENATE("R7C",'Mapa final'!$O$47),"")</f>
        <v/>
      </c>
      <c r="R52" s="279" t="str">
        <f>IF(AND('Mapa final'!$Y$48="Muy Baja",'Mapa final'!$AA$48="Menor"),CONCATENATE("R7C",'Mapa final'!$O$48),"")</f>
        <v/>
      </c>
      <c r="S52" s="279" t="str">
        <f>IF(AND('Mapa final'!$Y$49="Muy Baja",'Mapa final'!$AA$49="Menor"),CONCATENATE("R7C",'Mapa final'!$O$49),"")</f>
        <v/>
      </c>
      <c r="T52" s="279" t="str">
        <f>IF(AND('Mapa final'!$Y$50="Muy Baja",'Mapa final'!$AA$50="Menor"),CONCATENATE("R7C",'Mapa final'!$O$50),"")</f>
        <v/>
      </c>
      <c r="U52" s="280" t="str">
        <f>IF(AND('Mapa final'!$Y$51="Muy Baja",'Mapa final'!$AA$51="Menor"),CONCATENATE("R7C",'Mapa final'!$O$51),"")</f>
        <v/>
      </c>
      <c r="V52" s="269" t="str">
        <f>IF(AND('Mapa final'!$Y$46="Muy Baja",'Mapa final'!$AA$46="Moderado"),CONCATENATE("R7C",'Mapa final'!$O$46),"")</f>
        <v/>
      </c>
      <c r="W52" s="270" t="str">
        <f>IF(AND('Mapa final'!$Y$47="Muy Baja",'Mapa final'!$AA$47="Moderado"),CONCATENATE("R7C",'Mapa final'!$O$47),"")</f>
        <v/>
      </c>
      <c r="X52" s="270" t="str">
        <f>IF(AND('Mapa final'!$Y$48="Muy Baja",'Mapa final'!$AA$48="Moderado"),CONCATENATE("R7C",'Mapa final'!$O$48),"")</f>
        <v/>
      </c>
      <c r="Y52" s="270" t="str">
        <f>IF(AND('Mapa final'!$Y$49="Muy Baja",'Mapa final'!$AA$49="Moderado"),CONCATENATE("R7C",'Mapa final'!$O$49),"")</f>
        <v/>
      </c>
      <c r="Z52" s="270" t="str">
        <f>IF(AND('Mapa final'!$Y$50="Muy Baja",'Mapa final'!$AA$50="Moderado"),CONCATENATE("R7C",'Mapa final'!$O$50),"")</f>
        <v/>
      </c>
      <c r="AA52" s="271" t="str">
        <f>IF(AND('Mapa final'!$Y$51="Muy Baja",'Mapa final'!$AA$51="Moderado"),CONCATENATE("R7C",'Mapa final'!$O$51),"")</f>
        <v/>
      </c>
      <c r="AB52" s="254" t="str">
        <f>IF(AND('Mapa final'!$Y$46="Muy Baja",'Mapa final'!$AA$46="Mayor"),CONCATENATE("R7C",'Mapa final'!$O$46),"")</f>
        <v/>
      </c>
      <c r="AC52" s="255" t="str">
        <f>IF(AND('Mapa final'!$Y$47="Muy Baja",'Mapa final'!$AA$47="Mayor"),CONCATENATE("R7C",'Mapa final'!$O$47),"")</f>
        <v/>
      </c>
      <c r="AD52" s="255" t="str">
        <f>IF(AND('Mapa final'!$Y$48="Muy Baja",'Mapa final'!$AA$48="Mayor"),CONCATENATE("R7C",'Mapa final'!$O$48),"")</f>
        <v/>
      </c>
      <c r="AE52" s="255" t="str">
        <f>IF(AND('Mapa final'!$Y$49="Muy Baja",'Mapa final'!$AA$49="Mayor"),CONCATENATE("R7C",'Mapa final'!$O$49),"")</f>
        <v/>
      </c>
      <c r="AF52" s="255" t="str">
        <f>IF(AND('Mapa final'!$Y$50="Muy Baja",'Mapa final'!$AA$50="Mayor"),CONCATENATE("R7C",'Mapa final'!$O$50),"")</f>
        <v/>
      </c>
      <c r="AG52" s="256" t="str">
        <f>IF(AND('Mapa final'!$Y$51="Muy Baja",'Mapa final'!$AA$51="Mayor"),CONCATENATE("R7C",'Mapa final'!$O$51),"")</f>
        <v/>
      </c>
      <c r="AH52" s="257" t="str">
        <f>IF(AND('Mapa final'!$Y$46="Muy Baja",'Mapa final'!$AA$46="Catastrófico"),CONCATENATE("R7C",'Mapa final'!$O$46),"")</f>
        <v/>
      </c>
      <c r="AI52" s="258" t="str">
        <f>IF(AND('Mapa final'!$Y$47="Muy Baja",'Mapa final'!$AA$47="Catastrófico"),CONCATENATE("R7C",'Mapa final'!$O$47),"")</f>
        <v/>
      </c>
      <c r="AJ52" s="258" t="str">
        <f>IF(AND('Mapa final'!$Y$48="Muy Baja",'Mapa final'!$AA$48="Catastrófico"),CONCATENATE("R7C",'Mapa final'!$O$48),"")</f>
        <v/>
      </c>
      <c r="AK52" s="258" t="str">
        <f>IF(AND('Mapa final'!$Y$49="Muy Baja",'Mapa final'!$AA$49="Catastrófico"),CONCATENATE("R7C",'Mapa final'!$O$49),"")</f>
        <v/>
      </c>
      <c r="AL52" s="258" t="str">
        <f>IF(AND('Mapa final'!$Y$50="Muy Baja",'Mapa final'!$AA$50="Catastrófico"),CONCATENATE("R7C",'Mapa final'!$O$50),"")</f>
        <v/>
      </c>
      <c r="AM52" s="25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6"/>
      <c r="C53" s="716"/>
      <c r="D53" s="717"/>
      <c r="E53" s="805"/>
      <c r="F53" s="806"/>
      <c r="G53" s="806"/>
      <c r="H53" s="806"/>
      <c r="I53" s="807"/>
      <c r="J53" s="278" t="str">
        <f>IF(AND('Mapa final'!$Y$52="Muy Baja",'Mapa final'!$AA$52="Leve"),CONCATENATE("R8C",'Mapa final'!$O$52),"")</f>
        <v/>
      </c>
      <c r="K53" s="279" t="str">
        <f>IF(AND('Mapa final'!$Y$53="Muy Baja",'Mapa final'!$AA$53="Leve"),CONCATENATE("R8C",'Mapa final'!$O$53),"")</f>
        <v/>
      </c>
      <c r="L53" s="279" t="str">
        <f>IF(AND('Mapa final'!$Y$54="Muy Baja",'Mapa final'!$AA$54="Leve"),CONCATENATE("R8C",'Mapa final'!$O$54),"")</f>
        <v/>
      </c>
      <c r="M53" s="279" t="str">
        <f>IF(AND('Mapa final'!$Y$55="Muy Baja",'Mapa final'!$AA$55="Leve"),CONCATENATE("R8C",'Mapa final'!$O$55),"")</f>
        <v/>
      </c>
      <c r="N53" s="279" t="str">
        <f>IF(AND('Mapa final'!$Y$56="Muy Baja",'Mapa final'!$AA$56="Leve"),CONCATENATE("R8C",'Mapa final'!$O$56),"")</f>
        <v/>
      </c>
      <c r="O53" s="280" t="str">
        <f>IF(AND('Mapa final'!$Y$57="Muy Baja",'Mapa final'!$AA$57="Leve"),CONCATENATE("R8C",'Mapa final'!$O$57),"")</f>
        <v/>
      </c>
      <c r="P53" s="278" t="str">
        <f>IF(AND('Mapa final'!$Y$52="Muy Baja",'Mapa final'!$AA$52="Menor"),CONCATENATE("R8C",'Mapa final'!$O$52),"")</f>
        <v/>
      </c>
      <c r="Q53" s="279" t="str">
        <f>IF(AND('Mapa final'!$Y$53="Muy Baja",'Mapa final'!$AA$53="Menor"),CONCATENATE("R8C",'Mapa final'!$O$53),"")</f>
        <v/>
      </c>
      <c r="R53" s="279" t="str">
        <f>IF(AND('Mapa final'!$Y$54="Muy Baja",'Mapa final'!$AA$54="Menor"),CONCATENATE("R8C",'Mapa final'!$O$54),"")</f>
        <v/>
      </c>
      <c r="S53" s="279" t="str">
        <f>IF(AND('Mapa final'!$Y$55="Muy Baja",'Mapa final'!$AA$55="Menor"),CONCATENATE("R8C",'Mapa final'!$O$55),"")</f>
        <v/>
      </c>
      <c r="T53" s="279" t="str">
        <f>IF(AND('Mapa final'!$Y$56="Muy Baja",'Mapa final'!$AA$56="Menor"),CONCATENATE("R8C",'Mapa final'!$O$56),"")</f>
        <v/>
      </c>
      <c r="U53" s="280" t="str">
        <f>IF(AND('Mapa final'!$Y$57="Muy Baja",'Mapa final'!$AA$57="Menor"),CONCATENATE("R8C",'Mapa final'!$O$57),"")</f>
        <v/>
      </c>
      <c r="V53" s="269" t="str">
        <f>IF(AND('Mapa final'!$Y$52="Muy Baja",'Mapa final'!$AA$52="Moderado"),CONCATENATE("R8C",'Mapa final'!$O$52),"")</f>
        <v/>
      </c>
      <c r="W53" s="270" t="str">
        <f>IF(AND('Mapa final'!$Y$53="Muy Baja",'Mapa final'!$AA$53="Moderado"),CONCATENATE("R8C",'Mapa final'!$O$53),"")</f>
        <v/>
      </c>
      <c r="X53" s="270" t="str">
        <f>IF(AND('Mapa final'!$Y$54="Muy Baja",'Mapa final'!$AA$54="Moderado"),CONCATENATE("R8C",'Mapa final'!$O$54),"")</f>
        <v/>
      </c>
      <c r="Y53" s="270" t="str">
        <f>IF(AND('Mapa final'!$Y$55="Muy Baja",'Mapa final'!$AA$55="Moderado"),CONCATENATE("R8C",'Mapa final'!$O$55),"")</f>
        <v/>
      </c>
      <c r="Z53" s="270" t="str">
        <f>IF(AND('Mapa final'!$Y$56="Muy Baja",'Mapa final'!$AA$56="Moderado"),CONCATENATE("R8C",'Mapa final'!$O$56),"")</f>
        <v/>
      </c>
      <c r="AA53" s="271" t="str">
        <f>IF(AND('Mapa final'!$Y$57="Muy Baja",'Mapa final'!$AA$57="Moderado"),CONCATENATE("R8C",'Mapa final'!$O$57),"")</f>
        <v/>
      </c>
      <c r="AB53" s="254" t="str">
        <f>IF(AND('Mapa final'!$Y$52="Muy Baja",'Mapa final'!$AA$52="Mayor"),CONCATENATE("R8C",'Mapa final'!$O$52),"")</f>
        <v/>
      </c>
      <c r="AC53" s="255" t="str">
        <f>IF(AND('Mapa final'!$Y$53="Muy Baja",'Mapa final'!$AA$53="Mayor"),CONCATENATE("R8C",'Mapa final'!$O$53),"")</f>
        <v/>
      </c>
      <c r="AD53" s="255" t="str">
        <f>IF(AND('Mapa final'!$Y$54="Muy Baja",'Mapa final'!$AA$54="Mayor"),CONCATENATE("R8C",'Mapa final'!$O$54),"")</f>
        <v/>
      </c>
      <c r="AE53" s="255" t="str">
        <f>IF(AND('Mapa final'!$Y$55="Muy Baja",'Mapa final'!$AA$55="Mayor"),CONCATENATE("R8C",'Mapa final'!$O$55),"")</f>
        <v/>
      </c>
      <c r="AF53" s="255" t="str">
        <f>IF(AND('Mapa final'!$Y$56="Muy Baja",'Mapa final'!$AA$56="Mayor"),CONCATENATE("R8C",'Mapa final'!$O$56),"")</f>
        <v/>
      </c>
      <c r="AG53" s="256" t="str">
        <f>IF(AND('Mapa final'!$Y$57="Muy Baja",'Mapa final'!$AA$57="Mayor"),CONCATENATE("R8C",'Mapa final'!$O$57),"")</f>
        <v/>
      </c>
      <c r="AH53" s="257" t="str">
        <f>IF(AND('Mapa final'!$Y$52="Muy Baja",'Mapa final'!$AA$52="Catastrófico"),CONCATENATE("R8C",'Mapa final'!$O$52),"")</f>
        <v/>
      </c>
      <c r="AI53" s="258" t="str">
        <f>IF(AND('Mapa final'!$Y$53="Muy Baja",'Mapa final'!$AA$53="Catastrófico"),CONCATENATE("R8C",'Mapa final'!$O$53),"")</f>
        <v/>
      </c>
      <c r="AJ53" s="258" t="str">
        <f>IF(AND('Mapa final'!$Y$54="Muy Baja",'Mapa final'!$AA$54="Catastrófico"),CONCATENATE("R8C",'Mapa final'!$O$54),"")</f>
        <v/>
      </c>
      <c r="AK53" s="258" t="str">
        <f>IF(AND('Mapa final'!$Y$55="Muy Baja",'Mapa final'!$AA$55="Catastrófico"),CONCATENATE("R8C",'Mapa final'!$O$55),"")</f>
        <v/>
      </c>
      <c r="AL53" s="258" t="str">
        <f>IF(AND('Mapa final'!$Y$56="Muy Baja",'Mapa final'!$AA$56="Catastrófico"),CONCATENATE("R8C",'Mapa final'!$O$56),"")</f>
        <v/>
      </c>
      <c r="AM53" s="25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6"/>
      <c r="C54" s="716"/>
      <c r="D54" s="717"/>
      <c r="E54" s="805"/>
      <c r="F54" s="806"/>
      <c r="G54" s="806"/>
      <c r="H54" s="806"/>
      <c r="I54" s="807"/>
      <c r="J54" s="278" t="str">
        <f>IF(AND('Mapa final'!$Y$58="Muy Baja",'Mapa final'!$AA$58="Leve"),CONCATENATE("R9C",'Mapa final'!$O$58),"")</f>
        <v/>
      </c>
      <c r="K54" s="279" t="str">
        <f>IF(AND('Mapa final'!$Y$59="Muy Baja",'Mapa final'!$AA$59="Leve"),CONCATENATE("R9C",'Mapa final'!$O$59),"")</f>
        <v/>
      </c>
      <c r="L54" s="279" t="str">
        <f>IF(AND('Mapa final'!$Y$60="Muy Baja",'Mapa final'!$AA$60="Leve"),CONCATENATE("R9C",'Mapa final'!$O$60),"")</f>
        <v/>
      </c>
      <c r="M54" s="279" t="str">
        <f>IF(AND('Mapa final'!$Y$61="Muy Baja",'Mapa final'!$AA$61="Leve"),CONCATENATE("R9C",'Mapa final'!$O$61),"")</f>
        <v/>
      </c>
      <c r="N54" s="279" t="str">
        <f>IF(AND('Mapa final'!$Y$62="Muy Baja",'Mapa final'!$AA$62="Leve"),CONCATENATE("R9C",'Mapa final'!$O$62),"")</f>
        <v/>
      </c>
      <c r="O54" s="280" t="str">
        <f>IF(AND('Mapa final'!$Y$63="Muy Baja",'Mapa final'!$AA$63="Leve"),CONCATENATE("R9C",'Mapa final'!$O$63),"")</f>
        <v/>
      </c>
      <c r="P54" s="278" t="str">
        <f>IF(AND('Mapa final'!$Y$58="Muy Baja",'Mapa final'!$AA$58="Menor"),CONCATENATE("R9C",'Mapa final'!$O$58),"")</f>
        <v/>
      </c>
      <c r="Q54" s="279" t="str">
        <f>IF(AND('Mapa final'!$Y$59="Muy Baja",'Mapa final'!$AA$59="Menor"),CONCATENATE("R9C",'Mapa final'!$O$59),"")</f>
        <v/>
      </c>
      <c r="R54" s="279" t="str">
        <f>IF(AND('Mapa final'!$Y$60="Muy Baja",'Mapa final'!$AA$60="Menor"),CONCATENATE("R9C",'Mapa final'!$O$60),"")</f>
        <v/>
      </c>
      <c r="S54" s="279" t="str">
        <f>IF(AND('Mapa final'!$Y$61="Muy Baja",'Mapa final'!$AA$61="Menor"),CONCATENATE("R9C",'Mapa final'!$O$61),"")</f>
        <v/>
      </c>
      <c r="T54" s="279" t="str">
        <f>IF(AND('Mapa final'!$Y$62="Muy Baja",'Mapa final'!$AA$62="Menor"),CONCATENATE("R9C",'Mapa final'!$O$62),"")</f>
        <v/>
      </c>
      <c r="U54" s="280" t="str">
        <f>IF(AND('Mapa final'!$Y$63="Muy Baja",'Mapa final'!$AA$63="Menor"),CONCATENATE("R9C",'Mapa final'!$O$63),"")</f>
        <v/>
      </c>
      <c r="V54" s="269" t="str">
        <f>IF(AND('Mapa final'!$Y$58="Muy Baja",'Mapa final'!$AA$58="Moderado"),CONCATENATE("R9C",'Mapa final'!$O$58),"")</f>
        <v/>
      </c>
      <c r="W54" s="270" t="str">
        <f>IF(AND('Mapa final'!$Y$59="Muy Baja",'Mapa final'!$AA$59="Moderado"),CONCATENATE("R9C",'Mapa final'!$O$59),"")</f>
        <v/>
      </c>
      <c r="X54" s="270" t="str">
        <f>IF(AND('Mapa final'!$Y$60="Muy Baja",'Mapa final'!$AA$60="Moderado"),CONCATENATE("R9C",'Mapa final'!$O$60),"")</f>
        <v/>
      </c>
      <c r="Y54" s="270" t="str">
        <f>IF(AND('Mapa final'!$Y$61="Muy Baja",'Mapa final'!$AA$61="Moderado"),CONCATENATE("R9C",'Mapa final'!$O$61),"")</f>
        <v/>
      </c>
      <c r="Z54" s="270" t="str">
        <f>IF(AND('Mapa final'!$Y$62="Muy Baja",'Mapa final'!$AA$62="Moderado"),CONCATENATE("R9C",'Mapa final'!$O$62),"")</f>
        <v/>
      </c>
      <c r="AA54" s="271" t="str">
        <f>IF(AND('Mapa final'!$Y$63="Muy Baja",'Mapa final'!$AA$63="Moderado"),CONCATENATE("R9C",'Mapa final'!$O$63),"")</f>
        <v/>
      </c>
      <c r="AB54" s="254" t="str">
        <f>IF(AND('Mapa final'!$Y$58="Muy Baja",'Mapa final'!$AA$58="Mayor"),CONCATENATE("R9C",'Mapa final'!$O$58),"")</f>
        <v/>
      </c>
      <c r="AC54" s="255" t="str">
        <f>IF(AND('Mapa final'!$Y$59="Muy Baja",'Mapa final'!$AA$59="Mayor"),CONCATENATE("R9C",'Mapa final'!$O$59),"")</f>
        <v/>
      </c>
      <c r="AD54" s="255" t="str">
        <f>IF(AND('Mapa final'!$Y$60="Muy Baja",'Mapa final'!$AA$60="Mayor"),CONCATENATE("R9C",'Mapa final'!$O$60),"")</f>
        <v/>
      </c>
      <c r="AE54" s="255" t="str">
        <f>IF(AND('Mapa final'!$Y$61="Muy Baja",'Mapa final'!$AA$61="Mayor"),CONCATENATE("R9C",'Mapa final'!$O$61),"")</f>
        <v/>
      </c>
      <c r="AF54" s="255" t="str">
        <f>IF(AND('Mapa final'!$Y$62="Muy Baja",'Mapa final'!$AA$62="Mayor"),CONCATENATE("R9C",'Mapa final'!$O$62),"")</f>
        <v/>
      </c>
      <c r="AG54" s="256" t="str">
        <f>IF(AND('Mapa final'!$Y$63="Muy Baja",'Mapa final'!$AA$63="Mayor"),CONCATENATE("R9C",'Mapa final'!$O$63),"")</f>
        <v/>
      </c>
      <c r="AH54" s="257" t="str">
        <f>IF(AND('Mapa final'!$Y$58="Muy Baja",'Mapa final'!$AA$58="Catastrófico"),CONCATENATE("R9C",'Mapa final'!$O$58),"")</f>
        <v/>
      </c>
      <c r="AI54" s="258" t="str">
        <f>IF(AND('Mapa final'!$Y$59="Muy Baja",'Mapa final'!$AA$59="Catastrófico"),CONCATENATE("R9C",'Mapa final'!$O$59),"")</f>
        <v/>
      </c>
      <c r="AJ54" s="258" t="str">
        <f>IF(AND('Mapa final'!$Y$60="Muy Baja",'Mapa final'!$AA$60="Catastrófico"),CONCATENATE("R9C",'Mapa final'!$O$60),"")</f>
        <v/>
      </c>
      <c r="AK54" s="258" t="str">
        <f>IF(AND('Mapa final'!$Y$61="Muy Baja",'Mapa final'!$AA$61="Catastrófico"),CONCATENATE("R9C",'Mapa final'!$O$61),"")</f>
        <v/>
      </c>
      <c r="AL54" s="258" t="str">
        <f>IF(AND('Mapa final'!$Y$62="Muy Baja",'Mapa final'!$AA$62="Catastrófico"),CONCATENATE("R9C",'Mapa final'!$O$62),"")</f>
        <v/>
      </c>
      <c r="AM54" s="25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6"/>
      <c r="C55" s="716"/>
      <c r="D55" s="717"/>
      <c r="E55" s="808"/>
      <c r="F55" s="809"/>
      <c r="G55" s="809"/>
      <c r="H55" s="809"/>
      <c r="I55" s="810"/>
      <c r="J55" s="281" t="str">
        <f>IF(AND('Mapa final'!$Y$64="Muy Baja",'Mapa final'!$AA$64="Leve"),CONCATENATE("R10C",'Mapa final'!$O$64),"")</f>
        <v/>
      </c>
      <c r="K55" s="282" t="str">
        <f>IF(AND('Mapa final'!$Y$65="Muy Baja",'Mapa final'!$AA$65="Leve"),CONCATENATE("R10C",'Mapa final'!$O$65),"")</f>
        <v/>
      </c>
      <c r="L55" s="282" t="str">
        <f>IF(AND('Mapa final'!$Y$66="Muy Baja",'Mapa final'!$AA$66="Leve"),CONCATENATE("R10C",'Mapa final'!$O$66),"")</f>
        <v/>
      </c>
      <c r="M55" s="282" t="str">
        <f>IF(AND('Mapa final'!$Y$67="Muy Baja",'Mapa final'!$AA$67="Leve"),CONCATENATE("R10C",'Mapa final'!$O$67),"")</f>
        <v/>
      </c>
      <c r="N55" s="282" t="str">
        <f>IF(AND('Mapa final'!$Y$68="Muy Baja",'Mapa final'!$AA$68="Leve"),CONCATENATE("R10C",'Mapa final'!$O$68),"")</f>
        <v/>
      </c>
      <c r="O55" s="283" t="str">
        <f>IF(AND('Mapa final'!$Y$69="Muy Baja",'Mapa final'!$AA$69="Leve"),CONCATENATE("R10C",'Mapa final'!$O$69),"")</f>
        <v/>
      </c>
      <c r="P55" s="281" t="str">
        <f>IF(AND('Mapa final'!$Y$64="Muy Baja",'Mapa final'!$AA$64="Menor"),CONCATENATE("R10C",'Mapa final'!$O$64),"")</f>
        <v/>
      </c>
      <c r="Q55" s="282" t="str">
        <f>IF(AND('Mapa final'!$Y$65="Muy Baja",'Mapa final'!$AA$65="Menor"),CONCATENATE("R10C",'Mapa final'!$O$65),"")</f>
        <v/>
      </c>
      <c r="R55" s="282" t="str">
        <f>IF(AND('Mapa final'!$Y$66="Muy Baja",'Mapa final'!$AA$66="Menor"),CONCATENATE("R10C",'Mapa final'!$O$66),"")</f>
        <v/>
      </c>
      <c r="S55" s="282" t="str">
        <f>IF(AND('Mapa final'!$Y$67="Muy Baja",'Mapa final'!$AA$67="Menor"),CONCATENATE("R10C",'Mapa final'!$O$67),"")</f>
        <v/>
      </c>
      <c r="T55" s="282" t="str">
        <f>IF(AND('Mapa final'!$Y$68="Muy Baja",'Mapa final'!$AA$68="Menor"),CONCATENATE("R10C",'Mapa final'!$O$68),"")</f>
        <v/>
      </c>
      <c r="U55" s="283" t="str">
        <f>IF(AND('Mapa final'!$Y$69="Muy Baja",'Mapa final'!$AA$69="Menor"),CONCATENATE("R10C",'Mapa final'!$O$69),"")</f>
        <v/>
      </c>
      <c r="V55" s="272" t="str">
        <f>IF(AND('Mapa final'!$Y$64="Muy Baja",'Mapa final'!$AA$64="Moderado"),CONCATENATE("R10C",'Mapa final'!$O$64),"")</f>
        <v/>
      </c>
      <c r="W55" s="273" t="str">
        <f>IF(AND('Mapa final'!$Y$65="Muy Baja",'Mapa final'!$AA$65="Moderado"),CONCATENATE("R10C",'Mapa final'!$O$65),"")</f>
        <v/>
      </c>
      <c r="X55" s="273" t="str">
        <f>IF(AND('Mapa final'!$Y$66="Muy Baja",'Mapa final'!$AA$66="Moderado"),CONCATENATE("R10C",'Mapa final'!$O$66),"")</f>
        <v/>
      </c>
      <c r="Y55" s="273" t="str">
        <f>IF(AND('Mapa final'!$Y$67="Muy Baja",'Mapa final'!$AA$67="Moderado"),CONCATENATE("R10C",'Mapa final'!$O$67),"")</f>
        <v/>
      </c>
      <c r="Z55" s="273" t="str">
        <f>IF(AND('Mapa final'!$Y$68="Muy Baja",'Mapa final'!$AA$68="Moderado"),CONCATENATE("R10C",'Mapa final'!$O$68),"")</f>
        <v/>
      </c>
      <c r="AA55" s="274" t="str">
        <f>IF(AND('Mapa final'!$Y$69="Muy Baja",'Mapa final'!$AA$69="Moderado"),CONCATENATE("R10C",'Mapa final'!$O$69),"")</f>
        <v/>
      </c>
      <c r="AB55" s="260" t="str">
        <f>IF(AND('Mapa final'!$Y$64="Muy Baja",'Mapa final'!$AA$64="Mayor"),CONCATENATE("R10C",'Mapa final'!$O$64),"")</f>
        <v/>
      </c>
      <c r="AC55" s="261" t="str">
        <f>IF(AND('Mapa final'!$Y$65="Muy Baja",'Mapa final'!$AA$65="Mayor"),CONCATENATE("R10C",'Mapa final'!$O$65),"")</f>
        <v/>
      </c>
      <c r="AD55" s="261" t="str">
        <f>IF(AND('Mapa final'!$Y$66="Muy Baja",'Mapa final'!$AA$66="Mayor"),CONCATENATE("R10C",'Mapa final'!$O$66),"")</f>
        <v/>
      </c>
      <c r="AE55" s="261" t="str">
        <f>IF(AND('Mapa final'!$Y$67="Muy Baja",'Mapa final'!$AA$67="Mayor"),CONCATENATE("R10C",'Mapa final'!$O$67),"")</f>
        <v/>
      </c>
      <c r="AF55" s="261" t="str">
        <f>IF(AND('Mapa final'!$Y$68="Muy Baja",'Mapa final'!$AA$68="Mayor"),CONCATENATE("R10C",'Mapa final'!$O$68),"")</f>
        <v/>
      </c>
      <c r="AG55" s="262" t="str">
        <f>IF(AND('Mapa final'!$Y$69="Muy Baja",'Mapa final'!$AA$69="Mayor"),CONCATENATE("R10C",'Mapa final'!$O$69),"")</f>
        <v/>
      </c>
      <c r="AH55" s="263" t="str">
        <f>IF(AND('Mapa final'!$Y$64="Muy Baja",'Mapa final'!$AA$64="Catastrófico"),CONCATENATE("R10C",'Mapa final'!$O$64),"")</f>
        <v/>
      </c>
      <c r="AI55" s="264" t="str">
        <f>IF(AND('Mapa final'!$Y$65="Muy Baja",'Mapa final'!$AA$65="Catastrófico"),CONCATENATE("R10C",'Mapa final'!$O$65),"")</f>
        <v/>
      </c>
      <c r="AJ55" s="264" t="str">
        <f>IF(AND('Mapa final'!$Y$66="Muy Baja",'Mapa final'!$AA$66="Catastrófico"),CONCATENATE("R10C",'Mapa final'!$O$66),"")</f>
        <v/>
      </c>
      <c r="AK55" s="264" t="str">
        <f>IF(AND('Mapa final'!$Y$67="Muy Baja",'Mapa final'!$AA$67="Catastrófico"),CONCATENATE("R10C",'Mapa final'!$O$67),"")</f>
        <v/>
      </c>
      <c r="AL55" s="264" t="str">
        <f>IF(AND('Mapa final'!$Y$68="Muy Baja",'Mapa final'!$AA$68="Catastrófico"),CONCATENATE("R10C",'Mapa final'!$O$68),"")</f>
        <v/>
      </c>
      <c r="AM55" s="26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02" t="s">
        <v>198</v>
      </c>
      <c r="K56" s="803"/>
      <c r="L56" s="803"/>
      <c r="M56" s="803"/>
      <c r="N56" s="803"/>
      <c r="O56" s="804"/>
      <c r="P56" s="802" t="s">
        <v>199</v>
      </c>
      <c r="Q56" s="803"/>
      <c r="R56" s="803"/>
      <c r="S56" s="803"/>
      <c r="T56" s="803"/>
      <c r="U56" s="804"/>
      <c r="V56" s="802" t="s">
        <v>200</v>
      </c>
      <c r="W56" s="803"/>
      <c r="X56" s="803"/>
      <c r="Y56" s="803"/>
      <c r="Z56" s="803"/>
      <c r="AA56" s="804"/>
      <c r="AB56" s="802" t="s">
        <v>201</v>
      </c>
      <c r="AC56" s="848"/>
      <c r="AD56" s="803"/>
      <c r="AE56" s="803"/>
      <c r="AF56" s="803"/>
      <c r="AG56" s="804"/>
      <c r="AH56" s="802" t="s">
        <v>202</v>
      </c>
      <c r="AI56" s="803"/>
      <c r="AJ56" s="803"/>
      <c r="AK56" s="803"/>
      <c r="AL56" s="803"/>
      <c r="AM56" s="80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05"/>
      <c r="K57" s="806"/>
      <c r="L57" s="806"/>
      <c r="M57" s="806"/>
      <c r="N57" s="806"/>
      <c r="O57" s="807"/>
      <c r="P57" s="805"/>
      <c r="Q57" s="806"/>
      <c r="R57" s="806"/>
      <c r="S57" s="806"/>
      <c r="T57" s="806"/>
      <c r="U57" s="807"/>
      <c r="V57" s="805"/>
      <c r="W57" s="806"/>
      <c r="X57" s="806"/>
      <c r="Y57" s="806"/>
      <c r="Z57" s="806"/>
      <c r="AA57" s="807"/>
      <c r="AB57" s="805"/>
      <c r="AC57" s="806"/>
      <c r="AD57" s="806"/>
      <c r="AE57" s="806"/>
      <c r="AF57" s="806"/>
      <c r="AG57" s="807"/>
      <c r="AH57" s="805"/>
      <c r="AI57" s="806"/>
      <c r="AJ57" s="806"/>
      <c r="AK57" s="806"/>
      <c r="AL57" s="806"/>
      <c r="AM57" s="80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05"/>
      <c r="K58" s="806"/>
      <c r="L58" s="806"/>
      <c r="M58" s="806"/>
      <c r="N58" s="806"/>
      <c r="O58" s="807"/>
      <c r="P58" s="805"/>
      <c r="Q58" s="806"/>
      <c r="R58" s="806"/>
      <c r="S58" s="806"/>
      <c r="T58" s="806"/>
      <c r="U58" s="807"/>
      <c r="V58" s="805"/>
      <c r="W58" s="806"/>
      <c r="X58" s="806"/>
      <c r="Y58" s="806"/>
      <c r="Z58" s="806"/>
      <c r="AA58" s="807"/>
      <c r="AB58" s="805"/>
      <c r="AC58" s="806"/>
      <c r="AD58" s="806"/>
      <c r="AE58" s="806"/>
      <c r="AF58" s="806"/>
      <c r="AG58" s="807"/>
      <c r="AH58" s="805"/>
      <c r="AI58" s="806"/>
      <c r="AJ58" s="806"/>
      <c r="AK58" s="806"/>
      <c r="AL58" s="806"/>
      <c r="AM58" s="80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05"/>
      <c r="K59" s="806"/>
      <c r="L59" s="806"/>
      <c r="M59" s="806"/>
      <c r="N59" s="806"/>
      <c r="O59" s="807"/>
      <c r="P59" s="805"/>
      <c r="Q59" s="806"/>
      <c r="R59" s="806"/>
      <c r="S59" s="806"/>
      <c r="T59" s="806"/>
      <c r="U59" s="807"/>
      <c r="V59" s="805"/>
      <c r="W59" s="806"/>
      <c r="X59" s="806"/>
      <c r="Y59" s="806"/>
      <c r="Z59" s="806"/>
      <c r="AA59" s="807"/>
      <c r="AB59" s="805"/>
      <c r="AC59" s="806"/>
      <c r="AD59" s="806"/>
      <c r="AE59" s="806"/>
      <c r="AF59" s="806"/>
      <c r="AG59" s="807"/>
      <c r="AH59" s="805"/>
      <c r="AI59" s="806"/>
      <c r="AJ59" s="806"/>
      <c r="AK59" s="806"/>
      <c r="AL59" s="806"/>
      <c r="AM59" s="80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05"/>
      <c r="K60" s="806"/>
      <c r="L60" s="806"/>
      <c r="M60" s="806"/>
      <c r="N60" s="806"/>
      <c r="O60" s="807"/>
      <c r="P60" s="805"/>
      <c r="Q60" s="806"/>
      <c r="R60" s="806"/>
      <c r="S60" s="806"/>
      <c r="T60" s="806"/>
      <c r="U60" s="807"/>
      <c r="V60" s="805"/>
      <c r="W60" s="806"/>
      <c r="X60" s="806"/>
      <c r="Y60" s="806"/>
      <c r="Z60" s="806"/>
      <c r="AA60" s="807"/>
      <c r="AB60" s="805"/>
      <c r="AC60" s="806"/>
      <c r="AD60" s="806"/>
      <c r="AE60" s="806"/>
      <c r="AF60" s="806"/>
      <c r="AG60" s="807"/>
      <c r="AH60" s="805"/>
      <c r="AI60" s="806"/>
      <c r="AJ60" s="806"/>
      <c r="AK60" s="806"/>
      <c r="AL60" s="806"/>
      <c r="AM60" s="80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08"/>
      <c r="K61" s="809"/>
      <c r="L61" s="809"/>
      <c r="M61" s="809"/>
      <c r="N61" s="809"/>
      <c r="O61" s="810"/>
      <c r="P61" s="808"/>
      <c r="Q61" s="809"/>
      <c r="R61" s="809"/>
      <c r="S61" s="809"/>
      <c r="T61" s="809"/>
      <c r="U61" s="810"/>
      <c r="V61" s="808"/>
      <c r="W61" s="809"/>
      <c r="X61" s="809"/>
      <c r="Y61" s="809"/>
      <c r="Z61" s="809"/>
      <c r="AA61" s="810"/>
      <c r="AB61" s="808"/>
      <c r="AC61" s="809"/>
      <c r="AD61" s="809"/>
      <c r="AE61" s="809"/>
      <c r="AF61" s="809"/>
      <c r="AG61" s="810"/>
      <c r="AH61" s="808"/>
      <c r="AI61" s="809"/>
      <c r="AJ61" s="809"/>
      <c r="AK61" s="809"/>
      <c r="AL61" s="809"/>
      <c r="AM61" s="81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15"/>
      <c r="AV63" s="15"/>
      <c r="AW63" s="15"/>
      <c r="AX63" s="15"/>
      <c r="AY63" s="15"/>
      <c r="AZ63" s="15"/>
      <c r="BA63" s="15"/>
      <c r="BB63" s="15"/>
      <c r="BC63" s="15"/>
      <c r="BD63" s="15"/>
      <c r="BE63" s="15"/>
      <c r="BF63" s="15"/>
      <c r="BG63" s="15"/>
      <c r="BH63" s="15"/>
    </row>
    <row r="64" spans="1:80" ht="15" customHeight="1" x14ac:dyDescent="0.25">
      <c r="A64" s="15"/>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E7" activePane="bottomRight" state="frozen"/>
      <selection pane="topRight" activeCell="D10" sqref="B9:F15"/>
      <selection pane="bottomLeft" activeCell="D10" sqref="B9:F15"/>
      <selection pane="bottomRight" activeCell="Q9" sqref="Q9"/>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29" customWidth="1"/>
    <col min="13" max="13" width="77.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2"/>
      <c r="B1" s="148"/>
      <c r="C1" s="157"/>
      <c r="D1" s="868" t="s">
        <v>204</v>
      </c>
      <c r="E1" s="852" t="s">
        <v>205</v>
      </c>
      <c r="F1" s="870"/>
      <c r="G1" s="870"/>
      <c r="H1" s="870"/>
      <c r="I1" s="870"/>
      <c r="J1" s="870"/>
      <c r="K1" s="870"/>
      <c r="L1" s="870"/>
      <c r="M1" s="870"/>
      <c r="N1" s="870"/>
      <c r="O1" s="870"/>
      <c r="P1" s="162" t="s">
        <v>206</v>
      </c>
      <c r="Q1" s="457" t="s">
        <v>207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49" t="s">
        <v>208</v>
      </c>
      <c r="CL1" s="850"/>
    </row>
    <row r="2" spans="1:90" ht="24" customHeight="1" thickBot="1" x14ac:dyDescent="0.3">
      <c r="A2" s="112"/>
      <c r="B2" s="147"/>
      <c r="C2" s="158"/>
      <c r="D2" s="869"/>
      <c r="E2" s="852"/>
      <c r="F2" s="870"/>
      <c r="G2" s="870"/>
      <c r="H2" s="870"/>
      <c r="I2" s="870"/>
      <c r="J2" s="870"/>
      <c r="K2" s="870"/>
      <c r="L2" s="870"/>
      <c r="M2" s="870"/>
      <c r="N2" s="870"/>
      <c r="O2" s="870"/>
      <c r="P2" s="162" t="s">
        <v>209</v>
      </c>
      <c r="Q2" s="162" t="s">
        <v>210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49" t="s">
        <v>211</v>
      </c>
      <c r="CL2" s="850"/>
    </row>
    <row r="3" spans="1:90" s="107" customFormat="1" ht="36.75" customHeight="1" thickBot="1" x14ac:dyDescent="0.3">
      <c r="A3" s="112"/>
      <c r="B3" s="147"/>
      <c r="C3" s="159"/>
      <c r="D3" s="165" t="s">
        <v>212</v>
      </c>
      <c r="E3" s="851" t="s">
        <v>213</v>
      </c>
      <c r="F3" s="851"/>
      <c r="G3" s="851"/>
      <c r="H3" s="851"/>
      <c r="I3" s="851"/>
      <c r="J3" s="851"/>
      <c r="K3" s="851"/>
      <c r="L3" s="851"/>
      <c r="M3" s="851"/>
      <c r="N3" s="851"/>
      <c r="O3" s="852"/>
      <c r="P3" s="162" t="s">
        <v>214</v>
      </c>
      <c r="Q3" s="163">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53" t="s">
        <v>215</v>
      </c>
      <c r="CL3" s="854"/>
    </row>
    <row r="4" spans="1:90" ht="27" customHeight="1" x14ac:dyDescent="0.25">
      <c r="A4" s="112"/>
      <c r="B4" s="149"/>
      <c r="C4" s="150"/>
      <c r="D4" s="151"/>
      <c r="E4" s="855" t="s">
        <v>216</v>
      </c>
      <c r="F4" s="855"/>
      <c r="G4" s="855"/>
      <c r="H4" s="855"/>
      <c r="I4" s="855"/>
      <c r="J4" s="855"/>
      <c r="K4" s="855"/>
      <c r="L4" s="855"/>
      <c r="M4" s="855"/>
      <c r="N4" s="855"/>
      <c r="O4" s="855"/>
      <c r="P4" s="152"/>
      <c r="Q4" s="136"/>
    </row>
    <row r="5" spans="1:90" ht="41.25" customHeight="1" thickBot="1" x14ac:dyDescent="0.3">
      <c r="B5" s="63" t="s">
        <v>217</v>
      </c>
      <c r="C5" s="200" t="str">
        <f>IF('Mapa final'!C4="","",'Mapa final'!C4)</f>
        <v>Gestión Tecnológica</v>
      </c>
      <c r="D5" s="65"/>
      <c r="F5" s="43"/>
      <c r="G5" s="43"/>
      <c r="H5" s="43"/>
      <c r="I5" s="427"/>
      <c r="J5" s="427"/>
      <c r="K5" s="427"/>
      <c r="L5" s="427"/>
      <c r="Q5" s="108"/>
    </row>
    <row r="6" spans="1:90" s="110" customFormat="1" ht="117.75" customHeight="1" thickBot="1" x14ac:dyDescent="0.3">
      <c r="A6" s="340" t="s">
        <v>218</v>
      </c>
      <c r="B6" s="426" t="s">
        <v>219</v>
      </c>
      <c r="C6" s="122" t="s">
        <v>220</v>
      </c>
      <c r="D6" s="122" t="s">
        <v>154</v>
      </c>
      <c r="E6" s="122" t="s">
        <v>221</v>
      </c>
      <c r="F6" s="123" t="s">
        <v>188</v>
      </c>
      <c r="G6" s="123" t="s">
        <v>81</v>
      </c>
      <c r="H6" s="123" t="s">
        <v>222</v>
      </c>
      <c r="I6" s="123" t="s">
        <v>188</v>
      </c>
      <c r="J6" s="123" t="s">
        <v>81</v>
      </c>
      <c r="K6" s="123" t="s">
        <v>223</v>
      </c>
      <c r="L6" s="123" t="s">
        <v>224</v>
      </c>
      <c r="M6" s="122" t="s">
        <v>225</v>
      </c>
      <c r="N6" s="122" t="s">
        <v>226</v>
      </c>
      <c r="O6" s="122" t="s">
        <v>149</v>
      </c>
      <c r="P6" s="122" t="s">
        <v>227</v>
      </c>
      <c r="Q6" s="122" t="s">
        <v>228</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99" customHeight="1" x14ac:dyDescent="0.25">
      <c r="A7" s="115" t="s">
        <v>229</v>
      </c>
      <c r="B7" s="856" t="s">
        <v>230</v>
      </c>
      <c r="C7" s="858" t="str">
        <f>IF('Mapa final'!E10="","",'Mapa final'!E10)</f>
        <v xml:space="preserve">Posibilidad de afectación económica y reputacional por la indisponibilidad de la infraestructura tecnológica, debido a la inadecuada gestión administrativa en la asignacion de recursos suficientes para cubrir las necesidades tecnológicas del Ministerio.
</v>
      </c>
      <c r="D7" s="860" t="s">
        <v>231</v>
      </c>
      <c r="E7" s="862" t="str">
        <f>IF('Mapa final'!D10="","",'Mapa final'!D10)</f>
        <v>Inadecuada gestión administrativa en la asignacion de recursos suficientes para cubrir las necesidades tecnológicas del Ministerio.</v>
      </c>
      <c r="F7" s="864" t="str">
        <f>IF('Mapa final'!H10="","",'Mapa final'!H10)</f>
        <v>Baja</v>
      </c>
      <c r="G7" s="864" t="str">
        <f>IF('Mapa final'!L10="","",'Mapa final'!L10)</f>
        <v>Catastrófico</v>
      </c>
      <c r="H7" s="86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00" t="str">
        <f>IF('Mapa final'!Y10="","",'Mapa final'!Y10)</f>
        <v>Baja</v>
      </c>
      <c r="J7" s="400" t="str">
        <f>IF('Mapa final'!AA10="","",'Mapa final'!AA10)</f>
        <v>Catastrófico</v>
      </c>
      <c r="K7" s="40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00" t="str">
        <f>IF('Mapa final'!AD10="","",'Mapa final'!AD10)</f>
        <v/>
      </c>
      <c r="M7" s="399" t="str">
        <f>IF('Mapa final'!P10="","",'Mapa final'!P10)</f>
        <v>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v>
      </c>
      <c r="N7" s="453" t="s">
        <v>232</v>
      </c>
      <c r="O7" s="482" t="s">
        <v>233</v>
      </c>
      <c r="P7" s="453" t="s">
        <v>234</v>
      </c>
      <c r="Q7" s="454"/>
    </row>
    <row r="8" spans="1:90" ht="104.25" customHeight="1" x14ac:dyDescent="0.25">
      <c r="A8" s="115" t="s">
        <v>235</v>
      </c>
      <c r="B8" s="857"/>
      <c r="C8" s="859"/>
      <c r="D8" s="861"/>
      <c r="E8" s="863"/>
      <c r="F8" s="865"/>
      <c r="G8" s="865"/>
      <c r="H8" s="867"/>
      <c r="I8" s="400" t="str">
        <f>IF('Mapa final'!Y11="","",'Mapa final'!Y11)</f>
        <v>Muy Baja</v>
      </c>
      <c r="J8" s="400" t="str">
        <f>IF('Mapa final'!AA11="","",'Mapa final'!AA11)</f>
        <v>Catastrófico</v>
      </c>
      <c r="K8" s="40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8" t="str">
        <f>IF('Mapa final'!AD11="","",'Mapa final'!AD11)</f>
        <v/>
      </c>
      <c r="M8" s="399" t="str">
        <f>IF('Mapa final'!P11="","",'Mapa final'!P11)</f>
        <v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v>
      </c>
      <c r="N8" s="455" t="s">
        <v>236</v>
      </c>
      <c r="O8" s="483" t="s">
        <v>233</v>
      </c>
      <c r="P8" s="455" t="s">
        <v>237</v>
      </c>
      <c r="Q8" s="456"/>
    </row>
    <row r="9" spans="1:90" ht="94.5" customHeight="1" thickBot="1" x14ac:dyDescent="0.3">
      <c r="A9" s="115" t="s">
        <v>238</v>
      </c>
      <c r="B9" s="857"/>
      <c r="C9" s="859"/>
      <c r="D9" s="861"/>
      <c r="E9" s="863"/>
      <c r="F9" s="865"/>
      <c r="G9" s="865"/>
      <c r="H9" s="867"/>
      <c r="I9" s="400" t="str">
        <f>IF('Mapa final'!Y12="","",'Mapa final'!Y12)</f>
        <v>Muy Baja</v>
      </c>
      <c r="J9" s="400" t="str">
        <f>IF('Mapa final'!AA12="","",'Mapa final'!AA12)</f>
        <v>Catastrófico</v>
      </c>
      <c r="K9" s="400" t="str">
        <f t="shared" si="0"/>
        <v>Extremo</v>
      </c>
      <c r="L9" s="428" t="str">
        <f>IF('Mapa final'!AD12="","",'Mapa final'!AD12)</f>
        <v>Reducir (mitigar)</v>
      </c>
      <c r="M9" s="399" t="str">
        <f>IF('Mapa final'!P12="","",'Mapa final'!P12)</f>
        <v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v>
      </c>
      <c r="N9" s="455" t="s">
        <v>239</v>
      </c>
      <c r="O9" s="484" t="s">
        <v>233</v>
      </c>
      <c r="P9" s="455" t="s">
        <v>240</v>
      </c>
      <c r="Q9" s="456" t="s">
        <v>241</v>
      </c>
    </row>
    <row r="10" spans="1:90" ht="78" customHeight="1" x14ac:dyDescent="0.25">
      <c r="A10" s="115" t="s">
        <v>242</v>
      </c>
      <c r="B10" s="857"/>
      <c r="C10" s="859"/>
      <c r="D10" s="861"/>
      <c r="E10" s="863"/>
      <c r="F10" s="865"/>
      <c r="G10" s="865"/>
      <c r="H10" s="867"/>
      <c r="I10" s="400" t="str">
        <f>IF('Mapa final'!Y13="","",'Mapa final'!Y13)</f>
        <v/>
      </c>
      <c r="J10" s="400" t="str">
        <f>IF('Mapa final'!AA13="","",'Mapa final'!AA13)</f>
        <v/>
      </c>
      <c r="K10" s="400" t="str">
        <f t="shared" si="0"/>
        <v/>
      </c>
      <c r="L10" s="400" t="str">
        <f>IF('Mapa final'!AD13="","",'Mapa final'!AD13)</f>
        <v/>
      </c>
      <c r="M10" s="339" t="str">
        <f>IF('Mapa final'!P13="","",'Mapa final'!P13)</f>
        <v/>
      </c>
      <c r="N10" s="455"/>
      <c r="O10" s="455"/>
      <c r="P10" s="397"/>
      <c r="Q10" s="456"/>
    </row>
    <row r="11" spans="1:90" ht="78" customHeight="1" x14ac:dyDescent="0.25">
      <c r="A11" s="115" t="s">
        <v>243</v>
      </c>
      <c r="B11" s="857"/>
      <c r="C11" s="859"/>
      <c r="D11" s="861"/>
      <c r="E11" s="863"/>
      <c r="F11" s="865"/>
      <c r="G11" s="865"/>
      <c r="H11" s="867"/>
      <c r="I11" s="400" t="str">
        <f>IF('Mapa final'!Y14="","",'Mapa final'!Y14)</f>
        <v/>
      </c>
      <c r="J11" s="400" t="str">
        <f>IF('Mapa final'!AA14="","",'Mapa final'!AA14)</f>
        <v/>
      </c>
      <c r="K11" s="400" t="str">
        <f t="shared" si="0"/>
        <v/>
      </c>
      <c r="L11" s="400" t="str">
        <f>IF('Mapa final'!AD14="","",'Mapa final'!AD14)</f>
        <v/>
      </c>
      <c r="M11" s="339" t="str">
        <f>IF('Mapa final'!P14="","",'Mapa final'!P14)</f>
        <v/>
      </c>
      <c r="N11" s="397"/>
      <c r="O11" s="397"/>
      <c r="P11" s="397"/>
      <c r="Q11" s="398"/>
    </row>
    <row r="12" spans="1:90" ht="78" customHeight="1" x14ac:dyDescent="0.25">
      <c r="A12" s="115" t="s">
        <v>244</v>
      </c>
      <c r="B12" s="857"/>
      <c r="C12" s="859"/>
      <c r="D12" s="861"/>
      <c r="E12" s="863"/>
      <c r="F12" s="865"/>
      <c r="G12" s="865"/>
      <c r="H12" s="867"/>
      <c r="I12" s="400" t="str">
        <f>IF('Mapa final'!Y15="","",'Mapa final'!Y15)</f>
        <v/>
      </c>
      <c r="J12" s="400" t="str">
        <f>IF('Mapa final'!AA15="","",'Mapa final'!AA15)</f>
        <v/>
      </c>
      <c r="K12" s="400" t="str">
        <f t="shared" si="0"/>
        <v/>
      </c>
      <c r="L12" s="400" t="str">
        <f>IF('Mapa final'!AD15="","",'Mapa final'!AD15)</f>
        <v/>
      </c>
      <c r="M12" s="339" t="str">
        <f>IF('Mapa final'!P15="","",'Mapa final'!P15)</f>
        <v/>
      </c>
      <c r="N12" s="397"/>
      <c r="O12" s="397"/>
      <c r="P12" s="397"/>
      <c r="Q12" s="398"/>
    </row>
    <row r="13" spans="1:90" ht="16.5" x14ac:dyDescent="0.25">
      <c r="A13" s="115" t="s">
        <v>245</v>
      </c>
      <c r="B13" s="856"/>
      <c r="C13" s="862" t="str">
        <f>IF('Mapa final'!E16="","",'Mapa final'!E16)</f>
        <v/>
      </c>
      <c r="D13" s="860"/>
      <c r="E13" s="862" t="str">
        <f>IF('Mapa final'!D16="","",'Mapa final'!D16)</f>
        <v/>
      </c>
      <c r="F13" s="865" t="str">
        <f>IF('Mapa final'!H16="","",'Mapa final'!H16)</f>
        <v/>
      </c>
      <c r="G13" s="865" t="str">
        <f>IF('Mapa final'!L16="","",'Mapa final'!L16)</f>
        <v/>
      </c>
      <c r="H13" s="86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0" t="str">
        <f>IF('Mapa final'!Y16="","",'Mapa final'!Y16)</f>
        <v/>
      </c>
      <c r="J13" s="400" t="str">
        <f>IF('Mapa final'!AA16="","",'Mapa final'!AA16)</f>
        <v/>
      </c>
      <c r="K13" s="400" t="str">
        <f t="shared" si="0"/>
        <v/>
      </c>
      <c r="L13" s="400" t="str">
        <f>IF('Mapa final'!AD16="","",'Mapa final'!AD16)</f>
        <v/>
      </c>
      <c r="M13" s="399" t="str">
        <f>IF('Mapa final'!P16="","",'Mapa final'!P16)</f>
        <v/>
      </c>
      <c r="N13" s="455"/>
      <c r="O13" s="455"/>
      <c r="P13" s="397"/>
      <c r="Q13" s="456"/>
    </row>
    <row r="14" spans="1:90" ht="16.5" x14ac:dyDescent="0.25">
      <c r="A14" s="115" t="s">
        <v>246</v>
      </c>
      <c r="B14" s="857"/>
      <c r="C14" s="863"/>
      <c r="D14" s="861"/>
      <c r="E14" s="863"/>
      <c r="F14" s="865"/>
      <c r="G14" s="865"/>
      <c r="H14" s="867"/>
      <c r="I14" s="400" t="str">
        <f>IF('Mapa final'!Y17="","",'Mapa final'!Y17)</f>
        <v/>
      </c>
      <c r="J14" s="400" t="str">
        <f>IF('Mapa final'!AA17="","",'Mapa final'!AA17)</f>
        <v/>
      </c>
      <c r="K14" s="400" t="str">
        <f t="shared" si="0"/>
        <v/>
      </c>
      <c r="L14" s="400" t="str">
        <f>IF('Mapa final'!AD17="","",'Mapa final'!AD17)</f>
        <v/>
      </c>
      <c r="M14" s="399" t="str">
        <f>IF('Mapa final'!P17="","",'Mapa final'!P17)</f>
        <v/>
      </c>
      <c r="N14" s="455"/>
      <c r="O14" s="397"/>
      <c r="P14" s="397"/>
      <c r="Q14" s="398"/>
    </row>
    <row r="15" spans="1:90" x14ac:dyDescent="0.25">
      <c r="A15" s="115" t="s">
        <v>247</v>
      </c>
      <c r="B15" s="857"/>
      <c r="C15" s="863"/>
      <c r="D15" s="861"/>
      <c r="E15" s="863"/>
      <c r="F15" s="865"/>
      <c r="G15" s="865"/>
      <c r="H15" s="867"/>
      <c r="I15" s="400" t="str">
        <f>IF('Mapa final'!Y18="","",'Mapa final'!Y18)</f>
        <v/>
      </c>
      <c r="J15" s="400" t="str">
        <f>IF('Mapa final'!AA18="","",'Mapa final'!AA18)</f>
        <v/>
      </c>
      <c r="K15" s="400" t="str">
        <f t="shared" si="0"/>
        <v/>
      </c>
      <c r="L15" s="400" t="str">
        <f>IF('Mapa final'!AD18="","",'Mapa final'!AD18)</f>
        <v/>
      </c>
      <c r="M15" s="339" t="str">
        <f>IF('Mapa final'!P18="","",'Mapa final'!P18)</f>
        <v/>
      </c>
      <c r="N15" s="397"/>
      <c r="O15" s="397"/>
      <c r="P15" s="397"/>
      <c r="Q15" s="398"/>
    </row>
    <row r="16" spans="1:90" x14ac:dyDescent="0.25">
      <c r="A16" s="115" t="s">
        <v>248</v>
      </c>
      <c r="B16" s="857"/>
      <c r="C16" s="863"/>
      <c r="D16" s="861"/>
      <c r="E16" s="863"/>
      <c r="F16" s="865"/>
      <c r="G16" s="865"/>
      <c r="H16" s="867"/>
      <c r="I16" s="400" t="str">
        <f>IF('Mapa final'!Y19="","",'Mapa final'!Y19)</f>
        <v/>
      </c>
      <c r="J16" s="400" t="str">
        <f>IF('Mapa final'!AA19="","",'Mapa final'!AA19)</f>
        <v/>
      </c>
      <c r="K16" s="400" t="str">
        <f t="shared" si="0"/>
        <v/>
      </c>
      <c r="L16" s="400" t="str">
        <f>IF('Mapa final'!AD19="","",'Mapa final'!AD19)</f>
        <v/>
      </c>
      <c r="M16" s="339" t="str">
        <f>IF('Mapa final'!P19="","",'Mapa final'!P19)</f>
        <v/>
      </c>
      <c r="N16" s="397"/>
      <c r="O16" s="397"/>
      <c r="P16" s="397"/>
      <c r="Q16" s="398"/>
    </row>
    <row r="17" spans="1:17" x14ac:dyDescent="0.25">
      <c r="A17" s="115" t="s">
        <v>249</v>
      </c>
      <c r="B17" s="857"/>
      <c r="C17" s="863"/>
      <c r="D17" s="861"/>
      <c r="E17" s="863"/>
      <c r="F17" s="865"/>
      <c r="G17" s="865"/>
      <c r="H17" s="867"/>
      <c r="I17" s="400" t="str">
        <f>IF('Mapa final'!Y20="","",'Mapa final'!Y20)</f>
        <v/>
      </c>
      <c r="J17" s="400" t="str">
        <f>IF('Mapa final'!AA20="","",'Mapa final'!AA20)</f>
        <v/>
      </c>
      <c r="K17" s="400" t="str">
        <f t="shared" si="0"/>
        <v/>
      </c>
      <c r="L17" s="400" t="str">
        <f>IF('Mapa final'!AD20="","",'Mapa final'!AD20)</f>
        <v/>
      </c>
      <c r="M17" s="339" t="str">
        <f>IF('Mapa final'!P20="","",'Mapa final'!P20)</f>
        <v/>
      </c>
      <c r="N17" s="397"/>
      <c r="O17" s="397"/>
      <c r="P17" s="397"/>
      <c r="Q17" s="398"/>
    </row>
    <row r="18" spans="1:17" x14ac:dyDescent="0.25">
      <c r="A18" s="115" t="s">
        <v>250</v>
      </c>
      <c r="B18" s="857"/>
      <c r="C18" s="863"/>
      <c r="D18" s="861"/>
      <c r="E18" s="863"/>
      <c r="F18" s="865"/>
      <c r="G18" s="865"/>
      <c r="H18" s="867"/>
      <c r="I18" s="400" t="str">
        <f>IF('Mapa final'!Y21="","",'Mapa final'!Y21)</f>
        <v/>
      </c>
      <c r="J18" s="400" t="str">
        <f>IF('Mapa final'!AA21="","",'Mapa final'!AA21)</f>
        <v/>
      </c>
      <c r="K18" s="400" t="str">
        <f t="shared" si="0"/>
        <v/>
      </c>
      <c r="L18" s="400" t="str">
        <f>IF('Mapa final'!AD21="","",'Mapa final'!AD21)</f>
        <v/>
      </c>
      <c r="M18" s="339" t="str">
        <f>IF('Mapa final'!P21="","",'Mapa final'!P21)</f>
        <v/>
      </c>
      <c r="N18" s="397"/>
      <c r="O18" s="397"/>
      <c r="P18" s="397"/>
      <c r="Q18" s="398"/>
    </row>
    <row r="19" spans="1:17" x14ac:dyDescent="0.25">
      <c r="A19" s="115" t="s">
        <v>251</v>
      </c>
      <c r="B19" s="856"/>
      <c r="C19" s="862" t="str">
        <f>IF('Mapa final'!E22="","",'Mapa final'!E22)</f>
        <v/>
      </c>
      <c r="D19" s="861"/>
      <c r="E19" s="862" t="str">
        <f>IF('Mapa final'!D22="","",'Mapa final'!D22)</f>
        <v/>
      </c>
      <c r="F19" s="865" t="str">
        <f>IF('Mapa final'!H22="","",'Mapa final'!H22)</f>
        <v/>
      </c>
      <c r="G19" s="865" t="str">
        <f>IF('Mapa final'!L22="","",'Mapa final'!L22)</f>
        <v/>
      </c>
      <c r="H19" s="86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0" t="str">
        <f>IF('Mapa final'!Y22="","",'Mapa final'!Y22)</f>
        <v/>
      </c>
      <c r="J19" s="400" t="str">
        <f>IF('Mapa final'!AA22="","",'Mapa final'!AA22)</f>
        <v/>
      </c>
      <c r="K19" s="400" t="str">
        <f t="shared" si="0"/>
        <v/>
      </c>
      <c r="L19" s="400" t="str">
        <f>IF('Mapa final'!AD22="","",'Mapa final'!AD22)</f>
        <v/>
      </c>
      <c r="M19" s="339" t="str">
        <f>IF('Mapa final'!P22="","",'Mapa final'!P22)</f>
        <v/>
      </c>
      <c r="N19" s="397"/>
      <c r="O19" s="397"/>
      <c r="P19" s="397"/>
      <c r="Q19" s="398"/>
    </row>
    <row r="20" spans="1:17" x14ac:dyDescent="0.25">
      <c r="A20" s="115" t="s">
        <v>252</v>
      </c>
      <c r="B20" s="857"/>
      <c r="C20" s="863"/>
      <c r="D20" s="861"/>
      <c r="E20" s="863"/>
      <c r="F20" s="865"/>
      <c r="G20" s="865"/>
      <c r="H20" s="867"/>
      <c r="I20" s="400" t="str">
        <f>IF('Mapa final'!Y23="","",'Mapa final'!Y23)</f>
        <v/>
      </c>
      <c r="J20" s="400" t="str">
        <f>IF('Mapa final'!AA23="","",'Mapa final'!AA23)</f>
        <v/>
      </c>
      <c r="K20" s="400" t="str">
        <f t="shared" si="0"/>
        <v/>
      </c>
      <c r="L20" s="400" t="str">
        <f>IF('Mapa final'!AD23="","",'Mapa final'!AD23)</f>
        <v/>
      </c>
      <c r="M20" s="339" t="str">
        <f>IF('Mapa final'!P23="","",'Mapa final'!P23)</f>
        <v/>
      </c>
      <c r="N20" s="397"/>
      <c r="O20" s="397"/>
      <c r="P20" s="397"/>
      <c r="Q20" s="398"/>
    </row>
    <row r="21" spans="1:17" x14ac:dyDescent="0.25">
      <c r="A21" s="115" t="s">
        <v>253</v>
      </c>
      <c r="B21" s="857"/>
      <c r="C21" s="863"/>
      <c r="D21" s="861"/>
      <c r="E21" s="863"/>
      <c r="F21" s="865"/>
      <c r="G21" s="865"/>
      <c r="H21" s="867"/>
      <c r="I21" s="400" t="str">
        <f>IF('Mapa final'!Y24="","",'Mapa final'!Y24)</f>
        <v/>
      </c>
      <c r="J21" s="400" t="str">
        <f>IF('Mapa final'!AA24="","",'Mapa final'!AA24)</f>
        <v/>
      </c>
      <c r="K21" s="400" t="str">
        <f t="shared" si="0"/>
        <v/>
      </c>
      <c r="L21" s="400" t="str">
        <f>IF('Mapa final'!AD24="","",'Mapa final'!AD24)</f>
        <v/>
      </c>
      <c r="M21" s="339" t="str">
        <f>IF('Mapa final'!P24="","",'Mapa final'!P24)</f>
        <v/>
      </c>
      <c r="N21" s="397"/>
      <c r="O21" s="397"/>
      <c r="P21" s="397"/>
      <c r="Q21" s="398"/>
    </row>
    <row r="22" spans="1:17" x14ac:dyDescent="0.25">
      <c r="A22" s="115" t="s">
        <v>254</v>
      </c>
      <c r="B22" s="857"/>
      <c r="C22" s="863"/>
      <c r="D22" s="861"/>
      <c r="E22" s="863"/>
      <c r="F22" s="865"/>
      <c r="G22" s="865"/>
      <c r="H22" s="867"/>
      <c r="I22" s="400" t="str">
        <f>IF('Mapa final'!Y25="","",'Mapa final'!Y25)</f>
        <v/>
      </c>
      <c r="J22" s="400" t="str">
        <f>IF('Mapa final'!AA25="","",'Mapa final'!AA25)</f>
        <v/>
      </c>
      <c r="K22" s="400" t="str">
        <f t="shared" si="0"/>
        <v/>
      </c>
      <c r="L22" s="400" t="str">
        <f>IF('Mapa final'!AD25="","",'Mapa final'!AD25)</f>
        <v/>
      </c>
      <c r="M22" s="339" t="str">
        <f>IF('Mapa final'!P25="","",'Mapa final'!P25)</f>
        <v/>
      </c>
      <c r="N22" s="397"/>
      <c r="O22" s="397"/>
      <c r="P22" s="397"/>
      <c r="Q22" s="398"/>
    </row>
    <row r="23" spans="1:17" x14ac:dyDescent="0.25">
      <c r="A23" s="115" t="s">
        <v>255</v>
      </c>
      <c r="B23" s="857"/>
      <c r="C23" s="863"/>
      <c r="D23" s="861"/>
      <c r="E23" s="863"/>
      <c r="F23" s="865"/>
      <c r="G23" s="865"/>
      <c r="H23" s="867"/>
      <c r="I23" s="400" t="str">
        <f>IF('Mapa final'!Y26="","",'Mapa final'!Y26)</f>
        <v/>
      </c>
      <c r="J23" s="400" t="str">
        <f>IF('Mapa final'!AA26="","",'Mapa final'!AA26)</f>
        <v/>
      </c>
      <c r="K23" s="400" t="str">
        <f t="shared" si="0"/>
        <v/>
      </c>
      <c r="L23" s="400" t="str">
        <f>IF('Mapa final'!AD26="","",'Mapa final'!AD26)</f>
        <v/>
      </c>
      <c r="M23" s="339" t="str">
        <f>IF('Mapa final'!P26="","",'Mapa final'!P26)</f>
        <v/>
      </c>
      <c r="N23" s="397"/>
      <c r="O23" s="397"/>
      <c r="P23" s="397"/>
      <c r="Q23" s="398"/>
    </row>
    <row r="24" spans="1:17" x14ac:dyDescent="0.25">
      <c r="A24" s="115" t="s">
        <v>256</v>
      </c>
      <c r="B24" s="857"/>
      <c r="C24" s="863"/>
      <c r="D24" s="861"/>
      <c r="E24" s="863"/>
      <c r="F24" s="865"/>
      <c r="G24" s="865"/>
      <c r="H24" s="867"/>
      <c r="I24" s="400" t="str">
        <f>IF('Mapa final'!Y27="","",'Mapa final'!Y27)</f>
        <v/>
      </c>
      <c r="J24" s="400" t="str">
        <f>IF('Mapa final'!AA27="","",'Mapa final'!AA27)</f>
        <v/>
      </c>
      <c r="K24" s="400" t="str">
        <f t="shared" si="0"/>
        <v/>
      </c>
      <c r="L24" s="400" t="str">
        <f>IF('Mapa final'!AD27="","",'Mapa final'!AD27)</f>
        <v/>
      </c>
      <c r="M24" s="339" t="str">
        <f>IF('Mapa final'!P27="","",'Mapa final'!P27)</f>
        <v/>
      </c>
      <c r="N24" s="397"/>
      <c r="O24" s="397"/>
      <c r="P24" s="397"/>
      <c r="Q24" s="398"/>
    </row>
    <row r="25" spans="1:17" x14ac:dyDescent="0.25">
      <c r="A25" s="115" t="s">
        <v>257</v>
      </c>
      <c r="B25" s="856"/>
      <c r="C25" s="862" t="str">
        <f>IF('Mapa final'!E28="","",'Mapa final'!E28)</f>
        <v/>
      </c>
      <c r="D25" s="861"/>
      <c r="E25" s="862" t="str">
        <f>IF('Mapa final'!D28="","",'Mapa final'!D28)</f>
        <v/>
      </c>
      <c r="F25" s="865" t="str">
        <f>IF('Mapa final'!H28="","",'Mapa final'!H28)</f>
        <v/>
      </c>
      <c r="G25" s="865" t="str">
        <f>IF('Mapa final'!L28="","",'Mapa final'!L28)</f>
        <v/>
      </c>
      <c r="H25" s="86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0" t="str">
        <f>IF('Mapa final'!Y28="","",'Mapa final'!Y28)</f>
        <v/>
      </c>
      <c r="J25" s="400" t="str">
        <f>IF('Mapa final'!AA28="","",'Mapa final'!AA28)</f>
        <v/>
      </c>
      <c r="K25" s="400" t="str">
        <f t="shared" si="0"/>
        <v/>
      </c>
      <c r="L25" s="400" t="str">
        <f>IF('Mapa final'!AD28="","",'Mapa final'!AD28)</f>
        <v/>
      </c>
      <c r="M25" s="339" t="str">
        <f>IF('Mapa final'!P28="","",'Mapa final'!P28)</f>
        <v/>
      </c>
      <c r="N25" s="397"/>
      <c r="O25" s="397"/>
      <c r="P25" s="397"/>
      <c r="Q25" s="398"/>
    </row>
    <row r="26" spans="1:17" x14ac:dyDescent="0.25">
      <c r="A26" s="115" t="s">
        <v>258</v>
      </c>
      <c r="B26" s="857"/>
      <c r="C26" s="863"/>
      <c r="D26" s="861"/>
      <c r="E26" s="863"/>
      <c r="F26" s="865"/>
      <c r="G26" s="865"/>
      <c r="H26" s="867"/>
      <c r="I26" s="400" t="str">
        <f>IF('Mapa final'!Y29="","",'Mapa final'!Y29)</f>
        <v/>
      </c>
      <c r="J26" s="400" t="str">
        <f>IF('Mapa final'!AA29="","",'Mapa final'!AA29)</f>
        <v/>
      </c>
      <c r="K26" s="400" t="str">
        <f t="shared" si="0"/>
        <v/>
      </c>
      <c r="L26" s="400" t="str">
        <f>IF('Mapa final'!AD29="","",'Mapa final'!AD29)</f>
        <v/>
      </c>
      <c r="M26" s="339" t="str">
        <f>IF('Mapa final'!P29="","",'Mapa final'!P29)</f>
        <v/>
      </c>
      <c r="N26" s="397"/>
      <c r="O26" s="397"/>
      <c r="P26" s="397"/>
      <c r="Q26" s="398"/>
    </row>
    <row r="27" spans="1:17" x14ac:dyDescent="0.25">
      <c r="A27" s="115" t="s">
        <v>259</v>
      </c>
      <c r="B27" s="857"/>
      <c r="C27" s="863"/>
      <c r="D27" s="861"/>
      <c r="E27" s="863"/>
      <c r="F27" s="865"/>
      <c r="G27" s="865"/>
      <c r="H27" s="867"/>
      <c r="I27" s="400" t="str">
        <f>IF('Mapa final'!Y30="","",'Mapa final'!Y30)</f>
        <v/>
      </c>
      <c r="J27" s="400" t="str">
        <f>IF('Mapa final'!AA30="","",'Mapa final'!AA30)</f>
        <v/>
      </c>
      <c r="K27" s="400" t="str">
        <f t="shared" si="0"/>
        <v/>
      </c>
      <c r="L27" s="400" t="str">
        <f>IF('Mapa final'!AD30="","",'Mapa final'!AD30)</f>
        <v/>
      </c>
      <c r="M27" s="339" t="str">
        <f>IF('Mapa final'!P30="","",'Mapa final'!P30)</f>
        <v/>
      </c>
      <c r="N27" s="397"/>
      <c r="O27" s="397"/>
      <c r="P27" s="397"/>
      <c r="Q27" s="398"/>
    </row>
    <row r="28" spans="1:17" x14ac:dyDescent="0.25">
      <c r="A28" s="115" t="s">
        <v>260</v>
      </c>
      <c r="B28" s="857"/>
      <c r="C28" s="863"/>
      <c r="D28" s="861"/>
      <c r="E28" s="863"/>
      <c r="F28" s="865"/>
      <c r="G28" s="865"/>
      <c r="H28" s="867"/>
      <c r="I28" s="400" t="str">
        <f>IF('Mapa final'!Y31="","",'Mapa final'!Y31)</f>
        <v/>
      </c>
      <c r="J28" s="400" t="str">
        <f>IF('Mapa final'!AA31="","",'Mapa final'!AA31)</f>
        <v/>
      </c>
      <c r="K28" s="400" t="str">
        <f t="shared" si="0"/>
        <v/>
      </c>
      <c r="L28" s="400" t="str">
        <f>IF('Mapa final'!AD31="","",'Mapa final'!AD31)</f>
        <v/>
      </c>
      <c r="M28" s="339" t="str">
        <f>IF('Mapa final'!P31="","",'Mapa final'!P31)</f>
        <v/>
      </c>
      <c r="N28" s="397"/>
      <c r="O28" s="397"/>
      <c r="P28" s="397"/>
      <c r="Q28" s="398"/>
    </row>
    <row r="29" spans="1:17" x14ac:dyDescent="0.25">
      <c r="A29" s="115" t="s">
        <v>261</v>
      </c>
      <c r="B29" s="857"/>
      <c r="C29" s="863"/>
      <c r="D29" s="861"/>
      <c r="E29" s="863"/>
      <c r="F29" s="865"/>
      <c r="G29" s="865"/>
      <c r="H29" s="867"/>
      <c r="I29" s="400" t="str">
        <f>IF('Mapa final'!Y32="","",'Mapa final'!Y32)</f>
        <v/>
      </c>
      <c r="J29" s="400" t="str">
        <f>IF('Mapa final'!AA32="","",'Mapa final'!AA32)</f>
        <v/>
      </c>
      <c r="K29" s="400" t="str">
        <f t="shared" si="0"/>
        <v/>
      </c>
      <c r="L29" s="400" t="str">
        <f>IF('Mapa final'!AD32="","",'Mapa final'!AD32)</f>
        <v/>
      </c>
      <c r="M29" s="339" t="str">
        <f>IF('Mapa final'!P32="","",'Mapa final'!P32)</f>
        <v/>
      </c>
      <c r="N29" s="397"/>
      <c r="O29" s="397"/>
      <c r="P29" s="397"/>
      <c r="Q29" s="398"/>
    </row>
    <row r="30" spans="1:17" x14ac:dyDescent="0.25">
      <c r="A30" s="115" t="s">
        <v>262</v>
      </c>
      <c r="B30" s="857"/>
      <c r="C30" s="863"/>
      <c r="D30" s="861"/>
      <c r="E30" s="863"/>
      <c r="F30" s="865"/>
      <c r="G30" s="865"/>
      <c r="H30" s="867"/>
      <c r="I30" s="400" t="str">
        <f>IF('Mapa final'!Y33="","",'Mapa final'!Y33)</f>
        <v/>
      </c>
      <c r="J30" s="400" t="str">
        <f>IF('Mapa final'!AA33="","",'Mapa final'!AA33)</f>
        <v/>
      </c>
      <c r="K30" s="400" t="str">
        <f t="shared" si="0"/>
        <v/>
      </c>
      <c r="L30" s="400" t="str">
        <f>IF('Mapa final'!AD33="","",'Mapa final'!AD33)</f>
        <v/>
      </c>
      <c r="M30" s="339" t="str">
        <f>IF('Mapa final'!P33="","",'Mapa final'!P33)</f>
        <v/>
      </c>
      <c r="N30" s="397"/>
      <c r="O30" s="397"/>
      <c r="P30" s="397"/>
      <c r="Q30" s="398"/>
    </row>
    <row r="31" spans="1:17" x14ac:dyDescent="0.25">
      <c r="A31" s="115" t="s">
        <v>263</v>
      </c>
      <c r="B31" s="856"/>
      <c r="C31" s="862" t="str">
        <f>IF('Mapa final'!E34="","",'Mapa final'!E34)</f>
        <v/>
      </c>
      <c r="D31" s="861"/>
      <c r="E31" s="862" t="str">
        <f>IF('Mapa final'!D34="","",'Mapa final'!D34)</f>
        <v/>
      </c>
      <c r="F31" s="865" t="str">
        <f>IF('Mapa final'!H34="","",'Mapa final'!H34)</f>
        <v/>
      </c>
      <c r="G31" s="865" t="str">
        <f>IF('Mapa final'!L34="","",'Mapa final'!L34)</f>
        <v/>
      </c>
      <c r="H31" s="86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0" t="str">
        <f>IF('Mapa final'!Y34="","",'Mapa final'!Y34)</f>
        <v/>
      </c>
      <c r="J31" s="400" t="str">
        <f>IF('Mapa final'!AA34="","",'Mapa final'!AA34)</f>
        <v/>
      </c>
      <c r="K31" s="400" t="str">
        <f t="shared" si="0"/>
        <v/>
      </c>
      <c r="L31" s="400" t="str">
        <f>IF('Mapa final'!AD34="","",'Mapa final'!AD34)</f>
        <v/>
      </c>
      <c r="M31" s="339" t="str">
        <f>IF('Mapa final'!P34="","",'Mapa final'!P34)</f>
        <v/>
      </c>
      <c r="N31" s="397"/>
      <c r="O31" s="397"/>
      <c r="P31" s="397"/>
      <c r="Q31" s="398"/>
    </row>
    <row r="32" spans="1:17" x14ac:dyDescent="0.25">
      <c r="A32" s="115" t="s">
        <v>264</v>
      </c>
      <c r="B32" s="857"/>
      <c r="C32" s="863"/>
      <c r="D32" s="861"/>
      <c r="E32" s="863"/>
      <c r="F32" s="865"/>
      <c r="G32" s="865"/>
      <c r="H32" s="867"/>
      <c r="I32" s="400" t="str">
        <f>IF('Mapa final'!Y35="","",'Mapa final'!Y35)</f>
        <v/>
      </c>
      <c r="J32" s="400" t="str">
        <f>IF('Mapa final'!AA35="","",'Mapa final'!AA35)</f>
        <v/>
      </c>
      <c r="K32" s="400" t="str">
        <f t="shared" si="0"/>
        <v/>
      </c>
      <c r="L32" s="400" t="str">
        <f>IF('Mapa final'!AD35="","",'Mapa final'!AD35)</f>
        <v/>
      </c>
      <c r="M32" s="339" t="str">
        <f>IF('Mapa final'!P35="","",'Mapa final'!P35)</f>
        <v/>
      </c>
      <c r="N32" s="397"/>
      <c r="O32" s="397"/>
      <c r="P32" s="397"/>
      <c r="Q32" s="398"/>
    </row>
    <row r="33" spans="1:17" x14ac:dyDescent="0.25">
      <c r="A33" s="115" t="s">
        <v>265</v>
      </c>
      <c r="B33" s="857"/>
      <c r="C33" s="863"/>
      <c r="D33" s="861"/>
      <c r="E33" s="863"/>
      <c r="F33" s="865"/>
      <c r="G33" s="865"/>
      <c r="H33" s="867"/>
      <c r="I33" s="400" t="str">
        <f>IF('Mapa final'!Y36="","",'Mapa final'!Y36)</f>
        <v/>
      </c>
      <c r="J33" s="400" t="str">
        <f>IF('Mapa final'!AA36="","",'Mapa final'!AA36)</f>
        <v/>
      </c>
      <c r="K33" s="400" t="str">
        <f t="shared" si="0"/>
        <v/>
      </c>
      <c r="L33" s="400" t="str">
        <f>IF('Mapa final'!AD36="","",'Mapa final'!AD36)</f>
        <v/>
      </c>
      <c r="M33" s="339" t="str">
        <f>IF('Mapa final'!P36="","",'Mapa final'!P36)</f>
        <v/>
      </c>
      <c r="N33" s="397"/>
      <c r="O33" s="397"/>
      <c r="P33" s="397"/>
      <c r="Q33" s="398"/>
    </row>
    <row r="34" spans="1:17" x14ac:dyDescent="0.25">
      <c r="A34" s="115" t="s">
        <v>266</v>
      </c>
      <c r="B34" s="857"/>
      <c r="C34" s="863"/>
      <c r="D34" s="861"/>
      <c r="E34" s="863"/>
      <c r="F34" s="865"/>
      <c r="G34" s="865"/>
      <c r="H34" s="867"/>
      <c r="I34" s="400" t="str">
        <f>IF('Mapa final'!Y37="","",'Mapa final'!Y37)</f>
        <v/>
      </c>
      <c r="J34" s="400" t="str">
        <f>IF('Mapa final'!AA37="","",'Mapa final'!AA37)</f>
        <v/>
      </c>
      <c r="K34" s="400" t="str">
        <f t="shared" si="0"/>
        <v/>
      </c>
      <c r="L34" s="400" t="str">
        <f>IF('Mapa final'!AD37="","",'Mapa final'!AD37)</f>
        <v/>
      </c>
      <c r="M34" s="339" t="str">
        <f>IF('Mapa final'!P37="","",'Mapa final'!P37)</f>
        <v/>
      </c>
      <c r="N34" s="397"/>
      <c r="O34" s="397"/>
      <c r="P34" s="397"/>
      <c r="Q34" s="398"/>
    </row>
    <row r="35" spans="1:17" x14ac:dyDescent="0.25">
      <c r="A35" s="115" t="s">
        <v>267</v>
      </c>
      <c r="B35" s="857"/>
      <c r="C35" s="863"/>
      <c r="D35" s="861"/>
      <c r="E35" s="863"/>
      <c r="F35" s="865"/>
      <c r="G35" s="865"/>
      <c r="H35" s="867"/>
      <c r="I35" s="400" t="str">
        <f>IF('Mapa final'!Y38="","",'Mapa final'!Y38)</f>
        <v/>
      </c>
      <c r="J35" s="400" t="str">
        <f>IF('Mapa final'!AA38="","",'Mapa final'!AA38)</f>
        <v/>
      </c>
      <c r="K35" s="400" t="str">
        <f t="shared" si="0"/>
        <v/>
      </c>
      <c r="L35" s="400" t="str">
        <f>IF('Mapa final'!AD38="","",'Mapa final'!AD38)</f>
        <v/>
      </c>
      <c r="M35" s="339" t="str">
        <f>IF('Mapa final'!P38="","",'Mapa final'!P38)</f>
        <v/>
      </c>
      <c r="N35" s="397"/>
      <c r="O35" s="397"/>
      <c r="P35" s="397"/>
      <c r="Q35" s="398"/>
    </row>
    <row r="36" spans="1:17" x14ac:dyDescent="0.25">
      <c r="A36" s="115" t="s">
        <v>268</v>
      </c>
      <c r="B36" s="857"/>
      <c r="C36" s="863"/>
      <c r="D36" s="861"/>
      <c r="E36" s="863"/>
      <c r="F36" s="865"/>
      <c r="G36" s="865"/>
      <c r="H36" s="867"/>
      <c r="I36" s="400" t="str">
        <f>IF('Mapa final'!Y39="","",'Mapa final'!Y39)</f>
        <v/>
      </c>
      <c r="J36" s="400" t="str">
        <f>IF('Mapa final'!AA39="","",'Mapa final'!AA39)</f>
        <v/>
      </c>
      <c r="K36" s="400" t="str">
        <f t="shared" si="0"/>
        <v/>
      </c>
      <c r="L36" s="400" t="str">
        <f>IF('Mapa final'!AD39="","",'Mapa final'!AD39)</f>
        <v/>
      </c>
      <c r="M36" s="339" t="str">
        <f>IF('Mapa final'!P39="","",'Mapa final'!P39)</f>
        <v/>
      </c>
      <c r="N36" s="397"/>
      <c r="O36" s="397"/>
      <c r="P36" s="397"/>
      <c r="Q36" s="398"/>
    </row>
    <row r="37" spans="1:17" x14ac:dyDescent="0.25">
      <c r="A37" s="115" t="s">
        <v>269</v>
      </c>
      <c r="B37" s="856"/>
      <c r="C37" s="862" t="str">
        <f>IF('Mapa final'!E40="","",'Mapa final'!E40)</f>
        <v/>
      </c>
      <c r="D37" s="861"/>
      <c r="E37" s="862" t="str">
        <f>IF('Mapa final'!D40="","",'Mapa final'!D40)</f>
        <v/>
      </c>
      <c r="F37" s="865" t="str">
        <f>IF('Mapa final'!H40="","",'Mapa final'!H40)</f>
        <v/>
      </c>
      <c r="G37" s="865" t="str">
        <f>IF('Mapa final'!L40="","",'Mapa final'!L40)</f>
        <v/>
      </c>
      <c r="H37" s="86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0" t="str">
        <f>IF('Mapa final'!Y40="","",'Mapa final'!Y40)</f>
        <v/>
      </c>
      <c r="J37" s="400" t="str">
        <f>IF('Mapa final'!AA40="","",'Mapa final'!AA40)</f>
        <v/>
      </c>
      <c r="K37" s="400" t="str">
        <f t="shared" si="0"/>
        <v/>
      </c>
      <c r="L37" s="400" t="str">
        <f>IF('Mapa final'!AD40="","",'Mapa final'!AD40)</f>
        <v/>
      </c>
      <c r="M37" s="339" t="str">
        <f>IF('Mapa final'!P40="","",'Mapa final'!P40)</f>
        <v/>
      </c>
      <c r="N37" s="397"/>
      <c r="O37" s="397"/>
      <c r="P37" s="397"/>
      <c r="Q37" s="398"/>
    </row>
    <row r="38" spans="1:17" x14ac:dyDescent="0.25">
      <c r="A38" s="115" t="s">
        <v>270</v>
      </c>
      <c r="B38" s="857"/>
      <c r="C38" s="863"/>
      <c r="D38" s="861"/>
      <c r="E38" s="863"/>
      <c r="F38" s="865"/>
      <c r="G38" s="865"/>
      <c r="H38" s="867"/>
      <c r="I38" s="400" t="str">
        <f>IF('Mapa final'!Y41="","",'Mapa final'!Y41)</f>
        <v/>
      </c>
      <c r="J38" s="400" t="str">
        <f>IF('Mapa final'!AA41="","",'Mapa final'!AA41)</f>
        <v/>
      </c>
      <c r="K38" s="400" t="str">
        <f t="shared" si="0"/>
        <v/>
      </c>
      <c r="L38" s="400" t="str">
        <f>IF('Mapa final'!AD41="","",'Mapa final'!AD41)</f>
        <v/>
      </c>
      <c r="M38" s="339" t="str">
        <f>IF('Mapa final'!P41="","",'Mapa final'!P41)</f>
        <v/>
      </c>
      <c r="N38" s="397"/>
      <c r="O38" s="397"/>
      <c r="P38" s="397"/>
      <c r="Q38" s="398"/>
    </row>
    <row r="39" spans="1:17" x14ac:dyDescent="0.25">
      <c r="A39" s="115" t="s">
        <v>271</v>
      </c>
      <c r="B39" s="857"/>
      <c r="C39" s="863"/>
      <c r="D39" s="861"/>
      <c r="E39" s="863"/>
      <c r="F39" s="865"/>
      <c r="G39" s="865"/>
      <c r="H39" s="867"/>
      <c r="I39" s="400" t="str">
        <f>IF('Mapa final'!Y42="","",'Mapa final'!Y42)</f>
        <v/>
      </c>
      <c r="J39" s="400" t="str">
        <f>IF('Mapa final'!AA42="","",'Mapa final'!AA42)</f>
        <v/>
      </c>
      <c r="K39" s="400" t="str">
        <f t="shared" si="0"/>
        <v/>
      </c>
      <c r="L39" s="400" t="str">
        <f>IF('Mapa final'!AD42="","",'Mapa final'!AD42)</f>
        <v/>
      </c>
      <c r="M39" s="339" t="str">
        <f>IF('Mapa final'!P42="","",'Mapa final'!P42)</f>
        <v/>
      </c>
      <c r="N39" s="397"/>
      <c r="O39" s="397"/>
      <c r="P39" s="397"/>
      <c r="Q39" s="398"/>
    </row>
    <row r="40" spans="1:17" x14ac:dyDescent="0.25">
      <c r="A40" s="115" t="s">
        <v>272</v>
      </c>
      <c r="B40" s="857"/>
      <c r="C40" s="863"/>
      <c r="D40" s="861"/>
      <c r="E40" s="863"/>
      <c r="F40" s="865"/>
      <c r="G40" s="865"/>
      <c r="H40" s="867"/>
      <c r="I40" s="400" t="str">
        <f>IF('Mapa final'!Y43="","",'Mapa final'!Y43)</f>
        <v/>
      </c>
      <c r="J40" s="400" t="str">
        <f>IF('Mapa final'!AA43="","",'Mapa final'!AA43)</f>
        <v/>
      </c>
      <c r="K40" s="400" t="str">
        <f t="shared" si="0"/>
        <v/>
      </c>
      <c r="L40" s="400" t="str">
        <f>IF('Mapa final'!AD43="","",'Mapa final'!AD43)</f>
        <v/>
      </c>
      <c r="M40" s="339" t="str">
        <f>IF('Mapa final'!P43="","",'Mapa final'!P43)</f>
        <v/>
      </c>
      <c r="N40" s="397"/>
      <c r="O40" s="397"/>
      <c r="P40" s="397"/>
      <c r="Q40" s="398"/>
    </row>
    <row r="41" spans="1:17" x14ac:dyDescent="0.25">
      <c r="A41" s="115" t="s">
        <v>273</v>
      </c>
      <c r="B41" s="857"/>
      <c r="C41" s="863"/>
      <c r="D41" s="861"/>
      <c r="E41" s="863"/>
      <c r="F41" s="865"/>
      <c r="G41" s="865"/>
      <c r="H41" s="867"/>
      <c r="I41" s="400" t="str">
        <f>IF('Mapa final'!Y44="","",'Mapa final'!Y44)</f>
        <v/>
      </c>
      <c r="J41" s="400" t="str">
        <f>IF('Mapa final'!AA44="","",'Mapa final'!AA44)</f>
        <v/>
      </c>
      <c r="K41" s="400" t="str">
        <f t="shared" si="0"/>
        <v/>
      </c>
      <c r="L41" s="400" t="str">
        <f>IF('Mapa final'!AD44="","",'Mapa final'!AD44)</f>
        <v/>
      </c>
      <c r="M41" s="339" t="str">
        <f>IF('Mapa final'!P44="","",'Mapa final'!P44)</f>
        <v/>
      </c>
      <c r="N41" s="397"/>
      <c r="O41" s="397"/>
      <c r="P41" s="397"/>
      <c r="Q41" s="398"/>
    </row>
    <row r="42" spans="1:17" x14ac:dyDescent="0.25">
      <c r="A42" s="115" t="s">
        <v>274</v>
      </c>
      <c r="B42" s="857"/>
      <c r="C42" s="863"/>
      <c r="D42" s="861"/>
      <c r="E42" s="863"/>
      <c r="F42" s="865"/>
      <c r="G42" s="865"/>
      <c r="H42" s="867"/>
      <c r="I42" s="400" t="str">
        <f>IF('Mapa final'!Y45="","",'Mapa final'!Y45)</f>
        <v/>
      </c>
      <c r="J42" s="400" t="str">
        <f>IF('Mapa final'!AA45="","",'Mapa final'!AA45)</f>
        <v/>
      </c>
      <c r="K42" s="400" t="str">
        <f t="shared" si="0"/>
        <v/>
      </c>
      <c r="L42" s="400" t="str">
        <f>IF('Mapa final'!AD45="","",'Mapa final'!AD45)</f>
        <v/>
      </c>
      <c r="M42" s="339" t="str">
        <f>IF('Mapa final'!P45="","",'Mapa final'!P45)</f>
        <v/>
      </c>
      <c r="N42" s="397"/>
      <c r="O42" s="397"/>
      <c r="P42" s="397"/>
      <c r="Q42" s="398"/>
    </row>
    <row r="43" spans="1:17" x14ac:dyDescent="0.25">
      <c r="A43" s="115" t="s">
        <v>275</v>
      </c>
      <c r="B43" s="856"/>
      <c r="C43" s="862" t="str">
        <f>IF('Mapa final'!E46="","",'Mapa final'!E46)</f>
        <v/>
      </c>
      <c r="D43" s="861"/>
      <c r="E43" s="862" t="str">
        <f>IF('Mapa final'!D46="","",'Mapa final'!D46)</f>
        <v/>
      </c>
      <c r="F43" s="865" t="str">
        <f>IF('Mapa final'!H46="","",'Mapa final'!H46)</f>
        <v/>
      </c>
      <c r="G43" s="865" t="str">
        <f>IF('Mapa final'!L46="","",'Mapa final'!L46)</f>
        <v/>
      </c>
      <c r="H43" s="86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0" t="str">
        <f>IF('Mapa final'!Y46="","",'Mapa final'!Y46)</f>
        <v/>
      </c>
      <c r="J43" s="400" t="str">
        <f>IF('Mapa final'!AA46="","",'Mapa final'!AA46)</f>
        <v/>
      </c>
      <c r="K43" s="400" t="str">
        <f t="shared" si="0"/>
        <v/>
      </c>
      <c r="L43" s="400" t="str">
        <f>IF('Mapa final'!AD46="","",'Mapa final'!AD46)</f>
        <v/>
      </c>
      <c r="M43" s="339" t="str">
        <f>IF('Mapa final'!P46="","",'Mapa final'!P46)</f>
        <v/>
      </c>
      <c r="N43" s="397"/>
      <c r="O43" s="397"/>
      <c r="P43" s="397"/>
      <c r="Q43" s="398"/>
    </row>
    <row r="44" spans="1:17" x14ac:dyDescent="0.25">
      <c r="A44" s="115" t="s">
        <v>276</v>
      </c>
      <c r="B44" s="857"/>
      <c r="C44" s="863"/>
      <c r="D44" s="861"/>
      <c r="E44" s="863"/>
      <c r="F44" s="865"/>
      <c r="G44" s="865"/>
      <c r="H44" s="867"/>
      <c r="I44" s="400" t="str">
        <f>IF('Mapa final'!Y47="","",'Mapa final'!Y47)</f>
        <v/>
      </c>
      <c r="J44" s="400" t="str">
        <f>IF('Mapa final'!AA47="","",'Mapa final'!AA47)</f>
        <v/>
      </c>
      <c r="K44" s="400" t="str">
        <f t="shared" si="0"/>
        <v/>
      </c>
      <c r="L44" s="400" t="str">
        <f>IF('Mapa final'!AD47="","",'Mapa final'!AD47)</f>
        <v/>
      </c>
      <c r="M44" s="339" t="str">
        <f>IF('Mapa final'!P47="","",'Mapa final'!P47)</f>
        <v/>
      </c>
      <c r="N44" s="397"/>
      <c r="O44" s="397"/>
      <c r="P44" s="397"/>
      <c r="Q44" s="398"/>
    </row>
    <row r="45" spans="1:17" x14ac:dyDescent="0.25">
      <c r="A45" s="115" t="s">
        <v>277</v>
      </c>
      <c r="B45" s="857"/>
      <c r="C45" s="863"/>
      <c r="D45" s="861"/>
      <c r="E45" s="863"/>
      <c r="F45" s="865"/>
      <c r="G45" s="865"/>
      <c r="H45" s="867"/>
      <c r="I45" s="400" t="str">
        <f>IF('Mapa final'!Y48="","",'Mapa final'!Y48)</f>
        <v/>
      </c>
      <c r="J45" s="400" t="str">
        <f>IF('Mapa final'!AA48="","",'Mapa final'!AA48)</f>
        <v/>
      </c>
      <c r="K45" s="400" t="str">
        <f t="shared" si="0"/>
        <v/>
      </c>
      <c r="L45" s="400" t="str">
        <f>IF('Mapa final'!AD48="","",'Mapa final'!AD48)</f>
        <v/>
      </c>
      <c r="M45" s="339" t="str">
        <f>IF('Mapa final'!P48="","",'Mapa final'!P48)</f>
        <v/>
      </c>
      <c r="N45" s="397"/>
      <c r="O45" s="397"/>
      <c r="P45" s="397"/>
      <c r="Q45" s="398"/>
    </row>
    <row r="46" spans="1:17" x14ac:dyDescent="0.25">
      <c r="A46" s="115" t="s">
        <v>278</v>
      </c>
      <c r="B46" s="857"/>
      <c r="C46" s="863"/>
      <c r="D46" s="861"/>
      <c r="E46" s="863"/>
      <c r="F46" s="865"/>
      <c r="G46" s="865"/>
      <c r="H46" s="867"/>
      <c r="I46" s="400" t="str">
        <f>IF('Mapa final'!Y49="","",'Mapa final'!Y49)</f>
        <v/>
      </c>
      <c r="J46" s="400" t="str">
        <f>IF('Mapa final'!AA49="","",'Mapa final'!AA49)</f>
        <v/>
      </c>
      <c r="K46" s="400" t="str">
        <f t="shared" si="0"/>
        <v/>
      </c>
      <c r="L46" s="400" t="str">
        <f>IF('Mapa final'!AD49="","",'Mapa final'!AD49)</f>
        <v/>
      </c>
      <c r="M46" s="339" t="str">
        <f>IF('Mapa final'!P49="","",'Mapa final'!P49)</f>
        <v/>
      </c>
      <c r="N46" s="397"/>
      <c r="O46" s="397"/>
      <c r="P46" s="397"/>
      <c r="Q46" s="398"/>
    </row>
    <row r="47" spans="1:17" x14ac:dyDescent="0.25">
      <c r="A47" s="115" t="s">
        <v>279</v>
      </c>
      <c r="B47" s="857"/>
      <c r="C47" s="863"/>
      <c r="D47" s="861"/>
      <c r="E47" s="863"/>
      <c r="F47" s="865"/>
      <c r="G47" s="865"/>
      <c r="H47" s="867"/>
      <c r="I47" s="400" t="str">
        <f>IF('Mapa final'!Y50="","",'Mapa final'!Y50)</f>
        <v/>
      </c>
      <c r="J47" s="400" t="str">
        <f>IF('Mapa final'!AA50="","",'Mapa final'!AA50)</f>
        <v/>
      </c>
      <c r="K47" s="400" t="str">
        <f t="shared" si="0"/>
        <v/>
      </c>
      <c r="L47" s="400" t="str">
        <f>IF('Mapa final'!AD50="","",'Mapa final'!AD50)</f>
        <v/>
      </c>
      <c r="M47" s="339" t="str">
        <f>IF('Mapa final'!P50="","",'Mapa final'!P50)</f>
        <v/>
      </c>
      <c r="N47" s="397"/>
      <c r="O47" s="397"/>
      <c r="P47" s="397"/>
      <c r="Q47" s="398"/>
    </row>
    <row r="48" spans="1:17" x14ac:dyDescent="0.25">
      <c r="A48" s="115" t="s">
        <v>280</v>
      </c>
      <c r="B48" s="857"/>
      <c r="C48" s="863"/>
      <c r="D48" s="861"/>
      <c r="E48" s="863"/>
      <c r="F48" s="865"/>
      <c r="G48" s="865"/>
      <c r="H48" s="867"/>
      <c r="I48" s="400" t="str">
        <f>IF('Mapa final'!Y51="","",'Mapa final'!Y51)</f>
        <v/>
      </c>
      <c r="J48" s="400" t="str">
        <f>IF('Mapa final'!AA51="","",'Mapa final'!AA51)</f>
        <v/>
      </c>
      <c r="K48" s="400" t="str">
        <f t="shared" si="0"/>
        <v/>
      </c>
      <c r="L48" s="400" t="str">
        <f>IF('Mapa final'!AD51="","",'Mapa final'!AD51)</f>
        <v/>
      </c>
      <c r="M48" s="339" t="str">
        <f>IF('Mapa final'!P51="","",'Mapa final'!P51)</f>
        <v/>
      </c>
      <c r="N48" s="397"/>
      <c r="O48" s="397"/>
      <c r="P48" s="397"/>
      <c r="Q48" s="398"/>
    </row>
    <row r="49" spans="1:17" x14ac:dyDescent="0.25">
      <c r="A49" s="115" t="s">
        <v>281</v>
      </c>
      <c r="B49" s="856"/>
      <c r="C49" s="862" t="str">
        <f>IF('Mapa final'!E52="","",'Mapa final'!E52)</f>
        <v/>
      </c>
      <c r="D49" s="861"/>
      <c r="E49" s="862" t="str">
        <f>IF('Mapa final'!D52="","",'Mapa final'!D52)</f>
        <v/>
      </c>
      <c r="F49" s="865" t="str">
        <f>IF('Mapa final'!H52="","",'Mapa final'!H52)</f>
        <v/>
      </c>
      <c r="G49" s="865" t="str">
        <f>IF('Mapa final'!L52="","",'Mapa final'!L52)</f>
        <v/>
      </c>
      <c r="H49" s="86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0" t="str">
        <f>IF('Mapa final'!Y52="","",'Mapa final'!Y52)</f>
        <v/>
      </c>
      <c r="J49" s="400" t="str">
        <f>IF('Mapa final'!AA52="","",'Mapa final'!AA52)</f>
        <v/>
      </c>
      <c r="K49" s="400" t="str">
        <f t="shared" si="0"/>
        <v/>
      </c>
      <c r="L49" s="400" t="str">
        <f>IF('Mapa final'!AD52="","",'Mapa final'!AD52)</f>
        <v/>
      </c>
      <c r="M49" s="339" t="str">
        <f>IF('Mapa final'!P52="","",'Mapa final'!P52)</f>
        <v/>
      </c>
      <c r="N49" s="397"/>
      <c r="O49" s="397"/>
      <c r="P49" s="397"/>
      <c r="Q49" s="398"/>
    </row>
    <row r="50" spans="1:17" x14ac:dyDescent="0.25">
      <c r="A50" s="115" t="s">
        <v>282</v>
      </c>
      <c r="B50" s="857"/>
      <c r="C50" s="863"/>
      <c r="D50" s="861"/>
      <c r="E50" s="863"/>
      <c r="F50" s="865"/>
      <c r="G50" s="865"/>
      <c r="H50" s="867"/>
      <c r="I50" s="400" t="str">
        <f>IF('Mapa final'!Y53="","",'Mapa final'!Y53)</f>
        <v/>
      </c>
      <c r="J50" s="400" t="str">
        <f>IF('Mapa final'!AA53="","",'Mapa final'!AA53)</f>
        <v/>
      </c>
      <c r="K50" s="400" t="str">
        <f t="shared" si="0"/>
        <v/>
      </c>
      <c r="L50" s="400" t="str">
        <f>IF('Mapa final'!AD53="","",'Mapa final'!AD53)</f>
        <v/>
      </c>
      <c r="M50" s="339" t="str">
        <f>IF('Mapa final'!P53="","",'Mapa final'!P53)</f>
        <v/>
      </c>
      <c r="N50" s="397"/>
      <c r="O50" s="397"/>
      <c r="P50" s="397"/>
      <c r="Q50" s="398"/>
    </row>
    <row r="51" spans="1:17" x14ac:dyDescent="0.25">
      <c r="A51" s="115" t="s">
        <v>283</v>
      </c>
      <c r="B51" s="857"/>
      <c r="C51" s="863"/>
      <c r="D51" s="861"/>
      <c r="E51" s="863"/>
      <c r="F51" s="865"/>
      <c r="G51" s="865"/>
      <c r="H51" s="867"/>
      <c r="I51" s="400" t="str">
        <f>IF('Mapa final'!Y54="","",'Mapa final'!Y54)</f>
        <v/>
      </c>
      <c r="J51" s="400" t="str">
        <f>IF('Mapa final'!AA54="","",'Mapa final'!AA54)</f>
        <v/>
      </c>
      <c r="K51" s="400" t="str">
        <f t="shared" si="0"/>
        <v/>
      </c>
      <c r="L51" s="400" t="str">
        <f>IF('Mapa final'!AD54="","",'Mapa final'!AD54)</f>
        <v/>
      </c>
      <c r="M51" s="339" t="str">
        <f>IF('Mapa final'!P54="","",'Mapa final'!P54)</f>
        <v/>
      </c>
      <c r="N51" s="397"/>
      <c r="O51" s="397"/>
      <c r="P51" s="397"/>
      <c r="Q51" s="398"/>
    </row>
    <row r="52" spans="1:17" x14ac:dyDescent="0.25">
      <c r="A52" s="115" t="s">
        <v>284</v>
      </c>
      <c r="B52" s="857"/>
      <c r="C52" s="863"/>
      <c r="D52" s="861"/>
      <c r="E52" s="863"/>
      <c r="F52" s="865"/>
      <c r="G52" s="865"/>
      <c r="H52" s="867"/>
      <c r="I52" s="400" t="str">
        <f>IF('Mapa final'!Y55="","",'Mapa final'!Y55)</f>
        <v/>
      </c>
      <c r="J52" s="400" t="str">
        <f>IF('Mapa final'!AA55="","",'Mapa final'!AA55)</f>
        <v/>
      </c>
      <c r="K52" s="400" t="str">
        <f t="shared" si="0"/>
        <v/>
      </c>
      <c r="L52" s="400" t="str">
        <f>IF('Mapa final'!AD55="","",'Mapa final'!AD55)</f>
        <v/>
      </c>
      <c r="M52" s="339" t="str">
        <f>IF('Mapa final'!P55="","",'Mapa final'!P55)</f>
        <v/>
      </c>
      <c r="N52" s="397"/>
      <c r="O52" s="397"/>
      <c r="P52" s="397"/>
      <c r="Q52" s="398"/>
    </row>
    <row r="53" spans="1:17" x14ac:dyDescent="0.25">
      <c r="A53" s="115" t="s">
        <v>285</v>
      </c>
      <c r="B53" s="857"/>
      <c r="C53" s="863"/>
      <c r="D53" s="861"/>
      <c r="E53" s="863"/>
      <c r="F53" s="865"/>
      <c r="G53" s="865"/>
      <c r="H53" s="867"/>
      <c r="I53" s="400" t="str">
        <f>IF('Mapa final'!Y56="","",'Mapa final'!Y56)</f>
        <v/>
      </c>
      <c r="J53" s="400" t="str">
        <f>IF('Mapa final'!AA56="","",'Mapa final'!AA56)</f>
        <v/>
      </c>
      <c r="K53" s="400" t="str">
        <f t="shared" si="0"/>
        <v/>
      </c>
      <c r="L53" s="400" t="str">
        <f>IF('Mapa final'!AD56="","",'Mapa final'!AD56)</f>
        <v/>
      </c>
      <c r="M53" s="339" t="str">
        <f>IF('Mapa final'!P56="","",'Mapa final'!P56)</f>
        <v/>
      </c>
      <c r="N53" s="397"/>
      <c r="O53" s="397"/>
      <c r="P53" s="397"/>
      <c r="Q53" s="398"/>
    </row>
    <row r="54" spans="1:17" x14ac:dyDescent="0.25">
      <c r="A54" s="115" t="s">
        <v>286</v>
      </c>
      <c r="B54" s="857"/>
      <c r="C54" s="863"/>
      <c r="D54" s="861"/>
      <c r="E54" s="863"/>
      <c r="F54" s="865"/>
      <c r="G54" s="865"/>
      <c r="H54" s="867"/>
      <c r="I54" s="400" t="str">
        <f>IF('Mapa final'!Y57="","",'Mapa final'!Y57)</f>
        <v/>
      </c>
      <c r="J54" s="400" t="str">
        <f>IF('Mapa final'!AA57="","",'Mapa final'!AA57)</f>
        <v/>
      </c>
      <c r="K54" s="400" t="str">
        <f t="shared" si="0"/>
        <v/>
      </c>
      <c r="L54" s="400" t="str">
        <f>IF('Mapa final'!AD57="","",'Mapa final'!AD57)</f>
        <v/>
      </c>
      <c r="M54" s="339" t="str">
        <f>IF('Mapa final'!P57="","",'Mapa final'!P57)</f>
        <v/>
      </c>
      <c r="N54" s="397"/>
      <c r="O54" s="397"/>
      <c r="P54" s="397"/>
      <c r="Q54" s="398"/>
    </row>
    <row r="55" spans="1:17" x14ac:dyDescent="0.25">
      <c r="A55" s="115" t="s">
        <v>287</v>
      </c>
      <c r="B55" s="856"/>
      <c r="C55" s="862" t="str">
        <f>IF('Mapa final'!E58="","",'Mapa final'!E58)</f>
        <v/>
      </c>
      <c r="D55" s="860"/>
      <c r="E55" s="862" t="str">
        <f>IF('Mapa final'!D58="","",'Mapa final'!D58)</f>
        <v/>
      </c>
      <c r="F55" s="865" t="str">
        <f>IF('Mapa final'!H58="","",'Mapa final'!H58)</f>
        <v/>
      </c>
      <c r="G55" s="865" t="str">
        <f>IF('Mapa final'!L58="","",'Mapa final'!L58)</f>
        <v/>
      </c>
      <c r="H55" s="86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0" t="str">
        <f>IF('Mapa final'!Y58="","",'Mapa final'!Y58)</f>
        <v/>
      </c>
      <c r="J55" s="400" t="str">
        <f>IF('Mapa final'!AA58="","",'Mapa final'!AA58)</f>
        <v/>
      </c>
      <c r="K55" s="400" t="str">
        <f t="shared" si="0"/>
        <v/>
      </c>
      <c r="L55" s="400" t="str">
        <f>IF('Mapa final'!AD58="","",'Mapa final'!AD58)</f>
        <v/>
      </c>
      <c r="M55" s="339" t="str">
        <f>IF('Mapa final'!P58="","",'Mapa final'!P58)</f>
        <v/>
      </c>
      <c r="N55" s="397"/>
      <c r="O55" s="397"/>
      <c r="P55" s="397"/>
      <c r="Q55" s="398"/>
    </row>
    <row r="56" spans="1:17" x14ac:dyDescent="0.25">
      <c r="A56" s="115" t="s">
        <v>288</v>
      </c>
      <c r="B56" s="857"/>
      <c r="C56" s="863"/>
      <c r="D56" s="861"/>
      <c r="E56" s="863"/>
      <c r="F56" s="865"/>
      <c r="G56" s="865"/>
      <c r="H56" s="867"/>
      <c r="I56" s="400" t="str">
        <f>IF('Mapa final'!Y59="","",'Mapa final'!Y59)</f>
        <v/>
      </c>
      <c r="J56" s="400" t="str">
        <f>IF('Mapa final'!AA59="","",'Mapa final'!AA59)</f>
        <v/>
      </c>
      <c r="K56" s="400" t="str">
        <f t="shared" si="0"/>
        <v/>
      </c>
      <c r="L56" s="400" t="str">
        <f>IF('Mapa final'!AD59="","",'Mapa final'!AD59)</f>
        <v/>
      </c>
      <c r="M56" s="339" t="str">
        <f>IF('Mapa final'!P59="","",'Mapa final'!P59)</f>
        <v/>
      </c>
      <c r="N56" s="397"/>
      <c r="O56" s="397"/>
      <c r="P56" s="397"/>
      <c r="Q56" s="398"/>
    </row>
    <row r="57" spans="1:17" x14ac:dyDescent="0.25">
      <c r="A57" s="115" t="s">
        <v>289</v>
      </c>
      <c r="B57" s="857"/>
      <c r="C57" s="863"/>
      <c r="D57" s="861"/>
      <c r="E57" s="863"/>
      <c r="F57" s="865"/>
      <c r="G57" s="865"/>
      <c r="H57" s="867"/>
      <c r="I57" s="400" t="str">
        <f>IF('Mapa final'!Y60="","",'Mapa final'!Y60)</f>
        <v/>
      </c>
      <c r="J57" s="400" t="str">
        <f>IF('Mapa final'!AA60="","",'Mapa final'!AA60)</f>
        <v/>
      </c>
      <c r="K57" s="400" t="str">
        <f t="shared" si="0"/>
        <v/>
      </c>
      <c r="L57" s="400" t="str">
        <f>IF('Mapa final'!AD60="","",'Mapa final'!AD60)</f>
        <v/>
      </c>
      <c r="M57" s="339" t="str">
        <f>IF('Mapa final'!P60="","",'Mapa final'!P60)</f>
        <v/>
      </c>
      <c r="N57" s="397"/>
      <c r="O57" s="397"/>
      <c r="P57" s="397"/>
      <c r="Q57" s="398"/>
    </row>
    <row r="58" spans="1:17" x14ac:dyDescent="0.25">
      <c r="A58" s="115" t="s">
        <v>290</v>
      </c>
      <c r="B58" s="857"/>
      <c r="C58" s="863"/>
      <c r="D58" s="861"/>
      <c r="E58" s="863"/>
      <c r="F58" s="865"/>
      <c r="G58" s="865"/>
      <c r="H58" s="867"/>
      <c r="I58" s="400" t="str">
        <f>IF('Mapa final'!Y61="","",'Mapa final'!Y61)</f>
        <v/>
      </c>
      <c r="J58" s="400" t="str">
        <f>IF('Mapa final'!AA61="","",'Mapa final'!AA61)</f>
        <v/>
      </c>
      <c r="K58" s="400" t="str">
        <f t="shared" si="0"/>
        <v/>
      </c>
      <c r="L58" s="400" t="str">
        <f>IF('Mapa final'!AD61="","",'Mapa final'!AD61)</f>
        <v/>
      </c>
      <c r="M58" s="339" t="str">
        <f>IF('Mapa final'!P61="","",'Mapa final'!P61)</f>
        <v/>
      </c>
      <c r="N58" s="397"/>
      <c r="O58" s="397"/>
      <c r="P58" s="397"/>
      <c r="Q58" s="398"/>
    </row>
    <row r="59" spans="1:17" x14ac:dyDescent="0.25">
      <c r="A59" s="115" t="s">
        <v>291</v>
      </c>
      <c r="B59" s="857"/>
      <c r="C59" s="863"/>
      <c r="D59" s="861"/>
      <c r="E59" s="863"/>
      <c r="F59" s="865"/>
      <c r="G59" s="865"/>
      <c r="H59" s="867"/>
      <c r="I59" s="400" t="str">
        <f>IF('Mapa final'!Y62="","",'Mapa final'!Y62)</f>
        <v/>
      </c>
      <c r="J59" s="400" t="str">
        <f>IF('Mapa final'!AA62="","",'Mapa final'!AA62)</f>
        <v/>
      </c>
      <c r="K59" s="400" t="str">
        <f t="shared" si="0"/>
        <v/>
      </c>
      <c r="L59" s="400" t="str">
        <f>IF('Mapa final'!AD62="","",'Mapa final'!AD62)</f>
        <v/>
      </c>
      <c r="M59" s="339" t="str">
        <f>IF('Mapa final'!P62="","",'Mapa final'!P62)</f>
        <v/>
      </c>
      <c r="N59" s="397"/>
      <c r="O59" s="397"/>
      <c r="P59" s="397"/>
      <c r="Q59" s="398"/>
    </row>
    <row r="60" spans="1:17" x14ac:dyDescent="0.25">
      <c r="A60" s="115" t="s">
        <v>292</v>
      </c>
      <c r="B60" s="857"/>
      <c r="C60" s="863"/>
      <c r="D60" s="861"/>
      <c r="E60" s="863"/>
      <c r="F60" s="865"/>
      <c r="G60" s="865"/>
      <c r="H60" s="867"/>
      <c r="I60" s="400" t="str">
        <f>IF('Mapa final'!Y63="","",'Mapa final'!Y63)</f>
        <v/>
      </c>
      <c r="J60" s="400" t="str">
        <f>IF('Mapa final'!AA63="","",'Mapa final'!AA63)</f>
        <v/>
      </c>
      <c r="K60" s="400" t="str">
        <f t="shared" si="0"/>
        <v/>
      </c>
      <c r="L60" s="400" t="str">
        <f>IF('Mapa final'!AD63="","",'Mapa final'!AD63)</f>
        <v/>
      </c>
      <c r="M60" s="339" t="str">
        <f>IF('Mapa final'!P63="","",'Mapa final'!P63)</f>
        <v/>
      </c>
      <c r="N60" s="397"/>
      <c r="O60" s="397"/>
      <c r="P60" s="397"/>
      <c r="Q60" s="398"/>
    </row>
    <row r="61" spans="1:17" x14ac:dyDescent="0.25">
      <c r="A61" s="115" t="s">
        <v>293</v>
      </c>
      <c r="B61" s="856"/>
      <c r="C61" s="862" t="str">
        <f>IF('Mapa final'!E64="","",'Mapa final'!E64)</f>
        <v/>
      </c>
      <c r="D61" s="860"/>
      <c r="E61" s="862" t="str">
        <f>IF('Mapa final'!D64="","",'Mapa final'!D64)</f>
        <v/>
      </c>
      <c r="F61" s="865" t="str">
        <f>IF('Mapa final'!H64="","",'Mapa final'!H64)</f>
        <v/>
      </c>
      <c r="G61" s="865" t="str">
        <f>IF('Mapa final'!L64="","",'Mapa final'!L64)</f>
        <v/>
      </c>
      <c r="H61" s="86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0" t="str">
        <f>IF('Mapa final'!Y64="","",'Mapa final'!Y64)</f>
        <v/>
      </c>
      <c r="J61" s="400" t="str">
        <f>IF('Mapa final'!AA64="","",'Mapa final'!AA64)</f>
        <v/>
      </c>
      <c r="K61" s="400" t="str">
        <f t="shared" si="0"/>
        <v/>
      </c>
      <c r="L61" s="400" t="str">
        <f>IF('Mapa final'!AD64="","",'Mapa final'!AD64)</f>
        <v/>
      </c>
      <c r="M61" s="339" t="str">
        <f>IF('Mapa final'!P64="","",'Mapa final'!P64)</f>
        <v/>
      </c>
      <c r="N61" s="397"/>
      <c r="O61" s="397"/>
      <c r="P61" s="397"/>
      <c r="Q61" s="398"/>
    </row>
    <row r="62" spans="1:17" x14ac:dyDescent="0.25">
      <c r="A62" s="115" t="s">
        <v>294</v>
      </c>
      <c r="B62" s="857"/>
      <c r="C62" s="863"/>
      <c r="D62" s="861"/>
      <c r="E62" s="863"/>
      <c r="F62" s="865"/>
      <c r="G62" s="865"/>
      <c r="H62" s="867"/>
      <c r="I62" s="400" t="str">
        <f>IF('Mapa final'!Y65="","",'Mapa final'!Y65)</f>
        <v/>
      </c>
      <c r="J62" s="400" t="str">
        <f>IF('Mapa final'!AA65="","",'Mapa final'!AA65)</f>
        <v/>
      </c>
      <c r="K62" s="400" t="str">
        <f t="shared" si="0"/>
        <v/>
      </c>
      <c r="L62" s="400" t="str">
        <f>IF('Mapa final'!AD65="","",'Mapa final'!AD65)</f>
        <v/>
      </c>
      <c r="M62" s="339" t="str">
        <f>IF('Mapa final'!P65="","",'Mapa final'!P65)</f>
        <v/>
      </c>
      <c r="N62" s="397"/>
      <c r="O62" s="397"/>
      <c r="P62" s="397"/>
      <c r="Q62" s="398"/>
    </row>
    <row r="63" spans="1:17" x14ac:dyDescent="0.25">
      <c r="A63" s="115" t="s">
        <v>295</v>
      </c>
      <c r="B63" s="857"/>
      <c r="C63" s="863"/>
      <c r="D63" s="861"/>
      <c r="E63" s="863"/>
      <c r="F63" s="865"/>
      <c r="G63" s="865"/>
      <c r="H63" s="867"/>
      <c r="I63" s="400" t="str">
        <f>IF('Mapa final'!Y66="","",'Mapa final'!Y66)</f>
        <v/>
      </c>
      <c r="J63" s="400" t="str">
        <f>IF('Mapa final'!AA66="","",'Mapa final'!AA66)</f>
        <v/>
      </c>
      <c r="K63" s="400" t="str">
        <f t="shared" si="0"/>
        <v/>
      </c>
      <c r="L63" s="400" t="str">
        <f>IF('Mapa final'!AD66="","",'Mapa final'!AD66)</f>
        <v/>
      </c>
      <c r="M63" s="339" t="str">
        <f>IF('Mapa final'!P66="","",'Mapa final'!P66)</f>
        <v/>
      </c>
      <c r="N63" s="397"/>
      <c r="O63" s="397"/>
      <c r="P63" s="397"/>
      <c r="Q63" s="398"/>
    </row>
    <row r="64" spans="1:17" x14ac:dyDescent="0.25">
      <c r="A64" s="115" t="s">
        <v>296</v>
      </c>
      <c r="B64" s="857"/>
      <c r="C64" s="863"/>
      <c r="D64" s="861"/>
      <c r="E64" s="863"/>
      <c r="F64" s="865"/>
      <c r="G64" s="865"/>
      <c r="H64" s="867"/>
      <c r="I64" s="400" t="str">
        <f>IF('Mapa final'!Y67="","",'Mapa final'!Y67)</f>
        <v/>
      </c>
      <c r="J64" s="400" t="str">
        <f>IF('Mapa final'!AA67="","",'Mapa final'!AA67)</f>
        <v/>
      </c>
      <c r="K64" s="400" t="str">
        <f t="shared" si="0"/>
        <v/>
      </c>
      <c r="L64" s="400" t="str">
        <f>IF('Mapa final'!AD67="","",'Mapa final'!AD67)</f>
        <v/>
      </c>
      <c r="M64" s="339" t="str">
        <f>IF('Mapa final'!P67="","",'Mapa final'!P67)</f>
        <v/>
      </c>
      <c r="N64" s="397"/>
      <c r="O64" s="397"/>
      <c r="P64" s="397"/>
      <c r="Q64" s="398"/>
    </row>
    <row r="65" spans="1:17" x14ac:dyDescent="0.25">
      <c r="A65" s="115" t="s">
        <v>297</v>
      </c>
      <c r="B65" s="857"/>
      <c r="C65" s="863"/>
      <c r="D65" s="861"/>
      <c r="E65" s="863"/>
      <c r="F65" s="865"/>
      <c r="G65" s="865"/>
      <c r="H65" s="867"/>
      <c r="I65" s="400" t="str">
        <f>IF('Mapa final'!Y68="","",'Mapa final'!Y68)</f>
        <v/>
      </c>
      <c r="J65" s="400" t="str">
        <f>IF('Mapa final'!AA68="","",'Mapa final'!AA68)</f>
        <v/>
      </c>
      <c r="K65" s="400" t="str">
        <f t="shared" si="0"/>
        <v/>
      </c>
      <c r="L65" s="400" t="str">
        <f>IF('Mapa final'!AD68="","",'Mapa final'!AD68)</f>
        <v/>
      </c>
      <c r="M65" s="339" t="str">
        <f>IF('Mapa final'!P68="","",'Mapa final'!P68)</f>
        <v/>
      </c>
      <c r="N65" s="397"/>
      <c r="O65" s="397"/>
      <c r="P65" s="397"/>
      <c r="Q65" s="398"/>
    </row>
    <row r="66" spans="1:17" x14ac:dyDescent="0.25">
      <c r="A66" s="115" t="s">
        <v>298</v>
      </c>
      <c r="B66" s="857"/>
      <c r="C66" s="863"/>
      <c r="D66" s="861"/>
      <c r="E66" s="863"/>
      <c r="F66" s="865"/>
      <c r="G66" s="865"/>
      <c r="H66" s="867"/>
      <c r="I66" s="400" t="str">
        <f>IF('Mapa final'!Y69="","",'Mapa final'!Y69)</f>
        <v/>
      </c>
      <c r="J66" s="400" t="str">
        <f>IF('Mapa final'!AA69="","",'Mapa final'!AA69)</f>
        <v/>
      </c>
      <c r="K66" s="400" t="str">
        <f t="shared" si="0"/>
        <v/>
      </c>
      <c r="L66" s="400" t="str">
        <f>IF('Mapa final'!AD69="","",'Mapa final'!AD69)</f>
        <v/>
      </c>
      <c r="M66" s="339" t="str">
        <f>IF('Mapa final'!P69="","",'Mapa final'!P69)</f>
        <v/>
      </c>
      <c r="N66" s="397"/>
      <c r="O66" s="397"/>
      <c r="P66" s="397"/>
      <c r="Q66" s="398"/>
    </row>
    <row r="67" spans="1:17" x14ac:dyDescent="0.25">
      <c r="A67" s="115" t="s">
        <v>299</v>
      </c>
      <c r="B67" s="856"/>
      <c r="C67" s="862" t="str">
        <f>IF('Mapa final'!E70="","",'Mapa final'!E70)</f>
        <v/>
      </c>
      <c r="D67" s="860"/>
      <c r="E67" s="862" t="str">
        <f>IF('Mapa final'!D70="","",'Mapa final'!D70)</f>
        <v/>
      </c>
      <c r="F67" s="865" t="str">
        <f>IF('Mapa final'!H70="","",'Mapa final'!H70)</f>
        <v/>
      </c>
      <c r="G67" s="865" t="str">
        <f>IF('Mapa final'!L70="","",'Mapa final'!L70)</f>
        <v/>
      </c>
      <c r="H67" s="86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0" t="str">
        <f>IF('Mapa final'!Y70="","",'Mapa final'!Y70)</f>
        <v/>
      </c>
      <c r="J67" s="400" t="str">
        <f>IF('Mapa final'!AA70="","",'Mapa final'!AA70)</f>
        <v/>
      </c>
      <c r="K67" s="400" t="str">
        <f t="shared" si="0"/>
        <v/>
      </c>
      <c r="L67" s="400" t="str">
        <f>IF('Mapa final'!AD70="","",'Mapa final'!AD70)</f>
        <v/>
      </c>
      <c r="M67" s="339" t="str">
        <f>IF('Mapa final'!P70="","",'Mapa final'!P70)</f>
        <v/>
      </c>
      <c r="N67" s="397"/>
      <c r="O67" s="397"/>
      <c r="P67" s="397"/>
      <c r="Q67" s="398"/>
    </row>
    <row r="68" spans="1:17" x14ac:dyDescent="0.25">
      <c r="A68" s="115" t="s">
        <v>300</v>
      </c>
      <c r="B68" s="857"/>
      <c r="C68" s="863"/>
      <c r="D68" s="861"/>
      <c r="E68" s="863"/>
      <c r="F68" s="865"/>
      <c r="G68" s="865"/>
      <c r="H68" s="867"/>
      <c r="I68" s="400" t="str">
        <f>IF('Mapa final'!Y71="","",'Mapa final'!Y71)</f>
        <v/>
      </c>
      <c r="J68" s="400" t="str">
        <f>IF('Mapa final'!AA71="","",'Mapa final'!AA71)</f>
        <v/>
      </c>
      <c r="K68" s="400" t="str">
        <f t="shared" si="0"/>
        <v/>
      </c>
      <c r="L68" s="400" t="str">
        <f>IF('Mapa final'!AD71="","",'Mapa final'!AD71)</f>
        <v/>
      </c>
      <c r="M68" s="339" t="str">
        <f>IF('Mapa final'!P71="","",'Mapa final'!P71)</f>
        <v/>
      </c>
      <c r="N68" s="397"/>
      <c r="O68" s="397"/>
      <c r="P68" s="397"/>
      <c r="Q68" s="398"/>
    </row>
    <row r="69" spans="1:17" x14ac:dyDescent="0.25">
      <c r="A69" s="115" t="s">
        <v>301</v>
      </c>
      <c r="B69" s="857"/>
      <c r="C69" s="863"/>
      <c r="D69" s="861"/>
      <c r="E69" s="863"/>
      <c r="F69" s="865"/>
      <c r="G69" s="865"/>
      <c r="H69" s="867"/>
      <c r="I69" s="400" t="str">
        <f>IF('Mapa final'!Y72="","",'Mapa final'!Y72)</f>
        <v/>
      </c>
      <c r="J69" s="400" t="str">
        <f>IF('Mapa final'!AA72="","",'Mapa final'!AA72)</f>
        <v/>
      </c>
      <c r="K69" s="400" t="str">
        <f t="shared" si="0"/>
        <v/>
      </c>
      <c r="L69" s="400" t="str">
        <f>IF('Mapa final'!AD72="","",'Mapa final'!AD72)</f>
        <v/>
      </c>
      <c r="M69" s="339" t="str">
        <f>IF('Mapa final'!P72="","",'Mapa final'!P72)</f>
        <v/>
      </c>
      <c r="N69" s="397"/>
      <c r="O69" s="397"/>
      <c r="P69" s="397"/>
      <c r="Q69" s="398"/>
    </row>
    <row r="70" spans="1:17" x14ac:dyDescent="0.25">
      <c r="A70" s="115" t="s">
        <v>302</v>
      </c>
      <c r="B70" s="857"/>
      <c r="C70" s="863"/>
      <c r="D70" s="861"/>
      <c r="E70" s="863"/>
      <c r="F70" s="865"/>
      <c r="G70" s="865"/>
      <c r="H70" s="867"/>
      <c r="I70" s="400" t="str">
        <f>IF('Mapa final'!Y73="","",'Mapa final'!Y73)</f>
        <v/>
      </c>
      <c r="J70" s="400" t="str">
        <f>IF('Mapa final'!AA73="","",'Mapa final'!AA73)</f>
        <v/>
      </c>
      <c r="K70" s="400" t="str">
        <f t="shared" si="0"/>
        <v/>
      </c>
      <c r="L70" s="400" t="str">
        <f>IF('Mapa final'!AD73="","",'Mapa final'!AD73)</f>
        <v/>
      </c>
      <c r="M70" s="339" t="str">
        <f>IF('Mapa final'!P73="","",'Mapa final'!P73)</f>
        <v/>
      </c>
      <c r="N70" s="397"/>
      <c r="O70" s="397"/>
      <c r="P70" s="397"/>
      <c r="Q70" s="398"/>
    </row>
    <row r="71" spans="1:17" x14ac:dyDescent="0.25">
      <c r="A71" s="115" t="s">
        <v>303</v>
      </c>
      <c r="B71" s="857"/>
      <c r="C71" s="863"/>
      <c r="D71" s="861"/>
      <c r="E71" s="863"/>
      <c r="F71" s="865"/>
      <c r="G71" s="865"/>
      <c r="H71" s="867"/>
      <c r="I71" s="400" t="str">
        <f>IF('Mapa final'!Y74="","",'Mapa final'!Y74)</f>
        <v/>
      </c>
      <c r="J71" s="400" t="str">
        <f>IF('Mapa final'!AA74="","",'Mapa final'!AA74)</f>
        <v/>
      </c>
      <c r="K71" s="400" t="str">
        <f t="shared" si="0"/>
        <v/>
      </c>
      <c r="L71" s="400" t="str">
        <f>IF('Mapa final'!AD74="","",'Mapa final'!AD74)</f>
        <v/>
      </c>
      <c r="M71" s="339" t="str">
        <f>IF('Mapa final'!P74="","",'Mapa final'!P74)</f>
        <v/>
      </c>
      <c r="N71" s="397"/>
      <c r="O71" s="397"/>
      <c r="P71" s="397"/>
      <c r="Q71" s="398"/>
    </row>
    <row r="72" spans="1:17" x14ac:dyDescent="0.25">
      <c r="A72" s="115" t="s">
        <v>304</v>
      </c>
      <c r="B72" s="857"/>
      <c r="C72" s="863"/>
      <c r="D72" s="861"/>
      <c r="E72" s="863"/>
      <c r="F72" s="865"/>
      <c r="G72" s="865"/>
      <c r="H72" s="867"/>
      <c r="I72" s="400" t="str">
        <f>IF('Mapa final'!Y75="","",'Mapa final'!Y75)</f>
        <v/>
      </c>
      <c r="J72" s="400" t="str">
        <f>IF('Mapa final'!AA75="","",'Mapa final'!AA75)</f>
        <v/>
      </c>
      <c r="K72" s="40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0" t="str">
        <f>IF('Mapa final'!AD75="","",'Mapa final'!AD75)</f>
        <v/>
      </c>
      <c r="M72" s="339" t="str">
        <f>IF('Mapa final'!P75="","",'Mapa final'!P75)</f>
        <v/>
      </c>
      <c r="N72" s="397"/>
      <c r="O72" s="397"/>
      <c r="P72" s="397"/>
      <c r="Q72" s="398"/>
    </row>
    <row r="73" spans="1:17" x14ac:dyDescent="0.25">
      <c r="A73" s="115" t="s">
        <v>305</v>
      </c>
      <c r="B73" s="856"/>
      <c r="C73" s="862" t="str">
        <f>IF('Mapa final'!E76="","",'Mapa final'!E76)</f>
        <v/>
      </c>
      <c r="D73" s="860"/>
      <c r="E73" s="862" t="str">
        <f>IF('Mapa final'!D76="","",'Mapa final'!D76)</f>
        <v/>
      </c>
      <c r="F73" s="865" t="str">
        <f>IF('Mapa final'!H76="","",'Mapa final'!H76)</f>
        <v/>
      </c>
      <c r="G73" s="865" t="str">
        <f>IF('Mapa final'!L76="","",'Mapa final'!L76)</f>
        <v/>
      </c>
      <c r="H73" s="86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0" t="str">
        <f>IF('Mapa final'!Y76="","",'Mapa final'!Y76)</f>
        <v/>
      </c>
      <c r="J73" s="400" t="str">
        <f>IF('Mapa final'!AA76="","",'Mapa final'!AA76)</f>
        <v/>
      </c>
      <c r="K73" s="400" t="str">
        <f t="shared" si="1"/>
        <v/>
      </c>
      <c r="L73" s="400" t="str">
        <f>IF('Mapa final'!AD76="","",'Mapa final'!AD76)</f>
        <v/>
      </c>
      <c r="M73" s="339" t="str">
        <f>IF('Mapa final'!P76="","",'Mapa final'!P76)</f>
        <v/>
      </c>
      <c r="N73" s="397"/>
      <c r="O73" s="397"/>
      <c r="P73" s="397"/>
      <c r="Q73" s="398"/>
    </row>
    <row r="74" spans="1:17" x14ac:dyDescent="0.25">
      <c r="A74" s="115" t="s">
        <v>306</v>
      </c>
      <c r="B74" s="857"/>
      <c r="C74" s="863"/>
      <c r="D74" s="861"/>
      <c r="E74" s="863"/>
      <c r="F74" s="865"/>
      <c r="G74" s="865"/>
      <c r="H74" s="867"/>
      <c r="I74" s="400" t="str">
        <f>IF('Mapa final'!Y77="","",'Mapa final'!Y77)</f>
        <v/>
      </c>
      <c r="J74" s="400" t="str">
        <f>IF('Mapa final'!AA77="","",'Mapa final'!AA77)</f>
        <v/>
      </c>
      <c r="K74" s="400" t="str">
        <f t="shared" si="1"/>
        <v/>
      </c>
      <c r="L74" s="400" t="str">
        <f>IF('Mapa final'!AD77="","",'Mapa final'!AD77)</f>
        <v/>
      </c>
      <c r="M74" s="339" t="str">
        <f>IF('Mapa final'!P77="","",'Mapa final'!P77)</f>
        <v/>
      </c>
      <c r="N74" s="397"/>
      <c r="O74" s="397"/>
      <c r="P74" s="397"/>
      <c r="Q74" s="398"/>
    </row>
    <row r="75" spans="1:17" x14ac:dyDescent="0.25">
      <c r="A75" s="115" t="s">
        <v>307</v>
      </c>
      <c r="B75" s="857"/>
      <c r="C75" s="863"/>
      <c r="D75" s="861"/>
      <c r="E75" s="863"/>
      <c r="F75" s="865"/>
      <c r="G75" s="865"/>
      <c r="H75" s="867"/>
      <c r="I75" s="400" t="str">
        <f>IF('Mapa final'!Y78="","",'Mapa final'!Y78)</f>
        <v/>
      </c>
      <c r="J75" s="400" t="str">
        <f>IF('Mapa final'!AA78="","",'Mapa final'!AA78)</f>
        <v/>
      </c>
      <c r="K75" s="400" t="str">
        <f t="shared" si="1"/>
        <v/>
      </c>
      <c r="L75" s="400" t="str">
        <f>IF('Mapa final'!AD78="","",'Mapa final'!AD78)</f>
        <v/>
      </c>
      <c r="M75" s="339" t="str">
        <f>IF('Mapa final'!P78="","",'Mapa final'!P78)</f>
        <v/>
      </c>
      <c r="N75" s="397"/>
      <c r="O75" s="397"/>
      <c r="P75" s="397"/>
      <c r="Q75" s="398"/>
    </row>
    <row r="76" spans="1:17" x14ac:dyDescent="0.25">
      <c r="A76" s="115" t="s">
        <v>308</v>
      </c>
      <c r="B76" s="857"/>
      <c r="C76" s="863"/>
      <c r="D76" s="861"/>
      <c r="E76" s="863"/>
      <c r="F76" s="865"/>
      <c r="G76" s="865"/>
      <c r="H76" s="867"/>
      <c r="I76" s="400" t="str">
        <f>IF('Mapa final'!Y79="","",'Mapa final'!Y79)</f>
        <v/>
      </c>
      <c r="J76" s="400" t="str">
        <f>IF('Mapa final'!AA79="","",'Mapa final'!AA79)</f>
        <v/>
      </c>
      <c r="K76" s="400" t="str">
        <f t="shared" si="1"/>
        <v/>
      </c>
      <c r="L76" s="400" t="str">
        <f>IF('Mapa final'!AD79="","",'Mapa final'!AD79)</f>
        <v/>
      </c>
      <c r="M76" s="339" t="str">
        <f>IF('Mapa final'!P79="","",'Mapa final'!P79)</f>
        <v/>
      </c>
      <c r="N76" s="397"/>
      <c r="O76" s="397"/>
      <c r="P76" s="397"/>
      <c r="Q76" s="398"/>
    </row>
    <row r="77" spans="1:17" x14ac:dyDescent="0.25">
      <c r="A77" s="115" t="s">
        <v>309</v>
      </c>
      <c r="B77" s="857"/>
      <c r="C77" s="863"/>
      <c r="D77" s="861"/>
      <c r="E77" s="863"/>
      <c r="F77" s="865"/>
      <c r="G77" s="865"/>
      <c r="H77" s="867"/>
      <c r="I77" s="400" t="str">
        <f>IF('Mapa final'!Y80="","",'Mapa final'!Y80)</f>
        <v/>
      </c>
      <c r="J77" s="400" t="str">
        <f>IF('Mapa final'!AA80="","",'Mapa final'!AA80)</f>
        <v/>
      </c>
      <c r="K77" s="400" t="str">
        <f t="shared" si="1"/>
        <v/>
      </c>
      <c r="L77" s="400" t="str">
        <f>IF('Mapa final'!AD80="","",'Mapa final'!AD80)</f>
        <v/>
      </c>
      <c r="M77" s="339" t="str">
        <f>IF('Mapa final'!P80="","",'Mapa final'!P80)</f>
        <v/>
      </c>
      <c r="N77" s="397"/>
      <c r="O77" s="397"/>
      <c r="P77" s="397"/>
      <c r="Q77" s="398"/>
    </row>
    <row r="78" spans="1:17" x14ac:dyDescent="0.25">
      <c r="A78" s="115" t="s">
        <v>310</v>
      </c>
      <c r="B78" s="857"/>
      <c r="C78" s="863"/>
      <c r="D78" s="861"/>
      <c r="E78" s="863"/>
      <c r="F78" s="865"/>
      <c r="G78" s="865"/>
      <c r="H78" s="867"/>
      <c r="I78" s="400" t="str">
        <f>IF('Mapa final'!Y81="","",'Mapa final'!Y81)</f>
        <v/>
      </c>
      <c r="J78" s="400" t="str">
        <f>IF('Mapa final'!AA81="","",'Mapa final'!AA81)</f>
        <v/>
      </c>
      <c r="K78" s="400" t="str">
        <f t="shared" si="1"/>
        <v/>
      </c>
      <c r="L78" s="400" t="str">
        <f>IF('Mapa final'!AD81="","",'Mapa final'!AD81)</f>
        <v/>
      </c>
      <c r="M78" s="339" t="str">
        <f>IF('Mapa final'!P81="","",'Mapa final'!P81)</f>
        <v/>
      </c>
      <c r="N78" s="397"/>
      <c r="O78" s="397"/>
      <c r="P78" s="397"/>
      <c r="Q78" s="398"/>
    </row>
    <row r="79" spans="1:17" x14ac:dyDescent="0.25">
      <c r="A79" s="115" t="s">
        <v>311</v>
      </c>
      <c r="B79" s="856"/>
      <c r="C79" s="862" t="str">
        <f>IF('Mapa final'!E82="","",'Mapa final'!E82)</f>
        <v/>
      </c>
      <c r="D79" s="860"/>
      <c r="E79" s="862" t="str">
        <f>IF('Mapa final'!D82="","",'Mapa final'!D82)</f>
        <v/>
      </c>
      <c r="F79" s="865" t="str">
        <f>IF('Mapa final'!H82="","",'Mapa final'!H82)</f>
        <v/>
      </c>
      <c r="G79" s="865" t="str">
        <f>IF('Mapa final'!L82="","",'Mapa final'!L82)</f>
        <v/>
      </c>
      <c r="H79" s="86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0" t="str">
        <f>IF('Mapa final'!Y82="","",'Mapa final'!Y82)</f>
        <v/>
      </c>
      <c r="J79" s="400" t="str">
        <f>IF('Mapa final'!AA82="","",'Mapa final'!AA82)</f>
        <v/>
      </c>
      <c r="K79" s="400" t="str">
        <f t="shared" si="1"/>
        <v/>
      </c>
      <c r="L79" s="400" t="str">
        <f>IF('Mapa final'!AD82="","",'Mapa final'!AD82)</f>
        <v/>
      </c>
      <c r="M79" s="339" t="str">
        <f>IF('Mapa final'!P82="","",'Mapa final'!P82)</f>
        <v/>
      </c>
      <c r="N79" s="397"/>
      <c r="O79" s="397"/>
      <c r="P79" s="397"/>
      <c r="Q79" s="398"/>
    </row>
    <row r="80" spans="1:17" x14ac:dyDescent="0.25">
      <c r="A80" s="115" t="s">
        <v>312</v>
      </c>
      <c r="B80" s="857"/>
      <c r="C80" s="863"/>
      <c r="D80" s="861"/>
      <c r="E80" s="863"/>
      <c r="F80" s="865"/>
      <c r="G80" s="865"/>
      <c r="H80" s="867"/>
      <c r="I80" s="400" t="str">
        <f>IF('Mapa final'!Y83="","",'Mapa final'!Y83)</f>
        <v/>
      </c>
      <c r="J80" s="400" t="str">
        <f>IF('Mapa final'!AA83="","",'Mapa final'!AA83)</f>
        <v/>
      </c>
      <c r="K80" s="400" t="str">
        <f t="shared" si="1"/>
        <v/>
      </c>
      <c r="L80" s="400" t="str">
        <f>IF('Mapa final'!AD83="","",'Mapa final'!AD83)</f>
        <v/>
      </c>
      <c r="M80" s="339" t="str">
        <f>IF('Mapa final'!P83="","",'Mapa final'!P83)</f>
        <v/>
      </c>
      <c r="N80" s="397"/>
      <c r="O80" s="397"/>
      <c r="P80" s="397"/>
      <c r="Q80" s="398"/>
    </row>
    <row r="81" spans="1:17" x14ac:dyDescent="0.25">
      <c r="A81" s="115" t="s">
        <v>313</v>
      </c>
      <c r="B81" s="857"/>
      <c r="C81" s="863"/>
      <c r="D81" s="861"/>
      <c r="E81" s="863"/>
      <c r="F81" s="865"/>
      <c r="G81" s="865"/>
      <c r="H81" s="867"/>
      <c r="I81" s="400" t="str">
        <f>IF('Mapa final'!Y84="","",'Mapa final'!Y84)</f>
        <v/>
      </c>
      <c r="J81" s="400" t="str">
        <f>IF('Mapa final'!AA84="","",'Mapa final'!AA84)</f>
        <v/>
      </c>
      <c r="K81" s="400" t="str">
        <f t="shared" si="1"/>
        <v/>
      </c>
      <c r="L81" s="400" t="str">
        <f>IF('Mapa final'!AD84="","",'Mapa final'!AD84)</f>
        <v/>
      </c>
      <c r="M81" s="339" t="str">
        <f>IF('Mapa final'!P84="","",'Mapa final'!P84)</f>
        <v/>
      </c>
      <c r="N81" s="397"/>
      <c r="O81" s="397"/>
      <c r="P81" s="397"/>
      <c r="Q81" s="398"/>
    </row>
    <row r="82" spans="1:17" x14ac:dyDescent="0.25">
      <c r="A82" s="115" t="s">
        <v>314</v>
      </c>
      <c r="B82" s="857"/>
      <c r="C82" s="863"/>
      <c r="D82" s="861"/>
      <c r="E82" s="863"/>
      <c r="F82" s="865"/>
      <c r="G82" s="865"/>
      <c r="H82" s="867"/>
      <c r="I82" s="400" t="str">
        <f>IF('Mapa final'!Y85="","",'Mapa final'!Y85)</f>
        <v/>
      </c>
      <c r="J82" s="400" t="str">
        <f>IF('Mapa final'!AA85="","",'Mapa final'!AA85)</f>
        <v/>
      </c>
      <c r="K82" s="400" t="str">
        <f t="shared" si="1"/>
        <v/>
      </c>
      <c r="L82" s="400" t="str">
        <f>IF('Mapa final'!AD85="","",'Mapa final'!AD85)</f>
        <v/>
      </c>
      <c r="M82" s="339" t="str">
        <f>IF('Mapa final'!P85="","",'Mapa final'!P85)</f>
        <v/>
      </c>
      <c r="N82" s="397"/>
      <c r="O82" s="397"/>
      <c r="P82" s="397"/>
      <c r="Q82" s="398"/>
    </row>
    <row r="83" spans="1:17" x14ac:dyDescent="0.25">
      <c r="A83" s="115" t="s">
        <v>315</v>
      </c>
      <c r="B83" s="857"/>
      <c r="C83" s="863"/>
      <c r="D83" s="861"/>
      <c r="E83" s="863"/>
      <c r="F83" s="865"/>
      <c r="G83" s="865"/>
      <c r="H83" s="867"/>
      <c r="I83" s="400" t="str">
        <f>IF('Mapa final'!Y86="","",'Mapa final'!Y86)</f>
        <v/>
      </c>
      <c r="J83" s="400" t="str">
        <f>IF('Mapa final'!AA86="","",'Mapa final'!AA86)</f>
        <v/>
      </c>
      <c r="K83" s="400" t="str">
        <f t="shared" si="1"/>
        <v/>
      </c>
      <c r="L83" s="400" t="str">
        <f>IF('Mapa final'!AD86="","",'Mapa final'!AD86)</f>
        <v/>
      </c>
      <c r="M83" s="339" t="str">
        <f>IF('Mapa final'!P86="","",'Mapa final'!P86)</f>
        <v/>
      </c>
      <c r="N83" s="397"/>
      <c r="O83" s="397"/>
      <c r="P83" s="397"/>
      <c r="Q83" s="398"/>
    </row>
    <row r="84" spans="1:17" x14ac:dyDescent="0.25">
      <c r="A84" s="115" t="s">
        <v>316</v>
      </c>
      <c r="B84" s="857"/>
      <c r="C84" s="863"/>
      <c r="D84" s="861"/>
      <c r="E84" s="863"/>
      <c r="F84" s="865"/>
      <c r="G84" s="865"/>
      <c r="H84" s="867"/>
      <c r="I84" s="400" t="str">
        <f>IF('Mapa final'!Y87="","",'Mapa final'!Y87)</f>
        <v/>
      </c>
      <c r="J84" s="400" t="str">
        <f>IF('Mapa final'!AA87="","",'Mapa final'!AA87)</f>
        <v/>
      </c>
      <c r="K84" s="400" t="str">
        <f t="shared" si="1"/>
        <v/>
      </c>
      <c r="L84" s="400" t="str">
        <f>IF('Mapa final'!AD87="","",'Mapa final'!AD87)</f>
        <v/>
      </c>
      <c r="M84" s="339" t="str">
        <f>IF('Mapa final'!P87="","",'Mapa final'!P87)</f>
        <v/>
      </c>
      <c r="N84" s="397"/>
      <c r="O84" s="397"/>
      <c r="P84" s="397"/>
      <c r="Q84" s="398"/>
    </row>
    <row r="85" spans="1:17" x14ac:dyDescent="0.25">
      <c r="A85" s="115" t="s">
        <v>317</v>
      </c>
      <c r="B85" s="856"/>
      <c r="C85" s="862" t="str">
        <f>IF('Mapa final'!E88="","",'Mapa final'!E88)</f>
        <v/>
      </c>
      <c r="D85" s="860"/>
      <c r="E85" s="862" t="str">
        <f>IF('Mapa final'!D88="","",'Mapa final'!D88)</f>
        <v/>
      </c>
      <c r="F85" s="865" t="str">
        <f>IF('Mapa final'!H88="","",'Mapa final'!H88)</f>
        <v/>
      </c>
      <c r="G85" s="865" t="str">
        <f>IF('Mapa final'!L88="","",'Mapa final'!L88)</f>
        <v/>
      </c>
      <c r="H85" s="86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0" t="str">
        <f>IF('Mapa final'!Y88="","",'Mapa final'!Y88)</f>
        <v/>
      </c>
      <c r="J85" s="400" t="str">
        <f>IF('Mapa final'!AA88="","",'Mapa final'!AA88)</f>
        <v/>
      </c>
      <c r="K85" s="400" t="str">
        <f t="shared" si="1"/>
        <v/>
      </c>
      <c r="L85" s="400" t="str">
        <f>IF('Mapa final'!AD88="","",'Mapa final'!AD88)</f>
        <v/>
      </c>
      <c r="M85" s="339" t="str">
        <f>IF('Mapa final'!P88="","",'Mapa final'!P88)</f>
        <v/>
      </c>
      <c r="N85" s="397"/>
      <c r="O85" s="397"/>
      <c r="P85" s="397"/>
      <c r="Q85" s="398"/>
    </row>
    <row r="86" spans="1:17" x14ac:dyDescent="0.25">
      <c r="A86" s="115" t="s">
        <v>318</v>
      </c>
      <c r="B86" s="857"/>
      <c r="C86" s="863"/>
      <c r="D86" s="861"/>
      <c r="E86" s="863"/>
      <c r="F86" s="865"/>
      <c r="G86" s="865"/>
      <c r="H86" s="867"/>
      <c r="I86" s="400" t="str">
        <f>IF('Mapa final'!Y89="","",'Mapa final'!Y89)</f>
        <v/>
      </c>
      <c r="J86" s="400" t="str">
        <f>IF('Mapa final'!AA89="","",'Mapa final'!AA89)</f>
        <v/>
      </c>
      <c r="K86" s="400" t="str">
        <f t="shared" si="1"/>
        <v/>
      </c>
      <c r="L86" s="400" t="str">
        <f>IF('Mapa final'!AD89="","",'Mapa final'!AD89)</f>
        <v/>
      </c>
      <c r="M86" s="339" t="str">
        <f>IF('Mapa final'!P89="","",'Mapa final'!P89)</f>
        <v/>
      </c>
      <c r="N86" s="397"/>
      <c r="O86" s="397"/>
      <c r="P86" s="397"/>
      <c r="Q86" s="398"/>
    </row>
    <row r="87" spans="1:17" x14ac:dyDescent="0.25">
      <c r="A87" s="115" t="s">
        <v>319</v>
      </c>
      <c r="B87" s="857"/>
      <c r="C87" s="863"/>
      <c r="D87" s="861"/>
      <c r="E87" s="863"/>
      <c r="F87" s="865"/>
      <c r="G87" s="865"/>
      <c r="H87" s="867"/>
      <c r="I87" s="400" t="str">
        <f>IF('Mapa final'!Y90="","",'Mapa final'!Y90)</f>
        <v/>
      </c>
      <c r="J87" s="400" t="str">
        <f>IF('Mapa final'!AA90="","",'Mapa final'!AA90)</f>
        <v/>
      </c>
      <c r="K87" s="400" t="str">
        <f t="shared" si="1"/>
        <v/>
      </c>
      <c r="L87" s="400" t="str">
        <f>IF('Mapa final'!AD90="","",'Mapa final'!AD90)</f>
        <v/>
      </c>
      <c r="M87" s="339" t="str">
        <f>IF('Mapa final'!P90="","",'Mapa final'!P90)</f>
        <v/>
      </c>
      <c r="N87" s="397"/>
      <c r="O87" s="397"/>
      <c r="P87" s="397"/>
      <c r="Q87" s="398"/>
    </row>
    <row r="88" spans="1:17" x14ac:dyDescent="0.25">
      <c r="A88" s="115" t="s">
        <v>320</v>
      </c>
      <c r="B88" s="857"/>
      <c r="C88" s="863"/>
      <c r="D88" s="861"/>
      <c r="E88" s="863"/>
      <c r="F88" s="865"/>
      <c r="G88" s="865"/>
      <c r="H88" s="867"/>
      <c r="I88" s="400" t="str">
        <f>IF('Mapa final'!Y91="","",'Mapa final'!Y91)</f>
        <v/>
      </c>
      <c r="J88" s="400" t="str">
        <f>IF('Mapa final'!AA91="","",'Mapa final'!AA91)</f>
        <v/>
      </c>
      <c r="K88" s="400" t="str">
        <f t="shared" si="1"/>
        <v/>
      </c>
      <c r="L88" s="400" t="str">
        <f>IF('Mapa final'!AD91="","",'Mapa final'!AD91)</f>
        <v/>
      </c>
      <c r="M88" s="339" t="str">
        <f>IF('Mapa final'!P91="","",'Mapa final'!P91)</f>
        <v/>
      </c>
      <c r="N88" s="397"/>
      <c r="O88" s="397"/>
      <c r="P88" s="397"/>
      <c r="Q88" s="398"/>
    </row>
    <row r="89" spans="1:17" x14ac:dyDescent="0.25">
      <c r="A89" s="115" t="s">
        <v>321</v>
      </c>
      <c r="B89" s="857"/>
      <c r="C89" s="863"/>
      <c r="D89" s="861"/>
      <c r="E89" s="863"/>
      <c r="F89" s="865"/>
      <c r="G89" s="865"/>
      <c r="H89" s="867"/>
      <c r="I89" s="400" t="str">
        <f>IF('Mapa final'!Y92="","",'Mapa final'!Y92)</f>
        <v/>
      </c>
      <c r="J89" s="400" t="str">
        <f>IF('Mapa final'!AA92="","",'Mapa final'!AA92)</f>
        <v/>
      </c>
      <c r="K89" s="400" t="str">
        <f t="shared" si="1"/>
        <v/>
      </c>
      <c r="L89" s="400" t="str">
        <f>IF('Mapa final'!AD92="","",'Mapa final'!AD92)</f>
        <v/>
      </c>
      <c r="M89" s="339" t="str">
        <f>IF('Mapa final'!P92="","",'Mapa final'!P92)</f>
        <v/>
      </c>
      <c r="N89" s="397"/>
      <c r="O89" s="397"/>
      <c r="P89" s="397"/>
      <c r="Q89" s="398"/>
    </row>
    <row r="90" spans="1:17" x14ac:dyDescent="0.25">
      <c r="A90" s="115" t="s">
        <v>322</v>
      </c>
      <c r="B90" s="857"/>
      <c r="C90" s="863"/>
      <c r="D90" s="861"/>
      <c r="E90" s="863"/>
      <c r="F90" s="865"/>
      <c r="G90" s="865"/>
      <c r="H90" s="867"/>
      <c r="I90" s="400" t="str">
        <f>IF('Mapa final'!Y93="","",'Mapa final'!Y93)</f>
        <v/>
      </c>
      <c r="J90" s="400" t="str">
        <f>IF('Mapa final'!AA93="","",'Mapa final'!AA93)</f>
        <v/>
      </c>
      <c r="K90" s="400" t="str">
        <f t="shared" si="1"/>
        <v/>
      </c>
      <c r="L90" s="400" t="str">
        <f>IF('Mapa final'!AD93="","",'Mapa final'!AD93)</f>
        <v/>
      </c>
      <c r="M90" s="339" t="str">
        <f>IF('Mapa final'!P93="","",'Mapa final'!P93)</f>
        <v/>
      </c>
      <c r="N90" s="397"/>
      <c r="O90" s="397"/>
      <c r="P90" s="397"/>
      <c r="Q90" s="398"/>
    </row>
    <row r="91" spans="1:17" x14ac:dyDescent="0.25">
      <c r="A91" s="115" t="s">
        <v>323</v>
      </c>
      <c r="B91" s="856"/>
      <c r="C91" s="862" t="str">
        <f>IF('Mapa final'!E94="","",'Mapa final'!E94)</f>
        <v/>
      </c>
      <c r="D91" s="860"/>
      <c r="E91" s="862" t="str">
        <f>IF('Mapa final'!D94="","",'Mapa final'!D94)</f>
        <v/>
      </c>
      <c r="F91" s="865" t="str">
        <f>IF('Mapa final'!H94="","",'Mapa final'!H94)</f>
        <v/>
      </c>
      <c r="G91" s="865" t="str">
        <f>IF('Mapa final'!L94="","",'Mapa final'!L94)</f>
        <v/>
      </c>
      <c r="H91" s="86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0" t="str">
        <f>IF('Mapa final'!Y94="","",'Mapa final'!Y94)</f>
        <v/>
      </c>
      <c r="J91" s="400" t="str">
        <f>IF('Mapa final'!AA94="","",'Mapa final'!AA94)</f>
        <v/>
      </c>
      <c r="K91" s="400" t="str">
        <f t="shared" si="1"/>
        <v/>
      </c>
      <c r="L91" s="400" t="str">
        <f>IF('Mapa final'!AD94="","",'Mapa final'!AD94)</f>
        <v/>
      </c>
      <c r="M91" s="339" t="str">
        <f>IF('Mapa final'!P94="","",'Mapa final'!P94)</f>
        <v/>
      </c>
      <c r="N91" s="397"/>
      <c r="O91" s="397"/>
      <c r="P91" s="397"/>
      <c r="Q91" s="398"/>
    </row>
    <row r="92" spans="1:17" x14ac:dyDescent="0.25">
      <c r="A92" s="115" t="s">
        <v>324</v>
      </c>
      <c r="B92" s="857"/>
      <c r="C92" s="863"/>
      <c r="D92" s="861"/>
      <c r="E92" s="863"/>
      <c r="F92" s="865"/>
      <c r="G92" s="865"/>
      <c r="H92" s="867"/>
      <c r="I92" s="400" t="str">
        <f>IF('Mapa final'!Y95="","",'Mapa final'!Y95)</f>
        <v/>
      </c>
      <c r="J92" s="400" t="str">
        <f>IF('Mapa final'!AA95="","",'Mapa final'!AA95)</f>
        <v/>
      </c>
      <c r="K92" s="400" t="str">
        <f t="shared" si="1"/>
        <v/>
      </c>
      <c r="L92" s="400" t="str">
        <f>IF('Mapa final'!AD95="","",'Mapa final'!AD95)</f>
        <v/>
      </c>
      <c r="M92" s="339" t="str">
        <f>IF('Mapa final'!P95="","",'Mapa final'!P95)</f>
        <v/>
      </c>
      <c r="N92" s="397"/>
      <c r="O92" s="397"/>
      <c r="P92" s="397"/>
      <c r="Q92" s="398"/>
    </row>
    <row r="93" spans="1:17" x14ac:dyDescent="0.25">
      <c r="A93" s="115" t="s">
        <v>325</v>
      </c>
      <c r="B93" s="857"/>
      <c r="C93" s="863"/>
      <c r="D93" s="861"/>
      <c r="E93" s="863"/>
      <c r="F93" s="865"/>
      <c r="G93" s="865"/>
      <c r="H93" s="867"/>
      <c r="I93" s="400" t="str">
        <f>IF('Mapa final'!Y96="","",'Mapa final'!Y96)</f>
        <v/>
      </c>
      <c r="J93" s="400" t="str">
        <f>IF('Mapa final'!AA96="","",'Mapa final'!AA96)</f>
        <v/>
      </c>
      <c r="K93" s="400" t="str">
        <f t="shared" si="1"/>
        <v/>
      </c>
      <c r="L93" s="400" t="str">
        <f>IF('Mapa final'!AD96="","",'Mapa final'!AD96)</f>
        <v/>
      </c>
      <c r="M93" s="339" t="str">
        <f>IF('Mapa final'!P96="","",'Mapa final'!P96)</f>
        <v/>
      </c>
      <c r="N93" s="397"/>
      <c r="O93" s="397"/>
      <c r="P93" s="397"/>
      <c r="Q93" s="398"/>
    </row>
    <row r="94" spans="1:17" x14ac:dyDescent="0.25">
      <c r="A94" s="115" t="s">
        <v>326</v>
      </c>
      <c r="B94" s="857"/>
      <c r="C94" s="863"/>
      <c r="D94" s="861"/>
      <c r="E94" s="863"/>
      <c r="F94" s="865"/>
      <c r="G94" s="865"/>
      <c r="H94" s="867"/>
      <c r="I94" s="400" t="str">
        <f>IF('Mapa final'!Y97="","",'Mapa final'!Y97)</f>
        <v/>
      </c>
      <c r="J94" s="400" t="str">
        <f>IF('Mapa final'!AA97="","",'Mapa final'!AA97)</f>
        <v/>
      </c>
      <c r="K94" s="400" t="str">
        <f t="shared" si="1"/>
        <v/>
      </c>
      <c r="L94" s="400" t="str">
        <f>IF('Mapa final'!AD97="","",'Mapa final'!AD97)</f>
        <v/>
      </c>
      <c r="M94" s="339" t="str">
        <f>IF('Mapa final'!P97="","",'Mapa final'!P97)</f>
        <v/>
      </c>
      <c r="N94" s="397"/>
      <c r="O94" s="397"/>
      <c r="P94" s="397"/>
      <c r="Q94" s="398"/>
    </row>
    <row r="95" spans="1:17" x14ac:dyDescent="0.25">
      <c r="A95" s="115" t="s">
        <v>327</v>
      </c>
      <c r="B95" s="857"/>
      <c r="C95" s="863"/>
      <c r="D95" s="861"/>
      <c r="E95" s="863"/>
      <c r="F95" s="865"/>
      <c r="G95" s="865"/>
      <c r="H95" s="867"/>
      <c r="I95" s="400" t="str">
        <f>IF('Mapa final'!Y98="","",'Mapa final'!Y98)</f>
        <v/>
      </c>
      <c r="J95" s="400" t="str">
        <f>IF('Mapa final'!AA98="","",'Mapa final'!AA98)</f>
        <v/>
      </c>
      <c r="K95" s="400" t="str">
        <f t="shared" si="1"/>
        <v/>
      </c>
      <c r="L95" s="400" t="str">
        <f>IF('Mapa final'!AD98="","",'Mapa final'!AD98)</f>
        <v/>
      </c>
      <c r="M95" s="339" t="str">
        <f>IF('Mapa final'!P98="","",'Mapa final'!P98)</f>
        <v/>
      </c>
      <c r="N95" s="397"/>
      <c r="O95" s="397"/>
      <c r="P95" s="397"/>
      <c r="Q95" s="398"/>
    </row>
    <row r="96" spans="1:17" x14ac:dyDescent="0.25">
      <c r="A96" s="115" t="s">
        <v>328</v>
      </c>
      <c r="B96" s="857"/>
      <c r="C96" s="863"/>
      <c r="D96" s="861"/>
      <c r="E96" s="863"/>
      <c r="F96" s="865"/>
      <c r="G96" s="865"/>
      <c r="H96" s="867"/>
      <c r="I96" s="400" t="str">
        <f>IF('Mapa final'!Y99="","",'Mapa final'!Y99)</f>
        <v/>
      </c>
      <c r="J96" s="400" t="str">
        <f>IF('Mapa final'!AA99="","",'Mapa final'!AA99)</f>
        <v/>
      </c>
      <c r="K96" s="400" t="str">
        <f t="shared" si="1"/>
        <v/>
      </c>
      <c r="L96" s="400" t="str">
        <f>IF('Mapa final'!AD99="","",'Mapa final'!AD99)</f>
        <v/>
      </c>
      <c r="M96" s="339" t="str">
        <f>IF('Mapa final'!P99="","",'Mapa final'!P99)</f>
        <v/>
      </c>
      <c r="N96" s="397"/>
      <c r="O96" s="397"/>
      <c r="P96" s="397"/>
      <c r="Q96" s="398"/>
    </row>
    <row r="97" spans="1:17" x14ac:dyDescent="0.25">
      <c r="A97" s="115" t="s">
        <v>329</v>
      </c>
      <c r="B97" s="856"/>
      <c r="C97" s="862" t="str">
        <f>IF('Mapa final'!E100="","",'Mapa final'!E100)</f>
        <v/>
      </c>
      <c r="D97" s="860"/>
      <c r="E97" s="862" t="str">
        <f>IF('Mapa final'!D100="","",'Mapa final'!D100)</f>
        <v/>
      </c>
      <c r="F97" s="865" t="str">
        <f>IF('Mapa final'!H100="","",'Mapa final'!H100)</f>
        <v/>
      </c>
      <c r="G97" s="865" t="str">
        <f>IF('Mapa final'!L100="","",'Mapa final'!L100)</f>
        <v/>
      </c>
      <c r="H97" s="86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0" t="str">
        <f>IF('Mapa final'!Y100="","",'Mapa final'!Y100)</f>
        <v/>
      </c>
      <c r="J97" s="400" t="str">
        <f>IF('Mapa final'!AA100="","",'Mapa final'!AA100)</f>
        <v/>
      </c>
      <c r="K97" s="400" t="str">
        <f t="shared" si="1"/>
        <v/>
      </c>
      <c r="L97" s="400" t="str">
        <f>IF('Mapa final'!AD100="","",'Mapa final'!AD100)</f>
        <v/>
      </c>
      <c r="M97" s="339" t="str">
        <f>IF('Mapa final'!P100="","",'Mapa final'!P100)</f>
        <v/>
      </c>
      <c r="N97" s="397"/>
      <c r="O97" s="397"/>
      <c r="P97" s="397"/>
      <c r="Q97" s="398"/>
    </row>
    <row r="98" spans="1:17" x14ac:dyDescent="0.25">
      <c r="A98" s="115" t="s">
        <v>330</v>
      </c>
      <c r="B98" s="857"/>
      <c r="C98" s="863"/>
      <c r="D98" s="861"/>
      <c r="E98" s="863"/>
      <c r="F98" s="865"/>
      <c r="G98" s="865"/>
      <c r="H98" s="867"/>
      <c r="I98" s="400" t="str">
        <f>IF('Mapa final'!Y101="","",'Mapa final'!Y101)</f>
        <v/>
      </c>
      <c r="J98" s="400" t="str">
        <f>IF('Mapa final'!AA101="","",'Mapa final'!AA101)</f>
        <v/>
      </c>
      <c r="K98" s="400" t="str">
        <f t="shared" si="1"/>
        <v/>
      </c>
      <c r="L98" s="400" t="str">
        <f>IF('Mapa final'!AD101="","",'Mapa final'!AD101)</f>
        <v/>
      </c>
      <c r="M98" s="339" t="str">
        <f>IF('Mapa final'!P101="","",'Mapa final'!P101)</f>
        <v/>
      </c>
      <c r="N98" s="397"/>
      <c r="O98" s="397"/>
      <c r="P98" s="397"/>
      <c r="Q98" s="398"/>
    </row>
    <row r="99" spans="1:17" x14ac:dyDescent="0.25">
      <c r="A99" s="115" t="s">
        <v>331</v>
      </c>
      <c r="B99" s="857"/>
      <c r="C99" s="863"/>
      <c r="D99" s="861"/>
      <c r="E99" s="863"/>
      <c r="F99" s="865"/>
      <c r="G99" s="865"/>
      <c r="H99" s="867"/>
      <c r="I99" s="400" t="str">
        <f>IF('Mapa final'!Y102="","",'Mapa final'!Y102)</f>
        <v/>
      </c>
      <c r="J99" s="400" t="str">
        <f>IF('Mapa final'!AA102="","",'Mapa final'!AA102)</f>
        <v/>
      </c>
      <c r="K99" s="400" t="str">
        <f t="shared" si="1"/>
        <v/>
      </c>
      <c r="L99" s="400" t="str">
        <f>IF('Mapa final'!AD102="","",'Mapa final'!AD102)</f>
        <v/>
      </c>
      <c r="M99" s="339" t="str">
        <f>IF('Mapa final'!P102="","",'Mapa final'!P102)</f>
        <v/>
      </c>
      <c r="N99" s="397"/>
      <c r="O99" s="397"/>
      <c r="P99" s="397"/>
      <c r="Q99" s="398"/>
    </row>
    <row r="100" spans="1:17" x14ac:dyDescent="0.25">
      <c r="A100" s="115" t="s">
        <v>332</v>
      </c>
      <c r="B100" s="857"/>
      <c r="C100" s="863"/>
      <c r="D100" s="861"/>
      <c r="E100" s="863"/>
      <c r="F100" s="865"/>
      <c r="G100" s="865"/>
      <c r="H100" s="867"/>
      <c r="I100" s="400" t="str">
        <f>IF('Mapa final'!Y103="","",'Mapa final'!Y103)</f>
        <v/>
      </c>
      <c r="J100" s="400" t="str">
        <f>IF('Mapa final'!AA103="","",'Mapa final'!AA103)</f>
        <v/>
      </c>
      <c r="K100" s="400" t="str">
        <f t="shared" si="1"/>
        <v/>
      </c>
      <c r="L100" s="400" t="str">
        <f>IF('Mapa final'!AD103="","",'Mapa final'!AD103)</f>
        <v/>
      </c>
      <c r="M100" s="339" t="str">
        <f>IF('Mapa final'!P103="","",'Mapa final'!P103)</f>
        <v/>
      </c>
      <c r="N100" s="397"/>
      <c r="O100" s="397"/>
      <c r="P100" s="397"/>
      <c r="Q100" s="398"/>
    </row>
    <row r="101" spans="1:17" x14ac:dyDescent="0.25">
      <c r="A101" s="115" t="s">
        <v>333</v>
      </c>
      <c r="B101" s="857"/>
      <c r="C101" s="863"/>
      <c r="D101" s="861"/>
      <c r="E101" s="863"/>
      <c r="F101" s="865"/>
      <c r="G101" s="865"/>
      <c r="H101" s="867"/>
      <c r="I101" s="400" t="str">
        <f>IF('Mapa final'!Y104="","",'Mapa final'!Y104)</f>
        <v/>
      </c>
      <c r="J101" s="400" t="str">
        <f>IF('Mapa final'!AA104="","",'Mapa final'!AA104)</f>
        <v/>
      </c>
      <c r="K101" s="400" t="str">
        <f t="shared" si="1"/>
        <v/>
      </c>
      <c r="L101" s="400" t="str">
        <f>IF('Mapa final'!AD104="","",'Mapa final'!AD104)</f>
        <v/>
      </c>
      <c r="M101" s="339" t="str">
        <f>IF('Mapa final'!P104="","",'Mapa final'!P104)</f>
        <v/>
      </c>
      <c r="N101" s="397"/>
      <c r="O101" s="397"/>
      <c r="P101" s="397"/>
      <c r="Q101" s="398"/>
    </row>
    <row r="102" spans="1:17" x14ac:dyDescent="0.25">
      <c r="A102" s="115" t="s">
        <v>334</v>
      </c>
      <c r="B102" s="857"/>
      <c r="C102" s="863"/>
      <c r="D102" s="861"/>
      <c r="E102" s="863"/>
      <c r="F102" s="865"/>
      <c r="G102" s="865"/>
      <c r="H102" s="867"/>
      <c r="I102" s="400" t="str">
        <f>IF('Mapa final'!Y105="","",'Mapa final'!Y105)</f>
        <v/>
      </c>
      <c r="J102" s="400" t="str">
        <f>IF('Mapa final'!AA105="","",'Mapa final'!AA105)</f>
        <v/>
      </c>
      <c r="K102" s="400" t="str">
        <f t="shared" si="1"/>
        <v/>
      </c>
      <c r="L102" s="400" t="str">
        <f>IF('Mapa final'!AD105="","",'Mapa final'!AD105)</f>
        <v/>
      </c>
      <c r="M102" s="339" t="str">
        <f>IF('Mapa final'!P105="","",'Mapa final'!P105)</f>
        <v/>
      </c>
      <c r="N102" s="397"/>
      <c r="O102" s="397"/>
      <c r="P102" s="397"/>
      <c r="Q102" s="398"/>
    </row>
    <row r="103" spans="1:17" x14ac:dyDescent="0.25">
      <c r="A103" s="115" t="s">
        <v>335</v>
      </c>
      <c r="B103" s="856"/>
      <c r="C103" s="862" t="str">
        <f>IF('Mapa final'!E106="","",'Mapa final'!E106)</f>
        <v/>
      </c>
      <c r="D103" s="860"/>
      <c r="E103" s="862" t="str">
        <f>IF('Mapa final'!D106="","",'Mapa final'!D106)</f>
        <v/>
      </c>
      <c r="F103" s="865" t="str">
        <f>IF('Mapa final'!H106="","",'Mapa final'!H106)</f>
        <v/>
      </c>
      <c r="G103" s="865" t="str">
        <f>IF('Mapa final'!L106="","",'Mapa final'!L106)</f>
        <v/>
      </c>
      <c r="H103" s="86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0" t="str">
        <f>IF('Mapa final'!Y106="","",'Mapa final'!Y106)</f>
        <v/>
      </c>
      <c r="J103" s="400" t="str">
        <f>IF('Mapa final'!AA106="","",'Mapa final'!AA106)</f>
        <v/>
      </c>
      <c r="K103" s="400" t="str">
        <f t="shared" si="1"/>
        <v/>
      </c>
      <c r="L103" s="400" t="str">
        <f>IF('Mapa final'!AD106="","",'Mapa final'!AD106)</f>
        <v/>
      </c>
      <c r="M103" s="339" t="str">
        <f>IF('Mapa final'!P106="","",'Mapa final'!P106)</f>
        <v/>
      </c>
      <c r="N103" s="397"/>
      <c r="O103" s="397"/>
      <c r="P103" s="397"/>
      <c r="Q103" s="398"/>
    </row>
    <row r="104" spans="1:17" x14ac:dyDescent="0.25">
      <c r="A104" s="115" t="s">
        <v>336</v>
      </c>
      <c r="B104" s="857"/>
      <c r="C104" s="863"/>
      <c r="D104" s="861"/>
      <c r="E104" s="863"/>
      <c r="F104" s="865"/>
      <c r="G104" s="865"/>
      <c r="H104" s="867"/>
      <c r="I104" s="400" t="str">
        <f>IF('Mapa final'!Y107="","",'Mapa final'!Y107)</f>
        <v/>
      </c>
      <c r="J104" s="400" t="str">
        <f>IF('Mapa final'!AA107="","",'Mapa final'!AA107)</f>
        <v/>
      </c>
      <c r="K104" s="400" t="str">
        <f t="shared" si="1"/>
        <v/>
      </c>
      <c r="L104" s="400" t="str">
        <f>IF('Mapa final'!AD107="","",'Mapa final'!AD107)</f>
        <v/>
      </c>
      <c r="M104" s="339" t="str">
        <f>IF('Mapa final'!P107="","",'Mapa final'!P107)</f>
        <v/>
      </c>
      <c r="N104" s="397"/>
      <c r="O104" s="397"/>
      <c r="P104" s="397"/>
      <c r="Q104" s="398"/>
    </row>
    <row r="105" spans="1:17" x14ac:dyDescent="0.25">
      <c r="A105" s="115" t="s">
        <v>337</v>
      </c>
      <c r="B105" s="857"/>
      <c r="C105" s="863"/>
      <c r="D105" s="861"/>
      <c r="E105" s="863"/>
      <c r="F105" s="865"/>
      <c r="G105" s="865"/>
      <c r="H105" s="867"/>
      <c r="I105" s="400" t="str">
        <f>IF('Mapa final'!Y108="","",'Mapa final'!Y108)</f>
        <v/>
      </c>
      <c r="J105" s="400" t="str">
        <f>IF('Mapa final'!AA108="","",'Mapa final'!AA108)</f>
        <v/>
      </c>
      <c r="K105" s="400" t="str">
        <f t="shared" si="1"/>
        <v/>
      </c>
      <c r="L105" s="400" t="str">
        <f>IF('Mapa final'!AD108="","",'Mapa final'!AD108)</f>
        <v/>
      </c>
      <c r="M105" s="339" t="str">
        <f>IF('Mapa final'!P108="","",'Mapa final'!P108)</f>
        <v/>
      </c>
      <c r="N105" s="397"/>
      <c r="O105" s="397"/>
      <c r="P105" s="397"/>
      <c r="Q105" s="398"/>
    </row>
    <row r="106" spans="1:17" x14ac:dyDescent="0.25">
      <c r="A106" s="115" t="s">
        <v>338</v>
      </c>
      <c r="B106" s="857"/>
      <c r="C106" s="863"/>
      <c r="D106" s="861"/>
      <c r="E106" s="863"/>
      <c r="F106" s="865"/>
      <c r="G106" s="865"/>
      <c r="H106" s="867"/>
      <c r="I106" s="400" t="str">
        <f>IF('Mapa final'!Y109="","",'Mapa final'!Y109)</f>
        <v/>
      </c>
      <c r="J106" s="400" t="str">
        <f>IF('Mapa final'!AA109="","",'Mapa final'!AA109)</f>
        <v/>
      </c>
      <c r="K106" s="400" t="str">
        <f t="shared" si="1"/>
        <v/>
      </c>
      <c r="L106" s="400" t="str">
        <f>IF('Mapa final'!AD109="","",'Mapa final'!AD109)</f>
        <v/>
      </c>
      <c r="M106" s="339" t="str">
        <f>IF('Mapa final'!P109="","",'Mapa final'!P109)</f>
        <v/>
      </c>
      <c r="N106" s="397"/>
      <c r="O106" s="397"/>
      <c r="P106" s="397"/>
      <c r="Q106" s="398"/>
    </row>
    <row r="107" spans="1:17" x14ac:dyDescent="0.25">
      <c r="A107" s="115" t="s">
        <v>339</v>
      </c>
      <c r="B107" s="857"/>
      <c r="C107" s="863"/>
      <c r="D107" s="861"/>
      <c r="E107" s="863"/>
      <c r="F107" s="865"/>
      <c r="G107" s="865"/>
      <c r="H107" s="867"/>
      <c r="I107" s="400" t="str">
        <f>IF('Mapa final'!Y110="","",'Mapa final'!Y110)</f>
        <v/>
      </c>
      <c r="J107" s="400" t="str">
        <f>IF('Mapa final'!AA110="","",'Mapa final'!AA110)</f>
        <v/>
      </c>
      <c r="K107" s="400" t="str">
        <f t="shared" si="1"/>
        <v/>
      </c>
      <c r="L107" s="400" t="str">
        <f>IF('Mapa final'!AD110="","",'Mapa final'!AD110)</f>
        <v/>
      </c>
      <c r="M107" s="339" t="str">
        <f>IF('Mapa final'!P110="","",'Mapa final'!P110)</f>
        <v/>
      </c>
      <c r="N107" s="397"/>
      <c r="O107" s="397"/>
      <c r="P107" s="397"/>
      <c r="Q107" s="398"/>
    </row>
    <row r="108" spans="1:17" x14ac:dyDescent="0.25">
      <c r="A108" s="115" t="s">
        <v>340</v>
      </c>
      <c r="B108" s="857"/>
      <c r="C108" s="863"/>
      <c r="D108" s="861"/>
      <c r="E108" s="863"/>
      <c r="F108" s="865"/>
      <c r="G108" s="865"/>
      <c r="H108" s="867"/>
      <c r="I108" s="400" t="str">
        <f>IF('Mapa final'!Y111="","",'Mapa final'!Y111)</f>
        <v/>
      </c>
      <c r="J108" s="400" t="str">
        <f>IF('Mapa final'!AA111="","",'Mapa final'!AA111)</f>
        <v/>
      </c>
      <c r="K108" s="400" t="str">
        <f t="shared" si="1"/>
        <v/>
      </c>
      <c r="L108" s="400" t="str">
        <f>IF('Mapa final'!AD111="","",'Mapa final'!AD111)</f>
        <v/>
      </c>
      <c r="M108" s="339" t="str">
        <f>IF('Mapa final'!P111="","",'Mapa final'!P111)</f>
        <v/>
      </c>
      <c r="N108" s="397"/>
      <c r="O108" s="397"/>
      <c r="P108" s="397"/>
      <c r="Q108" s="398"/>
    </row>
    <row r="109" spans="1:17" x14ac:dyDescent="0.25">
      <c r="A109" s="115" t="s">
        <v>341</v>
      </c>
      <c r="B109" s="856"/>
      <c r="C109" s="862" t="str">
        <f>IF('Mapa final'!E112="","",'Mapa final'!E112)</f>
        <v/>
      </c>
      <c r="D109" s="860"/>
      <c r="E109" s="862" t="str">
        <f>IF('Mapa final'!D112="","",'Mapa final'!D112)</f>
        <v/>
      </c>
      <c r="F109" s="865" t="str">
        <f>IF('Mapa final'!H112="","",'Mapa final'!H112)</f>
        <v/>
      </c>
      <c r="G109" s="865" t="str">
        <f>IF('Mapa final'!L112="","",'Mapa final'!L112)</f>
        <v/>
      </c>
      <c r="H109" s="86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0" t="str">
        <f>IF('Mapa final'!Y112="","",'Mapa final'!Y112)</f>
        <v/>
      </c>
      <c r="J109" s="400" t="str">
        <f>IF('Mapa final'!AA112="","",'Mapa final'!AA112)</f>
        <v/>
      </c>
      <c r="K109" s="400" t="str">
        <f t="shared" si="1"/>
        <v/>
      </c>
      <c r="L109" s="400" t="str">
        <f>IF('Mapa final'!AD112="","",'Mapa final'!AD112)</f>
        <v/>
      </c>
      <c r="M109" s="339" t="str">
        <f>IF('Mapa final'!P112="","",'Mapa final'!P112)</f>
        <v/>
      </c>
      <c r="N109" s="397"/>
      <c r="O109" s="397"/>
      <c r="P109" s="397"/>
      <c r="Q109" s="398"/>
    </row>
    <row r="110" spans="1:17" x14ac:dyDescent="0.25">
      <c r="A110" s="115" t="s">
        <v>342</v>
      </c>
      <c r="B110" s="857"/>
      <c r="C110" s="863"/>
      <c r="D110" s="861"/>
      <c r="E110" s="863"/>
      <c r="F110" s="865"/>
      <c r="G110" s="865"/>
      <c r="H110" s="867"/>
      <c r="I110" s="400" t="str">
        <f>IF('Mapa final'!Y113="","",'Mapa final'!Y113)</f>
        <v/>
      </c>
      <c r="J110" s="400" t="str">
        <f>IF('Mapa final'!AA113="","",'Mapa final'!AA113)</f>
        <v/>
      </c>
      <c r="K110" s="400" t="str">
        <f t="shared" si="1"/>
        <v/>
      </c>
      <c r="L110" s="400" t="str">
        <f>IF('Mapa final'!AD113="","",'Mapa final'!AD113)</f>
        <v/>
      </c>
      <c r="M110" s="339" t="str">
        <f>IF('Mapa final'!P113="","",'Mapa final'!P113)</f>
        <v/>
      </c>
      <c r="N110" s="397"/>
      <c r="O110" s="397"/>
      <c r="P110" s="397"/>
      <c r="Q110" s="398"/>
    </row>
    <row r="111" spans="1:17" x14ac:dyDescent="0.25">
      <c r="A111" s="115" t="s">
        <v>343</v>
      </c>
      <c r="B111" s="857"/>
      <c r="C111" s="863"/>
      <c r="D111" s="861"/>
      <c r="E111" s="863"/>
      <c r="F111" s="865"/>
      <c r="G111" s="865"/>
      <c r="H111" s="867"/>
      <c r="I111" s="400" t="str">
        <f>IF('Mapa final'!Y114="","",'Mapa final'!Y114)</f>
        <v/>
      </c>
      <c r="J111" s="400" t="str">
        <f>IF('Mapa final'!AA114="","",'Mapa final'!AA114)</f>
        <v/>
      </c>
      <c r="K111" s="400" t="str">
        <f t="shared" si="1"/>
        <v/>
      </c>
      <c r="L111" s="400" t="str">
        <f>IF('Mapa final'!AD114="","",'Mapa final'!AD114)</f>
        <v/>
      </c>
      <c r="M111" s="339" t="str">
        <f>IF('Mapa final'!P114="","",'Mapa final'!P114)</f>
        <v/>
      </c>
      <c r="N111" s="397"/>
      <c r="O111" s="397"/>
      <c r="P111" s="397"/>
      <c r="Q111" s="398"/>
    </row>
    <row r="112" spans="1:17" x14ac:dyDescent="0.25">
      <c r="A112" s="115" t="s">
        <v>344</v>
      </c>
      <c r="B112" s="857"/>
      <c r="C112" s="863"/>
      <c r="D112" s="861"/>
      <c r="E112" s="863"/>
      <c r="F112" s="865"/>
      <c r="G112" s="865"/>
      <c r="H112" s="867"/>
      <c r="I112" s="400" t="str">
        <f>IF('Mapa final'!Y115="","",'Mapa final'!Y115)</f>
        <v/>
      </c>
      <c r="J112" s="400" t="str">
        <f>IF('Mapa final'!AA115="","",'Mapa final'!AA115)</f>
        <v/>
      </c>
      <c r="K112" s="400" t="str">
        <f t="shared" si="1"/>
        <v/>
      </c>
      <c r="L112" s="400" t="str">
        <f>IF('Mapa final'!AD115="","",'Mapa final'!AD115)</f>
        <v/>
      </c>
      <c r="M112" s="339" t="str">
        <f>IF('Mapa final'!P115="","",'Mapa final'!P115)</f>
        <v/>
      </c>
      <c r="N112" s="397"/>
      <c r="O112" s="397"/>
      <c r="P112" s="397"/>
      <c r="Q112" s="398"/>
    </row>
    <row r="113" spans="1:17" x14ac:dyDescent="0.25">
      <c r="A113" s="115" t="s">
        <v>345</v>
      </c>
      <c r="B113" s="857"/>
      <c r="C113" s="863"/>
      <c r="D113" s="861"/>
      <c r="E113" s="863"/>
      <c r="F113" s="865"/>
      <c r="G113" s="865"/>
      <c r="H113" s="867"/>
      <c r="I113" s="400" t="str">
        <f>IF('Mapa final'!Y116="","",'Mapa final'!Y116)</f>
        <v/>
      </c>
      <c r="J113" s="400" t="str">
        <f>IF('Mapa final'!AA116="","",'Mapa final'!AA116)</f>
        <v/>
      </c>
      <c r="K113" s="400" t="str">
        <f t="shared" si="1"/>
        <v/>
      </c>
      <c r="L113" s="400" t="str">
        <f>IF('Mapa final'!AD116="","",'Mapa final'!AD116)</f>
        <v/>
      </c>
      <c r="M113" s="339" t="str">
        <f>IF('Mapa final'!P116="","",'Mapa final'!P116)</f>
        <v/>
      </c>
      <c r="N113" s="397"/>
      <c r="O113" s="397"/>
      <c r="P113" s="397"/>
      <c r="Q113" s="398"/>
    </row>
    <row r="114" spans="1:17" x14ac:dyDescent="0.25">
      <c r="A114" s="115" t="s">
        <v>346</v>
      </c>
      <c r="B114" s="857"/>
      <c r="C114" s="863"/>
      <c r="D114" s="861"/>
      <c r="E114" s="863"/>
      <c r="F114" s="865"/>
      <c r="G114" s="865"/>
      <c r="H114" s="867"/>
      <c r="I114" s="400" t="str">
        <f>IF('Mapa final'!Y117="","",'Mapa final'!Y117)</f>
        <v/>
      </c>
      <c r="J114" s="400" t="str">
        <f>IF('Mapa final'!AA117="","",'Mapa final'!AA117)</f>
        <v/>
      </c>
      <c r="K114" s="400" t="str">
        <f t="shared" si="1"/>
        <v/>
      </c>
      <c r="L114" s="400" t="str">
        <f>IF('Mapa final'!AD117="","",'Mapa final'!AD117)</f>
        <v/>
      </c>
      <c r="M114" s="339" t="str">
        <f>IF('Mapa final'!P117="","",'Mapa final'!P117)</f>
        <v/>
      </c>
      <c r="N114" s="397"/>
      <c r="O114" s="397"/>
      <c r="P114" s="397"/>
      <c r="Q114" s="398"/>
    </row>
    <row r="115" spans="1:17" x14ac:dyDescent="0.25">
      <c r="A115" s="115" t="s">
        <v>347</v>
      </c>
      <c r="B115" s="856"/>
      <c r="C115" s="862" t="str">
        <f>IF('Mapa final'!E118="","",'Mapa final'!E118)</f>
        <v/>
      </c>
      <c r="D115" s="860"/>
      <c r="E115" s="862" t="str">
        <f>IF('Mapa final'!D118="","",'Mapa final'!D118)</f>
        <v/>
      </c>
      <c r="F115" s="865" t="str">
        <f>IF('Mapa final'!H118="","",'Mapa final'!H118)</f>
        <v/>
      </c>
      <c r="G115" s="865" t="str">
        <f>IF('Mapa final'!L118="","",'Mapa final'!L118)</f>
        <v/>
      </c>
      <c r="H115" s="86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0" t="str">
        <f>IF('Mapa final'!Y118="","",'Mapa final'!Y118)</f>
        <v/>
      </c>
      <c r="J115" s="400" t="str">
        <f>IF('Mapa final'!AA118="","",'Mapa final'!AA118)</f>
        <v/>
      </c>
      <c r="K115" s="400" t="str">
        <f t="shared" si="1"/>
        <v/>
      </c>
      <c r="L115" s="400" t="str">
        <f>IF('Mapa final'!AD118="","",'Mapa final'!AD118)</f>
        <v/>
      </c>
      <c r="M115" s="339" t="str">
        <f>IF('Mapa final'!P118="","",'Mapa final'!P118)</f>
        <v/>
      </c>
      <c r="N115" s="397"/>
      <c r="O115" s="397"/>
      <c r="P115" s="397"/>
      <c r="Q115" s="398"/>
    </row>
    <row r="116" spans="1:17" x14ac:dyDescent="0.25">
      <c r="A116" s="115" t="s">
        <v>348</v>
      </c>
      <c r="B116" s="857"/>
      <c r="C116" s="863"/>
      <c r="D116" s="861"/>
      <c r="E116" s="863"/>
      <c r="F116" s="865"/>
      <c r="G116" s="865"/>
      <c r="H116" s="867"/>
      <c r="I116" s="400" t="str">
        <f>IF('Mapa final'!Y119="","",'Mapa final'!Y119)</f>
        <v/>
      </c>
      <c r="J116" s="400" t="str">
        <f>IF('Mapa final'!AA119="","",'Mapa final'!AA119)</f>
        <v/>
      </c>
      <c r="K116" s="400" t="str">
        <f t="shared" si="1"/>
        <v/>
      </c>
      <c r="L116" s="400" t="str">
        <f>IF('Mapa final'!AD119="","",'Mapa final'!AD119)</f>
        <v/>
      </c>
      <c r="M116" s="339" t="str">
        <f>IF('Mapa final'!P119="","",'Mapa final'!P119)</f>
        <v/>
      </c>
      <c r="N116" s="397"/>
      <c r="O116" s="397"/>
      <c r="P116" s="397"/>
      <c r="Q116" s="398"/>
    </row>
    <row r="117" spans="1:17" x14ac:dyDescent="0.25">
      <c r="A117" s="115" t="s">
        <v>349</v>
      </c>
      <c r="B117" s="857"/>
      <c r="C117" s="863"/>
      <c r="D117" s="861"/>
      <c r="E117" s="863"/>
      <c r="F117" s="865"/>
      <c r="G117" s="865"/>
      <c r="H117" s="867"/>
      <c r="I117" s="400" t="str">
        <f>IF('Mapa final'!Y120="","",'Mapa final'!Y120)</f>
        <v/>
      </c>
      <c r="J117" s="400" t="str">
        <f>IF('Mapa final'!AA120="","",'Mapa final'!AA120)</f>
        <v/>
      </c>
      <c r="K117" s="400" t="str">
        <f t="shared" si="1"/>
        <v/>
      </c>
      <c r="L117" s="400" t="str">
        <f>IF('Mapa final'!AD120="","",'Mapa final'!AD120)</f>
        <v/>
      </c>
      <c r="M117" s="339" t="str">
        <f>IF('Mapa final'!P120="","",'Mapa final'!P120)</f>
        <v/>
      </c>
      <c r="N117" s="397"/>
      <c r="O117" s="397"/>
      <c r="P117" s="397"/>
      <c r="Q117" s="398"/>
    </row>
    <row r="118" spans="1:17" x14ac:dyDescent="0.25">
      <c r="A118" s="115" t="s">
        <v>350</v>
      </c>
      <c r="B118" s="857"/>
      <c r="C118" s="863"/>
      <c r="D118" s="861"/>
      <c r="E118" s="863"/>
      <c r="F118" s="865"/>
      <c r="G118" s="865"/>
      <c r="H118" s="867"/>
      <c r="I118" s="400" t="str">
        <f>IF('Mapa final'!Y121="","",'Mapa final'!Y121)</f>
        <v/>
      </c>
      <c r="J118" s="400" t="str">
        <f>IF('Mapa final'!AA121="","",'Mapa final'!AA121)</f>
        <v/>
      </c>
      <c r="K118" s="400" t="str">
        <f t="shared" si="1"/>
        <v/>
      </c>
      <c r="L118" s="400" t="str">
        <f>IF('Mapa final'!AD121="","",'Mapa final'!AD121)</f>
        <v/>
      </c>
      <c r="M118" s="339" t="str">
        <f>IF('Mapa final'!P121="","",'Mapa final'!P121)</f>
        <v/>
      </c>
      <c r="N118" s="397"/>
      <c r="O118" s="397"/>
      <c r="P118" s="397"/>
      <c r="Q118" s="398"/>
    </row>
    <row r="119" spans="1:17" x14ac:dyDescent="0.25">
      <c r="A119" s="115" t="s">
        <v>351</v>
      </c>
      <c r="B119" s="857"/>
      <c r="C119" s="863"/>
      <c r="D119" s="861"/>
      <c r="E119" s="863"/>
      <c r="F119" s="865"/>
      <c r="G119" s="865"/>
      <c r="H119" s="867"/>
      <c r="I119" s="400" t="str">
        <f>IF('Mapa final'!Y122="","",'Mapa final'!Y122)</f>
        <v/>
      </c>
      <c r="J119" s="400" t="str">
        <f>IF('Mapa final'!AA122="","",'Mapa final'!AA122)</f>
        <v/>
      </c>
      <c r="K119" s="400" t="str">
        <f t="shared" si="1"/>
        <v/>
      </c>
      <c r="L119" s="400" t="str">
        <f>IF('Mapa final'!AD122="","",'Mapa final'!AD122)</f>
        <v/>
      </c>
      <c r="M119" s="339" t="str">
        <f>IF('Mapa final'!P122="","",'Mapa final'!P122)</f>
        <v/>
      </c>
      <c r="N119" s="397"/>
      <c r="O119" s="397"/>
      <c r="P119" s="397"/>
      <c r="Q119" s="398"/>
    </row>
    <row r="120" spans="1:17" x14ac:dyDescent="0.25">
      <c r="A120" s="115" t="s">
        <v>352</v>
      </c>
      <c r="B120" s="857"/>
      <c r="C120" s="863"/>
      <c r="D120" s="861"/>
      <c r="E120" s="863"/>
      <c r="F120" s="865"/>
      <c r="G120" s="865"/>
      <c r="H120" s="867"/>
      <c r="I120" s="400" t="str">
        <f>IF('Mapa final'!Y123="","",'Mapa final'!Y123)</f>
        <v/>
      </c>
      <c r="J120" s="400" t="str">
        <f>IF('Mapa final'!AA123="","",'Mapa final'!AA123)</f>
        <v/>
      </c>
      <c r="K120" s="400" t="str">
        <f t="shared" si="1"/>
        <v/>
      </c>
      <c r="L120" s="400" t="str">
        <f>IF('Mapa final'!AD123="","",'Mapa final'!AD123)</f>
        <v/>
      </c>
      <c r="M120" s="339" t="str">
        <f>IF('Mapa final'!P123="","",'Mapa final'!P123)</f>
        <v/>
      </c>
      <c r="N120" s="397"/>
      <c r="O120" s="397"/>
      <c r="P120" s="397"/>
      <c r="Q120" s="398"/>
    </row>
    <row r="121" spans="1:17" x14ac:dyDescent="0.25">
      <c r="A121" s="115" t="s">
        <v>353</v>
      </c>
      <c r="B121" s="856"/>
      <c r="C121" s="862" t="str">
        <f>IF('Mapa final'!E124="","",'Mapa final'!E124)</f>
        <v/>
      </c>
      <c r="D121" s="860"/>
      <c r="E121" s="862" t="str">
        <f>IF('Mapa final'!D124="","",'Mapa final'!D124)</f>
        <v/>
      </c>
      <c r="F121" s="865" t="str">
        <f>IF('Mapa final'!H124="","",'Mapa final'!H124)</f>
        <v/>
      </c>
      <c r="G121" s="865" t="str">
        <f>IF('Mapa final'!L124="","",'Mapa final'!L124)</f>
        <v/>
      </c>
      <c r="H121" s="86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0" t="str">
        <f>IF('Mapa final'!Y124="","",'Mapa final'!Y124)</f>
        <v/>
      </c>
      <c r="J121" s="400" t="str">
        <f>IF('Mapa final'!AA124="","",'Mapa final'!AA124)</f>
        <v/>
      </c>
      <c r="K121" s="400" t="str">
        <f t="shared" si="1"/>
        <v/>
      </c>
      <c r="L121" s="400" t="str">
        <f>IF('Mapa final'!AD124="","",'Mapa final'!AD124)</f>
        <v/>
      </c>
      <c r="M121" s="339" t="str">
        <f>IF('Mapa final'!P124="","",'Mapa final'!P124)</f>
        <v/>
      </c>
      <c r="N121" s="397"/>
      <c r="O121" s="397"/>
      <c r="P121" s="397"/>
      <c r="Q121" s="398"/>
    </row>
    <row r="122" spans="1:17" x14ac:dyDescent="0.25">
      <c r="A122" s="115" t="s">
        <v>354</v>
      </c>
      <c r="B122" s="857"/>
      <c r="C122" s="863"/>
      <c r="D122" s="861"/>
      <c r="E122" s="863"/>
      <c r="F122" s="865"/>
      <c r="G122" s="865"/>
      <c r="H122" s="867"/>
      <c r="I122" s="400" t="str">
        <f>IF('Mapa final'!Y125="","",'Mapa final'!Y125)</f>
        <v/>
      </c>
      <c r="J122" s="400" t="str">
        <f>IF('Mapa final'!AA125="","",'Mapa final'!AA125)</f>
        <v/>
      </c>
      <c r="K122" s="400" t="str">
        <f t="shared" si="1"/>
        <v/>
      </c>
      <c r="L122" s="400" t="str">
        <f>IF('Mapa final'!AD125="","",'Mapa final'!AD125)</f>
        <v/>
      </c>
      <c r="M122" s="339" t="str">
        <f>IF('Mapa final'!P125="","",'Mapa final'!P125)</f>
        <v/>
      </c>
      <c r="N122" s="397"/>
      <c r="O122" s="397"/>
      <c r="P122" s="397"/>
      <c r="Q122" s="398"/>
    </row>
    <row r="123" spans="1:17" x14ac:dyDescent="0.25">
      <c r="A123" s="115" t="s">
        <v>355</v>
      </c>
      <c r="B123" s="857"/>
      <c r="C123" s="863"/>
      <c r="D123" s="861"/>
      <c r="E123" s="863"/>
      <c r="F123" s="865"/>
      <c r="G123" s="865"/>
      <c r="H123" s="867"/>
      <c r="I123" s="400" t="str">
        <f>IF('Mapa final'!Y126="","",'Mapa final'!Y126)</f>
        <v/>
      </c>
      <c r="J123" s="400" t="str">
        <f>IF('Mapa final'!AA126="","",'Mapa final'!AA126)</f>
        <v/>
      </c>
      <c r="K123" s="400" t="str">
        <f t="shared" si="1"/>
        <v/>
      </c>
      <c r="L123" s="400" t="str">
        <f>IF('Mapa final'!AD126="","",'Mapa final'!AD126)</f>
        <v/>
      </c>
      <c r="M123" s="339" t="str">
        <f>IF('Mapa final'!P126="","",'Mapa final'!P126)</f>
        <v/>
      </c>
      <c r="N123" s="397"/>
      <c r="O123" s="397"/>
      <c r="P123" s="397"/>
      <c r="Q123" s="398"/>
    </row>
    <row r="124" spans="1:17" x14ac:dyDescent="0.25">
      <c r="A124" s="115" t="s">
        <v>356</v>
      </c>
      <c r="B124" s="857"/>
      <c r="C124" s="863"/>
      <c r="D124" s="861"/>
      <c r="E124" s="863"/>
      <c r="F124" s="865"/>
      <c r="G124" s="865"/>
      <c r="H124" s="867"/>
      <c r="I124" s="400" t="str">
        <f>IF('Mapa final'!Y127="","",'Mapa final'!Y127)</f>
        <v/>
      </c>
      <c r="J124" s="400" t="str">
        <f>IF('Mapa final'!AA127="","",'Mapa final'!AA127)</f>
        <v/>
      </c>
      <c r="K124" s="400" t="str">
        <f t="shared" si="1"/>
        <v/>
      </c>
      <c r="L124" s="400" t="str">
        <f>IF('Mapa final'!AD127="","",'Mapa final'!AD127)</f>
        <v/>
      </c>
      <c r="M124" s="339" t="str">
        <f>IF('Mapa final'!P127="","",'Mapa final'!P127)</f>
        <v/>
      </c>
      <c r="N124" s="397"/>
      <c r="O124" s="397"/>
      <c r="P124" s="397"/>
      <c r="Q124" s="398"/>
    </row>
    <row r="125" spans="1:17" x14ac:dyDescent="0.25">
      <c r="A125" s="115" t="s">
        <v>357</v>
      </c>
      <c r="B125" s="857"/>
      <c r="C125" s="863"/>
      <c r="D125" s="861"/>
      <c r="E125" s="863"/>
      <c r="F125" s="865"/>
      <c r="G125" s="865"/>
      <c r="H125" s="867"/>
      <c r="I125" s="400" t="str">
        <f>IF('Mapa final'!Y128="","",'Mapa final'!Y128)</f>
        <v/>
      </c>
      <c r="J125" s="400" t="str">
        <f>IF('Mapa final'!AA128="","",'Mapa final'!AA128)</f>
        <v/>
      </c>
      <c r="K125" s="400" t="str">
        <f t="shared" si="1"/>
        <v/>
      </c>
      <c r="L125" s="400" t="str">
        <f>IF('Mapa final'!AD128="","",'Mapa final'!AD128)</f>
        <v/>
      </c>
      <c r="M125" s="339" t="str">
        <f>IF('Mapa final'!P128="","",'Mapa final'!P128)</f>
        <v/>
      </c>
      <c r="N125" s="397"/>
      <c r="O125" s="397"/>
      <c r="P125" s="397"/>
      <c r="Q125" s="398"/>
    </row>
    <row r="126" spans="1:17" x14ac:dyDescent="0.25">
      <c r="A126" s="115" t="s">
        <v>358</v>
      </c>
      <c r="B126" s="857"/>
      <c r="C126" s="863"/>
      <c r="D126" s="861"/>
      <c r="E126" s="863"/>
      <c r="F126" s="865"/>
      <c r="G126" s="865"/>
      <c r="H126" s="867"/>
      <c r="I126" s="400" t="str">
        <f>IF('Mapa final'!Y129="","",'Mapa final'!Y129)</f>
        <v/>
      </c>
      <c r="J126" s="400" t="str">
        <f>IF('Mapa final'!AA129="","",'Mapa final'!AA129)</f>
        <v/>
      </c>
      <c r="K126" s="400" t="str">
        <f t="shared" si="1"/>
        <v/>
      </c>
      <c r="L126" s="400" t="str">
        <f>IF('Mapa final'!AD129="","",'Mapa final'!AD129)</f>
        <v/>
      </c>
      <c r="M126" s="339" t="str">
        <f>IF('Mapa final'!P129="","",'Mapa final'!P129)</f>
        <v/>
      </c>
      <c r="N126" s="397"/>
      <c r="O126" s="397"/>
      <c r="P126" s="397"/>
      <c r="Q126" s="398"/>
    </row>
    <row r="127" spans="1:17" x14ac:dyDescent="0.25">
      <c r="A127" s="115" t="s">
        <v>359</v>
      </c>
      <c r="B127" s="856"/>
      <c r="C127" s="862" t="str">
        <f>IF('Mapa final'!E130="","",'Mapa final'!E130)</f>
        <v/>
      </c>
      <c r="D127" s="860"/>
      <c r="E127" s="862" t="str">
        <f>IF('Mapa final'!D130="","",'Mapa final'!D130)</f>
        <v/>
      </c>
      <c r="F127" s="865" t="str">
        <f>IF('Mapa final'!H130="","",'Mapa final'!H130)</f>
        <v/>
      </c>
      <c r="G127" s="865" t="str">
        <f>IF('Mapa final'!L130="","",'Mapa final'!L130)</f>
        <v/>
      </c>
      <c r="H127" s="86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0" t="str">
        <f>IF('Mapa final'!Y130="","",'Mapa final'!Y130)</f>
        <v/>
      </c>
      <c r="J127" s="400" t="str">
        <f>IF('Mapa final'!AA130="","",'Mapa final'!AA130)</f>
        <v/>
      </c>
      <c r="K127" s="400" t="str">
        <f t="shared" si="1"/>
        <v/>
      </c>
      <c r="L127" s="400" t="str">
        <f>IF('Mapa final'!AD130="","",'Mapa final'!AD130)</f>
        <v/>
      </c>
      <c r="M127" s="339" t="str">
        <f>IF('Mapa final'!P130="","",'Mapa final'!P130)</f>
        <v/>
      </c>
      <c r="N127" s="397"/>
      <c r="O127" s="397"/>
      <c r="P127" s="397"/>
      <c r="Q127" s="398"/>
    </row>
    <row r="128" spans="1:17" x14ac:dyDescent="0.25">
      <c r="A128" s="115" t="s">
        <v>360</v>
      </c>
      <c r="B128" s="857"/>
      <c r="C128" s="863"/>
      <c r="D128" s="861"/>
      <c r="E128" s="863"/>
      <c r="F128" s="865"/>
      <c r="G128" s="865"/>
      <c r="H128" s="867"/>
      <c r="I128" s="400" t="str">
        <f>IF('Mapa final'!Y131="","",'Mapa final'!Y131)</f>
        <v/>
      </c>
      <c r="J128" s="400" t="str">
        <f>IF('Mapa final'!AA131="","",'Mapa final'!AA131)</f>
        <v/>
      </c>
      <c r="K128" s="400" t="str">
        <f t="shared" si="1"/>
        <v/>
      </c>
      <c r="L128" s="400" t="str">
        <f>IF('Mapa final'!AD131="","",'Mapa final'!AD131)</f>
        <v/>
      </c>
      <c r="M128" s="339" t="str">
        <f>IF('Mapa final'!P131="","",'Mapa final'!P131)</f>
        <v/>
      </c>
      <c r="N128" s="397"/>
      <c r="O128" s="397"/>
      <c r="P128" s="397"/>
      <c r="Q128" s="398"/>
    </row>
    <row r="129" spans="1:17" x14ac:dyDescent="0.25">
      <c r="A129" s="115" t="s">
        <v>361</v>
      </c>
      <c r="B129" s="857"/>
      <c r="C129" s="863"/>
      <c r="D129" s="861"/>
      <c r="E129" s="863"/>
      <c r="F129" s="865"/>
      <c r="G129" s="865"/>
      <c r="H129" s="867"/>
      <c r="I129" s="400" t="str">
        <f>IF('Mapa final'!Y132="","",'Mapa final'!Y132)</f>
        <v/>
      </c>
      <c r="J129" s="400" t="str">
        <f>IF('Mapa final'!AA132="","",'Mapa final'!AA132)</f>
        <v/>
      </c>
      <c r="K129" s="400" t="str">
        <f t="shared" si="1"/>
        <v/>
      </c>
      <c r="L129" s="400" t="str">
        <f>IF('Mapa final'!AD132="","",'Mapa final'!AD132)</f>
        <v/>
      </c>
      <c r="M129" s="339" t="str">
        <f>IF('Mapa final'!P132="","",'Mapa final'!P132)</f>
        <v/>
      </c>
      <c r="N129" s="397"/>
      <c r="O129" s="397"/>
      <c r="P129" s="397"/>
      <c r="Q129" s="398"/>
    </row>
    <row r="130" spans="1:17" x14ac:dyDescent="0.25">
      <c r="A130" s="115" t="s">
        <v>362</v>
      </c>
      <c r="B130" s="857"/>
      <c r="C130" s="863"/>
      <c r="D130" s="861"/>
      <c r="E130" s="863"/>
      <c r="F130" s="865"/>
      <c r="G130" s="865"/>
      <c r="H130" s="867"/>
      <c r="I130" s="400" t="str">
        <f>IF('Mapa final'!Y133="","",'Mapa final'!Y133)</f>
        <v/>
      </c>
      <c r="J130" s="400" t="str">
        <f>IF('Mapa final'!AA133="","",'Mapa final'!AA133)</f>
        <v/>
      </c>
      <c r="K130" s="400" t="str">
        <f t="shared" si="1"/>
        <v/>
      </c>
      <c r="L130" s="400" t="str">
        <f>IF('Mapa final'!AD133="","",'Mapa final'!AD133)</f>
        <v/>
      </c>
      <c r="M130" s="339" t="str">
        <f>IF('Mapa final'!P133="","",'Mapa final'!P133)</f>
        <v/>
      </c>
      <c r="N130" s="397"/>
      <c r="O130" s="397"/>
      <c r="P130" s="397"/>
      <c r="Q130" s="398"/>
    </row>
    <row r="131" spans="1:17" x14ac:dyDescent="0.25">
      <c r="A131" s="115" t="s">
        <v>363</v>
      </c>
      <c r="B131" s="857"/>
      <c r="C131" s="863"/>
      <c r="D131" s="861"/>
      <c r="E131" s="863"/>
      <c r="F131" s="865"/>
      <c r="G131" s="865"/>
      <c r="H131" s="867"/>
      <c r="I131" s="400" t="str">
        <f>IF('Mapa final'!Y134="","",'Mapa final'!Y134)</f>
        <v/>
      </c>
      <c r="J131" s="400" t="str">
        <f>IF('Mapa final'!AA134="","",'Mapa final'!AA134)</f>
        <v/>
      </c>
      <c r="K131" s="400" t="str">
        <f t="shared" si="1"/>
        <v/>
      </c>
      <c r="L131" s="400" t="str">
        <f>IF('Mapa final'!AD134="","",'Mapa final'!AD134)</f>
        <v/>
      </c>
      <c r="M131" s="339" t="str">
        <f>IF('Mapa final'!P134="","",'Mapa final'!P134)</f>
        <v/>
      </c>
      <c r="N131" s="397"/>
      <c r="O131" s="397"/>
      <c r="P131" s="397"/>
      <c r="Q131" s="398"/>
    </row>
    <row r="132" spans="1:17" x14ac:dyDescent="0.25">
      <c r="A132" s="115" t="s">
        <v>364</v>
      </c>
      <c r="B132" s="857"/>
      <c r="C132" s="863"/>
      <c r="D132" s="861"/>
      <c r="E132" s="863"/>
      <c r="F132" s="865"/>
      <c r="G132" s="865"/>
      <c r="H132" s="867"/>
      <c r="I132" s="400" t="str">
        <f>IF('Mapa final'!Y135="","",'Mapa final'!Y135)</f>
        <v/>
      </c>
      <c r="J132" s="400" t="str">
        <f>IF('Mapa final'!AA135="","",'Mapa final'!AA135)</f>
        <v/>
      </c>
      <c r="K132" s="400" t="str">
        <f t="shared" si="1"/>
        <v/>
      </c>
      <c r="L132" s="400" t="str">
        <f>IF('Mapa final'!AD135="","",'Mapa final'!AD135)</f>
        <v/>
      </c>
      <c r="M132" s="339" t="str">
        <f>IF('Mapa final'!P135="","",'Mapa final'!P135)</f>
        <v/>
      </c>
      <c r="N132" s="397"/>
      <c r="O132" s="397"/>
      <c r="P132" s="397"/>
      <c r="Q132" s="398"/>
    </row>
    <row r="133" spans="1:17" x14ac:dyDescent="0.25">
      <c r="A133" s="115" t="s">
        <v>365</v>
      </c>
      <c r="B133" s="856"/>
      <c r="C133" s="862" t="str">
        <f>IF('Mapa final'!E136="","",'Mapa final'!E136)</f>
        <v/>
      </c>
      <c r="D133" s="860"/>
      <c r="E133" s="862" t="str">
        <f>IF('Mapa final'!D136="","",'Mapa final'!D136)</f>
        <v/>
      </c>
      <c r="F133" s="865" t="str">
        <f>IF('Mapa final'!H136="","",'Mapa final'!H136)</f>
        <v/>
      </c>
      <c r="G133" s="865" t="str">
        <f>IF('Mapa final'!L136="","",'Mapa final'!L136)</f>
        <v/>
      </c>
      <c r="H133" s="86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0" t="str">
        <f>IF('Mapa final'!Y136="","",'Mapa final'!Y136)</f>
        <v/>
      </c>
      <c r="J133" s="400" t="str">
        <f>IF('Mapa final'!AA136="","",'Mapa final'!AA136)</f>
        <v/>
      </c>
      <c r="K133" s="400" t="str">
        <f t="shared" si="1"/>
        <v/>
      </c>
      <c r="L133" s="400" t="str">
        <f>IF('Mapa final'!AD136="","",'Mapa final'!AD136)</f>
        <v/>
      </c>
      <c r="M133" s="339" t="str">
        <f>IF('Mapa final'!P136="","",'Mapa final'!P136)</f>
        <v/>
      </c>
      <c r="N133" s="397"/>
      <c r="O133" s="397"/>
      <c r="P133" s="397"/>
      <c r="Q133" s="398"/>
    </row>
    <row r="134" spans="1:17" x14ac:dyDescent="0.25">
      <c r="A134" s="115" t="s">
        <v>366</v>
      </c>
      <c r="B134" s="857"/>
      <c r="C134" s="863"/>
      <c r="D134" s="861"/>
      <c r="E134" s="863"/>
      <c r="F134" s="865"/>
      <c r="G134" s="865"/>
      <c r="H134" s="867"/>
      <c r="I134" s="400" t="str">
        <f>IF('Mapa final'!Y137="","",'Mapa final'!Y137)</f>
        <v/>
      </c>
      <c r="J134" s="400" t="str">
        <f>IF('Mapa final'!AA137="","",'Mapa final'!AA137)</f>
        <v/>
      </c>
      <c r="K134" s="400" t="str">
        <f t="shared" si="1"/>
        <v/>
      </c>
      <c r="L134" s="400" t="str">
        <f>IF('Mapa final'!AD137="","",'Mapa final'!AD137)</f>
        <v/>
      </c>
      <c r="M134" s="339" t="str">
        <f>IF('Mapa final'!P137="","",'Mapa final'!P137)</f>
        <v/>
      </c>
      <c r="N134" s="397"/>
      <c r="O134" s="397"/>
      <c r="P134" s="397"/>
      <c r="Q134" s="398"/>
    </row>
    <row r="135" spans="1:17" x14ac:dyDescent="0.25">
      <c r="A135" s="115" t="s">
        <v>367</v>
      </c>
      <c r="B135" s="857"/>
      <c r="C135" s="863"/>
      <c r="D135" s="861"/>
      <c r="E135" s="863"/>
      <c r="F135" s="865"/>
      <c r="G135" s="865"/>
      <c r="H135" s="867"/>
      <c r="I135" s="400" t="str">
        <f>IF('Mapa final'!Y138="","",'Mapa final'!Y138)</f>
        <v/>
      </c>
      <c r="J135" s="400" t="str">
        <f>IF('Mapa final'!AA138="","",'Mapa final'!AA138)</f>
        <v/>
      </c>
      <c r="K135" s="400" t="str">
        <f t="shared" si="1"/>
        <v/>
      </c>
      <c r="L135" s="400" t="str">
        <f>IF('Mapa final'!AD138="","",'Mapa final'!AD138)</f>
        <v/>
      </c>
      <c r="M135" s="339" t="str">
        <f>IF('Mapa final'!P138="","",'Mapa final'!P138)</f>
        <v/>
      </c>
      <c r="N135" s="397"/>
      <c r="O135" s="397"/>
      <c r="P135" s="397"/>
      <c r="Q135" s="398"/>
    </row>
    <row r="136" spans="1:17" x14ac:dyDescent="0.25">
      <c r="A136" s="115" t="s">
        <v>368</v>
      </c>
      <c r="B136" s="857"/>
      <c r="C136" s="863"/>
      <c r="D136" s="861"/>
      <c r="E136" s="863"/>
      <c r="F136" s="865"/>
      <c r="G136" s="865"/>
      <c r="H136" s="867"/>
      <c r="I136" s="400" t="str">
        <f>IF('Mapa final'!Y139="","",'Mapa final'!Y139)</f>
        <v/>
      </c>
      <c r="J136" s="400" t="str">
        <f>IF('Mapa final'!AA139="","",'Mapa final'!AA139)</f>
        <v/>
      </c>
      <c r="K136" s="40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0" t="str">
        <f>IF('Mapa final'!AD139="","",'Mapa final'!AD139)</f>
        <v/>
      </c>
      <c r="M136" s="339" t="str">
        <f>IF('Mapa final'!P139="","",'Mapa final'!P139)</f>
        <v/>
      </c>
      <c r="N136" s="397"/>
      <c r="O136" s="397"/>
      <c r="P136" s="397"/>
      <c r="Q136" s="398"/>
    </row>
    <row r="137" spans="1:17" x14ac:dyDescent="0.25">
      <c r="A137" s="115" t="s">
        <v>369</v>
      </c>
      <c r="B137" s="857"/>
      <c r="C137" s="863"/>
      <c r="D137" s="861"/>
      <c r="E137" s="863"/>
      <c r="F137" s="865"/>
      <c r="G137" s="865"/>
      <c r="H137" s="867"/>
      <c r="I137" s="400" t="str">
        <f>IF('Mapa final'!Y140="","",'Mapa final'!Y140)</f>
        <v/>
      </c>
      <c r="J137" s="400" t="str">
        <f>IF('Mapa final'!AA140="","",'Mapa final'!AA140)</f>
        <v/>
      </c>
      <c r="K137" s="400" t="str">
        <f t="shared" si="2"/>
        <v/>
      </c>
      <c r="L137" s="400" t="str">
        <f>IF('Mapa final'!AD140="","",'Mapa final'!AD140)</f>
        <v/>
      </c>
      <c r="M137" s="339" t="str">
        <f>IF('Mapa final'!P140="","",'Mapa final'!P140)</f>
        <v/>
      </c>
      <c r="N137" s="397"/>
      <c r="O137" s="397"/>
      <c r="P137" s="397"/>
      <c r="Q137" s="398"/>
    </row>
    <row r="138" spans="1:17" x14ac:dyDescent="0.25">
      <c r="A138" s="115" t="s">
        <v>370</v>
      </c>
      <c r="B138" s="857"/>
      <c r="C138" s="863"/>
      <c r="D138" s="861"/>
      <c r="E138" s="863"/>
      <c r="F138" s="865"/>
      <c r="G138" s="865"/>
      <c r="H138" s="867"/>
      <c r="I138" s="400" t="str">
        <f>IF('Mapa final'!Y141="","",'Mapa final'!Y141)</f>
        <v/>
      </c>
      <c r="J138" s="400" t="str">
        <f>IF('Mapa final'!AA141="","",'Mapa final'!AA141)</f>
        <v/>
      </c>
      <c r="K138" s="400" t="str">
        <f t="shared" si="2"/>
        <v/>
      </c>
      <c r="L138" s="400" t="str">
        <f>IF('Mapa final'!AD141="","",'Mapa final'!AD141)</f>
        <v/>
      </c>
      <c r="M138" s="339" t="str">
        <f>IF('Mapa final'!P141="","",'Mapa final'!P141)</f>
        <v/>
      </c>
      <c r="N138" s="397"/>
      <c r="O138" s="397"/>
      <c r="P138" s="397"/>
      <c r="Q138" s="398"/>
    </row>
    <row r="139" spans="1:17" x14ac:dyDescent="0.25">
      <c r="A139" s="115" t="s">
        <v>371</v>
      </c>
      <c r="B139" s="856"/>
      <c r="C139" s="862" t="str">
        <f>IF('Mapa final'!E142="","",'Mapa final'!E142)</f>
        <v/>
      </c>
      <c r="D139" s="860"/>
      <c r="E139" s="862" t="str">
        <f>IF('Mapa final'!D142="","",'Mapa final'!D142)</f>
        <v/>
      </c>
      <c r="F139" s="865" t="str">
        <f>IF('Mapa final'!H142="","",'Mapa final'!H142)</f>
        <v/>
      </c>
      <c r="G139" s="865" t="str">
        <f>IF('Mapa final'!L142="","",'Mapa final'!L142)</f>
        <v/>
      </c>
      <c r="H139" s="86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0" t="str">
        <f>IF('Mapa final'!Y142="","",'Mapa final'!Y142)</f>
        <v/>
      </c>
      <c r="J139" s="400" t="str">
        <f>IF('Mapa final'!AA142="","",'Mapa final'!AA142)</f>
        <v/>
      </c>
      <c r="K139" s="400" t="str">
        <f t="shared" si="2"/>
        <v/>
      </c>
      <c r="L139" s="400" t="str">
        <f>IF('Mapa final'!AD142="","",'Mapa final'!AD142)</f>
        <v/>
      </c>
      <c r="M139" s="339" t="str">
        <f>IF('Mapa final'!P142="","",'Mapa final'!P142)</f>
        <v/>
      </c>
      <c r="N139" s="397"/>
      <c r="O139" s="397"/>
      <c r="P139" s="397"/>
      <c r="Q139" s="398"/>
    </row>
    <row r="140" spans="1:17" x14ac:dyDescent="0.25">
      <c r="A140" s="115" t="s">
        <v>372</v>
      </c>
      <c r="B140" s="857"/>
      <c r="C140" s="863"/>
      <c r="D140" s="861"/>
      <c r="E140" s="863"/>
      <c r="F140" s="865"/>
      <c r="G140" s="865"/>
      <c r="H140" s="867"/>
      <c r="I140" s="400" t="str">
        <f>IF('Mapa final'!Y143="","",'Mapa final'!Y143)</f>
        <v/>
      </c>
      <c r="J140" s="400" t="str">
        <f>IF('Mapa final'!AA143="","",'Mapa final'!AA143)</f>
        <v/>
      </c>
      <c r="K140" s="400" t="str">
        <f t="shared" si="2"/>
        <v/>
      </c>
      <c r="L140" s="400" t="str">
        <f>IF('Mapa final'!AD143="","",'Mapa final'!AD143)</f>
        <v/>
      </c>
      <c r="M140" s="339" t="str">
        <f>IF('Mapa final'!P143="","",'Mapa final'!P143)</f>
        <v/>
      </c>
      <c r="N140" s="397"/>
      <c r="O140" s="397"/>
      <c r="P140" s="397"/>
      <c r="Q140" s="398"/>
    </row>
    <row r="141" spans="1:17" x14ac:dyDescent="0.25">
      <c r="A141" s="115" t="s">
        <v>373</v>
      </c>
      <c r="B141" s="857"/>
      <c r="C141" s="863"/>
      <c r="D141" s="861"/>
      <c r="E141" s="863"/>
      <c r="F141" s="865"/>
      <c r="G141" s="865"/>
      <c r="H141" s="867"/>
      <c r="I141" s="400" t="str">
        <f>IF('Mapa final'!Y144="","",'Mapa final'!Y144)</f>
        <v/>
      </c>
      <c r="J141" s="400" t="str">
        <f>IF('Mapa final'!AA144="","",'Mapa final'!AA144)</f>
        <v/>
      </c>
      <c r="K141" s="400" t="str">
        <f t="shared" si="2"/>
        <v/>
      </c>
      <c r="L141" s="400" t="str">
        <f>IF('Mapa final'!AD144="","",'Mapa final'!AD144)</f>
        <v/>
      </c>
      <c r="M141" s="339" t="str">
        <f>IF('Mapa final'!P144="","",'Mapa final'!P144)</f>
        <v/>
      </c>
      <c r="N141" s="397"/>
      <c r="O141" s="397"/>
      <c r="P141" s="397"/>
      <c r="Q141" s="398"/>
    </row>
    <row r="142" spans="1:17" x14ac:dyDescent="0.25">
      <c r="A142" s="115" t="s">
        <v>374</v>
      </c>
      <c r="B142" s="857"/>
      <c r="C142" s="863"/>
      <c r="D142" s="861"/>
      <c r="E142" s="863"/>
      <c r="F142" s="865"/>
      <c r="G142" s="865"/>
      <c r="H142" s="867"/>
      <c r="I142" s="400" t="str">
        <f>IF('Mapa final'!Y145="","",'Mapa final'!Y145)</f>
        <v/>
      </c>
      <c r="J142" s="400" t="str">
        <f>IF('Mapa final'!AA145="","",'Mapa final'!AA145)</f>
        <v/>
      </c>
      <c r="K142" s="400" t="str">
        <f t="shared" si="2"/>
        <v/>
      </c>
      <c r="L142" s="400" t="str">
        <f>IF('Mapa final'!AD145="","",'Mapa final'!AD145)</f>
        <v/>
      </c>
      <c r="M142" s="339" t="str">
        <f>IF('Mapa final'!P145="","",'Mapa final'!P145)</f>
        <v/>
      </c>
      <c r="N142" s="397"/>
      <c r="O142" s="397"/>
      <c r="P142" s="397"/>
      <c r="Q142" s="398"/>
    </row>
    <row r="143" spans="1:17" x14ac:dyDescent="0.25">
      <c r="A143" s="115" t="s">
        <v>375</v>
      </c>
      <c r="B143" s="857"/>
      <c r="C143" s="863"/>
      <c r="D143" s="861"/>
      <c r="E143" s="863"/>
      <c r="F143" s="865"/>
      <c r="G143" s="865"/>
      <c r="H143" s="867"/>
      <c r="I143" s="400" t="str">
        <f>IF('Mapa final'!Y146="","",'Mapa final'!Y146)</f>
        <v/>
      </c>
      <c r="J143" s="400" t="str">
        <f>IF('Mapa final'!AA146="","",'Mapa final'!AA146)</f>
        <v/>
      </c>
      <c r="K143" s="400" t="str">
        <f t="shared" si="2"/>
        <v/>
      </c>
      <c r="L143" s="400" t="str">
        <f>IF('Mapa final'!AD146="","",'Mapa final'!AD146)</f>
        <v/>
      </c>
      <c r="M143" s="339" t="str">
        <f>IF('Mapa final'!P146="","",'Mapa final'!P146)</f>
        <v/>
      </c>
      <c r="N143" s="397"/>
      <c r="O143" s="397"/>
      <c r="P143" s="397"/>
      <c r="Q143" s="398"/>
    </row>
    <row r="144" spans="1:17" x14ac:dyDescent="0.25">
      <c r="A144" s="115" t="s">
        <v>376</v>
      </c>
      <c r="B144" s="857"/>
      <c r="C144" s="863"/>
      <c r="D144" s="861"/>
      <c r="E144" s="863"/>
      <c r="F144" s="865"/>
      <c r="G144" s="865"/>
      <c r="H144" s="867"/>
      <c r="I144" s="400" t="str">
        <f>IF('Mapa final'!Y147="","",'Mapa final'!Y147)</f>
        <v/>
      </c>
      <c r="J144" s="400" t="str">
        <f>IF('Mapa final'!AA147="","",'Mapa final'!AA147)</f>
        <v/>
      </c>
      <c r="K144" s="400" t="str">
        <f t="shared" si="2"/>
        <v/>
      </c>
      <c r="L144" s="400" t="str">
        <f>IF('Mapa final'!AD147="","",'Mapa final'!AD147)</f>
        <v/>
      </c>
      <c r="M144" s="339" t="str">
        <f>IF('Mapa final'!P147="","",'Mapa final'!P147)</f>
        <v/>
      </c>
      <c r="N144" s="397"/>
      <c r="O144" s="397"/>
      <c r="P144" s="397"/>
      <c r="Q144" s="398"/>
    </row>
    <row r="145" spans="1:17" x14ac:dyDescent="0.25">
      <c r="A145" s="115" t="s">
        <v>377</v>
      </c>
      <c r="B145" s="856"/>
      <c r="C145" s="862" t="str">
        <f>IF('Mapa final'!E148="","",'Mapa final'!E148)</f>
        <v/>
      </c>
      <c r="D145" s="860"/>
      <c r="E145" s="862" t="str">
        <f>IF('Mapa final'!D148="","",'Mapa final'!D148)</f>
        <v/>
      </c>
      <c r="F145" s="865" t="str">
        <f>IF('Mapa final'!H148="","",'Mapa final'!H148)</f>
        <v/>
      </c>
      <c r="G145" s="865" t="str">
        <f>IF('Mapa final'!L148="","",'Mapa final'!L148)</f>
        <v/>
      </c>
      <c r="H145" s="86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0" t="str">
        <f>IF('Mapa final'!Y148="","",'Mapa final'!Y148)</f>
        <v/>
      </c>
      <c r="J145" s="400" t="str">
        <f>IF('Mapa final'!AA148="","",'Mapa final'!AA148)</f>
        <v/>
      </c>
      <c r="K145" s="400" t="str">
        <f t="shared" si="2"/>
        <v/>
      </c>
      <c r="L145" s="400" t="str">
        <f>IF('Mapa final'!AD148="","",'Mapa final'!AD148)</f>
        <v/>
      </c>
      <c r="M145" s="339" t="str">
        <f>IF('Mapa final'!P148="","",'Mapa final'!P148)</f>
        <v/>
      </c>
      <c r="N145" s="397"/>
      <c r="O145" s="397"/>
      <c r="P145" s="397"/>
      <c r="Q145" s="398"/>
    </row>
    <row r="146" spans="1:17" x14ac:dyDescent="0.25">
      <c r="A146" s="115" t="s">
        <v>378</v>
      </c>
      <c r="B146" s="857"/>
      <c r="C146" s="863"/>
      <c r="D146" s="861"/>
      <c r="E146" s="863"/>
      <c r="F146" s="865"/>
      <c r="G146" s="865"/>
      <c r="H146" s="867"/>
      <c r="I146" s="400" t="str">
        <f>IF('Mapa final'!Y149="","",'Mapa final'!Y149)</f>
        <v/>
      </c>
      <c r="J146" s="400" t="str">
        <f>IF('Mapa final'!AA149="","",'Mapa final'!AA149)</f>
        <v/>
      </c>
      <c r="K146" s="400" t="str">
        <f t="shared" si="2"/>
        <v/>
      </c>
      <c r="L146" s="400" t="str">
        <f>IF('Mapa final'!AD149="","",'Mapa final'!AD149)</f>
        <v/>
      </c>
      <c r="M146" s="339" t="str">
        <f>IF('Mapa final'!P149="","",'Mapa final'!P149)</f>
        <v/>
      </c>
      <c r="N146" s="397"/>
      <c r="O146" s="397"/>
      <c r="P146" s="397"/>
      <c r="Q146" s="398"/>
    </row>
    <row r="147" spans="1:17" x14ac:dyDescent="0.25">
      <c r="A147" s="115" t="s">
        <v>379</v>
      </c>
      <c r="B147" s="857"/>
      <c r="C147" s="863"/>
      <c r="D147" s="861"/>
      <c r="E147" s="863"/>
      <c r="F147" s="865"/>
      <c r="G147" s="865"/>
      <c r="H147" s="867"/>
      <c r="I147" s="400" t="str">
        <f>IF('Mapa final'!Y150="","",'Mapa final'!Y150)</f>
        <v/>
      </c>
      <c r="J147" s="400" t="str">
        <f>IF('Mapa final'!AA150="","",'Mapa final'!AA150)</f>
        <v/>
      </c>
      <c r="K147" s="400" t="str">
        <f t="shared" si="2"/>
        <v/>
      </c>
      <c r="L147" s="400" t="str">
        <f>IF('Mapa final'!AD150="","",'Mapa final'!AD150)</f>
        <v/>
      </c>
      <c r="M147" s="339" t="str">
        <f>IF('Mapa final'!P150="","",'Mapa final'!P150)</f>
        <v/>
      </c>
      <c r="N147" s="397"/>
      <c r="O147" s="397"/>
      <c r="P147" s="397"/>
      <c r="Q147" s="398"/>
    </row>
    <row r="148" spans="1:17" x14ac:dyDescent="0.25">
      <c r="A148" s="115" t="s">
        <v>380</v>
      </c>
      <c r="B148" s="857"/>
      <c r="C148" s="863"/>
      <c r="D148" s="861"/>
      <c r="E148" s="863"/>
      <c r="F148" s="865"/>
      <c r="G148" s="865"/>
      <c r="H148" s="867"/>
      <c r="I148" s="400" t="str">
        <f>IF('Mapa final'!Y151="","",'Mapa final'!Y151)</f>
        <v/>
      </c>
      <c r="J148" s="400" t="str">
        <f>IF('Mapa final'!AA151="","",'Mapa final'!AA151)</f>
        <v/>
      </c>
      <c r="K148" s="400" t="str">
        <f t="shared" si="2"/>
        <v/>
      </c>
      <c r="L148" s="400" t="str">
        <f>IF('Mapa final'!AD151="","",'Mapa final'!AD151)</f>
        <v/>
      </c>
      <c r="M148" s="339" t="str">
        <f>IF('Mapa final'!P151="","",'Mapa final'!P151)</f>
        <v/>
      </c>
      <c r="N148" s="397"/>
      <c r="O148" s="397"/>
      <c r="P148" s="397"/>
      <c r="Q148" s="398"/>
    </row>
    <row r="149" spans="1:17" x14ac:dyDescent="0.25">
      <c r="A149" s="115" t="s">
        <v>381</v>
      </c>
      <c r="B149" s="857"/>
      <c r="C149" s="863"/>
      <c r="D149" s="861"/>
      <c r="E149" s="863"/>
      <c r="F149" s="865"/>
      <c r="G149" s="865"/>
      <c r="H149" s="867"/>
      <c r="I149" s="400" t="str">
        <f>IF('Mapa final'!Y152="","",'Mapa final'!Y152)</f>
        <v/>
      </c>
      <c r="J149" s="400" t="str">
        <f>IF('Mapa final'!AA152="","",'Mapa final'!AA152)</f>
        <v/>
      </c>
      <c r="K149" s="400" t="str">
        <f t="shared" si="2"/>
        <v/>
      </c>
      <c r="L149" s="400" t="str">
        <f>IF('Mapa final'!AD152="","",'Mapa final'!AD152)</f>
        <v/>
      </c>
      <c r="M149" s="339" t="str">
        <f>IF('Mapa final'!P152="","",'Mapa final'!P152)</f>
        <v/>
      </c>
      <c r="N149" s="397"/>
      <c r="O149" s="397"/>
      <c r="P149" s="397"/>
      <c r="Q149" s="398"/>
    </row>
    <row r="150" spans="1:17" x14ac:dyDescent="0.25">
      <c r="A150" s="115" t="s">
        <v>382</v>
      </c>
      <c r="B150" s="857"/>
      <c r="C150" s="863"/>
      <c r="D150" s="861"/>
      <c r="E150" s="863"/>
      <c r="F150" s="865"/>
      <c r="G150" s="865"/>
      <c r="H150" s="867"/>
      <c r="I150" s="400" t="str">
        <f>IF('Mapa final'!Y153="","",'Mapa final'!Y153)</f>
        <v/>
      </c>
      <c r="J150" s="400" t="str">
        <f>IF('Mapa final'!AA153="","",'Mapa final'!AA153)</f>
        <v/>
      </c>
      <c r="K150" s="400" t="str">
        <f t="shared" si="2"/>
        <v/>
      </c>
      <c r="L150" s="400" t="str">
        <f>IF('Mapa final'!AD153="","",'Mapa final'!AD153)</f>
        <v/>
      </c>
      <c r="M150" s="339" t="str">
        <f>IF('Mapa final'!P153="","",'Mapa final'!P153)</f>
        <v/>
      </c>
      <c r="N150" s="397"/>
      <c r="O150" s="397"/>
      <c r="P150" s="397"/>
      <c r="Q150" s="398"/>
    </row>
    <row r="151" spans="1:17" x14ac:dyDescent="0.25">
      <c r="A151" s="115" t="s">
        <v>383</v>
      </c>
      <c r="B151" s="856"/>
      <c r="C151" s="862" t="str">
        <f>IF('Mapa final'!E154="","",'Mapa final'!E154)</f>
        <v/>
      </c>
      <c r="D151" s="860"/>
      <c r="E151" s="862" t="str">
        <f>IF('Mapa final'!D154="","",'Mapa final'!D154)</f>
        <v/>
      </c>
      <c r="F151" s="865" t="str">
        <f>IF('Mapa final'!H154="","",'Mapa final'!H154)</f>
        <v/>
      </c>
      <c r="G151" s="865" t="str">
        <f>IF('Mapa final'!L154="","",'Mapa final'!L154)</f>
        <v/>
      </c>
      <c r="H151" s="86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0" t="str">
        <f>IF('Mapa final'!Y154="","",'Mapa final'!Y154)</f>
        <v/>
      </c>
      <c r="J151" s="400" t="str">
        <f>IF('Mapa final'!AA154="","",'Mapa final'!AA154)</f>
        <v/>
      </c>
      <c r="K151" s="400" t="str">
        <f t="shared" si="2"/>
        <v/>
      </c>
      <c r="L151" s="400" t="str">
        <f>IF('Mapa final'!AD154="","",'Mapa final'!AD154)</f>
        <v/>
      </c>
      <c r="M151" s="339" t="str">
        <f>IF('Mapa final'!P154="","",'Mapa final'!P154)</f>
        <v/>
      </c>
      <c r="N151" s="397"/>
      <c r="O151" s="397"/>
      <c r="P151" s="397"/>
      <c r="Q151" s="398"/>
    </row>
    <row r="152" spans="1:17" x14ac:dyDescent="0.25">
      <c r="A152" s="115" t="s">
        <v>384</v>
      </c>
      <c r="B152" s="857"/>
      <c r="C152" s="863"/>
      <c r="D152" s="861"/>
      <c r="E152" s="863"/>
      <c r="F152" s="865"/>
      <c r="G152" s="865"/>
      <c r="H152" s="867"/>
      <c r="I152" s="400" t="str">
        <f>IF('Mapa final'!Y155="","",'Mapa final'!Y155)</f>
        <v/>
      </c>
      <c r="J152" s="400" t="str">
        <f>IF('Mapa final'!AA155="","",'Mapa final'!AA155)</f>
        <v/>
      </c>
      <c r="K152" s="400" t="str">
        <f t="shared" si="2"/>
        <v/>
      </c>
      <c r="L152" s="400" t="str">
        <f>IF('Mapa final'!AD155="","",'Mapa final'!AD155)</f>
        <v/>
      </c>
      <c r="M152" s="339" t="str">
        <f>IF('Mapa final'!P155="","",'Mapa final'!P155)</f>
        <v/>
      </c>
      <c r="N152" s="397"/>
      <c r="O152" s="397"/>
      <c r="P152" s="397"/>
      <c r="Q152" s="398"/>
    </row>
    <row r="153" spans="1:17" x14ac:dyDescent="0.25">
      <c r="A153" s="115" t="s">
        <v>385</v>
      </c>
      <c r="B153" s="857"/>
      <c r="C153" s="863"/>
      <c r="D153" s="861"/>
      <c r="E153" s="863"/>
      <c r="F153" s="865"/>
      <c r="G153" s="865"/>
      <c r="H153" s="867"/>
      <c r="I153" s="400" t="str">
        <f>IF('Mapa final'!Y156="","",'Mapa final'!Y156)</f>
        <v/>
      </c>
      <c r="J153" s="400" t="str">
        <f>IF('Mapa final'!AA156="","",'Mapa final'!AA156)</f>
        <v/>
      </c>
      <c r="K153" s="400" t="str">
        <f t="shared" si="2"/>
        <v/>
      </c>
      <c r="L153" s="400" t="str">
        <f>IF('Mapa final'!AD156="","",'Mapa final'!AD156)</f>
        <v/>
      </c>
      <c r="M153" s="339" t="str">
        <f>IF('Mapa final'!P156="","",'Mapa final'!P156)</f>
        <v/>
      </c>
      <c r="N153" s="397"/>
      <c r="O153" s="397"/>
      <c r="P153" s="397"/>
      <c r="Q153" s="398"/>
    </row>
    <row r="154" spans="1:17" x14ac:dyDescent="0.25">
      <c r="A154" s="115" t="s">
        <v>386</v>
      </c>
      <c r="B154" s="857"/>
      <c r="C154" s="863"/>
      <c r="D154" s="861"/>
      <c r="E154" s="863"/>
      <c r="F154" s="865"/>
      <c r="G154" s="865"/>
      <c r="H154" s="867"/>
      <c r="I154" s="400" t="str">
        <f>IF('Mapa final'!Y157="","",'Mapa final'!Y157)</f>
        <v/>
      </c>
      <c r="J154" s="400" t="str">
        <f>IF('Mapa final'!AA157="","",'Mapa final'!AA157)</f>
        <v/>
      </c>
      <c r="K154" s="400" t="str">
        <f t="shared" si="2"/>
        <v/>
      </c>
      <c r="L154" s="400" t="str">
        <f>IF('Mapa final'!AD157="","",'Mapa final'!AD157)</f>
        <v/>
      </c>
      <c r="M154" s="339" t="str">
        <f>IF('Mapa final'!P157="","",'Mapa final'!P157)</f>
        <v/>
      </c>
      <c r="N154" s="397"/>
      <c r="O154" s="397"/>
      <c r="P154" s="397"/>
      <c r="Q154" s="398"/>
    </row>
    <row r="155" spans="1:17" x14ac:dyDescent="0.25">
      <c r="A155" s="115" t="s">
        <v>387</v>
      </c>
      <c r="B155" s="857"/>
      <c r="C155" s="863"/>
      <c r="D155" s="861"/>
      <c r="E155" s="863"/>
      <c r="F155" s="865"/>
      <c r="G155" s="865"/>
      <c r="H155" s="867"/>
      <c r="I155" s="400" t="str">
        <f>IF('Mapa final'!Y158="","",'Mapa final'!Y158)</f>
        <v/>
      </c>
      <c r="J155" s="400" t="str">
        <f>IF('Mapa final'!AA158="","",'Mapa final'!AA158)</f>
        <v/>
      </c>
      <c r="K155" s="400" t="str">
        <f t="shared" si="2"/>
        <v/>
      </c>
      <c r="L155" s="400" t="str">
        <f>IF('Mapa final'!AD158="","",'Mapa final'!AD158)</f>
        <v/>
      </c>
      <c r="M155" s="339" t="str">
        <f>IF('Mapa final'!P158="","",'Mapa final'!P158)</f>
        <v/>
      </c>
      <c r="N155" s="397"/>
      <c r="O155" s="397"/>
      <c r="P155" s="397"/>
      <c r="Q155" s="398"/>
    </row>
    <row r="156" spans="1:17" x14ac:dyDescent="0.25">
      <c r="A156" s="115" t="s">
        <v>388</v>
      </c>
      <c r="B156" s="857"/>
      <c r="C156" s="863"/>
      <c r="D156" s="861"/>
      <c r="E156" s="863"/>
      <c r="F156" s="865"/>
      <c r="G156" s="865"/>
      <c r="H156" s="867"/>
      <c r="I156" s="400" t="str">
        <f>IF('Mapa final'!Y159="","",'Mapa final'!Y159)</f>
        <v/>
      </c>
      <c r="J156" s="400" t="str">
        <f>IF('Mapa final'!AA159="","",'Mapa final'!AA159)</f>
        <v/>
      </c>
      <c r="K156" s="400" t="str">
        <f t="shared" si="2"/>
        <v/>
      </c>
      <c r="L156" s="400" t="str">
        <f>IF('Mapa final'!AD159="","",'Mapa final'!AD159)</f>
        <v/>
      </c>
      <c r="M156" s="339" t="str">
        <f>IF('Mapa final'!P159="","",'Mapa final'!P159)</f>
        <v/>
      </c>
      <c r="N156" s="397"/>
      <c r="O156" s="397"/>
      <c r="P156" s="397"/>
      <c r="Q156" s="398"/>
    </row>
    <row r="157" spans="1:17" x14ac:dyDescent="0.25">
      <c r="A157" s="115" t="s">
        <v>389</v>
      </c>
      <c r="B157" s="856"/>
      <c r="C157" s="862" t="str">
        <f>IF('Mapa final'!E160="","",'Mapa final'!E160)</f>
        <v/>
      </c>
      <c r="D157" s="860"/>
      <c r="E157" s="862" t="str">
        <f>IF('Mapa final'!D160="","",'Mapa final'!D160)</f>
        <v/>
      </c>
      <c r="F157" s="865" t="str">
        <f>IF('Mapa final'!H160="","",'Mapa final'!H160)</f>
        <v/>
      </c>
      <c r="G157" s="865" t="str">
        <f>IF('Mapa final'!L160="","",'Mapa final'!L160)</f>
        <v/>
      </c>
      <c r="H157" s="86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0" t="str">
        <f>IF('Mapa final'!Y160="","",'Mapa final'!Y160)</f>
        <v/>
      </c>
      <c r="J157" s="400" t="str">
        <f>IF('Mapa final'!AA160="","",'Mapa final'!AA160)</f>
        <v/>
      </c>
      <c r="K157" s="400" t="str">
        <f t="shared" si="2"/>
        <v/>
      </c>
      <c r="L157" s="400" t="str">
        <f>IF('Mapa final'!AD160="","",'Mapa final'!AD160)</f>
        <v/>
      </c>
      <c r="M157" s="339" t="str">
        <f>IF('Mapa final'!P160="","",'Mapa final'!P160)</f>
        <v/>
      </c>
      <c r="N157" s="397"/>
      <c r="O157" s="397"/>
      <c r="P157" s="397"/>
      <c r="Q157" s="398"/>
    </row>
    <row r="158" spans="1:17" x14ac:dyDescent="0.25">
      <c r="A158" s="115" t="s">
        <v>390</v>
      </c>
      <c r="B158" s="857"/>
      <c r="C158" s="863"/>
      <c r="D158" s="861"/>
      <c r="E158" s="863"/>
      <c r="F158" s="865"/>
      <c r="G158" s="865"/>
      <c r="H158" s="867"/>
      <c r="I158" s="400" t="str">
        <f>IF('Mapa final'!Y161="","",'Mapa final'!Y161)</f>
        <v/>
      </c>
      <c r="J158" s="400" t="str">
        <f>IF('Mapa final'!AA161="","",'Mapa final'!AA161)</f>
        <v/>
      </c>
      <c r="K158" s="400" t="str">
        <f t="shared" si="2"/>
        <v/>
      </c>
      <c r="L158" s="400" t="str">
        <f>IF('Mapa final'!AD161="","",'Mapa final'!AD161)</f>
        <v/>
      </c>
      <c r="M158" s="339" t="str">
        <f>IF('Mapa final'!P161="","",'Mapa final'!P161)</f>
        <v/>
      </c>
      <c r="N158" s="397"/>
      <c r="O158" s="397"/>
      <c r="P158" s="397"/>
      <c r="Q158" s="398"/>
    </row>
    <row r="159" spans="1:17" x14ac:dyDescent="0.25">
      <c r="A159" s="115" t="s">
        <v>391</v>
      </c>
      <c r="B159" s="857"/>
      <c r="C159" s="863"/>
      <c r="D159" s="861"/>
      <c r="E159" s="863"/>
      <c r="F159" s="865"/>
      <c r="G159" s="865"/>
      <c r="H159" s="867"/>
      <c r="I159" s="400" t="str">
        <f>IF('Mapa final'!Y162="","",'Mapa final'!Y162)</f>
        <v/>
      </c>
      <c r="J159" s="400" t="str">
        <f>IF('Mapa final'!AA162="","",'Mapa final'!AA162)</f>
        <v/>
      </c>
      <c r="K159" s="400" t="str">
        <f t="shared" si="2"/>
        <v/>
      </c>
      <c r="L159" s="400" t="str">
        <f>IF('Mapa final'!AD162="","",'Mapa final'!AD162)</f>
        <v/>
      </c>
      <c r="M159" s="339" t="str">
        <f>IF('Mapa final'!P162="","",'Mapa final'!P162)</f>
        <v/>
      </c>
      <c r="N159" s="397"/>
      <c r="O159" s="397"/>
      <c r="P159" s="397"/>
      <c r="Q159" s="398"/>
    </row>
    <row r="160" spans="1:17" x14ac:dyDescent="0.25">
      <c r="A160" s="115" t="s">
        <v>392</v>
      </c>
      <c r="B160" s="857"/>
      <c r="C160" s="863"/>
      <c r="D160" s="861"/>
      <c r="E160" s="863"/>
      <c r="F160" s="865"/>
      <c r="G160" s="865"/>
      <c r="H160" s="867"/>
      <c r="I160" s="400" t="str">
        <f>IF('Mapa final'!Y163="","",'Mapa final'!Y163)</f>
        <v/>
      </c>
      <c r="J160" s="400" t="str">
        <f>IF('Mapa final'!AA163="","",'Mapa final'!AA163)</f>
        <v/>
      </c>
      <c r="K160" s="400" t="str">
        <f t="shared" si="2"/>
        <v/>
      </c>
      <c r="L160" s="400" t="str">
        <f>IF('Mapa final'!AD163="","",'Mapa final'!AD163)</f>
        <v/>
      </c>
      <c r="M160" s="339" t="str">
        <f>IF('Mapa final'!P163="","",'Mapa final'!P163)</f>
        <v/>
      </c>
      <c r="N160" s="397"/>
      <c r="O160" s="397"/>
      <c r="P160" s="397"/>
      <c r="Q160" s="398"/>
    </row>
    <row r="161" spans="1:17" x14ac:dyDescent="0.25">
      <c r="A161" s="115" t="s">
        <v>393</v>
      </c>
      <c r="B161" s="857"/>
      <c r="C161" s="863"/>
      <c r="D161" s="861"/>
      <c r="E161" s="863"/>
      <c r="F161" s="865"/>
      <c r="G161" s="865"/>
      <c r="H161" s="867"/>
      <c r="I161" s="400" t="str">
        <f>IF('Mapa final'!Y164="","",'Mapa final'!Y164)</f>
        <v/>
      </c>
      <c r="J161" s="400" t="str">
        <f>IF('Mapa final'!AA164="","",'Mapa final'!AA164)</f>
        <v/>
      </c>
      <c r="K161" s="400" t="str">
        <f t="shared" si="2"/>
        <v/>
      </c>
      <c r="L161" s="400" t="str">
        <f>IF('Mapa final'!AD164="","",'Mapa final'!AD164)</f>
        <v/>
      </c>
      <c r="M161" s="339" t="str">
        <f>IF('Mapa final'!P164="","",'Mapa final'!P164)</f>
        <v/>
      </c>
      <c r="N161" s="397"/>
      <c r="O161" s="397"/>
      <c r="P161" s="397"/>
      <c r="Q161" s="398"/>
    </row>
    <row r="162" spans="1:17" x14ac:dyDescent="0.25">
      <c r="A162" s="115" t="s">
        <v>394</v>
      </c>
      <c r="B162" s="857"/>
      <c r="C162" s="863"/>
      <c r="D162" s="861"/>
      <c r="E162" s="863"/>
      <c r="F162" s="865"/>
      <c r="G162" s="865"/>
      <c r="H162" s="867"/>
      <c r="I162" s="400" t="str">
        <f>IF('Mapa final'!Y165="","",'Mapa final'!Y165)</f>
        <v/>
      </c>
      <c r="J162" s="400" t="str">
        <f>IF('Mapa final'!AA165="","",'Mapa final'!AA165)</f>
        <v/>
      </c>
      <c r="K162" s="400" t="str">
        <f t="shared" si="2"/>
        <v/>
      </c>
      <c r="L162" s="400" t="str">
        <f>IF('Mapa final'!AD165="","",'Mapa final'!AD165)</f>
        <v/>
      </c>
      <c r="M162" s="339" t="str">
        <f>IF('Mapa final'!P165="","",'Mapa final'!P165)</f>
        <v/>
      </c>
      <c r="N162" s="397"/>
      <c r="O162" s="397"/>
      <c r="P162" s="397"/>
      <c r="Q162" s="398"/>
    </row>
    <row r="163" spans="1:17" x14ac:dyDescent="0.25">
      <c r="A163" s="115" t="s">
        <v>395</v>
      </c>
      <c r="B163" s="856"/>
      <c r="C163" s="862" t="str">
        <f>IF('Mapa final'!E166="","",'Mapa final'!E166)</f>
        <v/>
      </c>
      <c r="D163" s="860"/>
      <c r="E163" s="862" t="str">
        <f>IF('Mapa final'!D166="","",'Mapa final'!D166)</f>
        <v/>
      </c>
      <c r="F163" s="865" t="str">
        <f>IF('Mapa final'!H166="","",'Mapa final'!H166)</f>
        <v/>
      </c>
      <c r="G163" s="865" t="str">
        <f>IF('Mapa final'!L166="","",'Mapa final'!L166)</f>
        <v/>
      </c>
      <c r="H163" s="86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0" t="str">
        <f>IF('Mapa final'!Y166="","",'Mapa final'!Y166)</f>
        <v/>
      </c>
      <c r="J163" s="400" t="str">
        <f>IF('Mapa final'!AA166="","",'Mapa final'!AA166)</f>
        <v/>
      </c>
      <c r="K163" s="400" t="str">
        <f t="shared" si="2"/>
        <v/>
      </c>
      <c r="L163" s="400" t="str">
        <f>IF('Mapa final'!AD166="","",'Mapa final'!AD166)</f>
        <v/>
      </c>
      <c r="M163" s="339" t="str">
        <f>IF('Mapa final'!P166="","",'Mapa final'!P166)</f>
        <v/>
      </c>
      <c r="N163" s="397"/>
      <c r="O163" s="397"/>
      <c r="P163" s="397"/>
      <c r="Q163" s="398"/>
    </row>
    <row r="164" spans="1:17" x14ac:dyDescent="0.25">
      <c r="A164" s="115" t="s">
        <v>396</v>
      </c>
      <c r="B164" s="857"/>
      <c r="C164" s="863"/>
      <c r="D164" s="861"/>
      <c r="E164" s="863"/>
      <c r="F164" s="865"/>
      <c r="G164" s="865"/>
      <c r="H164" s="867"/>
      <c r="I164" s="400" t="str">
        <f>IF('Mapa final'!Y167="","",'Mapa final'!Y167)</f>
        <v/>
      </c>
      <c r="J164" s="400" t="str">
        <f>IF('Mapa final'!AA167="","",'Mapa final'!AA167)</f>
        <v/>
      </c>
      <c r="K164" s="400" t="str">
        <f t="shared" si="2"/>
        <v/>
      </c>
      <c r="L164" s="400" t="str">
        <f>IF('Mapa final'!AD167="","",'Mapa final'!AD167)</f>
        <v/>
      </c>
      <c r="M164" s="339" t="str">
        <f>IF('Mapa final'!P167="","",'Mapa final'!P167)</f>
        <v/>
      </c>
      <c r="N164" s="397"/>
      <c r="O164" s="397"/>
      <c r="P164" s="397"/>
      <c r="Q164" s="398"/>
    </row>
    <row r="165" spans="1:17" x14ac:dyDescent="0.25">
      <c r="A165" s="115" t="s">
        <v>397</v>
      </c>
      <c r="B165" s="857"/>
      <c r="C165" s="863"/>
      <c r="D165" s="861"/>
      <c r="E165" s="863"/>
      <c r="F165" s="865"/>
      <c r="G165" s="865"/>
      <c r="H165" s="867"/>
      <c r="I165" s="400" t="str">
        <f>IF('Mapa final'!Y168="","",'Mapa final'!Y168)</f>
        <v/>
      </c>
      <c r="J165" s="400" t="str">
        <f>IF('Mapa final'!AA168="","",'Mapa final'!AA168)</f>
        <v/>
      </c>
      <c r="K165" s="400" t="str">
        <f t="shared" si="2"/>
        <v/>
      </c>
      <c r="L165" s="400" t="str">
        <f>IF('Mapa final'!AD168="","",'Mapa final'!AD168)</f>
        <v/>
      </c>
      <c r="M165" s="339" t="str">
        <f>IF('Mapa final'!P168="","",'Mapa final'!P168)</f>
        <v/>
      </c>
      <c r="N165" s="397"/>
      <c r="O165" s="397"/>
      <c r="P165" s="397"/>
      <c r="Q165" s="398"/>
    </row>
    <row r="166" spans="1:17" x14ac:dyDescent="0.25">
      <c r="A166" s="115" t="s">
        <v>398</v>
      </c>
      <c r="B166" s="857"/>
      <c r="C166" s="863"/>
      <c r="D166" s="861"/>
      <c r="E166" s="863"/>
      <c r="F166" s="865"/>
      <c r="G166" s="865"/>
      <c r="H166" s="867"/>
      <c r="I166" s="400" t="str">
        <f>IF('Mapa final'!Y169="","",'Mapa final'!Y169)</f>
        <v/>
      </c>
      <c r="J166" s="400" t="str">
        <f>IF('Mapa final'!AA169="","",'Mapa final'!AA169)</f>
        <v/>
      </c>
      <c r="K166" s="400" t="str">
        <f t="shared" si="2"/>
        <v/>
      </c>
      <c r="L166" s="400" t="str">
        <f>IF('Mapa final'!AD169="","",'Mapa final'!AD169)</f>
        <v/>
      </c>
      <c r="M166" s="339" t="str">
        <f>IF('Mapa final'!P169="","",'Mapa final'!P169)</f>
        <v/>
      </c>
      <c r="N166" s="397"/>
      <c r="O166" s="397"/>
      <c r="P166" s="397"/>
      <c r="Q166" s="398"/>
    </row>
    <row r="167" spans="1:17" x14ac:dyDescent="0.25">
      <c r="A167" s="115" t="s">
        <v>399</v>
      </c>
      <c r="B167" s="857"/>
      <c r="C167" s="863"/>
      <c r="D167" s="861"/>
      <c r="E167" s="863"/>
      <c r="F167" s="865"/>
      <c r="G167" s="865"/>
      <c r="H167" s="867"/>
      <c r="I167" s="400" t="str">
        <f>IF('Mapa final'!Y170="","",'Mapa final'!Y170)</f>
        <v/>
      </c>
      <c r="J167" s="400" t="str">
        <f>IF('Mapa final'!AA170="","",'Mapa final'!AA170)</f>
        <v/>
      </c>
      <c r="K167" s="400" t="str">
        <f t="shared" si="2"/>
        <v/>
      </c>
      <c r="L167" s="400" t="str">
        <f>IF('Mapa final'!AD170="","",'Mapa final'!AD170)</f>
        <v/>
      </c>
      <c r="M167" s="339" t="str">
        <f>IF('Mapa final'!P170="","",'Mapa final'!P170)</f>
        <v/>
      </c>
      <c r="N167" s="397"/>
      <c r="O167" s="397"/>
      <c r="P167" s="397"/>
      <c r="Q167" s="398"/>
    </row>
    <row r="168" spans="1:17" x14ac:dyDescent="0.25">
      <c r="A168" s="115" t="s">
        <v>400</v>
      </c>
      <c r="B168" s="857"/>
      <c r="C168" s="863"/>
      <c r="D168" s="861"/>
      <c r="E168" s="863"/>
      <c r="F168" s="865"/>
      <c r="G168" s="865"/>
      <c r="H168" s="867"/>
      <c r="I168" s="400" t="str">
        <f>IF('Mapa final'!Y171="","",'Mapa final'!Y171)</f>
        <v/>
      </c>
      <c r="J168" s="400" t="str">
        <f>IF('Mapa final'!AA171="","",'Mapa final'!AA171)</f>
        <v/>
      </c>
      <c r="K168" s="400" t="str">
        <f t="shared" si="2"/>
        <v/>
      </c>
      <c r="L168" s="400" t="str">
        <f>IF('Mapa final'!AD171="","",'Mapa final'!AD171)</f>
        <v/>
      </c>
      <c r="M168" s="339" t="str">
        <f>IF('Mapa final'!P171="","",'Mapa final'!P171)</f>
        <v/>
      </c>
      <c r="N168" s="397"/>
      <c r="O168" s="397"/>
      <c r="P168" s="397"/>
      <c r="Q168" s="398"/>
    </row>
    <row r="169" spans="1:17" x14ac:dyDescent="0.25">
      <c r="A169" s="115" t="s">
        <v>401</v>
      </c>
      <c r="B169" s="856"/>
      <c r="C169" s="862" t="str">
        <f>IF('Mapa final'!E172="","",'Mapa final'!E172)</f>
        <v/>
      </c>
      <c r="D169" s="860"/>
      <c r="E169" s="862" t="str">
        <f>IF('Mapa final'!D172="","",'Mapa final'!D172)</f>
        <v/>
      </c>
      <c r="F169" s="865" t="str">
        <f>IF('Mapa final'!H172="","",'Mapa final'!H172)</f>
        <v/>
      </c>
      <c r="G169" s="865" t="str">
        <f>IF('Mapa final'!L172="","",'Mapa final'!L172)</f>
        <v/>
      </c>
      <c r="H169" s="86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0" t="str">
        <f>IF('Mapa final'!Y172="","",'Mapa final'!Y172)</f>
        <v/>
      </c>
      <c r="J169" s="400" t="str">
        <f>IF('Mapa final'!AA172="","",'Mapa final'!AA172)</f>
        <v/>
      </c>
      <c r="K169" s="400" t="str">
        <f t="shared" si="2"/>
        <v/>
      </c>
      <c r="L169" s="400" t="str">
        <f>IF('Mapa final'!AD172="","",'Mapa final'!AD172)</f>
        <v/>
      </c>
      <c r="M169" s="339" t="str">
        <f>IF('Mapa final'!P172="","",'Mapa final'!P172)</f>
        <v/>
      </c>
      <c r="N169" s="397"/>
      <c r="O169" s="397"/>
      <c r="P169" s="397"/>
      <c r="Q169" s="398"/>
    </row>
    <row r="170" spans="1:17" x14ac:dyDescent="0.25">
      <c r="A170" s="115" t="s">
        <v>402</v>
      </c>
      <c r="B170" s="857"/>
      <c r="C170" s="863"/>
      <c r="D170" s="861"/>
      <c r="E170" s="863"/>
      <c r="F170" s="865"/>
      <c r="G170" s="865"/>
      <c r="H170" s="867"/>
      <c r="I170" s="400" t="str">
        <f>IF('Mapa final'!Y173="","",'Mapa final'!Y173)</f>
        <v/>
      </c>
      <c r="J170" s="400" t="str">
        <f>IF('Mapa final'!AA173="","",'Mapa final'!AA173)</f>
        <v/>
      </c>
      <c r="K170" s="400" t="str">
        <f t="shared" si="2"/>
        <v/>
      </c>
      <c r="L170" s="400" t="str">
        <f>IF('Mapa final'!AD173="","",'Mapa final'!AD173)</f>
        <v/>
      </c>
      <c r="M170" s="339" t="str">
        <f>IF('Mapa final'!P173="","",'Mapa final'!P173)</f>
        <v/>
      </c>
      <c r="N170" s="397"/>
      <c r="O170" s="397"/>
      <c r="P170" s="397"/>
      <c r="Q170" s="398"/>
    </row>
    <row r="171" spans="1:17" x14ac:dyDescent="0.25">
      <c r="A171" s="115" t="s">
        <v>403</v>
      </c>
      <c r="B171" s="857"/>
      <c r="C171" s="863"/>
      <c r="D171" s="861"/>
      <c r="E171" s="863"/>
      <c r="F171" s="865"/>
      <c r="G171" s="865"/>
      <c r="H171" s="867"/>
      <c r="I171" s="400" t="str">
        <f>IF('Mapa final'!Y174="","",'Mapa final'!Y174)</f>
        <v/>
      </c>
      <c r="J171" s="400" t="str">
        <f>IF('Mapa final'!AA174="","",'Mapa final'!AA174)</f>
        <v/>
      </c>
      <c r="K171" s="400" t="str">
        <f t="shared" si="2"/>
        <v/>
      </c>
      <c r="L171" s="400" t="str">
        <f>IF('Mapa final'!AD174="","",'Mapa final'!AD174)</f>
        <v/>
      </c>
      <c r="M171" s="339" t="str">
        <f>IF('Mapa final'!P174="","",'Mapa final'!P174)</f>
        <v/>
      </c>
      <c r="N171" s="397"/>
      <c r="O171" s="397"/>
      <c r="P171" s="397"/>
      <c r="Q171" s="398"/>
    </row>
    <row r="172" spans="1:17" x14ac:dyDescent="0.25">
      <c r="A172" s="115" t="s">
        <v>404</v>
      </c>
      <c r="B172" s="857"/>
      <c r="C172" s="863"/>
      <c r="D172" s="861"/>
      <c r="E172" s="863"/>
      <c r="F172" s="865"/>
      <c r="G172" s="865"/>
      <c r="H172" s="867"/>
      <c r="I172" s="400" t="str">
        <f>IF('Mapa final'!Y175="","",'Mapa final'!Y175)</f>
        <v/>
      </c>
      <c r="J172" s="400" t="str">
        <f>IF('Mapa final'!AA175="","",'Mapa final'!AA175)</f>
        <v/>
      </c>
      <c r="K172" s="400" t="str">
        <f t="shared" si="2"/>
        <v/>
      </c>
      <c r="L172" s="400" t="str">
        <f>IF('Mapa final'!AD175="","",'Mapa final'!AD175)</f>
        <v/>
      </c>
      <c r="M172" s="339" t="str">
        <f>IF('Mapa final'!P175="","",'Mapa final'!P175)</f>
        <v/>
      </c>
      <c r="N172" s="397"/>
      <c r="O172" s="397"/>
      <c r="P172" s="397"/>
      <c r="Q172" s="398"/>
    </row>
    <row r="173" spans="1:17" x14ac:dyDescent="0.25">
      <c r="A173" s="115" t="s">
        <v>405</v>
      </c>
      <c r="B173" s="857"/>
      <c r="C173" s="863"/>
      <c r="D173" s="861"/>
      <c r="E173" s="863"/>
      <c r="F173" s="865"/>
      <c r="G173" s="865"/>
      <c r="H173" s="867"/>
      <c r="I173" s="400" t="str">
        <f>IF('Mapa final'!Y176="","",'Mapa final'!Y176)</f>
        <v/>
      </c>
      <c r="J173" s="400" t="str">
        <f>IF('Mapa final'!AA176="","",'Mapa final'!AA176)</f>
        <v/>
      </c>
      <c r="K173" s="400" t="str">
        <f t="shared" si="2"/>
        <v/>
      </c>
      <c r="L173" s="400" t="str">
        <f>IF('Mapa final'!AD176="","",'Mapa final'!AD176)</f>
        <v/>
      </c>
      <c r="M173" s="339" t="str">
        <f>IF('Mapa final'!P176="","",'Mapa final'!P176)</f>
        <v/>
      </c>
      <c r="N173" s="397"/>
      <c r="O173" s="397"/>
      <c r="P173" s="397"/>
      <c r="Q173" s="398"/>
    </row>
    <row r="174" spans="1:17" x14ac:dyDescent="0.25">
      <c r="A174" s="115" t="s">
        <v>406</v>
      </c>
      <c r="B174" s="857"/>
      <c r="C174" s="863"/>
      <c r="D174" s="861"/>
      <c r="E174" s="863"/>
      <c r="F174" s="865"/>
      <c r="G174" s="865"/>
      <c r="H174" s="867"/>
      <c r="I174" s="400" t="str">
        <f>IF('Mapa final'!Y177="","",'Mapa final'!Y177)</f>
        <v/>
      </c>
      <c r="J174" s="400" t="str">
        <f>IF('Mapa final'!AA177="","",'Mapa final'!AA177)</f>
        <v/>
      </c>
      <c r="K174" s="400" t="str">
        <f t="shared" si="2"/>
        <v/>
      </c>
      <c r="L174" s="400" t="str">
        <f>IF('Mapa final'!AD177="","",'Mapa final'!AD177)</f>
        <v/>
      </c>
      <c r="M174" s="339" t="str">
        <f>IF('Mapa final'!P177="","",'Mapa final'!P177)</f>
        <v/>
      </c>
      <c r="N174" s="397"/>
      <c r="O174" s="397"/>
      <c r="P174" s="397"/>
      <c r="Q174" s="398"/>
    </row>
    <row r="175" spans="1:17" x14ac:dyDescent="0.25">
      <c r="A175" s="115" t="s">
        <v>407</v>
      </c>
      <c r="B175" s="856"/>
      <c r="C175" s="862" t="str">
        <f>IF('Mapa final'!E178="","",'Mapa final'!E178)</f>
        <v/>
      </c>
      <c r="D175" s="860"/>
      <c r="E175" s="862" t="str">
        <f>IF('Mapa final'!D178="","",'Mapa final'!D178)</f>
        <v/>
      </c>
      <c r="F175" s="865" t="str">
        <f>IF('Mapa final'!H178="","",'Mapa final'!H178)</f>
        <v/>
      </c>
      <c r="G175" s="865" t="str">
        <f>IF('Mapa final'!L178="","",'Mapa final'!L178)</f>
        <v/>
      </c>
      <c r="H175" s="86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0" t="str">
        <f>IF('Mapa final'!Y178="","",'Mapa final'!Y178)</f>
        <v/>
      </c>
      <c r="J175" s="400" t="str">
        <f>IF('Mapa final'!AA178="","",'Mapa final'!AA178)</f>
        <v/>
      </c>
      <c r="K175" s="400" t="str">
        <f t="shared" si="2"/>
        <v/>
      </c>
      <c r="L175" s="400" t="str">
        <f>IF('Mapa final'!AD178="","",'Mapa final'!AD178)</f>
        <v/>
      </c>
      <c r="M175" s="339" t="str">
        <f>IF('Mapa final'!P178="","",'Mapa final'!P178)</f>
        <v/>
      </c>
      <c r="N175" s="397"/>
      <c r="O175" s="397"/>
      <c r="P175" s="397"/>
      <c r="Q175" s="398"/>
    </row>
    <row r="176" spans="1:17" x14ac:dyDescent="0.25">
      <c r="A176" s="115" t="s">
        <v>408</v>
      </c>
      <c r="B176" s="857"/>
      <c r="C176" s="863"/>
      <c r="D176" s="861"/>
      <c r="E176" s="863"/>
      <c r="F176" s="865"/>
      <c r="G176" s="865"/>
      <c r="H176" s="867"/>
      <c r="I176" s="400" t="str">
        <f>IF('Mapa final'!Y179="","",'Mapa final'!Y179)</f>
        <v/>
      </c>
      <c r="J176" s="400" t="str">
        <f>IF('Mapa final'!AA179="","",'Mapa final'!AA179)</f>
        <v/>
      </c>
      <c r="K176" s="400" t="str">
        <f t="shared" si="2"/>
        <v/>
      </c>
      <c r="L176" s="400" t="str">
        <f>IF('Mapa final'!AD179="","",'Mapa final'!AD179)</f>
        <v/>
      </c>
      <c r="M176" s="339" t="str">
        <f>IF('Mapa final'!P179="","",'Mapa final'!P179)</f>
        <v/>
      </c>
      <c r="N176" s="397"/>
      <c r="O176" s="397"/>
      <c r="P176" s="397"/>
      <c r="Q176" s="398"/>
    </row>
    <row r="177" spans="1:17" x14ac:dyDescent="0.25">
      <c r="A177" s="115" t="s">
        <v>409</v>
      </c>
      <c r="B177" s="857"/>
      <c r="C177" s="863"/>
      <c r="D177" s="861"/>
      <c r="E177" s="863"/>
      <c r="F177" s="865"/>
      <c r="G177" s="865"/>
      <c r="H177" s="867"/>
      <c r="I177" s="400" t="str">
        <f>IF('Mapa final'!Y180="","",'Mapa final'!Y180)</f>
        <v/>
      </c>
      <c r="J177" s="400" t="str">
        <f>IF('Mapa final'!AA180="","",'Mapa final'!AA180)</f>
        <v/>
      </c>
      <c r="K177" s="400" t="str">
        <f t="shared" si="2"/>
        <v/>
      </c>
      <c r="L177" s="400" t="str">
        <f>IF('Mapa final'!AD180="","",'Mapa final'!AD180)</f>
        <v/>
      </c>
      <c r="M177" s="339" t="str">
        <f>IF('Mapa final'!P180="","",'Mapa final'!P180)</f>
        <v/>
      </c>
      <c r="N177" s="397"/>
      <c r="O177" s="397"/>
      <c r="P177" s="397"/>
      <c r="Q177" s="398"/>
    </row>
    <row r="178" spans="1:17" x14ac:dyDescent="0.25">
      <c r="A178" s="115" t="s">
        <v>410</v>
      </c>
      <c r="B178" s="857"/>
      <c r="C178" s="863"/>
      <c r="D178" s="861"/>
      <c r="E178" s="863"/>
      <c r="F178" s="865"/>
      <c r="G178" s="865"/>
      <c r="H178" s="867"/>
      <c r="I178" s="400" t="str">
        <f>IF('Mapa final'!Y181="","",'Mapa final'!Y181)</f>
        <v/>
      </c>
      <c r="J178" s="400" t="str">
        <f>IF('Mapa final'!AA181="","",'Mapa final'!AA181)</f>
        <v/>
      </c>
      <c r="K178" s="400" t="str">
        <f t="shared" si="2"/>
        <v/>
      </c>
      <c r="L178" s="400" t="str">
        <f>IF('Mapa final'!AD181="","",'Mapa final'!AD181)</f>
        <v/>
      </c>
      <c r="M178" s="339" t="str">
        <f>IF('Mapa final'!P181="","",'Mapa final'!P181)</f>
        <v/>
      </c>
      <c r="N178" s="397"/>
      <c r="O178" s="397"/>
      <c r="P178" s="397"/>
      <c r="Q178" s="398"/>
    </row>
    <row r="179" spans="1:17" x14ac:dyDescent="0.25">
      <c r="A179" s="115" t="s">
        <v>411</v>
      </c>
      <c r="B179" s="857"/>
      <c r="C179" s="863"/>
      <c r="D179" s="861"/>
      <c r="E179" s="863"/>
      <c r="F179" s="865"/>
      <c r="G179" s="865"/>
      <c r="H179" s="867"/>
      <c r="I179" s="400" t="str">
        <f>IF('Mapa final'!Y182="","",'Mapa final'!Y182)</f>
        <v/>
      </c>
      <c r="J179" s="400" t="str">
        <f>IF('Mapa final'!AA182="","",'Mapa final'!AA182)</f>
        <v/>
      </c>
      <c r="K179" s="400" t="str">
        <f t="shared" si="2"/>
        <v/>
      </c>
      <c r="L179" s="400" t="str">
        <f>IF('Mapa final'!AD182="","",'Mapa final'!AD182)</f>
        <v/>
      </c>
      <c r="M179" s="339" t="str">
        <f>IF('Mapa final'!P182="","",'Mapa final'!P182)</f>
        <v/>
      </c>
      <c r="N179" s="397"/>
      <c r="O179" s="397"/>
      <c r="P179" s="397"/>
      <c r="Q179" s="398"/>
    </row>
    <row r="180" spans="1:17" x14ac:dyDescent="0.25">
      <c r="A180" s="115" t="s">
        <v>412</v>
      </c>
      <c r="B180" s="857"/>
      <c r="C180" s="863"/>
      <c r="D180" s="861"/>
      <c r="E180" s="863"/>
      <c r="F180" s="865"/>
      <c r="G180" s="865"/>
      <c r="H180" s="867"/>
      <c r="I180" s="400" t="str">
        <f>IF('Mapa final'!Y183="","",'Mapa final'!Y183)</f>
        <v/>
      </c>
      <c r="J180" s="400" t="str">
        <f>IF('Mapa final'!AA183="","",'Mapa final'!AA183)</f>
        <v/>
      </c>
      <c r="K180" s="400" t="str">
        <f t="shared" si="2"/>
        <v/>
      </c>
      <c r="L180" s="400" t="str">
        <f>IF('Mapa final'!AD183="","",'Mapa final'!AD183)</f>
        <v/>
      </c>
      <c r="M180" s="339" t="str">
        <f>IF('Mapa final'!P183="","",'Mapa final'!P183)</f>
        <v/>
      </c>
      <c r="N180" s="397"/>
      <c r="O180" s="397"/>
      <c r="P180" s="397"/>
      <c r="Q180" s="398"/>
    </row>
    <row r="181" spans="1:17" x14ac:dyDescent="0.25">
      <c r="A181" s="115" t="s">
        <v>413</v>
      </c>
      <c r="B181" s="856"/>
      <c r="C181" s="862" t="str">
        <f>IF('Mapa final'!E184="","",'Mapa final'!E184)</f>
        <v/>
      </c>
      <c r="D181" s="860"/>
      <c r="E181" s="862" t="str">
        <f>IF('Mapa final'!D184="","",'Mapa final'!D184)</f>
        <v/>
      </c>
      <c r="F181" s="865" t="str">
        <f>IF('Mapa final'!H184="","",'Mapa final'!H184)</f>
        <v/>
      </c>
      <c r="G181" s="865" t="str">
        <f>IF('Mapa final'!L184="","",'Mapa final'!L184)</f>
        <v/>
      </c>
      <c r="H181" s="86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0" t="str">
        <f>IF('Mapa final'!Y184="","",'Mapa final'!Y184)</f>
        <v/>
      </c>
      <c r="J181" s="400" t="str">
        <f>IF('Mapa final'!AA184="","",'Mapa final'!AA184)</f>
        <v/>
      </c>
      <c r="K181" s="400" t="str">
        <f t="shared" si="2"/>
        <v/>
      </c>
      <c r="L181" s="400" t="str">
        <f>IF('Mapa final'!AD184="","",'Mapa final'!AD184)</f>
        <v/>
      </c>
      <c r="M181" s="339" t="str">
        <f>IF('Mapa final'!P184="","",'Mapa final'!P184)</f>
        <v/>
      </c>
      <c r="N181" s="397"/>
      <c r="O181" s="397"/>
      <c r="P181" s="397"/>
      <c r="Q181" s="398"/>
    </row>
    <row r="182" spans="1:17" x14ac:dyDescent="0.25">
      <c r="A182" s="115" t="s">
        <v>414</v>
      </c>
      <c r="B182" s="857"/>
      <c r="C182" s="863"/>
      <c r="D182" s="861"/>
      <c r="E182" s="863"/>
      <c r="F182" s="865"/>
      <c r="G182" s="865"/>
      <c r="H182" s="867"/>
      <c r="I182" s="400" t="str">
        <f>IF('Mapa final'!Y185="","",'Mapa final'!Y185)</f>
        <v/>
      </c>
      <c r="J182" s="400" t="str">
        <f>IF('Mapa final'!AA185="","",'Mapa final'!AA185)</f>
        <v/>
      </c>
      <c r="K182" s="400" t="str">
        <f t="shared" si="2"/>
        <v/>
      </c>
      <c r="L182" s="400" t="str">
        <f>IF('Mapa final'!AD185="","",'Mapa final'!AD185)</f>
        <v/>
      </c>
      <c r="M182" s="339" t="str">
        <f>IF('Mapa final'!P185="","",'Mapa final'!P185)</f>
        <v/>
      </c>
      <c r="N182" s="397"/>
      <c r="O182" s="397"/>
      <c r="P182" s="397"/>
      <c r="Q182" s="398"/>
    </row>
    <row r="183" spans="1:17" x14ac:dyDescent="0.25">
      <c r="A183" s="115" t="s">
        <v>415</v>
      </c>
      <c r="B183" s="857"/>
      <c r="C183" s="863"/>
      <c r="D183" s="861"/>
      <c r="E183" s="863"/>
      <c r="F183" s="865"/>
      <c r="G183" s="865"/>
      <c r="H183" s="867"/>
      <c r="I183" s="400" t="str">
        <f>IF('Mapa final'!Y186="","",'Mapa final'!Y186)</f>
        <v/>
      </c>
      <c r="J183" s="400" t="str">
        <f>IF('Mapa final'!AA186="","",'Mapa final'!AA186)</f>
        <v/>
      </c>
      <c r="K183" s="400" t="str">
        <f t="shared" si="2"/>
        <v/>
      </c>
      <c r="L183" s="400" t="str">
        <f>IF('Mapa final'!AD186="","",'Mapa final'!AD186)</f>
        <v/>
      </c>
      <c r="M183" s="339" t="str">
        <f>IF('Mapa final'!P186="","",'Mapa final'!P186)</f>
        <v/>
      </c>
      <c r="N183" s="397"/>
      <c r="O183" s="397"/>
      <c r="P183" s="397"/>
      <c r="Q183" s="398"/>
    </row>
    <row r="184" spans="1:17" x14ac:dyDescent="0.25">
      <c r="A184" s="115" t="s">
        <v>416</v>
      </c>
      <c r="B184" s="857"/>
      <c r="C184" s="863"/>
      <c r="D184" s="861"/>
      <c r="E184" s="863"/>
      <c r="F184" s="865"/>
      <c r="G184" s="865"/>
      <c r="H184" s="867"/>
      <c r="I184" s="400" t="str">
        <f>IF('Mapa final'!Y187="","",'Mapa final'!Y187)</f>
        <v/>
      </c>
      <c r="J184" s="400" t="str">
        <f>IF('Mapa final'!AA187="","",'Mapa final'!AA187)</f>
        <v/>
      </c>
      <c r="K184" s="400" t="str">
        <f t="shared" si="2"/>
        <v/>
      </c>
      <c r="L184" s="400" t="str">
        <f>IF('Mapa final'!AD187="","",'Mapa final'!AD187)</f>
        <v/>
      </c>
      <c r="M184" s="339" t="str">
        <f>IF('Mapa final'!P187="","",'Mapa final'!P187)</f>
        <v/>
      </c>
      <c r="N184" s="397"/>
      <c r="O184" s="397"/>
      <c r="P184" s="397"/>
      <c r="Q184" s="398"/>
    </row>
    <row r="185" spans="1:17" x14ac:dyDescent="0.25">
      <c r="A185" s="115" t="s">
        <v>417</v>
      </c>
      <c r="B185" s="857"/>
      <c r="C185" s="863"/>
      <c r="D185" s="861"/>
      <c r="E185" s="863"/>
      <c r="F185" s="865"/>
      <c r="G185" s="865"/>
      <c r="H185" s="867"/>
      <c r="I185" s="400" t="str">
        <f>IF('Mapa final'!Y188="","",'Mapa final'!Y188)</f>
        <v/>
      </c>
      <c r="J185" s="400" t="str">
        <f>IF('Mapa final'!AA188="","",'Mapa final'!AA188)</f>
        <v/>
      </c>
      <c r="K185" s="400" t="str">
        <f t="shared" si="2"/>
        <v/>
      </c>
      <c r="L185" s="400" t="str">
        <f>IF('Mapa final'!AD188="","",'Mapa final'!AD188)</f>
        <v/>
      </c>
      <c r="M185" s="339" t="str">
        <f>IF('Mapa final'!P188="","",'Mapa final'!P188)</f>
        <v/>
      </c>
      <c r="N185" s="397"/>
      <c r="O185" s="397"/>
      <c r="P185" s="397"/>
      <c r="Q185" s="398"/>
    </row>
    <row r="186" spans="1:17" x14ac:dyDescent="0.25">
      <c r="A186" s="115" t="s">
        <v>418</v>
      </c>
      <c r="B186" s="857"/>
      <c r="C186" s="863"/>
      <c r="D186" s="861"/>
      <c r="E186" s="863"/>
      <c r="F186" s="865"/>
      <c r="G186" s="865"/>
      <c r="H186" s="867"/>
      <c r="I186" s="400" t="str">
        <f>IF('Mapa final'!Y189="","",'Mapa final'!Y189)</f>
        <v/>
      </c>
      <c r="J186" s="400" t="str">
        <f>IF('Mapa final'!AA189="","",'Mapa final'!AA189)</f>
        <v/>
      </c>
      <c r="K186" s="400" t="str">
        <f t="shared" si="2"/>
        <v/>
      </c>
      <c r="L186" s="400" t="str">
        <f>IF('Mapa final'!AD189="","",'Mapa final'!AD189)</f>
        <v/>
      </c>
      <c r="M186" s="339" t="str">
        <f>IF('Mapa final'!P189="","",'Mapa final'!P189)</f>
        <v/>
      </c>
      <c r="N186" s="397"/>
      <c r="O186" s="397"/>
      <c r="P186" s="397"/>
      <c r="Q186" s="398"/>
    </row>
    <row r="187" spans="1:17" x14ac:dyDescent="0.25">
      <c r="A187" s="115" t="s">
        <v>419</v>
      </c>
      <c r="B187" s="856"/>
      <c r="C187" s="862" t="str">
        <f>IF('Mapa final'!E190="","",'Mapa final'!E190)</f>
        <v/>
      </c>
      <c r="D187" s="860"/>
      <c r="E187" s="862" t="str">
        <f>IF('Mapa final'!D190="","",'Mapa final'!D190)</f>
        <v/>
      </c>
      <c r="F187" s="865" t="str">
        <f>IF('Mapa final'!H190="","",'Mapa final'!H190)</f>
        <v/>
      </c>
      <c r="G187" s="865" t="str">
        <f>IF('Mapa final'!L190="","",'Mapa final'!L190)</f>
        <v/>
      </c>
      <c r="H187" s="86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0" t="str">
        <f>IF('Mapa final'!Y190="","",'Mapa final'!Y190)</f>
        <v/>
      </c>
      <c r="J187" s="400" t="str">
        <f>IF('Mapa final'!AA190="","",'Mapa final'!AA190)</f>
        <v/>
      </c>
      <c r="K187" s="400" t="str">
        <f t="shared" si="2"/>
        <v/>
      </c>
      <c r="L187" s="400" t="str">
        <f>IF('Mapa final'!AD190="","",'Mapa final'!AD190)</f>
        <v/>
      </c>
      <c r="M187" s="339" t="str">
        <f>IF('Mapa final'!P190="","",'Mapa final'!P190)</f>
        <v/>
      </c>
      <c r="N187" s="397"/>
      <c r="O187" s="397"/>
      <c r="P187" s="397"/>
      <c r="Q187" s="398"/>
    </row>
    <row r="188" spans="1:17" x14ac:dyDescent="0.25">
      <c r="A188" s="115" t="s">
        <v>420</v>
      </c>
      <c r="B188" s="857"/>
      <c r="C188" s="863"/>
      <c r="D188" s="861"/>
      <c r="E188" s="863"/>
      <c r="F188" s="865"/>
      <c r="G188" s="865"/>
      <c r="H188" s="867"/>
      <c r="I188" s="400" t="str">
        <f>IF('Mapa final'!Y191="","",'Mapa final'!Y191)</f>
        <v/>
      </c>
      <c r="J188" s="400" t="str">
        <f>IF('Mapa final'!AA191="","",'Mapa final'!AA191)</f>
        <v/>
      </c>
      <c r="K188" s="400" t="str">
        <f t="shared" si="2"/>
        <v/>
      </c>
      <c r="L188" s="400" t="str">
        <f>IF('Mapa final'!AD191="","",'Mapa final'!AD191)</f>
        <v/>
      </c>
      <c r="M188" s="339" t="str">
        <f>IF('Mapa final'!P191="","",'Mapa final'!P191)</f>
        <v/>
      </c>
      <c r="N188" s="397"/>
      <c r="O188" s="397"/>
      <c r="P188" s="397"/>
      <c r="Q188" s="398"/>
    </row>
    <row r="189" spans="1:17" x14ac:dyDescent="0.25">
      <c r="A189" s="115" t="s">
        <v>421</v>
      </c>
      <c r="B189" s="857"/>
      <c r="C189" s="863"/>
      <c r="D189" s="861"/>
      <c r="E189" s="863"/>
      <c r="F189" s="865"/>
      <c r="G189" s="865"/>
      <c r="H189" s="867"/>
      <c r="I189" s="400" t="str">
        <f>IF('Mapa final'!Y192="","",'Mapa final'!Y192)</f>
        <v/>
      </c>
      <c r="J189" s="400" t="str">
        <f>IF('Mapa final'!AA192="","",'Mapa final'!AA192)</f>
        <v/>
      </c>
      <c r="K189" s="400" t="str">
        <f t="shared" si="2"/>
        <v/>
      </c>
      <c r="L189" s="400" t="str">
        <f>IF('Mapa final'!AD192="","",'Mapa final'!AD192)</f>
        <v/>
      </c>
      <c r="M189" s="339" t="str">
        <f>IF('Mapa final'!P192="","",'Mapa final'!P192)</f>
        <v/>
      </c>
      <c r="N189" s="397"/>
      <c r="O189" s="397"/>
      <c r="P189" s="397"/>
      <c r="Q189" s="398"/>
    </row>
    <row r="190" spans="1:17" x14ac:dyDescent="0.25">
      <c r="A190" s="115" t="s">
        <v>422</v>
      </c>
      <c r="B190" s="857"/>
      <c r="C190" s="863"/>
      <c r="D190" s="861"/>
      <c r="E190" s="863"/>
      <c r="F190" s="865"/>
      <c r="G190" s="865"/>
      <c r="H190" s="867"/>
      <c r="I190" s="400" t="str">
        <f>IF('Mapa final'!Y193="","",'Mapa final'!Y193)</f>
        <v/>
      </c>
      <c r="J190" s="400" t="str">
        <f>IF('Mapa final'!AA193="","",'Mapa final'!AA193)</f>
        <v/>
      </c>
      <c r="K190" s="400" t="str">
        <f t="shared" si="2"/>
        <v/>
      </c>
      <c r="L190" s="400" t="str">
        <f>IF('Mapa final'!AD193="","",'Mapa final'!AD193)</f>
        <v/>
      </c>
      <c r="M190" s="339" t="str">
        <f>IF('Mapa final'!P193="","",'Mapa final'!P193)</f>
        <v/>
      </c>
      <c r="N190" s="397"/>
      <c r="O190" s="397"/>
      <c r="P190" s="397"/>
      <c r="Q190" s="398"/>
    </row>
    <row r="191" spans="1:17" x14ac:dyDescent="0.25">
      <c r="A191" s="115" t="s">
        <v>423</v>
      </c>
      <c r="B191" s="857"/>
      <c r="C191" s="863"/>
      <c r="D191" s="861"/>
      <c r="E191" s="863"/>
      <c r="F191" s="865"/>
      <c r="G191" s="865"/>
      <c r="H191" s="867"/>
      <c r="I191" s="400" t="str">
        <f>IF('Mapa final'!Y194="","",'Mapa final'!Y194)</f>
        <v/>
      </c>
      <c r="J191" s="400" t="str">
        <f>IF('Mapa final'!AA194="","",'Mapa final'!AA194)</f>
        <v/>
      </c>
      <c r="K191" s="400" t="str">
        <f t="shared" si="2"/>
        <v/>
      </c>
      <c r="L191" s="400" t="str">
        <f>IF('Mapa final'!AD194="","",'Mapa final'!AD194)</f>
        <v/>
      </c>
      <c r="M191" s="339" t="str">
        <f>IF('Mapa final'!P194="","",'Mapa final'!P194)</f>
        <v/>
      </c>
      <c r="N191" s="397"/>
      <c r="O191" s="397"/>
      <c r="P191" s="397"/>
      <c r="Q191" s="398"/>
    </row>
    <row r="192" spans="1:17" x14ac:dyDescent="0.25">
      <c r="A192" s="115" t="s">
        <v>424</v>
      </c>
      <c r="B192" s="857"/>
      <c r="C192" s="863"/>
      <c r="D192" s="861"/>
      <c r="E192" s="863"/>
      <c r="F192" s="865"/>
      <c r="G192" s="865"/>
      <c r="H192" s="867"/>
      <c r="I192" s="400" t="str">
        <f>IF('Mapa final'!Y195="","",'Mapa final'!Y195)</f>
        <v/>
      </c>
      <c r="J192" s="400" t="str">
        <f>IF('Mapa final'!AA195="","",'Mapa final'!AA195)</f>
        <v/>
      </c>
      <c r="K192" s="400" t="str">
        <f t="shared" si="2"/>
        <v/>
      </c>
      <c r="L192" s="400" t="str">
        <f>IF('Mapa final'!AD195="","",'Mapa final'!AD195)</f>
        <v/>
      </c>
      <c r="M192" s="339" t="str">
        <f>IF('Mapa final'!P195="","",'Mapa final'!P195)</f>
        <v/>
      </c>
      <c r="N192" s="397"/>
      <c r="O192" s="397"/>
      <c r="P192" s="397"/>
      <c r="Q192" s="398"/>
    </row>
    <row r="193" spans="1:17" x14ac:dyDescent="0.25">
      <c r="A193" s="115" t="s">
        <v>425</v>
      </c>
      <c r="B193" s="856"/>
      <c r="C193" s="862" t="str">
        <f>IF('Mapa final'!E196="","",'Mapa final'!E196)</f>
        <v/>
      </c>
      <c r="D193" s="860"/>
      <c r="E193" s="862" t="str">
        <f>IF('Mapa final'!D196="","",'Mapa final'!D196)</f>
        <v/>
      </c>
      <c r="F193" s="865" t="str">
        <f>IF('Mapa final'!H196="","",'Mapa final'!H196)</f>
        <v/>
      </c>
      <c r="G193" s="865" t="str">
        <f>IF('Mapa final'!L196="","",'Mapa final'!L196)</f>
        <v/>
      </c>
      <c r="H193" s="86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0" t="str">
        <f>IF('Mapa final'!Y196="","",'Mapa final'!Y196)</f>
        <v/>
      </c>
      <c r="J193" s="400" t="str">
        <f>IF('Mapa final'!AA196="","",'Mapa final'!AA196)</f>
        <v/>
      </c>
      <c r="K193" s="400" t="str">
        <f t="shared" si="2"/>
        <v/>
      </c>
      <c r="L193" s="400" t="str">
        <f>IF('Mapa final'!AD196="","",'Mapa final'!AD196)</f>
        <v/>
      </c>
      <c r="M193" s="339" t="str">
        <f>IF('Mapa final'!P196="","",'Mapa final'!P196)</f>
        <v/>
      </c>
      <c r="N193" s="397"/>
      <c r="O193" s="397"/>
      <c r="P193" s="397"/>
      <c r="Q193" s="398"/>
    </row>
    <row r="194" spans="1:17" x14ac:dyDescent="0.25">
      <c r="A194" s="115" t="s">
        <v>426</v>
      </c>
      <c r="B194" s="857"/>
      <c r="C194" s="863"/>
      <c r="D194" s="861"/>
      <c r="E194" s="863"/>
      <c r="F194" s="865"/>
      <c r="G194" s="865"/>
      <c r="H194" s="867"/>
      <c r="I194" s="400" t="str">
        <f>IF('Mapa final'!Y197="","",'Mapa final'!Y197)</f>
        <v/>
      </c>
      <c r="J194" s="400" t="str">
        <f>IF('Mapa final'!AA197="","",'Mapa final'!AA197)</f>
        <v/>
      </c>
      <c r="K194" s="400" t="str">
        <f t="shared" si="2"/>
        <v/>
      </c>
      <c r="L194" s="400" t="str">
        <f>IF('Mapa final'!AD197="","",'Mapa final'!AD197)</f>
        <v/>
      </c>
      <c r="M194" s="339" t="str">
        <f>IF('Mapa final'!P197="","",'Mapa final'!P197)</f>
        <v/>
      </c>
      <c r="N194" s="397"/>
      <c r="O194" s="397"/>
      <c r="P194" s="397"/>
      <c r="Q194" s="398"/>
    </row>
    <row r="195" spans="1:17" x14ac:dyDescent="0.25">
      <c r="A195" s="115" t="s">
        <v>427</v>
      </c>
      <c r="B195" s="857"/>
      <c r="C195" s="863"/>
      <c r="D195" s="861"/>
      <c r="E195" s="863"/>
      <c r="F195" s="865"/>
      <c r="G195" s="865"/>
      <c r="H195" s="867"/>
      <c r="I195" s="400" t="str">
        <f>IF('Mapa final'!Y198="","",'Mapa final'!Y198)</f>
        <v/>
      </c>
      <c r="J195" s="400" t="str">
        <f>IF('Mapa final'!AA198="","",'Mapa final'!AA198)</f>
        <v/>
      </c>
      <c r="K195" s="400" t="str">
        <f t="shared" si="2"/>
        <v/>
      </c>
      <c r="L195" s="400" t="str">
        <f>IF('Mapa final'!AD198="","",'Mapa final'!AD198)</f>
        <v/>
      </c>
      <c r="M195" s="339" t="str">
        <f>IF('Mapa final'!P198="","",'Mapa final'!P198)</f>
        <v/>
      </c>
      <c r="N195" s="397"/>
      <c r="O195" s="397"/>
      <c r="P195" s="397"/>
      <c r="Q195" s="398"/>
    </row>
    <row r="196" spans="1:17" x14ac:dyDescent="0.25">
      <c r="A196" s="115" t="s">
        <v>428</v>
      </c>
      <c r="B196" s="857"/>
      <c r="C196" s="863"/>
      <c r="D196" s="861"/>
      <c r="E196" s="863"/>
      <c r="F196" s="865"/>
      <c r="G196" s="865"/>
      <c r="H196" s="867"/>
      <c r="I196" s="400" t="str">
        <f>IF('Mapa final'!Y199="","",'Mapa final'!Y199)</f>
        <v/>
      </c>
      <c r="J196" s="400" t="str">
        <f>IF('Mapa final'!AA199="","",'Mapa final'!AA199)</f>
        <v/>
      </c>
      <c r="K196" s="400" t="str">
        <f t="shared" si="2"/>
        <v/>
      </c>
      <c r="L196" s="400" t="str">
        <f>IF('Mapa final'!AD199="","",'Mapa final'!AD199)</f>
        <v/>
      </c>
      <c r="M196" s="339" t="str">
        <f>IF('Mapa final'!P199="","",'Mapa final'!P199)</f>
        <v/>
      </c>
      <c r="N196" s="397"/>
      <c r="O196" s="397"/>
      <c r="P196" s="397"/>
      <c r="Q196" s="398"/>
    </row>
    <row r="197" spans="1:17" x14ac:dyDescent="0.25">
      <c r="A197" s="115" t="s">
        <v>429</v>
      </c>
      <c r="B197" s="857"/>
      <c r="C197" s="863"/>
      <c r="D197" s="861"/>
      <c r="E197" s="863"/>
      <c r="F197" s="865"/>
      <c r="G197" s="865"/>
      <c r="H197" s="867"/>
      <c r="I197" s="400" t="str">
        <f>IF('Mapa final'!Y200="","",'Mapa final'!Y200)</f>
        <v/>
      </c>
      <c r="J197" s="400" t="str">
        <f>IF('Mapa final'!AA200="","",'Mapa final'!AA200)</f>
        <v/>
      </c>
      <c r="K197" s="400" t="str">
        <f t="shared" si="2"/>
        <v/>
      </c>
      <c r="L197" s="400" t="str">
        <f>IF('Mapa final'!AD200="","",'Mapa final'!AD200)</f>
        <v/>
      </c>
      <c r="M197" s="339" t="str">
        <f>IF('Mapa final'!P200="","",'Mapa final'!P200)</f>
        <v/>
      </c>
      <c r="N197" s="397"/>
      <c r="O197" s="397"/>
      <c r="P197" s="397"/>
      <c r="Q197" s="398"/>
    </row>
    <row r="198" spans="1:17" x14ac:dyDescent="0.25">
      <c r="A198" s="115" t="s">
        <v>430</v>
      </c>
      <c r="B198" s="857"/>
      <c r="C198" s="863"/>
      <c r="D198" s="861"/>
      <c r="E198" s="863"/>
      <c r="F198" s="865"/>
      <c r="G198" s="865"/>
      <c r="H198" s="867"/>
      <c r="I198" s="400" t="str">
        <f>IF('Mapa final'!Y201="","",'Mapa final'!Y201)</f>
        <v/>
      </c>
      <c r="J198" s="400" t="str">
        <f>IF('Mapa final'!AA201="","",'Mapa final'!AA201)</f>
        <v/>
      </c>
      <c r="K198" s="400" t="str">
        <f t="shared" si="2"/>
        <v/>
      </c>
      <c r="L198" s="400" t="str">
        <f>IF('Mapa final'!AD201="","",'Mapa final'!AD201)</f>
        <v/>
      </c>
      <c r="M198" s="339" t="str">
        <f>IF('Mapa final'!P201="","",'Mapa final'!P201)</f>
        <v/>
      </c>
      <c r="N198" s="397"/>
      <c r="O198" s="397"/>
      <c r="P198" s="397"/>
      <c r="Q198" s="398"/>
    </row>
    <row r="199" spans="1:17" x14ac:dyDescent="0.25">
      <c r="A199" s="115" t="s">
        <v>431</v>
      </c>
      <c r="B199" s="856"/>
      <c r="C199" s="862" t="str">
        <f>IF('Mapa final'!E202="","",'Mapa final'!E202)</f>
        <v/>
      </c>
      <c r="D199" s="860"/>
      <c r="E199" s="862" t="str">
        <f>IF('Mapa final'!D202="","",'Mapa final'!D202)</f>
        <v/>
      </c>
      <c r="F199" s="865" t="str">
        <f>IF('Mapa final'!H202="","",'Mapa final'!H202)</f>
        <v/>
      </c>
      <c r="G199" s="865" t="str">
        <f>IF('Mapa final'!L202="","",'Mapa final'!L202)</f>
        <v/>
      </c>
      <c r="H199" s="86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0" t="str">
        <f>IF('Mapa final'!Y202="","",'Mapa final'!Y202)</f>
        <v/>
      </c>
      <c r="J199" s="400" t="str">
        <f>IF('Mapa final'!AA202="","",'Mapa final'!AA202)</f>
        <v/>
      </c>
      <c r="K199" s="400" t="str">
        <f t="shared" si="2"/>
        <v/>
      </c>
      <c r="L199" s="400" t="str">
        <f>IF('Mapa final'!AD202="","",'Mapa final'!AD202)</f>
        <v/>
      </c>
      <c r="M199" s="339" t="str">
        <f>IF('Mapa final'!P202="","",'Mapa final'!P202)</f>
        <v/>
      </c>
      <c r="N199" s="397"/>
      <c r="O199" s="397"/>
      <c r="P199" s="397"/>
      <c r="Q199" s="398"/>
    </row>
    <row r="200" spans="1:17" x14ac:dyDescent="0.25">
      <c r="A200" s="115" t="s">
        <v>432</v>
      </c>
      <c r="B200" s="857"/>
      <c r="C200" s="863"/>
      <c r="D200" s="861"/>
      <c r="E200" s="863"/>
      <c r="F200" s="865"/>
      <c r="G200" s="865"/>
      <c r="H200" s="867"/>
      <c r="I200" s="400" t="str">
        <f>IF('Mapa final'!Y203="","",'Mapa final'!Y203)</f>
        <v/>
      </c>
      <c r="J200" s="400" t="str">
        <f>IF('Mapa final'!AA203="","",'Mapa final'!AA203)</f>
        <v/>
      </c>
      <c r="K200" s="40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0" t="str">
        <f>IF('Mapa final'!AD203="","",'Mapa final'!AD203)</f>
        <v/>
      </c>
      <c r="M200" s="339" t="str">
        <f>IF('Mapa final'!P203="","",'Mapa final'!P203)</f>
        <v/>
      </c>
      <c r="N200" s="397"/>
      <c r="O200" s="397"/>
      <c r="P200" s="397"/>
      <c r="Q200" s="398"/>
    </row>
    <row r="201" spans="1:17" x14ac:dyDescent="0.25">
      <c r="A201" s="115" t="s">
        <v>433</v>
      </c>
      <c r="B201" s="857"/>
      <c r="C201" s="863"/>
      <c r="D201" s="861"/>
      <c r="E201" s="863"/>
      <c r="F201" s="865"/>
      <c r="G201" s="865"/>
      <c r="H201" s="867"/>
      <c r="I201" s="400" t="str">
        <f>IF('Mapa final'!Y204="","",'Mapa final'!Y204)</f>
        <v/>
      </c>
      <c r="J201" s="400" t="str">
        <f>IF('Mapa final'!AA204="","",'Mapa final'!AA204)</f>
        <v/>
      </c>
      <c r="K201" s="400" t="str">
        <f t="shared" si="3"/>
        <v/>
      </c>
      <c r="L201" s="400" t="str">
        <f>IF('Mapa final'!AD204="","",'Mapa final'!AD204)</f>
        <v/>
      </c>
      <c r="M201" s="339" t="str">
        <f>IF('Mapa final'!P204="","",'Mapa final'!P204)</f>
        <v/>
      </c>
      <c r="N201" s="397"/>
      <c r="O201" s="397"/>
      <c r="P201" s="397"/>
      <c r="Q201" s="398"/>
    </row>
    <row r="202" spans="1:17" x14ac:dyDescent="0.25">
      <c r="A202" s="115" t="s">
        <v>434</v>
      </c>
      <c r="B202" s="857"/>
      <c r="C202" s="863"/>
      <c r="D202" s="861"/>
      <c r="E202" s="863"/>
      <c r="F202" s="865"/>
      <c r="G202" s="865"/>
      <c r="H202" s="867"/>
      <c r="I202" s="400" t="str">
        <f>IF('Mapa final'!Y205="","",'Mapa final'!Y205)</f>
        <v/>
      </c>
      <c r="J202" s="400" t="str">
        <f>IF('Mapa final'!AA205="","",'Mapa final'!AA205)</f>
        <v/>
      </c>
      <c r="K202" s="400" t="str">
        <f t="shared" si="3"/>
        <v/>
      </c>
      <c r="L202" s="400" t="str">
        <f>IF('Mapa final'!AD205="","",'Mapa final'!AD205)</f>
        <v/>
      </c>
      <c r="M202" s="339" t="str">
        <f>IF('Mapa final'!P205="","",'Mapa final'!P205)</f>
        <v/>
      </c>
      <c r="N202" s="397"/>
      <c r="O202" s="397"/>
      <c r="P202" s="397"/>
      <c r="Q202" s="398"/>
    </row>
    <row r="203" spans="1:17" x14ac:dyDescent="0.25">
      <c r="A203" s="115" t="s">
        <v>435</v>
      </c>
      <c r="B203" s="857"/>
      <c r="C203" s="863"/>
      <c r="D203" s="861"/>
      <c r="E203" s="863"/>
      <c r="F203" s="865"/>
      <c r="G203" s="865"/>
      <c r="H203" s="867"/>
      <c r="I203" s="400" t="str">
        <f>IF('Mapa final'!Y206="","",'Mapa final'!Y206)</f>
        <v/>
      </c>
      <c r="J203" s="400" t="str">
        <f>IF('Mapa final'!AA206="","",'Mapa final'!AA206)</f>
        <v/>
      </c>
      <c r="K203" s="400" t="str">
        <f t="shared" si="3"/>
        <v/>
      </c>
      <c r="L203" s="400" t="str">
        <f>IF('Mapa final'!AD206="","",'Mapa final'!AD206)</f>
        <v/>
      </c>
      <c r="M203" s="339" t="str">
        <f>IF('Mapa final'!P206="","",'Mapa final'!P206)</f>
        <v/>
      </c>
      <c r="N203" s="397"/>
      <c r="O203" s="397"/>
      <c r="P203" s="397"/>
      <c r="Q203" s="398"/>
    </row>
    <row r="204" spans="1:17" x14ac:dyDescent="0.25">
      <c r="A204" s="115" t="s">
        <v>436</v>
      </c>
      <c r="B204" s="857"/>
      <c r="C204" s="863"/>
      <c r="D204" s="861"/>
      <c r="E204" s="863"/>
      <c r="F204" s="865"/>
      <c r="G204" s="865"/>
      <c r="H204" s="867"/>
      <c r="I204" s="400" t="str">
        <f>IF('Mapa final'!Y207="","",'Mapa final'!Y207)</f>
        <v/>
      </c>
      <c r="J204" s="400" t="str">
        <f>IF('Mapa final'!AA207="","",'Mapa final'!AA207)</f>
        <v/>
      </c>
      <c r="K204" s="400" t="str">
        <f t="shared" si="3"/>
        <v/>
      </c>
      <c r="L204" s="400" t="str">
        <f>IF('Mapa final'!AD207="","",'Mapa final'!AD207)</f>
        <v/>
      </c>
      <c r="M204" s="339" t="str">
        <f>IF('Mapa final'!P207="","",'Mapa final'!P207)</f>
        <v/>
      </c>
      <c r="N204" s="397"/>
      <c r="O204" s="397"/>
      <c r="P204" s="397"/>
      <c r="Q204" s="398"/>
    </row>
    <row r="205" spans="1:17" x14ac:dyDescent="0.25">
      <c r="A205" s="115" t="s">
        <v>437</v>
      </c>
      <c r="B205" s="856"/>
      <c r="C205" s="862" t="str">
        <f>IF('Mapa final'!E208="","",'Mapa final'!E208)</f>
        <v/>
      </c>
      <c r="D205" s="860"/>
      <c r="E205" s="862" t="str">
        <f>IF('Mapa final'!D208="","",'Mapa final'!D208)</f>
        <v/>
      </c>
      <c r="F205" s="865" t="str">
        <f>IF('Mapa final'!H208="","",'Mapa final'!H208)</f>
        <v/>
      </c>
      <c r="G205" s="865" t="str">
        <f>IF('Mapa final'!L208="","",'Mapa final'!L208)</f>
        <v/>
      </c>
      <c r="H205" s="86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0" t="str">
        <f>IF('Mapa final'!Y208="","",'Mapa final'!Y208)</f>
        <v/>
      </c>
      <c r="J205" s="400" t="str">
        <f>IF('Mapa final'!AA208="","",'Mapa final'!AA208)</f>
        <v/>
      </c>
      <c r="K205" s="400" t="str">
        <f t="shared" si="3"/>
        <v/>
      </c>
      <c r="L205" s="400" t="str">
        <f>IF('Mapa final'!AD208="","",'Mapa final'!AD208)</f>
        <v/>
      </c>
      <c r="M205" s="339" t="str">
        <f>IF('Mapa final'!P208="","",'Mapa final'!P208)</f>
        <v/>
      </c>
      <c r="N205" s="397"/>
      <c r="O205" s="397"/>
      <c r="P205" s="397"/>
      <c r="Q205" s="398"/>
    </row>
    <row r="206" spans="1:17" x14ac:dyDescent="0.25">
      <c r="A206" s="115" t="s">
        <v>438</v>
      </c>
      <c r="B206" s="857"/>
      <c r="C206" s="863"/>
      <c r="D206" s="861"/>
      <c r="E206" s="863"/>
      <c r="F206" s="865"/>
      <c r="G206" s="865"/>
      <c r="H206" s="867"/>
      <c r="I206" s="400" t="str">
        <f>IF('Mapa final'!Y209="","",'Mapa final'!Y209)</f>
        <v/>
      </c>
      <c r="J206" s="400" t="str">
        <f>IF('Mapa final'!AA209="","",'Mapa final'!AA209)</f>
        <v/>
      </c>
      <c r="K206" s="400" t="str">
        <f t="shared" si="3"/>
        <v/>
      </c>
      <c r="L206" s="400" t="str">
        <f>IF('Mapa final'!AD209="","",'Mapa final'!AD209)</f>
        <v/>
      </c>
      <c r="M206" s="339" t="str">
        <f>IF('Mapa final'!P209="","",'Mapa final'!P209)</f>
        <v/>
      </c>
      <c r="N206" s="397"/>
      <c r="O206" s="397"/>
      <c r="P206" s="397"/>
      <c r="Q206" s="398"/>
    </row>
    <row r="207" spans="1:17" x14ac:dyDescent="0.25">
      <c r="A207" s="115" t="s">
        <v>439</v>
      </c>
      <c r="B207" s="857"/>
      <c r="C207" s="863"/>
      <c r="D207" s="861"/>
      <c r="E207" s="863"/>
      <c r="F207" s="865"/>
      <c r="G207" s="865"/>
      <c r="H207" s="867"/>
      <c r="I207" s="400" t="str">
        <f>IF('Mapa final'!Y210="","",'Mapa final'!Y210)</f>
        <v/>
      </c>
      <c r="J207" s="400" t="str">
        <f>IF('Mapa final'!AA210="","",'Mapa final'!AA210)</f>
        <v/>
      </c>
      <c r="K207" s="400" t="str">
        <f t="shared" si="3"/>
        <v/>
      </c>
      <c r="L207" s="400" t="str">
        <f>IF('Mapa final'!AD210="","",'Mapa final'!AD210)</f>
        <v/>
      </c>
      <c r="M207" s="339" t="str">
        <f>IF('Mapa final'!P210="","",'Mapa final'!P210)</f>
        <v/>
      </c>
      <c r="N207" s="397"/>
      <c r="O207" s="397"/>
      <c r="P207" s="397"/>
      <c r="Q207" s="398"/>
    </row>
    <row r="208" spans="1:17" x14ac:dyDescent="0.25">
      <c r="A208" s="115" t="s">
        <v>440</v>
      </c>
      <c r="B208" s="857"/>
      <c r="C208" s="863"/>
      <c r="D208" s="861"/>
      <c r="E208" s="863"/>
      <c r="F208" s="865"/>
      <c r="G208" s="865"/>
      <c r="H208" s="867"/>
      <c r="I208" s="400" t="str">
        <f>IF('Mapa final'!Y211="","",'Mapa final'!Y211)</f>
        <v/>
      </c>
      <c r="J208" s="400" t="str">
        <f>IF('Mapa final'!AA211="","",'Mapa final'!AA211)</f>
        <v/>
      </c>
      <c r="K208" s="400" t="str">
        <f t="shared" si="3"/>
        <v/>
      </c>
      <c r="L208" s="400" t="str">
        <f>IF('Mapa final'!AD211="","",'Mapa final'!AD211)</f>
        <v/>
      </c>
      <c r="M208" s="339" t="str">
        <f>IF('Mapa final'!P211="","",'Mapa final'!P211)</f>
        <v/>
      </c>
      <c r="N208" s="397"/>
      <c r="O208" s="397"/>
      <c r="P208" s="397"/>
      <c r="Q208" s="398"/>
    </row>
    <row r="209" spans="1:17" x14ac:dyDescent="0.25">
      <c r="A209" s="115" t="s">
        <v>441</v>
      </c>
      <c r="B209" s="857"/>
      <c r="C209" s="863"/>
      <c r="D209" s="861"/>
      <c r="E209" s="863"/>
      <c r="F209" s="865"/>
      <c r="G209" s="865"/>
      <c r="H209" s="867"/>
      <c r="I209" s="400" t="str">
        <f>IF('Mapa final'!Y212="","",'Mapa final'!Y212)</f>
        <v/>
      </c>
      <c r="J209" s="400" t="str">
        <f>IF('Mapa final'!AA212="","",'Mapa final'!AA212)</f>
        <v/>
      </c>
      <c r="K209" s="400" t="str">
        <f t="shared" si="3"/>
        <v/>
      </c>
      <c r="L209" s="400" t="str">
        <f>IF('Mapa final'!AD212="","",'Mapa final'!AD212)</f>
        <v/>
      </c>
      <c r="M209" s="339" t="str">
        <f>IF('Mapa final'!P212="","",'Mapa final'!P212)</f>
        <v/>
      </c>
      <c r="N209" s="397"/>
      <c r="O209" s="397"/>
      <c r="P209" s="397"/>
      <c r="Q209" s="398"/>
    </row>
    <row r="210" spans="1:17" x14ac:dyDescent="0.25">
      <c r="A210" s="115" t="s">
        <v>442</v>
      </c>
      <c r="B210" s="857"/>
      <c r="C210" s="863"/>
      <c r="D210" s="861"/>
      <c r="E210" s="863"/>
      <c r="F210" s="865"/>
      <c r="G210" s="865"/>
      <c r="H210" s="867"/>
      <c r="I210" s="400" t="str">
        <f>IF('Mapa final'!Y213="","",'Mapa final'!Y213)</f>
        <v/>
      </c>
      <c r="J210" s="400" t="str">
        <f>IF('Mapa final'!AA213="","",'Mapa final'!AA213)</f>
        <v/>
      </c>
      <c r="K210" s="400" t="str">
        <f t="shared" si="3"/>
        <v/>
      </c>
      <c r="L210" s="400" t="str">
        <f>IF('Mapa final'!AD213="","",'Mapa final'!AD213)</f>
        <v/>
      </c>
      <c r="M210" s="339" t="str">
        <f>IF('Mapa final'!P213="","",'Mapa final'!P213)</f>
        <v/>
      </c>
      <c r="N210" s="397"/>
      <c r="O210" s="397"/>
      <c r="P210" s="397"/>
      <c r="Q210" s="398"/>
    </row>
    <row r="211" spans="1:17" x14ac:dyDescent="0.25">
      <c r="A211" s="115" t="s">
        <v>443</v>
      </c>
      <c r="B211" s="856"/>
      <c r="C211" s="862" t="str">
        <f>IF('Mapa final'!E214="","",'Mapa final'!E214)</f>
        <v/>
      </c>
      <c r="D211" s="860"/>
      <c r="E211" s="862" t="str">
        <f>IF('Mapa final'!D214="","",'Mapa final'!D214)</f>
        <v/>
      </c>
      <c r="F211" s="865" t="str">
        <f>IF('Mapa final'!H214="","",'Mapa final'!H214)</f>
        <v/>
      </c>
      <c r="G211" s="865" t="str">
        <f>IF('Mapa final'!L214="","",'Mapa final'!L214)</f>
        <v/>
      </c>
      <c r="H211" s="86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0" t="str">
        <f>IF('Mapa final'!Y214="","",'Mapa final'!Y214)</f>
        <v/>
      </c>
      <c r="J211" s="400" t="str">
        <f>IF('Mapa final'!AA214="","",'Mapa final'!AA214)</f>
        <v/>
      </c>
      <c r="K211" s="400" t="str">
        <f t="shared" si="3"/>
        <v/>
      </c>
      <c r="L211" s="400" t="str">
        <f>IF('Mapa final'!AD214="","",'Mapa final'!AD214)</f>
        <v/>
      </c>
      <c r="M211" s="339" t="str">
        <f>IF('Mapa final'!P214="","",'Mapa final'!P214)</f>
        <v/>
      </c>
      <c r="N211" s="397"/>
      <c r="O211" s="397"/>
      <c r="P211" s="397"/>
      <c r="Q211" s="398"/>
    </row>
    <row r="212" spans="1:17" x14ac:dyDescent="0.25">
      <c r="A212" s="115" t="s">
        <v>444</v>
      </c>
      <c r="B212" s="857"/>
      <c r="C212" s="863"/>
      <c r="D212" s="861"/>
      <c r="E212" s="863"/>
      <c r="F212" s="865"/>
      <c r="G212" s="865"/>
      <c r="H212" s="867"/>
      <c r="I212" s="400" t="str">
        <f>IF('Mapa final'!Y215="","",'Mapa final'!Y215)</f>
        <v/>
      </c>
      <c r="J212" s="400" t="str">
        <f>IF('Mapa final'!AA215="","",'Mapa final'!AA215)</f>
        <v/>
      </c>
      <c r="K212" s="400" t="str">
        <f t="shared" si="3"/>
        <v/>
      </c>
      <c r="L212" s="400" t="str">
        <f>IF('Mapa final'!AD215="","",'Mapa final'!AD215)</f>
        <v/>
      </c>
      <c r="M212" s="339" t="str">
        <f>IF('Mapa final'!P215="","",'Mapa final'!P215)</f>
        <v/>
      </c>
      <c r="N212" s="397"/>
      <c r="O212" s="397"/>
      <c r="P212" s="397"/>
      <c r="Q212" s="398"/>
    </row>
    <row r="213" spans="1:17" x14ac:dyDescent="0.25">
      <c r="A213" s="115" t="s">
        <v>445</v>
      </c>
      <c r="B213" s="857"/>
      <c r="C213" s="863"/>
      <c r="D213" s="861"/>
      <c r="E213" s="863"/>
      <c r="F213" s="865"/>
      <c r="G213" s="865"/>
      <c r="H213" s="867"/>
      <c r="I213" s="400" t="str">
        <f>IF('Mapa final'!Y216="","",'Mapa final'!Y216)</f>
        <v/>
      </c>
      <c r="J213" s="400" t="str">
        <f>IF('Mapa final'!AA216="","",'Mapa final'!AA216)</f>
        <v/>
      </c>
      <c r="K213" s="400" t="str">
        <f t="shared" si="3"/>
        <v/>
      </c>
      <c r="L213" s="400" t="str">
        <f>IF('Mapa final'!AD216="","",'Mapa final'!AD216)</f>
        <v/>
      </c>
      <c r="M213" s="339" t="str">
        <f>IF('Mapa final'!P216="","",'Mapa final'!P216)</f>
        <v/>
      </c>
      <c r="N213" s="397"/>
      <c r="O213" s="397"/>
      <c r="P213" s="397"/>
      <c r="Q213" s="398"/>
    </row>
    <row r="214" spans="1:17" x14ac:dyDescent="0.25">
      <c r="A214" s="115" t="s">
        <v>446</v>
      </c>
      <c r="B214" s="857"/>
      <c r="C214" s="863"/>
      <c r="D214" s="861"/>
      <c r="E214" s="863"/>
      <c r="F214" s="865"/>
      <c r="G214" s="865"/>
      <c r="H214" s="867"/>
      <c r="I214" s="400" t="str">
        <f>IF('Mapa final'!Y217="","",'Mapa final'!Y217)</f>
        <v/>
      </c>
      <c r="J214" s="400" t="str">
        <f>IF('Mapa final'!AA217="","",'Mapa final'!AA217)</f>
        <v/>
      </c>
      <c r="K214" s="400" t="str">
        <f t="shared" si="3"/>
        <v/>
      </c>
      <c r="L214" s="400" t="str">
        <f>IF('Mapa final'!AD217="","",'Mapa final'!AD217)</f>
        <v/>
      </c>
      <c r="M214" s="339" t="str">
        <f>IF('Mapa final'!P217="","",'Mapa final'!P217)</f>
        <v/>
      </c>
      <c r="N214" s="397"/>
      <c r="O214" s="397"/>
      <c r="P214" s="397"/>
      <c r="Q214" s="398"/>
    </row>
    <row r="215" spans="1:17" x14ac:dyDescent="0.25">
      <c r="A215" s="115" t="s">
        <v>447</v>
      </c>
      <c r="B215" s="857"/>
      <c r="C215" s="863"/>
      <c r="D215" s="861"/>
      <c r="E215" s="863"/>
      <c r="F215" s="865"/>
      <c r="G215" s="865"/>
      <c r="H215" s="867"/>
      <c r="I215" s="400" t="str">
        <f>IF('Mapa final'!Y218="","",'Mapa final'!Y218)</f>
        <v/>
      </c>
      <c r="J215" s="400" t="str">
        <f>IF('Mapa final'!AA218="","",'Mapa final'!AA218)</f>
        <v/>
      </c>
      <c r="K215" s="400" t="str">
        <f t="shared" si="3"/>
        <v/>
      </c>
      <c r="L215" s="400" t="str">
        <f>IF('Mapa final'!AD218="","",'Mapa final'!AD218)</f>
        <v/>
      </c>
      <c r="M215" s="339" t="str">
        <f>IF('Mapa final'!P218="","",'Mapa final'!P218)</f>
        <v/>
      </c>
      <c r="N215" s="397"/>
      <c r="O215" s="397"/>
      <c r="P215" s="397"/>
      <c r="Q215" s="398"/>
    </row>
    <row r="216" spans="1:17" x14ac:dyDescent="0.25">
      <c r="A216" s="115" t="s">
        <v>448</v>
      </c>
      <c r="B216" s="857"/>
      <c r="C216" s="863"/>
      <c r="D216" s="861"/>
      <c r="E216" s="863"/>
      <c r="F216" s="865"/>
      <c r="G216" s="865"/>
      <c r="H216" s="867"/>
      <c r="I216" s="400" t="str">
        <f>IF('Mapa final'!Y219="","",'Mapa final'!Y219)</f>
        <v/>
      </c>
      <c r="J216" s="400" t="str">
        <f>IF('Mapa final'!AA219="","",'Mapa final'!AA219)</f>
        <v/>
      </c>
      <c r="K216" s="400" t="str">
        <f t="shared" si="3"/>
        <v/>
      </c>
      <c r="L216" s="400" t="str">
        <f>IF('Mapa final'!AD219="","",'Mapa final'!AD219)</f>
        <v/>
      </c>
      <c r="M216" s="339" t="str">
        <f>IF('Mapa final'!P219="","",'Mapa final'!P219)</f>
        <v/>
      </c>
      <c r="N216" s="397"/>
      <c r="O216" s="397"/>
      <c r="P216" s="397"/>
      <c r="Q216" s="398"/>
    </row>
    <row r="217" spans="1:17" x14ac:dyDescent="0.25">
      <c r="A217" s="115" t="s">
        <v>449</v>
      </c>
      <c r="B217" s="856"/>
      <c r="C217" s="862" t="str">
        <f>IF('Mapa final'!E220="","",'Mapa final'!E220)</f>
        <v/>
      </c>
      <c r="D217" s="860"/>
      <c r="E217" s="862" t="str">
        <f>IF('Mapa final'!D220="","",'Mapa final'!D220)</f>
        <v/>
      </c>
      <c r="F217" s="865" t="str">
        <f>IF('Mapa final'!H220="","",'Mapa final'!H220)</f>
        <v/>
      </c>
      <c r="G217" s="865" t="str">
        <f>IF('Mapa final'!L220="","",'Mapa final'!L220)</f>
        <v/>
      </c>
      <c r="H217" s="86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0" t="str">
        <f>IF('Mapa final'!Y220="","",'Mapa final'!Y220)</f>
        <v/>
      </c>
      <c r="J217" s="400" t="str">
        <f>IF('Mapa final'!AA220="","",'Mapa final'!AA220)</f>
        <v/>
      </c>
      <c r="K217" s="400" t="str">
        <f t="shared" si="3"/>
        <v/>
      </c>
      <c r="L217" s="400" t="str">
        <f>IF('Mapa final'!AD220="","",'Mapa final'!AD220)</f>
        <v/>
      </c>
      <c r="M217" s="339" t="str">
        <f>IF('Mapa final'!P220="","",'Mapa final'!P220)</f>
        <v/>
      </c>
      <c r="N217" s="397"/>
      <c r="O217" s="397"/>
      <c r="P217" s="397"/>
      <c r="Q217" s="398"/>
    </row>
    <row r="218" spans="1:17" x14ac:dyDescent="0.25">
      <c r="A218" s="115" t="s">
        <v>450</v>
      </c>
      <c r="B218" s="857"/>
      <c r="C218" s="863"/>
      <c r="D218" s="861"/>
      <c r="E218" s="863"/>
      <c r="F218" s="865"/>
      <c r="G218" s="865"/>
      <c r="H218" s="867"/>
      <c r="I218" s="400" t="str">
        <f>IF('Mapa final'!Y221="","",'Mapa final'!Y221)</f>
        <v/>
      </c>
      <c r="J218" s="400" t="str">
        <f>IF('Mapa final'!AA221="","",'Mapa final'!AA221)</f>
        <v/>
      </c>
      <c r="K218" s="400" t="str">
        <f t="shared" si="3"/>
        <v/>
      </c>
      <c r="L218" s="400" t="str">
        <f>IF('Mapa final'!AD221="","",'Mapa final'!AD221)</f>
        <v/>
      </c>
      <c r="M218" s="339" t="str">
        <f>IF('Mapa final'!P221="","",'Mapa final'!P221)</f>
        <v/>
      </c>
      <c r="N218" s="397"/>
      <c r="O218" s="397"/>
      <c r="P218" s="397"/>
      <c r="Q218" s="398"/>
    </row>
    <row r="219" spans="1:17" x14ac:dyDescent="0.25">
      <c r="A219" s="115" t="s">
        <v>451</v>
      </c>
      <c r="B219" s="857"/>
      <c r="C219" s="863"/>
      <c r="D219" s="861"/>
      <c r="E219" s="863"/>
      <c r="F219" s="865"/>
      <c r="G219" s="865"/>
      <c r="H219" s="867"/>
      <c r="I219" s="400" t="str">
        <f>IF('Mapa final'!Y222="","",'Mapa final'!Y222)</f>
        <v/>
      </c>
      <c r="J219" s="400" t="str">
        <f>IF('Mapa final'!AA222="","",'Mapa final'!AA222)</f>
        <v/>
      </c>
      <c r="K219" s="400" t="str">
        <f t="shared" si="3"/>
        <v/>
      </c>
      <c r="L219" s="400" t="str">
        <f>IF('Mapa final'!AD222="","",'Mapa final'!AD222)</f>
        <v/>
      </c>
      <c r="M219" s="339" t="str">
        <f>IF('Mapa final'!P222="","",'Mapa final'!P222)</f>
        <v/>
      </c>
      <c r="N219" s="397"/>
      <c r="O219" s="397"/>
      <c r="P219" s="397"/>
      <c r="Q219" s="398"/>
    </row>
    <row r="220" spans="1:17" x14ac:dyDescent="0.25">
      <c r="A220" s="115" t="s">
        <v>452</v>
      </c>
      <c r="B220" s="857"/>
      <c r="C220" s="863"/>
      <c r="D220" s="861"/>
      <c r="E220" s="863"/>
      <c r="F220" s="865"/>
      <c r="G220" s="865"/>
      <c r="H220" s="867"/>
      <c r="I220" s="400" t="str">
        <f>IF('Mapa final'!Y223="","",'Mapa final'!Y223)</f>
        <v/>
      </c>
      <c r="J220" s="400" t="str">
        <f>IF('Mapa final'!AA223="","",'Mapa final'!AA223)</f>
        <v/>
      </c>
      <c r="K220" s="400" t="str">
        <f t="shared" si="3"/>
        <v/>
      </c>
      <c r="L220" s="400" t="str">
        <f>IF('Mapa final'!AD223="","",'Mapa final'!AD223)</f>
        <v/>
      </c>
      <c r="M220" s="339" t="str">
        <f>IF('Mapa final'!P223="","",'Mapa final'!P223)</f>
        <v/>
      </c>
      <c r="N220" s="397"/>
      <c r="O220" s="397"/>
      <c r="P220" s="397"/>
      <c r="Q220" s="398"/>
    </row>
    <row r="221" spans="1:17" x14ac:dyDescent="0.25">
      <c r="A221" s="115" t="s">
        <v>453</v>
      </c>
      <c r="B221" s="857"/>
      <c r="C221" s="863"/>
      <c r="D221" s="861"/>
      <c r="E221" s="863"/>
      <c r="F221" s="865"/>
      <c r="G221" s="865"/>
      <c r="H221" s="867"/>
      <c r="I221" s="400" t="str">
        <f>IF('Mapa final'!Y224="","",'Mapa final'!Y224)</f>
        <v/>
      </c>
      <c r="J221" s="400" t="str">
        <f>IF('Mapa final'!AA224="","",'Mapa final'!AA224)</f>
        <v/>
      </c>
      <c r="K221" s="400" t="str">
        <f t="shared" si="3"/>
        <v/>
      </c>
      <c r="L221" s="400" t="str">
        <f>IF('Mapa final'!AD224="","",'Mapa final'!AD224)</f>
        <v/>
      </c>
      <c r="M221" s="339" t="str">
        <f>IF('Mapa final'!P224="","",'Mapa final'!P224)</f>
        <v/>
      </c>
      <c r="N221" s="397"/>
      <c r="O221" s="397"/>
      <c r="P221" s="397"/>
      <c r="Q221" s="398"/>
    </row>
    <row r="222" spans="1:17" x14ac:dyDescent="0.25">
      <c r="A222" s="115" t="s">
        <v>454</v>
      </c>
      <c r="B222" s="857"/>
      <c r="C222" s="863"/>
      <c r="D222" s="861"/>
      <c r="E222" s="863"/>
      <c r="F222" s="865"/>
      <c r="G222" s="865"/>
      <c r="H222" s="867"/>
      <c r="I222" s="400" t="str">
        <f>IF('Mapa final'!Y225="","",'Mapa final'!Y225)</f>
        <v/>
      </c>
      <c r="J222" s="400" t="str">
        <f>IF('Mapa final'!AA225="","",'Mapa final'!AA225)</f>
        <v/>
      </c>
      <c r="K222" s="400" t="str">
        <f t="shared" si="3"/>
        <v/>
      </c>
      <c r="L222" s="400" t="str">
        <f>IF('Mapa final'!AD225="","",'Mapa final'!AD225)</f>
        <v/>
      </c>
      <c r="M222" s="339" t="str">
        <f>IF('Mapa final'!P225="","",'Mapa final'!P225)</f>
        <v/>
      </c>
      <c r="N222" s="397"/>
      <c r="O222" s="397"/>
      <c r="P222" s="397"/>
      <c r="Q222" s="398"/>
    </row>
    <row r="223" spans="1:17" x14ac:dyDescent="0.25">
      <c r="A223" s="115" t="s">
        <v>455</v>
      </c>
      <c r="B223" s="856"/>
      <c r="C223" s="862" t="str">
        <f>IF('Mapa final'!E226="","",'Mapa final'!E226)</f>
        <v/>
      </c>
      <c r="D223" s="860"/>
      <c r="E223" s="862" t="str">
        <f>IF('Mapa final'!D226="","",'Mapa final'!D226)</f>
        <v/>
      </c>
      <c r="F223" s="865" t="str">
        <f>IF('Mapa final'!H226="","",'Mapa final'!H226)</f>
        <v/>
      </c>
      <c r="G223" s="865" t="str">
        <f>IF('Mapa final'!L226="","",'Mapa final'!L226)</f>
        <v/>
      </c>
      <c r="H223" s="86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0" t="str">
        <f>IF('Mapa final'!Y226="","",'Mapa final'!Y226)</f>
        <v/>
      </c>
      <c r="J223" s="400" t="str">
        <f>IF('Mapa final'!AA226="","",'Mapa final'!AA226)</f>
        <v/>
      </c>
      <c r="K223" s="400" t="str">
        <f t="shared" si="3"/>
        <v/>
      </c>
      <c r="L223" s="400" t="str">
        <f>IF('Mapa final'!AD226="","",'Mapa final'!AD226)</f>
        <v/>
      </c>
      <c r="M223" s="339" t="str">
        <f>IF('Mapa final'!P226="","",'Mapa final'!P226)</f>
        <v/>
      </c>
      <c r="N223" s="397"/>
      <c r="O223" s="397"/>
      <c r="P223" s="397"/>
      <c r="Q223" s="398"/>
    </row>
    <row r="224" spans="1:17" x14ac:dyDescent="0.25">
      <c r="A224" s="115" t="s">
        <v>456</v>
      </c>
      <c r="B224" s="857"/>
      <c r="C224" s="863"/>
      <c r="D224" s="861"/>
      <c r="E224" s="863"/>
      <c r="F224" s="865"/>
      <c r="G224" s="865"/>
      <c r="H224" s="867"/>
      <c r="I224" s="400" t="str">
        <f>IF('Mapa final'!Y227="","",'Mapa final'!Y227)</f>
        <v/>
      </c>
      <c r="J224" s="400" t="str">
        <f>IF('Mapa final'!AA227="","",'Mapa final'!AA227)</f>
        <v/>
      </c>
      <c r="K224" s="400" t="str">
        <f t="shared" si="3"/>
        <v/>
      </c>
      <c r="L224" s="400" t="str">
        <f>IF('Mapa final'!AD227="","",'Mapa final'!AD227)</f>
        <v/>
      </c>
      <c r="M224" s="339" t="str">
        <f>IF('Mapa final'!P227="","",'Mapa final'!P227)</f>
        <v/>
      </c>
      <c r="N224" s="397"/>
      <c r="O224" s="397"/>
      <c r="P224" s="397"/>
      <c r="Q224" s="398"/>
    </row>
    <row r="225" spans="1:17" x14ac:dyDescent="0.25">
      <c r="A225" s="115" t="s">
        <v>457</v>
      </c>
      <c r="B225" s="857"/>
      <c r="C225" s="863"/>
      <c r="D225" s="861"/>
      <c r="E225" s="863"/>
      <c r="F225" s="865"/>
      <c r="G225" s="865"/>
      <c r="H225" s="867"/>
      <c r="I225" s="400" t="str">
        <f>IF('Mapa final'!Y228="","",'Mapa final'!Y228)</f>
        <v/>
      </c>
      <c r="J225" s="400" t="str">
        <f>IF('Mapa final'!AA228="","",'Mapa final'!AA228)</f>
        <v/>
      </c>
      <c r="K225" s="400" t="str">
        <f t="shared" si="3"/>
        <v/>
      </c>
      <c r="L225" s="400" t="str">
        <f>IF('Mapa final'!AD228="","",'Mapa final'!AD228)</f>
        <v/>
      </c>
      <c r="M225" s="339" t="str">
        <f>IF('Mapa final'!P228="","",'Mapa final'!P228)</f>
        <v/>
      </c>
      <c r="N225" s="397"/>
      <c r="O225" s="397"/>
      <c r="P225" s="397"/>
      <c r="Q225" s="398"/>
    </row>
    <row r="226" spans="1:17" x14ac:dyDescent="0.25">
      <c r="A226" s="115" t="s">
        <v>458</v>
      </c>
      <c r="B226" s="857"/>
      <c r="C226" s="863"/>
      <c r="D226" s="861"/>
      <c r="E226" s="863"/>
      <c r="F226" s="865"/>
      <c r="G226" s="865"/>
      <c r="H226" s="867"/>
      <c r="I226" s="400" t="str">
        <f>IF('Mapa final'!Y229="","",'Mapa final'!Y229)</f>
        <v/>
      </c>
      <c r="J226" s="400" t="str">
        <f>IF('Mapa final'!AA229="","",'Mapa final'!AA229)</f>
        <v/>
      </c>
      <c r="K226" s="400" t="str">
        <f t="shared" si="3"/>
        <v/>
      </c>
      <c r="L226" s="400" t="str">
        <f>IF('Mapa final'!AD229="","",'Mapa final'!AD229)</f>
        <v/>
      </c>
      <c r="M226" s="339" t="str">
        <f>IF('Mapa final'!P229="","",'Mapa final'!P229)</f>
        <v/>
      </c>
      <c r="N226" s="397"/>
      <c r="O226" s="397"/>
      <c r="P226" s="397"/>
      <c r="Q226" s="398"/>
    </row>
    <row r="227" spans="1:17" x14ac:dyDescent="0.25">
      <c r="A227" s="115" t="s">
        <v>459</v>
      </c>
      <c r="B227" s="857"/>
      <c r="C227" s="863"/>
      <c r="D227" s="861"/>
      <c r="E227" s="863"/>
      <c r="F227" s="865"/>
      <c r="G227" s="865"/>
      <c r="H227" s="867"/>
      <c r="I227" s="400" t="str">
        <f>IF('Mapa final'!Y230="","",'Mapa final'!Y230)</f>
        <v/>
      </c>
      <c r="J227" s="400" t="str">
        <f>IF('Mapa final'!AA230="","",'Mapa final'!AA230)</f>
        <v/>
      </c>
      <c r="K227" s="400" t="str">
        <f t="shared" si="3"/>
        <v/>
      </c>
      <c r="L227" s="400" t="str">
        <f>IF('Mapa final'!AD230="","",'Mapa final'!AD230)</f>
        <v/>
      </c>
      <c r="M227" s="339" t="str">
        <f>IF('Mapa final'!P230="","",'Mapa final'!P230)</f>
        <v/>
      </c>
      <c r="N227" s="397"/>
      <c r="O227" s="397"/>
      <c r="P227" s="397"/>
      <c r="Q227" s="398"/>
    </row>
    <row r="228" spans="1:17" x14ac:dyDescent="0.25">
      <c r="A228" s="115" t="s">
        <v>460</v>
      </c>
      <c r="B228" s="857"/>
      <c r="C228" s="863"/>
      <c r="D228" s="861"/>
      <c r="E228" s="863"/>
      <c r="F228" s="865"/>
      <c r="G228" s="865"/>
      <c r="H228" s="867"/>
      <c r="I228" s="400" t="str">
        <f>IF('Mapa final'!Y231="","",'Mapa final'!Y231)</f>
        <v/>
      </c>
      <c r="J228" s="400" t="str">
        <f>IF('Mapa final'!AA231="","",'Mapa final'!AA231)</f>
        <v/>
      </c>
      <c r="K228" s="400" t="str">
        <f t="shared" si="3"/>
        <v/>
      </c>
      <c r="L228" s="400" t="str">
        <f>IF('Mapa final'!AD231="","",'Mapa final'!AD231)</f>
        <v/>
      </c>
      <c r="M228" s="339" t="str">
        <f>IF('Mapa final'!P231="","",'Mapa final'!P231)</f>
        <v/>
      </c>
      <c r="N228" s="397"/>
      <c r="O228" s="397"/>
      <c r="P228" s="397"/>
      <c r="Q228" s="398"/>
    </row>
    <row r="229" spans="1:17" x14ac:dyDescent="0.25">
      <c r="A229" s="115" t="s">
        <v>461</v>
      </c>
      <c r="B229" s="856"/>
      <c r="C229" s="862" t="str">
        <f>IF('Mapa final'!E232="","",'Mapa final'!E232)</f>
        <v/>
      </c>
      <c r="D229" s="860"/>
      <c r="E229" s="862" t="str">
        <f>IF('Mapa final'!D232="","",'Mapa final'!D232)</f>
        <v/>
      </c>
      <c r="F229" s="865" t="str">
        <f>IF('Mapa final'!H232="","",'Mapa final'!H232)</f>
        <v/>
      </c>
      <c r="G229" s="865" t="str">
        <f>IF('Mapa final'!L232="","",'Mapa final'!L232)</f>
        <v/>
      </c>
      <c r="H229" s="86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0" t="str">
        <f>IF('Mapa final'!Y232="","",'Mapa final'!Y232)</f>
        <v/>
      </c>
      <c r="J229" s="400" t="str">
        <f>IF('Mapa final'!AA232="","",'Mapa final'!AA232)</f>
        <v/>
      </c>
      <c r="K229" s="400" t="str">
        <f t="shared" si="3"/>
        <v/>
      </c>
      <c r="L229" s="400" t="str">
        <f>IF('Mapa final'!AD232="","",'Mapa final'!AD232)</f>
        <v/>
      </c>
      <c r="M229" s="339" t="str">
        <f>IF('Mapa final'!P232="","",'Mapa final'!P232)</f>
        <v/>
      </c>
      <c r="N229" s="397"/>
      <c r="O229" s="397"/>
      <c r="P229" s="397"/>
      <c r="Q229" s="398"/>
    </row>
    <row r="230" spans="1:17" x14ac:dyDescent="0.25">
      <c r="A230" s="115" t="s">
        <v>462</v>
      </c>
      <c r="B230" s="857"/>
      <c r="C230" s="863"/>
      <c r="D230" s="861"/>
      <c r="E230" s="863"/>
      <c r="F230" s="865"/>
      <c r="G230" s="865"/>
      <c r="H230" s="867"/>
      <c r="I230" s="400" t="str">
        <f>IF('Mapa final'!Y233="","",'Mapa final'!Y233)</f>
        <v/>
      </c>
      <c r="J230" s="400" t="str">
        <f>IF('Mapa final'!AA233="","",'Mapa final'!AA233)</f>
        <v/>
      </c>
      <c r="K230" s="400" t="str">
        <f t="shared" si="3"/>
        <v/>
      </c>
      <c r="L230" s="400" t="str">
        <f>IF('Mapa final'!AD233="","",'Mapa final'!AD233)</f>
        <v/>
      </c>
      <c r="M230" s="339" t="str">
        <f>IF('Mapa final'!P233="","",'Mapa final'!P233)</f>
        <v/>
      </c>
      <c r="N230" s="397"/>
      <c r="O230" s="397"/>
      <c r="P230" s="397"/>
      <c r="Q230" s="398"/>
    </row>
    <row r="231" spans="1:17" x14ac:dyDescent="0.25">
      <c r="A231" s="115" t="s">
        <v>463</v>
      </c>
      <c r="B231" s="857"/>
      <c r="C231" s="863"/>
      <c r="D231" s="861"/>
      <c r="E231" s="863"/>
      <c r="F231" s="865"/>
      <c r="G231" s="865"/>
      <c r="H231" s="867"/>
      <c r="I231" s="400" t="str">
        <f>IF('Mapa final'!Y234="","",'Mapa final'!Y234)</f>
        <v/>
      </c>
      <c r="J231" s="400" t="str">
        <f>IF('Mapa final'!AA234="","",'Mapa final'!AA234)</f>
        <v/>
      </c>
      <c r="K231" s="400" t="str">
        <f t="shared" si="3"/>
        <v/>
      </c>
      <c r="L231" s="400" t="str">
        <f>IF('Mapa final'!AD234="","",'Mapa final'!AD234)</f>
        <v/>
      </c>
      <c r="M231" s="339" t="str">
        <f>IF('Mapa final'!P234="","",'Mapa final'!P234)</f>
        <v/>
      </c>
      <c r="N231" s="397"/>
      <c r="O231" s="397"/>
      <c r="P231" s="397"/>
      <c r="Q231" s="398"/>
    </row>
    <row r="232" spans="1:17" x14ac:dyDescent="0.25">
      <c r="A232" s="115" t="s">
        <v>464</v>
      </c>
      <c r="B232" s="857"/>
      <c r="C232" s="863"/>
      <c r="D232" s="861"/>
      <c r="E232" s="863"/>
      <c r="F232" s="865"/>
      <c r="G232" s="865"/>
      <c r="H232" s="867"/>
      <c r="I232" s="400" t="str">
        <f>IF('Mapa final'!Y235="","",'Mapa final'!Y235)</f>
        <v/>
      </c>
      <c r="J232" s="400" t="str">
        <f>IF('Mapa final'!AA235="","",'Mapa final'!AA235)</f>
        <v/>
      </c>
      <c r="K232" s="400" t="str">
        <f t="shared" si="3"/>
        <v/>
      </c>
      <c r="L232" s="400" t="str">
        <f>IF('Mapa final'!AD235="","",'Mapa final'!AD235)</f>
        <v/>
      </c>
      <c r="M232" s="339" t="str">
        <f>IF('Mapa final'!P235="","",'Mapa final'!P235)</f>
        <v/>
      </c>
      <c r="N232" s="397"/>
      <c r="O232" s="397"/>
      <c r="P232" s="397"/>
      <c r="Q232" s="398"/>
    </row>
    <row r="233" spans="1:17" x14ac:dyDescent="0.25">
      <c r="A233" s="115" t="s">
        <v>465</v>
      </c>
      <c r="B233" s="857"/>
      <c r="C233" s="863"/>
      <c r="D233" s="861"/>
      <c r="E233" s="863"/>
      <c r="F233" s="865"/>
      <c r="G233" s="865"/>
      <c r="H233" s="867"/>
      <c r="I233" s="400" t="str">
        <f>IF('Mapa final'!Y236="","",'Mapa final'!Y236)</f>
        <v/>
      </c>
      <c r="J233" s="400" t="str">
        <f>IF('Mapa final'!AA236="","",'Mapa final'!AA236)</f>
        <v/>
      </c>
      <c r="K233" s="400" t="str">
        <f t="shared" si="3"/>
        <v/>
      </c>
      <c r="L233" s="400" t="str">
        <f>IF('Mapa final'!AD236="","",'Mapa final'!AD236)</f>
        <v/>
      </c>
      <c r="M233" s="339" t="str">
        <f>IF('Mapa final'!P236="","",'Mapa final'!P236)</f>
        <v/>
      </c>
      <c r="N233" s="397"/>
      <c r="O233" s="397"/>
      <c r="P233" s="397"/>
      <c r="Q233" s="398"/>
    </row>
    <row r="234" spans="1:17" x14ac:dyDescent="0.25">
      <c r="A234" s="115" t="s">
        <v>466</v>
      </c>
      <c r="B234" s="857"/>
      <c r="C234" s="863"/>
      <c r="D234" s="861"/>
      <c r="E234" s="863"/>
      <c r="F234" s="865"/>
      <c r="G234" s="865"/>
      <c r="H234" s="867"/>
      <c r="I234" s="400" t="str">
        <f>IF('Mapa final'!Y237="","",'Mapa final'!Y237)</f>
        <v/>
      </c>
      <c r="J234" s="400" t="str">
        <f>IF('Mapa final'!AA237="","",'Mapa final'!AA237)</f>
        <v/>
      </c>
      <c r="K234" s="400" t="str">
        <f t="shared" si="3"/>
        <v/>
      </c>
      <c r="L234" s="400" t="str">
        <f>IF('Mapa final'!AD237="","",'Mapa final'!AD237)</f>
        <v/>
      </c>
      <c r="M234" s="339" t="str">
        <f>IF('Mapa final'!P237="","",'Mapa final'!P237)</f>
        <v/>
      </c>
      <c r="N234" s="397"/>
      <c r="O234" s="397"/>
      <c r="P234" s="397"/>
      <c r="Q234" s="398"/>
    </row>
    <row r="235" spans="1:17" x14ac:dyDescent="0.25">
      <c r="A235" s="115" t="s">
        <v>467</v>
      </c>
      <c r="B235" s="856"/>
      <c r="C235" s="862" t="str">
        <f>IF('Mapa final'!E238="","",'Mapa final'!E238)</f>
        <v/>
      </c>
      <c r="D235" s="860"/>
      <c r="E235" s="862" t="str">
        <f>IF('Mapa final'!D238="","",'Mapa final'!D238)</f>
        <v/>
      </c>
      <c r="F235" s="865" t="str">
        <f>IF('Mapa final'!H238="","",'Mapa final'!H238)</f>
        <v/>
      </c>
      <c r="G235" s="865" t="str">
        <f>IF('Mapa final'!L238="","",'Mapa final'!L238)</f>
        <v/>
      </c>
      <c r="H235" s="86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0" t="str">
        <f>IF('Mapa final'!Y238="","",'Mapa final'!Y238)</f>
        <v/>
      </c>
      <c r="J235" s="400" t="str">
        <f>IF('Mapa final'!AA238="","",'Mapa final'!AA238)</f>
        <v/>
      </c>
      <c r="K235" s="400" t="str">
        <f t="shared" si="3"/>
        <v/>
      </c>
      <c r="L235" s="400" t="str">
        <f>IF('Mapa final'!AD238="","",'Mapa final'!AD238)</f>
        <v/>
      </c>
      <c r="M235" s="339" t="str">
        <f>IF('Mapa final'!P238="","",'Mapa final'!P238)</f>
        <v/>
      </c>
      <c r="N235" s="397"/>
      <c r="O235" s="397"/>
      <c r="P235" s="397"/>
      <c r="Q235" s="398"/>
    </row>
    <row r="236" spans="1:17" x14ac:dyDescent="0.25">
      <c r="A236" s="115" t="s">
        <v>468</v>
      </c>
      <c r="B236" s="857"/>
      <c r="C236" s="863"/>
      <c r="D236" s="861"/>
      <c r="E236" s="863"/>
      <c r="F236" s="865"/>
      <c r="G236" s="865"/>
      <c r="H236" s="867"/>
      <c r="I236" s="400" t="str">
        <f>IF('Mapa final'!Y239="","",'Mapa final'!Y239)</f>
        <v/>
      </c>
      <c r="J236" s="400" t="str">
        <f>IF('Mapa final'!AA239="","",'Mapa final'!AA239)</f>
        <v/>
      </c>
      <c r="K236" s="400" t="str">
        <f t="shared" si="3"/>
        <v/>
      </c>
      <c r="L236" s="400" t="str">
        <f>IF('Mapa final'!AD239="","",'Mapa final'!AD239)</f>
        <v/>
      </c>
      <c r="M236" s="339" t="str">
        <f>IF('Mapa final'!P239="","",'Mapa final'!P239)</f>
        <v/>
      </c>
      <c r="N236" s="397"/>
      <c r="O236" s="397"/>
      <c r="P236" s="397"/>
      <c r="Q236" s="398"/>
    </row>
    <row r="237" spans="1:17" x14ac:dyDescent="0.25">
      <c r="A237" s="115" t="s">
        <v>469</v>
      </c>
      <c r="B237" s="857"/>
      <c r="C237" s="863"/>
      <c r="D237" s="861"/>
      <c r="E237" s="863"/>
      <c r="F237" s="865"/>
      <c r="G237" s="865"/>
      <c r="H237" s="867"/>
      <c r="I237" s="400" t="str">
        <f>IF('Mapa final'!Y240="","",'Mapa final'!Y240)</f>
        <v/>
      </c>
      <c r="J237" s="400" t="str">
        <f>IF('Mapa final'!AA240="","",'Mapa final'!AA240)</f>
        <v/>
      </c>
      <c r="K237" s="400" t="str">
        <f t="shared" si="3"/>
        <v/>
      </c>
      <c r="L237" s="400" t="str">
        <f>IF('Mapa final'!AD240="","",'Mapa final'!AD240)</f>
        <v/>
      </c>
      <c r="M237" s="339" t="str">
        <f>IF('Mapa final'!P240="","",'Mapa final'!P240)</f>
        <v/>
      </c>
      <c r="N237" s="397"/>
      <c r="O237" s="397"/>
      <c r="P237" s="397"/>
      <c r="Q237" s="398"/>
    </row>
    <row r="238" spans="1:17" x14ac:dyDescent="0.25">
      <c r="A238" s="115" t="s">
        <v>470</v>
      </c>
      <c r="B238" s="857"/>
      <c r="C238" s="863"/>
      <c r="D238" s="861"/>
      <c r="E238" s="863"/>
      <c r="F238" s="865"/>
      <c r="G238" s="865"/>
      <c r="H238" s="867"/>
      <c r="I238" s="400" t="str">
        <f>IF('Mapa final'!Y241="","",'Mapa final'!Y241)</f>
        <v/>
      </c>
      <c r="J238" s="400" t="str">
        <f>IF('Mapa final'!AA241="","",'Mapa final'!AA241)</f>
        <v/>
      </c>
      <c r="K238" s="400" t="str">
        <f t="shared" si="3"/>
        <v/>
      </c>
      <c r="L238" s="400" t="str">
        <f>IF('Mapa final'!AD241="","",'Mapa final'!AD241)</f>
        <v/>
      </c>
      <c r="M238" s="339" t="str">
        <f>IF('Mapa final'!P241="","",'Mapa final'!P241)</f>
        <v/>
      </c>
      <c r="N238" s="397"/>
      <c r="O238" s="397"/>
      <c r="P238" s="397"/>
      <c r="Q238" s="398"/>
    </row>
    <row r="239" spans="1:17" x14ac:dyDescent="0.25">
      <c r="A239" s="115" t="s">
        <v>471</v>
      </c>
      <c r="B239" s="857"/>
      <c r="C239" s="863"/>
      <c r="D239" s="861"/>
      <c r="E239" s="863"/>
      <c r="F239" s="865"/>
      <c r="G239" s="865"/>
      <c r="H239" s="867"/>
      <c r="I239" s="400" t="str">
        <f>IF('Mapa final'!Y242="","",'Mapa final'!Y242)</f>
        <v/>
      </c>
      <c r="J239" s="400" t="str">
        <f>IF('Mapa final'!AA242="","",'Mapa final'!AA242)</f>
        <v/>
      </c>
      <c r="K239" s="400" t="str">
        <f t="shared" si="3"/>
        <v/>
      </c>
      <c r="L239" s="400" t="str">
        <f>IF('Mapa final'!AD242="","",'Mapa final'!AD242)</f>
        <v/>
      </c>
      <c r="M239" s="339" t="str">
        <f>IF('Mapa final'!P242="","",'Mapa final'!P242)</f>
        <v/>
      </c>
      <c r="N239" s="397"/>
      <c r="O239" s="397"/>
      <c r="P239" s="397"/>
      <c r="Q239" s="398"/>
    </row>
    <row r="240" spans="1:17" x14ac:dyDescent="0.25">
      <c r="A240" s="115" t="s">
        <v>472</v>
      </c>
      <c r="B240" s="857"/>
      <c r="C240" s="863"/>
      <c r="D240" s="861"/>
      <c r="E240" s="863"/>
      <c r="F240" s="865"/>
      <c r="G240" s="865"/>
      <c r="H240" s="867"/>
      <c r="I240" s="400" t="str">
        <f>IF('Mapa final'!Y243="","",'Mapa final'!Y243)</f>
        <v/>
      </c>
      <c r="J240" s="400" t="str">
        <f>IF('Mapa final'!AA243="","",'Mapa final'!AA243)</f>
        <v/>
      </c>
      <c r="K240" s="400" t="str">
        <f t="shared" si="3"/>
        <v/>
      </c>
      <c r="L240" s="400" t="str">
        <f>IF('Mapa final'!AD243="","",'Mapa final'!AD243)</f>
        <v/>
      </c>
      <c r="M240" s="339" t="str">
        <f>IF('Mapa final'!P243="","",'Mapa final'!P243)</f>
        <v/>
      </c>
      <c r="N240" s="397"/>
      <c r="O240" s="397"/>
      <c r="P240" s="397"/>
      <c r="Q240" s="398"/>
    </row>
    <row r="241" spans="1:17" x14ac:dyDescent="0.25">
      <c r="A241" s="115" t="s">
        <v>473</v>
      </c>
      <c r="B241" s="856"/>
      <c r="C241" s="862" t="str">
        <f>IF('Mapa final'!E244="","",'Mapa final'!E244)</f>
        <v/>
      </c>
      <c r="D241" s="860"/>
      <c r="E241" s="862" t="str">
        <f>IF('Mapa final'!D244="","",'Mapa final'!D244)</f>
        <v/>
      </c>
      <c r="F241" s="865" t="str">
        <f>IF('Mapa final'!H244="","",'Mapa final'!H244)</f>
        <v/>
      </c>
      <c r="G241" s="865" t="str">
        <f>IF('Mapa final'!L244="","",'Mapa final'!L244)</f>
        <v/>
      </c>
      <c r="H241" s="86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0" t="str">
        <f>IF('Mapa final'!Y244="","",'Mapa final'!Y244)</f>
        <v/>
      </c>
      <c r="J241" s="400" t="str">
        <f>IF('Mapa final'!AA244="","",'Mapa final'!AA244)</f>
        <v/>
      </c>
      <c r="K241" s="400" t="str">
        <f t="shared" si="3"/>
        <v/>
      </c>
      <c r="L241" s="400" t="str">
        <f>IF('Mapa final'!AD244="","",'Mapa final'!AD244)</f>
        <v/>
      </c>
      <c r="M241" s="339" t="str">
        <f>IF('Mapa final'!P244="","",'Mapa final'!P244)</f>
        <v/>
      </c>
      <c r="N241" s="397"/>
      <c r="O241" s="397"/>
      <c r="P241" s="397"/>
      <c r="Q241" s="398"/>
    </row>
    <row r="242" spans="1:17" x14ac:dyDescent="0.25">
      <c r="A242" s="115" t="s">
        <v>474</v>
      </c>
      <c r="B242" s="857"/>
      <c r="C242" s="863"/>
      <c r="D242" s="861"/>
      <c r="E242" s="863"/>
      <c r="F242" s="865"/>
      <c r="G242" s="865"/>
      <c r="H242" s="867"/>
      <c r="I242" s="400" t="str">
        <f>IF('Mapa final'!Y245="","",'Mapa final'!Y245)</f>
        <v/>
      </c>
      <c r="J242" s="400" t="str">
        <f>IF('Mapa final'!AA245="","",'Mapa final'!AA245)</f>
        <v/>
      </c>
      <c r="K242" s="400" t="str">
        <f t="shared" si="3"/>
        <v/>
      </c>
      <c r="L242" s="400" t="str">
        <f>IF('Mapa final'!AD245="","",'Mapa final'!AD245)</f>
        <v/>
      </c>
      <c r="M242" s="339" t="str">
        <f>IF('Mapa final'!P245="","",'Mapa final'!P245)</f>
        <v/>
      </c>
      <c r="N242" s="397"/>
      <c r="O242" s="397"/>
      <c r="P242" s="397"/>
      <c r="Q242" s="398"/>
    </row>
    <row r="243" spans="1:17" x14ac:dyDescent="0.25">
      <c r="A243" s="115" t="s">
        <v>475</v>
      </c>
      <c r="B243" s="857"/>
      <c r="C243" s="863"/>
      <c r="D243" s="861"/>
      <c r="E243" s="863"/>
      <c r="F243" s="865"/>
      <c r="G243" s="865"/>
      <c r="H243" s="867"/>
      <c r="I243" s="400" t="str">
        <f>IF('Mapa final'!Y246="","",'Mapa final'!Y246)</f>
        <v/>
      </c>
      <c r="J243" s="400" t="str">
        <f>IF('Mapa final'!AA246="","",'Mapa final'!AA246)</f>
        <v/>
      </c>
      <c r="K243" s="400" t="str">
        <f t="shared" si="3"/>
        <v/>
      </c>
      <c r="L243" s="400" t="str">
        <f>IF('Mapa final'!AD246="","",'Mapa final'!AD246)</f>
        <v/>
      </c>
      <c r="M243" s="339" t="str">
        <f>IF('Mapa final'!P246="","",'Mapa final'!P246)</f>
        <v/>
      </c>
      <c r="N243" s="397"/>
      <c r="O243" s="397"/>
      <c r="P243" s="397"/>
      <c r="Q243" s="398"/>
    </row>
    <row r="244" spans="1:17" x14ac:dyDescent="0.25">
      <c r="A244" s="115" t="s">
        <v>476</v>
      </c>
      <c r="B244" s="857"/>
      <c r="C244" s="863"/>
      <c r="D244" s="861"/>
      <c r="E244" s="863"/>
      <c r="F244" s="865"/>
      <c r="G244" s="865"/>
      <c r="H244" s="867"/>
      <c r="I244" s="400" t="str">
        <f>IF('Mapa final'!Y247="","",'Mapa final'!Y247)</f>
        <v/>
      </c>
      <c r="J244" s="400" t="str">
        <f>IF('Mapa final'!AA247="","",'Mapa final'!AA247)</f>
        <v/>
      </c>
      <c r="K244" s="400" t="str">
        <f t="shared" si="3"/>
        <v/>
      </c>
      <c r="L244" s="400" t="str">
        <f>IF('Mapa final'!AD247="","",'Mapa final'!AD247)</f>
        <v/>
      </c>
      <c r="M244" s="339" t="str">
        <f>IF('Mapa final'!P247="","",'Mapa final'!P247)</f>
        <v/>
      </c>
      <c r="N244" s="397"/>
      <c r="O244" s="397"/>
      <c r="P244" s="397"/>
      <c r="Q244" s="398"/>
    </row>
    <row r="245" spans="1:17" x14ac:dyDescent="0.25">
      <c r="A245" s="115" t="s">
        <v>477</v>
      </c>
      <c r="B245" s="857"/>
      <c r="C245" s="863"/>
      <c r="D245" s="861"/>
      <c r="E245" s="863"/>
      <c r="F245" s="865"/>
      <c r="G245" s="865"/>
      <c r="H245" s="867"/>
      <c r="I245" s="400" t="str">
        <f>IF('Mapa final'!Y248="","",'Mapa final'!Y248)</f>
        <v/>
      </c>
      <c r="J245" s="400" t="str">
        <f>IF('Mapa final'!AA248="","",'Mapa final'!AA248)</f>
        <v/>
      </c>
      <c r="K245" s="400" t="str">
        <f t="shared" si="3"/>
        <v/>
      </c>
      <c r="L245" s="400" t="str">
        <f>IF('Mapa final'!AD248="","",'Mapa final'!AD248)</f>
        <v/>
      </c>
      <c r="M245" s="339" t="str">
        <f>IF('Mapa final'!P248="","",'Mapa final'!P248)</f>
        <v/>
      </c>
      <c r="N245" s="397"/>
      <c r="O245" s="397"/>
      <c r="P245" s="397"/>
      <c r="Q245" s="398"/>
    </row>
    <row r="246" spans="1:17" x14ac:dyDescent="0.25">
      <c r="A246" s="115" t="s">
        <v>478</v>
      </c>
      <c r="B246" s="857"/>
      <c r="C246" s="863"/>
      <c r="D246" s="861"/>
      <c r="E246" s="863"/>
      <c r="F246" s="865"/>
      <c r="G246" s="865"/>
      <c r="H246" s="867"/>
      <c r="I246" s="400" t="str">
        <f>IF('Mapa final'!Y249="","",'Mapa final'!Y249)</f>
        <v/>
      </c>
      <c r="J246" s="400" t="str">
        <f>IF('Mapa final'!AA249="","",'Mapa final'!AA249)</f>
        <v/>
      </c>
      <c r="K246" s="400" t="str">
        <f t="shared" si="3"/>
        <v/>
      </c>
      <c r="L246" s="400" t="str">
        <f>IF('Mapa final'!AD249="","",'Mapa final'!AD249)</f>
        <v/>
      </c>
      <c r="M246" s="339" t="str">
        <f>IF('Mapa final'!P249="","",'Mapa final'!P249)</f>
        <v/>
      </c>
      <c r="N246" s="397"/>
      <c r="O246" s="397"/>
      <c r="P246" s="397"/>
      <c r="Q246" s="398"/>
    </row>
    <row r="247" spans="1:17" x14ac:dyDescent="0.25">
      <c r="A247" s="115" t="s">
        <v>479</v>
      </c>
      <c r="B247" s="856"/>
      <c r="C247" s="862" t="str">
        <f>IF('Mapa final'!E250="","",'Mapa final'!E250)</f>
        <v/>
      </c>
      <c r="D247" s="860"/>
      <c r="E247" s="862" t="str">
        <f>IF('Mapa final'!D250="","",'Mapa final'!D250)</f>
        <v/>
      </c>
      <c r="F247" s="865" t="str">
        <f>IF('Mapa final'!H250="","",'Mapa final'!H250)</f>
        <v/>
      </c>
      <c r="G247" s="865" t="str">
        <f>IF('Mapa final'!L250="","",'Mapa final'!L250)</f>
        <v/>
      </c>
      <c r="H247" s="86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0" t="str">
        <f>IF('Mapa final'!Y250="","",'Mapa final'!Y250)</f>
        <v/>
      </c>
      <c r="J247" s="400" t="str">
        <f>IF('Mapa final'!AA250="","",'Mapa final'!AA250)</f>
        <v/>
      </c>
      <c r="K247" s="400" t="str">
        <f t="shared" si="3"/>
        <v/>
      </c>
      <c r="L247" s="400" t="str">
        <f>IF('Mapa final'!AD250="","",'Mapa final'!AD250)</f>
        <v/>
      </c>
      <c r="M247" s="339" t="str">
        <f>IF('Mapa final'!P250="","",'Mapa final'!P250)</f>
        <v/>
      </c>
      <c r="N247" s="397"/>
      <c r="O247" s="397"/>
      <c r="P247" s="397"/>
      <c r="Q247" s="398"/>
    </row>
    <row r="248" spans="1:17" x14ac:dyDescent="0.25">
      <c r="A248" s="115" t="s">
        <v>480</v>
      </c>
      <c r="B248" s="857"/>
      <c r="C248" s="863"/>
      <c r="D248" s="861"/>
      <c r="E248" s="863"/>
      <c r="F248" s="865"/>
      <c r="G248" s="865"/>
      <c r="H248" s="867"/>
      <c r="I248" s="400" t="str">
        <f>IF('Mapa final'!Y251="","",'Mapa final'!Y251)</f>
        <v/>
      </c>
      <c r="J248" s="400" t="str">
        <f>IF('Mapa final'!AA251="","",'Mapa final'!AA251)</f>
        <v/>
      </c>
      <c r="K248" s="400" t="str">
        <f t="shared" si="3"/>
        <v/>
      </c>
      <c r="L248" s="400" t="str">
        <f>IF('Mapa final'!AD251="","",'Mapa final'!AD251)</f>
        <v/>
      </c>
      <c r="M248" s="339" t="str">
        <f>IF('Mapa final'!P251="","",'Mapa final'!P251)</f>
        <v/>
      </c>
      <c r="N248" s="397"/>
      <c r="O248" s="397"/>
      <c r="P248" s="397"/>
      <c r="Q248" s="398"/>
    </row>
    <row r="249" spans="1:17" x14ac:dyDescent="0.25">
      <c r="A249" s="115" t="s">
        <v>481</v>
      </c>
      <c r="B249" s="857"/>
      <c r="C249" s="863"/>
      <c r="D249" s="861"/>
      <c r="E249" s="863"/>
      <c r="F249" s="865"/>
      <c r="G249" s="865"/>
      <c r="H249" s="867"/>
      <c r="I249" s="400" t="str">
        <f>IF('Mapa final'!Y252="","",'Mapa final'!Y252)</f>
        <v/>
      </c>
      <c r="J249" s="400" t="str">
        <f>IF('Mapa final'!AA252="","",'Mapa final'!AA252)</f>
        <v/>
      </c>
      <c r="K249" s="400" t="str">
        <f t="shared" si="3"/>
        <v/>
      </c>
      <c r="L249" s="400" t="str">
        <f>IF('Mapa final'!AD252="","",'Mapa final'!AD252)</f>
        <v/>
      </c>
      <c r="M249" s="339" t="str">
        <f>IF('Mapa final'!P252="","",'Mapa final'!P252)</f>
        <v/>
      </c>
      <c r="N249" s="397"/>
      <c r="O249" s="397"/>
      <c r="P249" s="397"/>
      <c r="Q249" s="398"/>
    </row>
    <row r="250" spans="1:17" x14ac:dyDescent="0.25">
      <c r="A250" s="115" t="s">
        <v>482</v>
      </c>
      <c r="B250" s="857"/>
      <c r="C250" s="863"/>
      <c r="D250" s="861"/>
      <c r="E250" s="863"/>
      <c r="F250" s="865"/>
      <c r="G250" s="865"/>
      <c r="H250" s="867"/>
      <c r="I250" s="400" t="str">
        <f>IF('Mapa final'!Y253="","",'Mapa final'!Y253)</f>
        <v/>
      </c>
      <c r="J250" s="400" t="str">
        <f>IF('Mapa final'!AA253="","",'Mapa final'!AA253)</f>
        <v/>
      </c>
      <c r="K250" s="400" t="str">
        <f t="shared" si="3"/>
        <v/>
      </c>
      <c r="L250" s="400" t="str">
        <f>IF('Mapa final'!AD253="","",'Mapa final'!AD253)</f>
        <v/>
      </c>
      <c r="M250" s="339" t="str">
        <f>IF('Mapa final'!P253="","",'Mapa final'!P253)</f>
        <v/>
      </c>
      <c r="N250" s="397"/>
      <c r="O250" s="397"/>
      <c r="P250" s="397"/>
      <c r="Q250" s="398"/>
    </row>
    <row r="251" spans="1:17" x14ac:dyDescent="0.25">
      <c r="A251" s="115" t="s">
        <v>483</v>
      </c>
      <c r="B251" s="857"/>
      <c r="C251" s="863"/>
      <c r="D251" s="861"/>
      <c r="E251" s="863"/>
      <c r="F251" s="865"/>
      <c r="G251" s="865"/>
      <c r="H251" s="867"/>
      <c r="I251" s="400" t="str">
        <f>IF('Mapa final'!Y254="","",'Mapa final'!Y254)</f>
        <v/>
      </c>
      <c r="J251" s="400" t="str">
        <f>IF('Mapa final'!AA254="","",'Mapa final'!AA254)</f>
        <v/>
      </c>
      <c r="K251" s="400" t="str">
        <f t="shared" si="3"/>
        <v/>
      </c>
      <c r="L251" s="400" t="str">
        <f>IF('Mapa final'!AD254="","",'Mapa final'!AD254)</f>
        <v/>
      </c>
      <c r="M251" s="339" t="str">
        <f>IF('Mapa final'!P254="","",'Mapa final'!P254)</f>
        <v/>
      </c>
      <c r="N251" s="397"/>
      <c r="O251" s="397"/>
      <c r="P251" s="397"/>
      <c r="Q251" s="398"/>
    </row>
    <row r="252" spans="1:17" x14ac:dyDescent="0.25">
      <c r="A252" s="115" t="s">
        <v>484</v>
      </c>
      <c r="B252" s="857"/>
      <c r="C252" s="863"/>
      <c r="D252" s="861"/>
      <c r="E252" s="863"/>
      <c r="F252" s="865"/>
      <c r="G252" s="865"/>
      <c r="H252" s="867"/>
      <c r="I252" s="400" t="str">
        <f>IF('Mapa final'!Y255="","",'Mapa final'!Y255)</f>
        <v/>
      </c>
      <c r="J252" s="400" t="str">
        <f>IF('Mapa final'!AA255="","",'Mapa final'!AA255)</f>
        <v/>
      </c>
      <c r="K252" s="400" t="str">
        <f t="shared" si="3"/>
        <v/>
      </c>
      <c r="L252" s="400" t="str">
        <f>IF('Mapa final'!AD255="","",'Mapa final'!AD255)</f>
        <v/>
      </c>
      <c r="M252" s="339" t="str">
        <f>IF('Mapa final'!P255="","",'Mapa final'!P255)</f>
        <v/>
      </c>
      <c r="N252" s="397"/>
      <c r="O252" s="397"/>
      <c r="P252" s="397"/>
      <c r="Q252" s="398"/>
    </row>
    <row r="253" spans="1:17" x14ac:dyDescent="0.25">
      <c r="A253" s="115" t="s">
        <v>485</v>
      </c>
      <c r="B253" s="856"/>
      <c r="C253" s="862" t="str">
        <f>IF('Mapa final'!E256="","",'Mapa final'!E256)</f>
        <v/>
      </c>
      <c r="D253" s="860"/>
      <c r="E253" s="862" t="str">
        <f>IF('Mapa final'!D256="","",'Mapa final'!D256)</f>
        <v/>
      </c>
      <c r="F253" s="865" t="str">
        <f>IF('Mapa final'!H256="","",'Mapa final'!H256)</f>
        <v/>
      </c>
      <c r="G253" s="865" t="str">
        <f>IF('Mapa final'!L256="","",'Mapa final'!L256)</f>
        <v/>
      </c>
      <c r="H253" s="86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0" t="str">
        <f>IF('Mapa final'!Y256="","",'Mapa final'!Y256)</f>
        <v/>
      </c>
      <c r="J253" s="400" t="str">
        <f>IF('Mapa final'!AA256="","",'Mapa final'!AA256)</f>
        <v/>
      </c>
      <c r="K253" s="400" t="str">
        <f t="shared" si="3"/>
        <v/>
      </c>
      <c r="L253" s="400" t="str">
        <f>IF('Mapa final'!AD256="","",'Mapa final'!AD256)</f>
        <v/>
      </c>
      <c r="M253" s="339" t="str">
        <f>IF('Mapa final'!P256="","",'Mapa final'!P256)</f>
        <v/>
      </c>
      <c r="N253" s="397"/>
      <c r="O253" s="397"/>
      <c r="P253" s="397"/>
      <c r="Q253" s="398"/>
    </row>
    <row r="254" spans="1:17" x14ac:dyDescent="0.25">
      <c r="A254" s="115" t="s">
        <v>486</v>
      </c>
      <c r="B254" s="857"/>
      <c r="C254" s="863"/>
      <c r="D254" s="861"/>
      <c r="E254" s="863"/>
      <c r="F254" s="865"/>
      <c r="G254" s="865"/>
      <c r="H254" s="867"/>
      <c r="I254" s="400" t="str">
        <f>IF('Mapa final'!Y257="","",'Mapa final'!Y257)</f>
        <v/>
      </c>
      <c r="J254" s="400" t="str">
        <f>IF('Mapa final'!AA257="","",'Mapa final'!AA257)</f>
        <v/>
      </c>
      <c r="K254" s="400" t="str">
        <f t="shared" si="3"/>
        <v/>
      </c>
      <c r="L254" s="400" t="str">
        <f>IF('Mapa final'!AD257="","",'Mapa final'!AD257)</f>
        <v/>
      </c>
      <c r="M254" s="339" t="str">
        <f>IF('Mapa final'!P257="","",'Mapa final'!P257)</f>
        <v/>
      </c>
      <c r="N254" s="397"/>
      <c r="O254" s="397"/>
      <c r="P254" s="397"/>
      <c r="Q254" s="398"/>
    </row>
    <row r="255" spans="1:17" x14ac:dyDescent="0.25">
      <c r="A255" s="115" t="s">
        <v>487</v>
      </c>
      <c r="B255" s="857"/>
      <c r="C255" s="863"/>
      <c r="D255" s="861"/>
      <c r="E255" s="863"/>
      <c r="F255" s="865"/>
      <c r="G255" s="865"/>
      <c r="H255" s="867"/>
      <c r="I255" s="400" t="str">
        <f>IF('Mapa final'!Y258="","",'Mapa final'!Y258)</f>
        <v/>
      </c>
      <c r="J255" s="400" t="str">
        <f>IF('Mapa final'!AA258="","",'Mapa final'!AA258)</f>
        <v/>
      </c>
      <c r="K255" s="400" t="str">
        <f t="shared" si="3"/>
        <v/>
      </c>
      <c r="L255" s="400" t="str">
        <f>IF('Mapa final'!AD258="","",'Mapa final'!AD258)</f>
        <v/>
      </c>
      <c r="M255" s="339" t="str">
        <f>IF('Mapa final'!P258="","",'Mapa final'!P258)</f>
        <v/>
      </c>
      <c r="N255" s="397"/>
      <c r="O255" s="397"/>
      <c r="P255" s="397"/>
      <c r="Q255" s="398"/>
    </row>
    <row r="256" spans="1:17" x14ac:dyDescent="0.25">
      <c r="A256" s="115" t="s">
        <v>488</v>
      </c>
      <c r="B256" s="857"/>
      <c r="C256" s="863"/>
      <c r="D256" s="861"/>
      <c r="E256" s="863"/>
      <c r="F256" s="865"/>
      <c r="G256" s="865"/>
      <c r="H256" s="867"/>
      <c r="I256" s="400" t="str">
        <f>IF('Mapa final'!Y259="","",'Mapa final'!Y259)</f>
        <v/>
      </c>
      <c r="J256" s="400" t="str">
        <f>IF('Mapa final'!AA259="","",'Mapa final'!AA259)</f>
        <v/>
      </c>
      <c r="K256" s="400" t="str">
        <f t="shared" si="3"/>
        <v/>
      </c>
      <c r="L256" s="400" t="str">
        <f>IF('Mapa final'!AD259="","",'Mapa final'!AD259)</f>
        <v/>
      </c>
      <c r="M256" s="339" t="str">
        <f>IF('Mapa final'!P259="","",'Mapa final'!P259)</f>
        <v/>
      </c>
      <c r="N256" s="397"/>
      <c r="O256" s="397"/>
      <c r="P256" s="397"/>
      <c r="Q256" s="398"/>
    </row>
    <row r="257" spans="1:17" x14ac:dyDescent="0.25">
      <c r="A257" s="115" t="s">
        <v>489</v>
      </c>
      <c r="B257" s="857"/>
      <c r="C257" s="863"/>
      <c r="D257" s="861"/>
      <c r="E257" s="863"/>
      <c r="F257" s="865"/>
      <c r="G257" s="865"/>
      <c r="H257" s="867"/>
      <c r="I257" s="400" t="str">
        <f>IF('Mapa final'!Y260="","",'Mapa final'!Y260)</f>
        <v/>
      </c>
      <c r="J257" s="400" t="str">
        <f>IF('Mapa final'!AA260="","",'Mapa final'!AA260)</f>
        <v/>
      </c>
      <c r="K257" s="400" t="str">
        <f t="shared" si="3"/>
        <v/>
      </c>
      <c r="L257" s="400" t="str">
        <f>IF('Mapa final'!AD260="","",'Mapa final'!AD260)</f>
        <v/>
      </c>
      <c r="M257" s="339" t="str">
        <f>IF('Mapa final'!P260="","",'Mapa final'!P260)</f>
        <v/>
      </c>
      <c r="N257" s="397"/>
      <c r="O257" s="397"/>
      <c r="P257" s="397"/>
      <c r="Q257" s="398"/>
    </row>
    <row r="258" spans="1:17" x14ac:dyDescent="0.25">
      <c r="A258" s="115" t="s">
        <v>490</v>
      </c>
      <c r="B258" s="857"/>
      <c r="C258" s="863"/>
      <c r="D258" s="861"/>
      <c r="E258" s="863"/>
      <c r="F258" s="865"/>
      <c r="G258" s="865"/>
      <c r="H258" s="867"/>
      <c r="I258" s="400" t="str">
        <f>IF('Mapa final'!Y261="","",'Mapa final'!Y261)</f>
        <v/>
      </c>
      <c r="J258" s="400" t="str">
        <f>IF('Mapa final'!AA261="","",'Mapa final'!AA261)</f>
        <v/>
      </c>
      <c r="K258" s="400" t="str">
        <f t="shared" si="3"/>
        <v/>
      </c>
      <c r="L258" s="400" t="str">
        <f>IF('Mapa final'!AD261="","",'Mapa final'!AD261)</f>
        <v/>
      </c>
      <c r="M258" s="339" t="str">
        <f>IF('Mapa final'!P261="","",'Mapa final'!P261)</f>
        <v/>
      </c>
      <c r="N258" s="397"/>
      <c r="O258" s="397"/>
      <c r="P258" s="397"/>
      <c r="Q258" s="398"/>
    </row>
    <row r="259" spans="1:17" x14ac:dyDescent="0.25">
      <c r="A259" s="115" t="s">
        <v>491</v>
      </c>
      <c r="B259" s="856"/>
      <c r="C259" s="862" t="str">
        <f>IF('Mapa final'!E262="","",'Mapa final'!E262)</f>
        <v/>
      </c>
      <c r="D259" s="860"/>
      <c r="E259" s="862" t="str">
        <f>IF('Mapa final'!D262="","",'Mapa final'!D262)</f>
        <v/>
      </c>
      <c r="F259" s="865" t="str">
        <f>IF('Mapa final'!H262="","",'Mapa final'!H262)</f>
        <v/>
      </c>
      <c r="G259" s="865" t="str">
        <f>IF('Mapa final'!L262="","",'Mapa final'!L262)</f>
        <v/>
      </c>
      <c r="H259" s="86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0" t="str">
        <f>IF('Mapa final'!Y262="","",'Mapa final'!Y262)</f>
        <v/>
      </c>
      <c r="J259" s="400" t="str">
        <f>IF('Mapa final'!AA262="","",'Mapa final'!AA262)</f>
        <v/>
      </c>
      <c r="K259" s="400" t="str">
        <f t="shared" si="3"/>
        <v/>
      </c>
      <c r="L259" s="400" t="str">
        <f>IF('Mapa final'!AD262="","",'Mapa final'!AD262)</f>
        <v/>
      </c>
      <c r="M259" s="339" t="str">
        <f>IF('Mapa final'!P262="","",'Mapa final'!P262)</f>
        <v/>
      </c>
      <c r="N259" s="397"/>
      <c r="O259" s="397"/>
      <c r="P259" s="397"/>
      <c r="Q259" s="398"/>
    </row>
    <row r="260" spans="1:17" x14ac:dyDescent="0.25">
      <c r="A260" s="115" t="s">
        <v>492</v>
      </c>
      <c r="B260" s="857"/>
      <c r="C260" s="863"/>
      <c r="D260" s="861"/>
      <c r="E260" s="863"/>
      <c r="F260" s="865"/>
      <c r="G260" s="865"/>
      <c r="H260" s="867"/>
      <c r="I260" s="400" t="str">
        <f>IF('Mapa final'!Y263="","",'Mapa final'!Y263)</f>
        <v/>
      </c>
      <c r="J260" s="400" t="str">
        <f>IF('Mapa final'!AA263="","",'Mapa final'!AA263)</f>
        <v/>
      </c>
      <c r="K260" s="400" t="str">
        <f t="shared" si="3"/>
        <v/>
      </c>
      <c r="L260" s="400" t="str">
        <f>IF('Mapa final'!AD263="","",'Mapa final'!AD263)</f>
        <v/>
      </c>
      <c r="M260" s="339" t="str">
        <f>IF('Mapa final'!P263="","",'Mapa final'!P263)</f>
        <v/>
      </c>
      <c r="N260" s="397"/>
      <c r="O260" s="397"/>
      <c r="P260" s="397"/>
      <c r="Q260" s="398"/>
    </row>
    <row r="261" spans="1:17" x14ac:dyDescent="0.25">
      <c r="A261" s="115" t="s">
        <v>493</v>
      </c>
      <c r="B261" s="857"/>
      <c r="C261" s="863"/>
      <c r="D261" s="861"/>
      <c r="E261" s="863"/>
      <c r="F261" s="865"/>
      <c r="G261" s="865"/>
      <c r="H261" s="867"/>
      <c r="I261" s="400" t="str">
        <f>IF('Mapa final'!Y264="","",'Mapa final'!Y264)</f>
        <v/>
      </c>
      <c r="J261" s="400" t="str">
        <f>IF('Mapa final'!AA264="","",'Mapa final'!AA264)</f>
        <v/>
      </c>
      <c r="K261" s="400" t="str">
        <f t="shared" si="3"/>
        <v/>
      </c>
      <c r="L261" s="400" t="str">
        <f>IF('Mapa final'!AD264="","",'Mapa final'!AD264)</f>
        <v/>
      </c>
      <c r="M261" s="339" t="str">
        <f>IF('Mapa final'!P264="","",'Mapa final'!P264)</f>
        <v/>
      </c>
      <c r="N261" s="397"/>
      <c r="O261" s="397"/>
      <c r="P261" s="397"/>
      <c r="Q261" s="398"/>
    </row>
    <row r="262" spans="1:17" x14ac:dyDescent="0.25">
      <c r="A262" s="115" t="s">
        <v>494</v>
      </c>
      <c r="B262" s="857"/>
      <c r="C262" s="863"/>
      <c r="D262" s="861"/>
      <c r="E262" s="863"/>
      <c r="F262" s="865"/>
      <c r="G262" s="865"/>
      <c r="H262" s="867"/>
      <c r="I262" s="400" t="str">
        <f>IF('Mapa final'!Y265="","",'Mapa final'!Y265)</f>
        <v/>
      </c>
      <c r="J262" s="400" t="str">
        <f>IF('Mapa final'!AA265="","",'Mapa final'!AA265)</f>
        <v/>
      </c>
      <c r="K262" s="400" t="str">
        <f t="shared" si="3"/>
        <v/>
      </c>
      <c r="L262" s="400" t="str">
        <f>IF('Mapa final'!AD265="","",'Mapa final'!AD265)</f>
        <v/>
      </c>
      <c r="M262" s="339" t="str">
        <f>IF('Mapa final'!P265="","",'Mapa final'!P265)</f>
        <v/>
      </c>
      <c r="N262" s="397"/>
      <c r="O262" s="397"/>
      <c r="P262" s="397"/>
      <c r="Q262" s="398"/>
    </row>
    <row r="263" spans="1:17" x14ac:dyDescent="0.25">
      <c r="A263" s="115" t="s">
        <v>495</v>
      </c>
      <c r="B263" s="857"/>
      <c r="C263" s="863"/>
      <c r="D263" s="861"/>
      <c r="E263" s="863"/>
      <c r="F263" s="865"/>
      <c r="G263" s="865"/>
      <c r="H263" s="867"/>
      <c r="I263" s="400" t="str">
        <f>IF('Mapa final'!Y266="","",'Mapa final'!Y266)</f>
        <v/>
      </c>
      <c r="J263" s="400" t="str">
        <f>IF('Mapa final'!AA266="","",'Mapa final'!AA266)</f>
        <v/>
      </c>
      <c r="K263" s="400" t="str">
        <f t="shared" si="3"/>
        <v/>
      </c>
      <c r="L263" s="400" t="str">
        <f>IF('Mapa final'!AD266="","",'Mapa final'!AD266)</f>
        <v/>
      </c>
      <c r="M263" s="339" t="str">
        <f>IF('Mapa final'!P266="","",'Mapa final'!P266)</f>
        <v/>
      </c>
      <c r="N263" s="397"/>
      <c r="O263" s="397"/>
      <c r="P263" s="397"/>
      <c r="Q263" s="398"/>
    </row>
    <row r="264" spans="1:17" x14ac:dyDescent="0.25">
      <c r="A264" s="115" t="s">
        <v>496</v>
      </c>
      <c r="B264" s="857"/>
      <c r="C264" s="863"/>
      <c r="D264" s="861"/>
      <c r="E264" s="863"/>
      <c r="F264" s="865"/>
      <c r="G264" s="865"/>
      <c r="H264" s="867"/>
      <c r="I264" s="400" t="str">
        <f>IF('Mapa final'!Y267="","",'Mapa final'!Y267)</f>
        <v/>
      </c>
      <c r="J264" s="400" t="str">
        <f>IF('Mapa final'!AA267="","",'Mapa final'!AA267)</f>
        <v/>
      </c>
      <c r="K264" s="40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0" t="str">
        <f>IF('Mapa final'!AD267="","",'Mapa final'!AD267)</f>
        <v/>
      </c>
      <c r="M264" s="339" t="str">
        <f>IF('Mapa final'!P267="","",'Mapa final'!P267)</f>
        <v/>
      </c>
      <c r="N264" s="397"/>
      <c r="O264" s="397"/>
      <c r="P264" s="397"/>
      <c r="Q264" s="398"/>
    </row>
    <row r="265" spans="1:17" x14ac:dyDescent="0.25">
      <c r="A265" s="115" t="s">
        <v>497</v>
      </c>
      <c r="B265" s="856"/>
      <c r="C265" s="862" t="str">
        <f>IF('Mapa final'!E268="","",'Mapa final'!E268)</f>
        <v/>
      </c>
      <c r="D265" s="860"/>
      <c r="E265" s="862" t="str">
        <f>IF('Mapa final'!D268="","",'Mapa final'!D268)</f>
        <v/>
      </c>
      <c r="F265" s="865" t="str">
        <f>IF('Mapa final'!H268="","",'Mapa final'!H268)</f>
        <v/>
      </c>
      <c r="G265" s="865" t="str">
        <f>IF('Mapa final'!L268="","",'Mapa final'!L268)</f>
        <v/>
      </c>
      <c r="H265" s="86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0" t="str">
        <f>IF('Mapa final'!Y268="","",'Mapa final'!Y268)</f>
        <v/>
      </c>
      <c r="J265" s="400" t="str">
        <f>IF('Mapa final'!AA268="","",'Mapa final'!AA268)</f>
        <v/>
      </c>
      <c r="K265" s="400" t="str">
        <f t="shared" si="4"/>
        <v/>
      </c>
      <c r="L265" s="400" t="str">
        <f>IF('Mapa final'!AD268="","",'Mapa final'!AD268)</f>
        <v/>
      </c>
      <c r="M265" s="339" t="str">
        <f>IF('Mapa final'!P268="","",'Mapa final'!P268)</f>
        <v/>
      </c>
      <c r="N265" s="397"/>
      <c r="O265" s="397"/>
      <c r="P265" s="397"/>
      <c r="Q265" s="398"/>
    </row>
    <row r="266" spans="1:17" x14ac:dyDescent="0.25">
      <c r="A266" s="115" t="s">
        <v>498</v>
      </c>
      <c r="B266" s="857"/>
      <c r="C266" s="863"/>
      <c r="D266" s="861"/>
      <c r="E266" s="863"/>
      <c r="F266" s="865"/>
      <c r="G266" s="865"/>
      <c r="H266" s="867"/>
      <c r="I266" s="400" t="str">
        <f>IF('Mapa final'!Y269="","",'Mapa final'!Y269)</f>
        <v/>
      </c>
      <c r="J266" s="400" t="str">
        <f>IF('Mapa final'!AA269="","",'Mapa final'!AA269)</f>
        <v/>
      </c>
      <c r="K266" s="400" t="str">
        <f t="shared" si="4"/>
        <v/>
      </c>
      <c r="L266" s="400" t="str">
        <f>IF('Mapa final'!AD269="","",'Mapa final'!AD269)</f>
        <v/>
      </c>
      <c r="M266" s="339" t="str">
        <f>IF('Mapa final'!P269="","",'Mapa final'!P269)</f>
        <v/>
      </c>
      <c r="N266" s="397"/>
      <c r="O266" s="397"/>
      <c r="P266" s="397"/>
      <c r="Q266" s="398"/>
    </row>
    <row r="267" spans="1:17" x14ac:dyDescent="0.25">
      <c r="A267" s="115" t="s">
        <v>499</v>
      </c>
      <c r="B267" s="857"/>
      <c r="C267" s="863"/>
      <c r="D267" s="861"/>
      <c r="E267" s="863"/>
      <c r="F267" s="865"/>
      <c r="G267" s="865"/>
      <c r="H267" s="867"/>
      <c r="I267" s="400" t="str">
        <f>IF('Mapa final'!Y270="","",'Mapa final'!Y270)</f>
        <v/>
      </c>
      <c r="J267" s="400" t="str">
        <f>IF('Mapa final'!AA270="","",'Mapa final'!AA270)</f>
        <v/>
      </c>
      <c r="K267" s="400" t="str">
        <f t="shared" si="4"/>
        <v/>
      </c>
      <c r="L267" s="400" t="str">
        <f>IF('Mapa final'!AD270="","",'Mapa final'!AD270)</f>
        <v/>
      </c>
      <c r="M267" s="339" t="str">
        <f>IF('Mapa final'!P270="","",'Mapa final'!P270)</f>
        <v/>
      </c>
      <c r="N267" s="397"/>
      <c r="O267" s="397"/>
      <c r="P267" s="397"/>
      <c r="Q267" s="398"/>
    </row>
    <row r="268" spans="1:17" x14ac:dyDescent="0.25">
      <c r="A268" s="115" t="s">
        <v>500</v>
      </c>
      <c r="B268" s="857"/>
      <c r="C268" s="863"/>
      <c r="D268" s="861"/>
      <c r="E268" s="863"/>
      <c r="F268" s="865"/>
      <c r="G268" s="865"/>
      <c r="H268" s="867"/>
      <c r="I268" s="400" t="str">
        <f>IF('Mapa final'!Y271="","",'Mapa final'!Y271)</f>
        <v/>
      </c>
      <c r="J268" s="400" t="str">
        <f>IF('Mapa final'!AA271="","",'Mapa final'!AA271)</f>
        <v/>
      </c>
      <c r="K268" s="400" t="str">
        <f t="shared" si="4"/>
        <v/>
      </c>
      <c r="L268" s="400" t="str">
        <f>IF('Mapa final'!AD271="","",'Mapa final'!AD271)</f>
        <v/>
      </c>
      <c r="M268" s="339" t="str">
        <f>IF('Mapa final'!P271="","",'Mapa final'!P271)</f>
        <v/>
      </c>
      <c r="N268" s="397"/>
      <c r="O268" s="397"/>
      <c r="P268" s="397"/>
      <c r="Q268" s="398"/>
    </row>
    <row r="269" spans="1:17" x14ac:dyDescent="0.25">
      <c r="A269" s="115" t="s">
        <v>501</v>
      </c>
      <c r="B269" s="857"/>
      <c r="C269" s="863"/>
      <c r="D269" s="861"/>
      <c r="E269" s="863"/>
      <c r="F269" s="865"/>
      <c r="G269" s="865"/>
      <c r="H269" s="867"/>
      <c r="I269" s="400" t="str">
        <f>IF('Mapa final'!Y272="","",'Mapa final'!Y272)</f>
        <v/>
      </c>
      <c r="J269" s="400" t="str">
        <f>IF('Mapa final'!AA272="","",'Mapa final'!AA272)</f>
        <v/>
      </c>
      <c r="K269" s="400" t="str">
        <f t="shared" si="4"/>
        <v/>
      </c>
      <c r="L269" s="400" t="str">
        <f>IF('Mapa final'!AD272="","",'Mapa final'!AD272)</f>
        <v/>
      </c>
      <c r="M269" s="339" t="str">
        <f>IF('Mapa final'!P272="","",'Mapa final'!P272)</f>
        <v/>
      </c>
      <c r="N269" s="397"/>
      <c r="O269" s="397"/>
      <c r="P269" s="397"/>
      <c r="Q269" s="398"/>
    </row>
    <row r="270" spans="1:17" x14ac:dyDescent="0.25">
      <c r="A270" s="115" t="s">
        <v>502</v>
      </c>
      <c r="B270" s="857"/>
      <c r="C270" s="863"/>
      <c r="D270" s="861"/>
      <c r="E270" s="863"/>
      <c r="F270" s="865"/>
      <c r="G270" s="865"/>
      <c r="H270" s="867"/>
      <c r="I270" s="400" t="str">
        <f>IF('Mapa final'!Y273="","",'Mapa final'!Y273)</f>
        <v/>
      </c>
      <c r="J270" s="400" t="str">
        <f>IF('Mapa final'!AA273="","",'Mapa final'!AA273)</f>
        <v/>
      </c>
      <c r="K270" s="400" t="str">
        <f t="shared" si="4"/>
        <v/>
      </c>
      <c r="L270" s="400" t="str">
        <f>IF('Mapa final'!AD273="","",'Mapa final'!AD273)</f>
        <v/>
      </c>
      <c r="M270" s="339" t="str">
        <f>IF('Mapa final'!P273="","",'Mapa final'!P273)</f>
        <v/>
      </c>
      <c r="N270" s="397"/>
      <c r="O270" s="397"/>
      <c r="P270" s="397"/>
      <c r="Q270" s="398"/>
    </row>
    <row r="271" spans="1:17" x14ac:dyDescent="0.25">
      <c r="A271" s="115" t="s">
        <v>503</v>
      </c>
      <c r="B271" s="856"/>
      <c r="C271" s="862" t="str">
        <f>IF('Mapa final'!E274="","",'Mapa final'!E274)</f>
        <v/>
      </c>
      <c r="D271" s="860"/>
      <c r="E271" s="862" t="str">
        <f>IF('Mapa final'!D274="","",'Mapa final'!D274)</f>
        <v/>
      </c>
      <c r="F271" s="865" t="str">
        <f>IF('Mapa final'!H274="","",'Mapa final'!H274)</f>
        <v/>
      </c>
      <c r="G271" s="865" t="str">
        <f>IF('Mapa final'!L274="","",'Mapa final'!L274)</f>
        <v/>
      </c>
      <c r="H271" s="86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0" t="str">
        <f>IF('Mapa final'!Y274="","",'Mapa final'!Y274)</f>
        <v/>
      </c>
      <c r="J271" s="400" t="str">
        <f>IF('Mapa final'!AA274="","",'Mapa final'!AA274)</f>
        <v/>
      </c>
      <c r="K271" s="400" t="str">
        <f t="shared" si="4"/>
        <v/>
      </c>
      <c r="L271" s="400" t="str">
        <f>IF('Mapa final'!AD274="","",'Mapa final'!AD274)</f>
        <v/>
      </c>
      <c r="M271" s="339" t="str">
        <f>IF('Mapa final'!P274="","",'Mapa final'!P274)</f>
        <v/>
      </c>
      <c r="N271" s="397"/>
      <c r="O271" s="397"/>
      <c r="P271" s="397"/>
      <c r="Q271" s="398"/>
    </row>
    <row r="272" spans="1:17" x14ac:dyDescent="0.25">
      <c r="A272" s="115" t="s">
        <v>504</v>
      </c>
      <c r="B272" s="857"/>
      <c r="C272" s="863"/>
      <c r="D272" s="861"/>
      <c r="E272" s="863"/>
      <c r="F272" s="865"/>
      <c r="G272" s="865"/>
      <c r="H272" s="867"/>
      <c r="I272" s="400" t="str">
        <f>IF('Mapa final'!Y275="","",'Mapa final'!Y275)</f>
        <v/>
      </c>
      <c r="J272" s="400" t="str">
        <f>IF('Mapa final'!AA275="","",'Mapa final'!AA275)</f>
        <v/>
      </c>
      <c r="K272" s="400" t="str">
        <f t="shared" si="4"/>
        <v/>
      </c>
      <c r="L272" s="400" t="str">
        <f>IF('Mapa final'!AD275="","",'Mapa final'!AD275)</f>
        <v/>
      </c>
      <c r="M272" s="339" t="str">
        <f>IF('Mapa final'!P275="","",'Mapa final'!P275)</f>
        <v/>
      </c>
      <c r="N272" s="397"/>
      <c r="O272" s="397"/>
      <c r="P272" s="397"/>
      <c r="Q272" s="398"/>
    </row>
    <row r="273" spans="1:17" x14ac:dyDescent="0.25">
      <c r="A273" s="115" t="s">
        <v>505</v>
      </c>
      <c r="B273" s="857"/>
      <c r="C273" s="863"/>
      <c r="D273" s="861"/>
      <c r="E273" s="863"/>
      <c r="F273" s="865"/>
      <c r="G273" s="865"/>
      <c r="H273" s="867"/>
      <c r="I273" s="400" t="str">
        <f>IF('Mapa final'!Y276="","",'Mapa final'!Y276)</f>
        <v/>
      </c>
      <c r="J273" s="400" t="str">
        <f>IF('Mapa final'!AA276="","",'Mapa final'!AA276)</f>
        <v/>
      </c>
      <c r="K273" s="400" t="str">
        <f t="shared" si="4"/>
        <v/>
      </c>
      <c r="L273" s="400" t="str">
        <f>IF('Mapa final'!AD276="","",'Mapa final'!AD276)</f>
        <v/>
      </c>
      <c r="M273" s="339" t="str">
        <f>IF('Mapa final'!P276="","",'Mapa final'!P276)</f>
        <v/>
      </c>
      <c r="N273" s="397"/>
      <c r="O273" s="397"/>
      <c r="P273" s="397"/>
      <c r="Q273" s="398"/>
    </row>
    <row r="274" spans="1:17" x14ac:dyDescent="0.25">
      <c r="A274" s="115" t="s">
        <v>506</v>
      </c>
      <c r="B274" s="857"/>
      <c r="C274" s="863"/>
      <c r="D274" s="861"/>
      <c r="E274" s="863"/>
      <c r="F274" s="865"/>
      <c r="G274" s="865"/>
      <c r="H274" s="867"/>
      <c r="I274" s="400" t="str">
        <f>IF('Mapa final'!Y277="","",'Mapa final'!Y277)</f>
        <v/>
      </c>
      <c r="J274" s="400" t="str">
        <f>IF('Mapa final'!AA277="","",'Mapa final'!AA277)</f>
        <v/>
      </c>
      <c r="K274" s="400" t="str">
        <f t="shared" si="4"/>
        <v/>
      </c>
      <c r="L274" s="400" t="str">
        <f>IF('Mapa final'!AD277="","",'Mapa final'!AD277)</f>
        <v/>
      </c>
      <c r="M274" s="339" t="str">
        <f>IF('Mapa final'!P277="","",'Mapa final'!P277)</f>
        <v/>
      </c>
      <c r="N274" s="397"/>
      <c r="O274" s="397"/>
      <c r="P274" s="397"/>
      <c r="Q274" s="398"/>
    </row>
    <row r="275" spans="1:17" x14ac:dyDescent="0.25">
      <c r="A275" s="115" t="s">
        <v>507</v>
      </c>
      <c r="B275" s="857"/>
      <c r="C275" s="863"/>
      <c r="D275" s="861"/>
      <c r="E275" s="863"/>
      <c r="F275" s="865"/>
      <c r="G275" s="865"/>
      <c r="H275" s="867"/>
      <c r="I275" s="400" t="str">
        <f>IF('Mapa final'!Y278="","",'Mapa final'!Y278)</f>
        <v/>
      </c>
      <c r="J275" s="400" t="str">
        <f>IF('Mapa final'!AA278="","",'Mapa final'!AA278)</f>
        <v/>
      </c>
      <c r="K275" s="400" t="str">
        <f t="shared" si="4"/>
        <v/>
      </c>
      <c r="L275" s="400" t="str">
        <f>IF('Mapa final'!AD278="","",'Mapa final'!AD278)</f>
        <v/>
      </c>
      <c r="M275" s="339" t="str">
        <f>IF('Mapa final'!P278="","",'Mapa final'!P278)</f>
        <v/>
      </c>
      <c r="N275" s="397"/>
      <c r="O275" s="397"/>
      <c r="P275" s="397"/>
      <c r="Q275" s="398"/>
    </row>
    <row r="276" spans="1:17" x14ac:dyDescent="0.25">
      <c r="A276" s="115" t="s">
        <v>508</v>
      </c>
      <c r="B276" s="857"/>
      <c r="C276" s="863"/>
      <c r="D276" s="861"/>
      <c r="E276" s="863"/>
      <c r="F276" s="865"/>
      <c r="G276" s="865"/>
      <c r="H276" s="867"/>
      <c r="I276" s="400" t="str">
        <f>IF('Mapa final'!Y279="","",'Mapa final'!Y279)</f>
        <v/>
      </c>
      <c r="J276" s="400" t="str">
        <f>IF('Mapa final'!AA279="","",'Mapa final'!AA279)</f>
        <v/>
      </c>
      <c r="K276" s="400" t="str">
        <f t="shared" si="4"/>
        <v/>
      </c>
      <c r="L276" s="400" t="str">
        <f>IF('Mapa final'!AD279="","",'Mapa final'!AD279)</f>
        <v/>
      </c>
      <c r="M276" s="339" t="str">
        <f>IF('Mapa final'!P279="","",'Mapa final'!P279)</f>
        <v/>
      </c>
      <c r="N276" s="397"/>
      <c r="O276" s="397"/>
      <c r="P276" s="397"/>
      <c r="Q276" s="398"/>
    </row>
    <row r="277" spans="1:17" x14ac:dyDescent="0.25">
      <c r="A277" s="115" t="s">
        <v>509</v>
      </c>
      <c r="B277" s="856"/>
      <c r="C277" s="862" t="str">
        <f>IF('Mapa final'!E280="","",'Mapa final'!E280)</f>
        <v/>
      </c>
      <c r="D277" s="860"/>
      <c r="E277" s="862" t="str">
        <f>IF('Mapa final'!D280="","",'Mapa final'!D280)</f>
        <v/>
      </c>
      <c r="F277" s="865" t="str">
        <f>IF('Mapa final'!H280="","",'Mapa final'!H280)</f>
        <v/>
      </c>
      <c r="G277" s="865" t="str">
        <f>IF('Mapa final'!L280="","",'Mapa final'!L280)</f>
        <v/>
      </c>
      <c r="H277" s="86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0" t="str">
        <f>IF('Mapa final'!Y280="","",'Mapa final'!Y280)</f>
        <v/>
      </c>
      <c r="J277" s="400" t="str">
        <f>IF('Mapa final'!AA280="","",'Mapa final'!AA280)</f>
        <v/>
      </c>
      <c r="K277" s="400" t="str">
        <f t="shared" si="4"/>
        <v/>
      </c>
      <c r="L277" s="400" t="str">
        <f>IF('Mapa final'!AD280="","",'Mapa final'!AD280)</f>
        <v/>
      </c>
      <c r="M277" s="339" t="str">
        <f>IF('Mapa final'!P280="","",'Mapa final'!P280)</f>
        <v/>
      </c>
      <c r="N277" s="397"/>
      <c r="O277" s="397"/>
      <c r="P277" s="397"/>
      <c r="Q277" s="398"/>
    </row>
    <row r="278" spans="1:17" x14ac:dyDescent="0.25">
      <c r="A278" s="115" t="s">
        <v>510</v>
      </c>
      <c r="B278" s="857"/>
      <c r="C278" s="863"/>
      <c r="D278" s="861"/>
      <c r="E278" s="863"/>
      <c r="F278" s="865"/>
      <c r="G278" s="865"/>
      <c r="H278" s="867"/>
      <c r="I278" s="400" t="str">
        <f>IF('Mapa final'!Y281="","",'Mapa final'!Y281)</f>
        <v/>
      </c>
      <c r="J278" s="400" t="str">
        <f>IF('Mapa final'!AA281="","",'Mapa final'!AA281)</f>
        <v/>
      </c>
      <c r="K278" s="400" t="str">
        <f t="shared" si="4"/>
        <v/>
      </c>
      <c r="L278" s="400" t="str">
        <f>IF('Mapa final'!AD281="","",'Mapa final'!AD281)</f>
        <v/>
      </c>
      <c r="M278" s="339" t="str">
        <f>IF('Mapa final'!P281="","",'Mapa final'!P281)</f>
        <v/>
      </c>
      <c r="N278" s="397"/>
      <c r="O278" s="397"/>
      <c r="P278" s="397"/>
      <c r="Q278" s="398"/>
    </row>
    <row r="279" spans="1:17" x14ac:dyDescent="0.25">
      <c r="A279" s="115" t="s">
        <v>511</v>
      </c>
      <c r="B279" s="857"/>
      <c r="C279" s="863"/>
      <c r="D279" s="861"/>
      <c r="E279" s="863"/>
      <c r="F279" s="865"/>
      <c r="G279" s="865"/>
      <c r="H279" s="867"/>
      <c r="I279" s="400" t="str">
        <f>IF('Mapa final'!Y282="","",'Mapa final'!Y282)</f>
        <v/>
      </c>
      <c r="J279" s="400" t="str">
        <f>IF('Mapa final'!AA282="","",'Mapa final'!AA282)</f>
        <v/>
      </c>
      <c r="K279" s="400" t="str">
        <f t="shared" si="4"/>
        <v/>
      </c>
      <c r="L279" s="400" t="str">
        <f>IF('Mapa final'!AD282="","",'Mapa final'!AD282)</f>
        <v/>
      </c>
      <c r="M279" s="339" t="str">
        <f>IF('Mapa final'!P282="","",'Mapa final'!P282)</f>
        <v/>
      </c>
      <c r="N279" s="397"/>
      <c r="O279" s="397"/>
      <c r="P279" s="397"/>
      <c r="Q279" s="398"/>
    </row>
    <row r="280" spans="1:17" x14ac:dyDescent="0.25">
      <c r="A280" s="115" t="s">
        <v>512</v>
      </c>
      <c r="B280" s="857"/>
      <c r="C280" s="863"/>
      <c r="D280" s="861"/>
      <c r="E280" s="863"/>
      <c r="F280" s="865"/>
      <c r="G280" s="865"/>
      <c r="H280" s="867"/>
      <c r="I280" s="400" t="str">
        <f>IF('Mapa final'!Y283="","",'Mapa final'!Y283)</f>
        <v/>
      </c>
      <c r="J280" s="400" t="str">
        <f>IF('Mapa final'!AA283="","",'Mapa final'!AA283)</f>
        <v/>
      </c>
      <c r="K280" s="400" t="str">
        <f t="shared" si="4"/>
        <v/>
      </c>
      <c r="L280" s="400" t="str">
        <f>IF('Mapa final'!AD283="","",'Mapa final'!AD283)</f>
        <v/>
      </c>
      <c r="M280" s="339" t="str">
        <f>IF('Mapa final'!P283="","",'Mapa final'!P283)</f>
        <v/>
      </c>
      <c r="N280" s="397"/>
      <c r="O280" s="397"/>
      <c r="P280" s="397"/>
      <c r="Q280" s="398"/>
    </row>
    <row r="281" spans="1:17" x14ac:dyDescent="0.25">
      <c r="A281" s="115" t="s">
        <v>513</v>
      </c>
      <c r="B281" s="857"/>
      <c r="C281" s="863"/>
      <c r="D281" s="861"/>
      <c r="E281" s="863"/>
      <c r="F281" s="865"/>
      <c r="G281" s="865"/>
      <c r="H281" s="867"/>
      <c r="I281" s="400" t="str">
        <f>IF('Mapa final'!Y284="","",'Mapa final'!Y284)</f>
        <v/>
      </c>
      <c r="J281" s="400" t="str">
        <f>IF('Mapa final'!AA284="","",'Mapa final'!AA284)</f>
        <v/>
      </c>
      <c r="K281" s="400" t="str">
        <f t="shared" si="4"/>
        <v/>
      </c>
      <c r="L281" s="400" t="str">
        <f>IF('Mapa final'!AD284="","",'Mapa final'!AD284)</f>
        <v/>
      </c>
      <c r="M281" s="339" t="str">
        <f>IF('Mapa final'!P284="","",'Mapa final'!P284)</f>
        <v/>
      </c>
      <c r="N281" s="397"/>
      <c r="O281" s="397"/>
      <c r="P281" s="397"/>
      <c r="Q281" s="398"/>
    </row>
    <row r="282" spans="1:17" x14ac:dyDescent="0.25">
      <c r="A282" s="115" t="s">
        <v>514</v>
      </c>
      <c r="B282" s="857"/>
      <c r="C282" s="863"/>
      <c r="D282" s="861"/>
      <c r="E282" s="863"/>
      <c r="F282" s="865"/>
      <c r="G282" s="865"/>
      <c r="H282" s="867"/>
      <c r="I282" s="400" t="str">
        <f>IF('Mapa final'!Y285="","",'Mapa final'!Y285)</f>
        <v/>
      </c>
      <c r="J282" s="400" t="str">
        <f>IF('Mapa final'!AA285="","",'Mapa final'!AA285)</f>
        <v/>
      </c>
      <c r="K282" s="400" t="str">
        <f t="shared" si="4"/>
        <v/>
      </c>
      <c r="L282" s="400" t="str">
        <f>IF('Mapa final'!AD285="","",'Mapa final'!AD285)</f>
        <v/>
      </c>
      <c r="M282" s="339" t="str">
        <f>IF('Mapa final'!P285="","",'Mapa final'!P285)</f>
        <v/>
      </c>
      <c r="N282" s="397"/>
      <c r="O282" s="397"/>
      <c r="P282" s="397"/>
      <c r="Q282" s="398"/>
    </row>
    <row r="283" spans="1:17" x14ac:dyDescent="0.25">
      <c r="A283" s="115" t="s">
        <v>515</v>
      </c>
      <c r="B283" s="856"/>
      <c r="C283" s="862" t="str">
        <f>IF('Mapa final'!E286="","",'Mapa final'!E286)</f>
        <v/>
      </c>
      <c r="D283" s="860"/>
      <c r="E283" s="862" t="str">
        <f>IF('Mapa final'!D286="","",'Mapa final'!D286)</f>
        <v/>
      </c>
      <c r="F283" s="865" t="str">
        <f>IF('Mapa final'!H286="","",'Mapa final'!H286)</f>
        <v/>
      </c>
      <c r="G283" s="865" t="str">
        <f>IF('Mapa final'!L286="","",'Mapa final'!L286)</f>
        <v/>
      </c>
      <c r="H283" s="86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0" t="str">
        <f>IF('Mapa final'!Y286="","",'Mapa final'!Y286)</f>
        <v/>
      </c>
      <c r="J283" s="400" t="str">
        <f>IF('Mapa final'!AA286="","",'Mapa final'!AA286)</f>
        <v/>
      </c>
      <c r="K283" s="400" t="str">
        <f t="shared" si="4"/>
        <v/>
      </c>
      <c r="L283" s="400" t="str">
        <f>IF('Mapa final'!AD286="","",'Mapa final'!AD286)</f>
        <v/>
      </c>
      <c r="M283" s="339" t="str">
        <f>IF('Mapa final'!P286="","",'Mapa final'!P286)</f>
        <v/>
      </c>
      <c r="N283" s="397"/>
      <c r="O283" s="397"/>
      <c r="P283" s="397"/>
      <c r="Q283" s="398"/>
    </row>
    <row r="284" spans="1:17" x14ac:dyDescent="0.25">
      <c r="A284" s="115" t="s">
        <v>516</v>
      </c>
      <c r="B284" s="857"/>
      <c r="C284" s="863"/>
      <c r="D284" s="861"/>
      <c r="E284" s="863"/>
      <c r="F284" s="865"/>
      <c r="G284" s="865"/>
      <c r="H284" s="867"/>
      <c r="I284" s="400" t="str">
        <f>IF('Mapa final'!Y287="","",'Mapa final'!Y287)</f>
        <v/>
      </c>
      <c r="J284" s="400" t="str">
        <f>IF('Mapa final'!AA287="","",'Mapa final'!AA287)</f>
        <v/>
      </c>
      <c r="K284" s="400" t="str">
        <f t="shared" si="4"/>
        <v/>
      </c>
      <c r="L284" s="400" t="str">
        <f>IF('Mapa final'!AD287="","",'Mapa final'!AD287)</f>
        <v/>
      </c>
      <c r="M284" s="339" t="str">
        <f>IF('Mapa final'!P287="","",'Mapa final'!P287)</f>
        <v/>
      </c>
      <c r="N284" s="397"/>
      <c r="O284" s="397"/>
      <c r="P284" s="397"/>
      <c r="Q284" s="398"/>
    </row>
    <row r="285" spans="1:17" x14ac:dyDescent="0.25">
      <c r="A285" s="115" t="s">
        <v>517</v>
      </c>
      <c r="B285" s="857"/>
      <c r="C285" s="863"/>
      <c r="D285" s="861"/>
      <c r="E285" s="863"/>
      <c r="F285" s="865"/>
      <c r="G285" s="865"/>
      <c r="H285" s="867"/>
      <c r="I285" s="400" t="str">
        <f>IF('Mapa final'!Y288="","",'Mapa final'!Y288)</f>
        <v/>
      </c>
      <c r="J285" s="400" t="str">
        <f>IF('Mapa final'!AA288="","",'Mapa final'!AA288)</f>
        <v/>
      </c>
      <c r="K285" s="400" t="str">
        <f t="shared" si="4"/>
        <v/>
      </c>
      <c r="L285" s="400" t="str">
        <f>IF('Mapa final'!AD288="","",'Mapa final'!AD288)</f>
        <v/>
      </c>
      <c r="M285" s="339" t="str">
        <f>IF('Mapa final'!P288="","",'Mapa final'!P288)</f>
        <v/>
      </c>
      <c r="N285" s="397"/>
      <c r="O285" s="397"/>
      <c r="P285" s="397"/>
      <c r="Q285" s="398"/>
    </row>
    <row r="286" spans="1:17" x14ac:dyDescent="0.25">
      <c r="A286" s="115" t="s">
        <v>518</v>
      </c>
      <c r="B286" s="857"/>
      <c r="C286" s="863"/>
      <c r="D286" s="861"/>
      <c r="E286" s="863"/>
      <c r="F286" s="865"/>
      <c r="G286" s="865"/>
      <c r="H286" s="867"/>
      <c r="I286" s="400" t="str">
        <f>IF('Mapa final'!Y289="","",'Mapa final'!Y289)</f>
        <v/>
      </c>
      <c r="J286" s="400" t="str">
        <f>IF('Mapa final'!AA289="","",'Mapa final'!AA289)</f>
        <v/>
      </c>
      <c r="K286" s="400" t="str">
        <f t="shared" si="4"/>
        <v/>
      </c>
      <c r="L286" s="400" t="str">
        <f>IF('Mapa final'!AD289="","",'Mapa final'!AD289)</f>
        <v/>
      </c>
      <c r="M286" s="339" t="str">
        <f>IF('Mapa final'!P289="","",'Mapa final'!P289)</f>
        <v/>
      </c>
      <c r="N286" s="397"/>
      <c r="O286" s="397"/>
      <c r="P286" s="397"/>
      <c r="Q286" s="398"/>
    </row>
    <row r="287" spans="1:17" x14ac:dyDescent="0.25">
      <c r="A287" s="115" t="s">
        <v>519</v>
      </c>
      <c r="B287" s="857"/>
      <c r="C287" s="863"/>
      <c r="D287" s="861"/>
      <c r="E287" s="863"/>
      <c r="F287" s="865"/>
      <c r="G287" s="865"/>
      <c r="H287" s="867"/>
      <c r="I287" s="400" t="str">
        <f>IF('Mapa final'!Y290="","",'Mapa final'!Y290)</f>
        <v/>
      </c>
      <c r="J287" s="400" t="str">
        <f>IF('Mapa final'!AA290="","",'Mapa final'!AA290)</f>
        <v/>
      </c>
      <c r="K287" s="400" t="str">
        <f t="shared" si="4"/>
        <v/>
      </c>
      <c r="L287" s="400" t="str">
        <f>IF('Mapa final'!AD290="","",'Mapa final'!AD290)</f>
        <v/>
      </c>
      <c r="M287" s="339" t="str">
        <f>IF('Mapa final'!P290="","",'Mapa final'!P290)</f>
        <v/>
      </c>
      <c r="N287" s="397"/>
      <c r="O287" s="397"/>
      <c r="P287" s="397"/>
      <c r="Q287" s="398"/>
    </row>
    <row r="288" spans="1:17" x14ac:dyDescent="0.25">
      <c r="A288" s="115" t="s">
        <v>520</v>
      </c>
      <c r="B288" s="857"/>
      <c r="C288" s="863"/>
      <c r="D288" s="861"/>
      <c r="E288" s="863"/>
      <c r="F288" s="865"/>
      <c r="G288" s="865"/>
      <c r="H288" s="867"/>
      <c r="I288" s="400" t="str">
        <f>IF('Mapa final'!Y291="","",'Mapa final'!Y291)</f>
        <v/>
      </c>
      <c r="J288" s="400" t="str">
        <f>IF('Mapa final'!AA291="","",'Mapa final'!AA291)</f>
        <v/>
      </c>
      <c r="K288" s="400" t="str">
        <f t="shared" si="4"/>
        <v/>
      </c>
      <c r="L288" s="400" t="str">
        <f>IF('Mapa final'!AD291="","",'Mapa final'!AD291)</f>
        <v/>
      </c>
      <c r="M288" s="339" t="str">
        <f>IF('Mapa final'!P291="","",'Mapa final'!P291)</f>
        <v/>
      </c>
      <c r="N288" s="397"/>
      <c r="O288" s="397"/>
      <c r="P288" s="397"/>
      <c r="Q288" s="398"/>
    </row>
    <row r="289" spans="1:17" x14ac:dyDescent="0.25">
      <c r="A289" s="115" t="s">
        <v>521</v>
      </c>
      <c r="B289" s="856"/>
      <c r="C289" s="862" t="str">
        <f>IF('Mapa final'!E292="","",'Mapa final'!E292)</f>
        <v/>
      </c>
      <c r="D289" s="860"/>
      <c r="E289" s="862" t="str">
        <f>IF('Mapa final'!D292="","",'Mapa final'!D292)</f>
        <v/>
      </c>
      <c r="F289" s="865" t="str">
        <f>IF('Mapa final'!H292="","",'Mapa final'!H292)</f>
        <v/>
      </c>
      <c r="G289" s="865" t="str">
        <f>IF('Mapa final'!L292="","",'Mapa final'!L292)</f>
        <v/>
      </c>
      <c r="H289" s="86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0" t="str">
        <f>IF('Mapa final'!Y292="","",'Mapa final'!Y292)</f>
        <v/>
      </c>
      <c r="J289" s="400" t="str">
        <f>IF('Mapa final'!AA292="","",'Mapa final'!AA292)</f>
        <v/>
      </c>
      <c r="K289" s="400" t="str">
        <f t="shared" si="4"/>
        <v/>
      </c>
      <c r="L289" s="400" t="str">
        <f>IF('Mapa final'!AD292="","",'Mapa final'!AD292)</f>
        <v/>
      </c>
      <c r="M289" s="339" t="str">
        <f>IF('Mapa final'!P292="","",'Mapa final'!P292)</f>
        <v/>
      </c>
      <c r="N289" s="397"/>
      <c r="O289" s="397"/>
      <c r="P289" s="397"/>
      <c r="Q289" s="398"/>
    </row>
    <row r="290" spans="1:17" x14ac:dyDescent="0.25">
      <c r="A290" s="115" t="s">
        <v>522</v>
      </c>
      <c r="B290" s="857"/>
      <c r="C290" s="863"/>
      <c r="D290" s="861"/>
      <c r="E290" s="863"/>
      <c r="F290" s="865"/>
      <c r="G290" s="865"/>
      <c r="H290" s="867"/>
      <c r="I290" s="400" t="str">
        <f>IF('Mapa final'!Y293="","",'Mapa final'!Y293)</f>
        <v/>
      </c>
      <c r="J290" s="400" t="str">
        <f>IF('Mapa final'!AA293="","",'Mapa final'!AA293)</f>
        <v/>
      </c>
      <c r="K290" s="400" t="str">
        <f t="shared" si="4"/>
        <v/>
      </c>
      <c r="L290" s="400" t="str">
        <f>IF('Mapa final'!AD293="","",'Mapa final'!AD293)</f>
        <v/>
      </c>
      <c r="M290" s="339" t="str">
        <f>IF('Mapa final'!P293="","",'Mapa final'!P293)</f>
        <v/>
      </c>
      <c r="N290" s="397"/>
      <c r="O290" s="397"/>
      <c r="P290" s="397"/>
      <c r="Q290" s="398"/>
    </row>
    <row r="291" spans="1:17" x14ac:dyDescent="0.25">
      <c r="A291" s="115" t="s">
        <v>523</v>
      </c>
      <c r="B291" s="857"/>
      <c r="C291" s="863"/>
      <c r="D291" s="861"/>
      <c r="E291" s="863"/>
      <c r="F291" s="865"/>
      <c r="G291" s="865"/>
      <c r="H291" s="867"/>
      <c r="I291" s="400" t="str">
        <f>IF('Mapa final'!Y294="","",'Mapa final'!Y294)</f>
        <v/>
      </c>
      <c r="J291" s="400" t="str">
        <f>IF('Mapa final'!AA294="","",'Mapa final'!AA294)</f>
        <v/>
      </c>
      <c r="K291" s="400" t="str">
        <f t="shared" si="4"/>
        <v/>
      </c>
      <c r="L291" s="400" t="str">
        <f>IF('Mapa final'!AD294="","",'Mapa final'!AD294)</f>
        <v/>
      </c>
      <c r="M291" s="339" t="str">
        <f>IF('Mapa final'!P294="","",'Mapa final'!P294)</f>
        <v/>
      </c>
      <c r="N291" s="397"/>
      <c r="O291" s="397"/>
      <c r="P291" s="397"/>
      <c r="Q291" s="398"/>
    </row>
    <row r="292" spans="1:17" x14ac:dyDescent="0.25">
      <c r="A292" s="115" t="s">
        <v>524</v>
      </c>
      <c r="B292" s="857"/>
      <c r="C292" s="863"/>
      <c r="D292" s="861"/>
      <c r="E292" s="863"/>
      <c r="F292" s="865"/>
      <c r="G292" s="865"/>
      <c r="H292" s="867"/>
      <c r="I292" s="400" t="str">
        <f>IF('Mapa final'!Y295="","",'Mapa final'!Y295)</f>
        <v/>
      </c>
      <c r="J292" s="400" t="str">
        <f>IF('Mapa final'!AA295="","",'Mapa final'!AA295)</f>
        <v/>
      </c>
      <c r="K292" s="400" t="str">
        <f t="shared" si="4"/>
        <v/>
      </c>
      <c r="L292" s="400" t="str">
        <f>IF('Mapa final'!AD295="","",'Mapa final'!AD295)</f>
        <v/>
      </c>
      <c r="M292" s="339" t="str">
        <f>IF('Mapa final'!P295="","",'Mapa final'!P295)</f>
        <v/>
      </c>
      <c r="N292" s="397"/>
      <c r="O292" s="397"/>
      <c r="P292" s="397"/>
      <c r="Q292" s="398"/>
    </row>
    <row r="293" spans="1:17" x14ac:dyDescent="0.25">
      <c r="A293" s="115" t="s">
        <v>525</v>
      </c>
      <c r="B293" s="857"/>
      <c r="C293" s="863"/>
      <c r="D293" s="861"/>
      <c r="E293" s="863"/>
      <c r="F293" s="865"/>
      <c r="G293" s="865"/>
      <c r="H293" s="867"/>
      <c r="I293" s="400" t="str">
        <f>IF('Mapa final'!Y296="","",'Mapa final'!Y296)</f>
        <v/>
      </c>
      <c r="J293" s="400" t="str">
        <f>IF('Mapa final'!AA296="","",'Mapa final'!AA296)</f>
        <v/>
      </c>
      <c r="K293" s="400" t="str">
        <f t="shared" si="4"/>
        <v/>
      </c>
      <c r="L293" s="400" t="str">
        <f>IF('Mapa final'!AD296="","",'Mapa final'!AD296)</f>
        <v/>
      </c>
      <c r="M293" s="339" t="str">
        <f>IF('Mapa final'!P296="","",'Mapa final'!P296)</f>
        <v/>
      </c>
      <c r="N293" s="397"/>
      <c r="O293" s="397"/>
      <c r="P293" s="397"/>
      <c r="Q293" s="398"/>
    </row>
    <row r="294" spans="1:17" x14ac:dyDescent="0.25">
      <c r="A294" s="115" t="s">
        <v>526</v>
      </c>
      <c r="B294" s="857"/>
      <c r="C294" s="863"/>
      <c r="D294" s="861"/>
      <c r="E294" s="863"/>
      <c r="F294" s="865"/>
      <c r="G294" s="865"/>
      <c r="H294" s="867"/>
      <c r="I294" s="400" t="str">
        <f>IF('Mapa final'!Y297="","",'Mapa final'!Y297)</f>
        <v/>
      </c>
      <c r="J294" s="400" t="str">
        <f>IF('Mapa final'!AA297="","",'Mapa final'!AA297)</f>
        <v/>
      </c>
      <c r="K294" s="400" t="str">
        <f t="shared" si="4"/>
        <v/>
      </c>
      <c r="L294" s="400" t="str">
        <f>IF('Mapa final'!AD297="","",'Mapa final'!AD297)</f>
        <v/>
      </c>
      <c r="M294" s="339" t="str">
        <f>IF('Mapa final'!P297="","",'Mapa final'!P297)</f>
        <v/>
      </c>
      <c r="N294" s="397"/>
      <c r="O294" s="397"/>
      <c r="P294" s="397"/>
      <c r="Q294" s="398"/>
    </row>
    <row r="295" spans="1:17" x14ac:dyDescent="0.25">
      <c r="A295" s="115" t="s">
        <v>527</v>
      </c>
      <c r="B295" s="856"/>
      <c r="C295" s="862" t="str">
        <f>IF('Mapa final'!E298="","",'Mapa final'!E298)</f>
        <v/>
      </c>
      <c r="D295" s="860"/>
      <c r="E295" s="862" t="str">
        <f>IF('Mapa final'!D298="","",'Mapa final'!D298)</f>
        <v/>
      </c>
      <c r="F295" s="865" t="str">
        <f>IF('Mapa final'!H298="","",'Mapa final'!H298)</f>
        <v/>
      </c>
      <c r="G295" s="865" t="str">
        <f>IF('Mapa final'!L298="","",'Mapa final'!L298)</f>
        <v/>
      </c>
      <c r="H295" s="86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0" t="str">
        <f>IF('Mapa final'!Y298="","",'Mapa final'!Y298)</f>
        <v/>
      </c>
      <c r="J295" s="400" t="str">
        <f>IF('Mapa final'!AA298="","",'Mapa final'!AA298)</f>
        <v/>
      </c>
      <c r="K295" s="400" t="str">
        <f t="shared" si="4"/>
        <v/>
      </c>
      <c r="L295" s="400" t="str">
        <f>IF('Mapa final'!AD298="","",'Mapa final'!AD298)</f>
        <v/>
      </c>
      <c r="M295" s="339" t="str">
        <f>IF('Mapa final'!P298="","",'Mapa final'!P298)</f>
        <v/>
      </c>
      <c r="N295" s="397"/>
      <c r="O295" s="397"/>
      <c r="P295" s="397"/>
      <c r="Q295" s="398"/>
    </row>
    <row r="296" spans="1:17" x14ac:dyDescent="0.25">
      <c r="A296" s="115" t="s">
        <v>528</v>
      </c>
      <c r="B296" s="857"/>
      <c r="C296" s="863"/>
      <c r="D296" s="861"/>
      <c r="E296" s="863"/>
      <c r="F296" s="865"/>
      <c r="G296" s="865"/>
      <c r="H296" s="867"/>
      <c r="I296" s="400" t="str">
        <f>IF('Mapa final'!Y299="","",'Mapa final'!Y299)</f>
        <v/>
      </c>
      <c r="J296" s="400" t="str">
        <f>IF('Mapa final'!AA299="","",'Mapa final'!AA299)</f>
        <v/>
      </c>
      <c r="K296" s="400" t="str">
        <f t="shared" si="4"/>
        <v/>
      </c>
      <c r="L296" s="400" t="str">
        <f>IF('Mapa final'!AD299="","",'Mapa final'!AD299)</f>
        <v/>
      </c>
      <c r="M296" s="339" t="str">
        <f>IF('Mapa final'!P299="","",'Mapa final'!P299)</f>
        <v/>
      </c>
      <c r="N296" s="397"/>
      <c r="O296" s="397"/>
      <c r="P296" s="397"/>
      <c r="Q296" s="398"/>
    </row>
    <row r="297" spans="1:17" x14ac:dyDescent="0.25">
      <c r="A297" s="115" t="s">
        <v>529</v>
      </c>
      <c r="B297" s="857"/>
      <c r="C297" s="863"/>
      <c r="D297" s="861"/>
      <c r="E297" s="863"/>
      <c r="F297" s="865"/>
      <c r="G297" s="865"/>
      <c r="H297" s="867"/>
      <c r="I297" s="400" t="str">
        <f>IF('Mapa final'!Y300="","",'Mapa final'!Y300)</f>
        <v/>
      </c>
      <c r="J297" s="400" t="str">
        <f>IF('Mapa final'!AA300="","",'Mapa final'!AA300)</f>
        <v/>
      </c>
      <c r="K297" s="400" t="str">
        <f t="shared" si="4"/>
        <v/>
      </c>
      <c r="L297" s="400" t="str">
        <f>IF('Mapa final'!AD300="","",'Mapa final'!AD300)</f>
        <v/>
      </c>
      <c r="M297" s="339" t="str">
        <f>IF('Mapa final'!P300="","",'Mapa final'!P300)</f>
        <v/>
      </c>
      <c r="N297" s="397"/>
      <c r="O297" s="397"/>
      <c r="P297" s="397"/>
      <c r="Q297" s="398"/>
    </row>
    <row r="298" spans="1:17" x14ac:dyDescent="0.25">
      <c r="A298" s="115" t="s">
        <v>530</v>
      </c>
      <c r="B298" s="857"/>
      <c r="C298" s="863"/>
      <c r="D298" s="861"/>
      <c r="E298" s="863"/>
      <c r="F298" s="865"/>
      <c r="G298" s="865"/>
      <c r="H298" s="867"/>
      <c r="I298" s="400" t="str">
        <f>IF('Mapa final'!Y301="","",'Mapa final'!Y301)</f>
        <v/>
      </c>
      <c r="J298" s="400" t="str">
        <f>IF('Mapa final'!AA301="","",'Mapa final'!AA301)</f>
        <v/>
      </c>
      <c r="K298" s="400" t="str">
        <f t="shared" si="4"/>
        <v/>
      </c>
      <c r="L298" s="400" t="str">
        <f>IF('Mapa final'!AD301="","",'Mapa final'!AD301)</f>
        <v/>
      </c>
      <c r="M298" s="339" t="str">
        <f>IF('Mapa final'!P301="","",'Mapa final'!P301)</f>
        <v/>
      </c>
      <c r="N298" s="397"/>
      <c r="O298" s="397"/>
      <c r="P298" s="397"/>
      <c r="Q298" s="398"/>
    </row>
    <row r="299" spans="1:17" x14ac:dyDescent="0.25">
      <c r="A299" s="115" t="s">
        <v>531</v>
      </c>
      <c r="B299" s="857"/>
      <c r="C299" s="863"/>
      <c r="D299" s="861"/>
      <c r="E299" s="863"/>
      <c r="F299" s="865"/>
      <c r="G299" s="865"/>
      <c r="H299" s="867"/>
      <c r="I299" s="400" t="str">
        <f>IF('Mapa final'!Y302="","",'Mapa final'!Y302)</f>
        <v/>
      </c>
      <c r="J299" s="400" t="str">
        <f>IF('Mapa final'!AA302="","",'Mapa final'!AA302)</f>
        <v/>
      </c>
      <c r="K299" s="400" t="str">
        <f t="shared" si="4"/>
        <v/>
      </c>
      <c r="L299" s="400" t="str">
        <f>IF('Mapa final'!AD302="","",'Mapa final'!AD302)</f>
        <v/>
      </c>
      <c r="M299" s="339" t="str">
        <f>IF('Mapa final'!P302="","",'Mapa final'!P302)</f>
        <v/>
      </c>
      <c r="N299" s="397"/>
      <c r="O299" s="397"/>
      <c r="P299" s="397"/>
      <c r="Q299" s="398"/>
    </row>
    <row r="300" spans="1:17" x14ac:dyDescent="0.25">
      <c r="A300" s="115" t="s">
        <v>532</v>
      </c>
      <c r="B300" s="857"/>
      <c r="C300" s="863"/>
      <c r="D300" s="861"/>
      <c r="E300" s="863"/>
      <c r="F300" s="865"/>
      <c r="G300" s="865"/>
      <c r="H300" s="867"/>
      <c r="I300" s="400" t="str">
        <f>IF('Mapa final'!Y303="","",'Mapa final'!Y303)</f>
        <v/>
      </c>
      <c r="J300" s="400" t="str">
        <f>IF('Mapa final'!AA303="","",'Mapa final'!AA303)</f>
        <v/>
      </c>
      <c r="K300" s="400" t="str">
        <f t="shared" si="4"/>
        <v/>
      </c>
      <c r="L300" s="400" t="str">
        <f>IF('Mapa final'!AD303="","",'Mapa final'!AD303)</f>
        <v/>
      </c>
      <c r="M300" s="339" t="str">
        <f>IF('Mapa final'!P303="","",'Mapa final'!P303)</f>
        <v/>
      </c>
      <c r="N300" s="397"/>
      <c r="O300" s="397"/>
      <c r="P300" s="397"/>
      <c r="Q300" s="398"/>
    </row>
    <row r="301" spans="1:17" x14ac:dyDescent="0.25">
      <c r="A301" s="115" t="s">
        <v>533</v>
      </c>
      <c r="B301" s="856"/>
      <c r="C301" s="862" t="str">
        <f>IF('Mapa final'!E304="","",'Mapa final'!E304)</f>
        <v/>
      </c>
      <c r="D301" s="860"/>
      <c r="E301" s="862" t="str">
        <f>IF('Mapa final'!D304="","",'Mapa final'!D304)</f>
        <v/>
      </c>
      <c r="F301" s="865" t="str">
        <f>IF('Mapa final'!H304="","",'Mapa final'!H304)</f>
        <v/>
      </c>
      <c r="G301" s="865" t="str">
        <f>IF('Mapa final'!L304="","",'Mapa final'!L304)</f>
        <v/>
      </c>
      <c r="H301" s="86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0" t="str">
        <f>IF('Mapa final'!Y304="","",'Mapa final'!Y304)</f>
        <v/>
      </c>
      <c r="J301" s="400" t="str">
        <f>IF('Mapa final'!AA304="","",'Mapa final'!AA304)</f>
        <v/>
      </c>
      <c r="K301" s="400" t="str">
        <f t="shared" si="4"/>
        <v/>
      </c>
      <c r="L301" s="400" t="str">
        <f>IF('Mapa final'!AD304="","",'Mapa final'!AD304)</f>
        <v/>
      </c>
      <c r="M301" s="339" t="str">
        <f>IF('Mapa final'!P304="","",'Mapa final'!P304)</f>
        <v/>
      </c>
      <c r="N301" s="397"/>
      <c r="O301" s="397"/>
      <c r="P301" s="397"/>
      <c r="Q301" s="398"/>
    </row>
    <row r="302" spans="1:17" x14ac:dyDescent="0.25">
      <c r="A302" s="115" t="s">
        <v>534</v>
      </c>
      <c r="B302" s="857"/>
      <c r="C302" s="863"/>
      <c r="D302" s="861"/>
      <c r="E302" s="863"/>
      <c r="F302" s="865"/>
      <c r="G302" s="865"/>
      <c r="H302" s="867"/>
      <c r="I302" s="400" t="str">
        <f>IF('Mapa final'!Y305="","",'Mapa final'!Y305)</f>
        <v/>
      </c>
      <c r="J302" s="400" t="str">
        <f>IF('Mapa final'!AA305="","",'Mapa final'!AA305)</f>
        <v/>
      </c>
      <c r="K302" s="400" t="str">
        <f t="shared" si="4"/>
        <v/>
      </c>
      <c r="L302" s="400" t="str">
        <f>IF('Mapa final'!AD305="","",'Mapa final'!AD305)</f>
        <v/>
      </c>
      <c r="M302" s="339" t="str">
        <f>IF('Mapa final'!P305="","",'Mapa final'!P305)</f>
        <v/>
      </c>
      <c r="N302" s="397"/>
      <c r="O302" s="397"/>
      <c r="P302" s="397"/>
      <c r="Q302" s="398"/>
    </row>
    <row r="303" spans="1:17" x14ac:dyDescent="0.25">
      <c r="A303" s="115" t="s">
        <v>535</v>
      </c>
      <c r="B303" s="857"/>
      <c r="C303" s="863"/>
      <c r="D303" s="861"/>
      <c r="E303" s="863"/>
      <c r="F303" s="865"/>
      <c r="G303" s="865"/>
      <c r="H303" s="867"/>
      <c r="I303" s="400" t="str">
        <f>IF('Mapa final'!Y306="","",'Mapa final'!Y306)</f>
        <v/>
      </c>
      <c r="J303" s="400" t="str">
        <f>IF('Mapa final'!AA306="","",'Mapa final'!AA306)</f>
        <v/>
      </c>
      <c r="K303" s="400" t="str">
        <f t="shared" si="4"/>
        <v/>
      </c>
      <c r="L303" s="400" t="str">
        <f>IF('Mapa final'!AD306="","",'Mapa final'!AD306)</f>
        <v/>
      </c>
      <c r="M303" s="339" t="str">
        <f>IF('Mapa final'!P306="","",'Mapa final'!P306)</f>
        <v/>
      </c>
      <c r="N303" s="397"/>
      <c r="O303" s="397"/>
      <c r="P303" s="397"/>
      <c r="Q303" s="398"/>
    </row>
    <row r="304" spans="1:17" x14ac:dyDescent="0.25">
      <c r="A304" s="115" t="s">
        <v>536</v>
      </c>
      <c r="B304" s="857"/>
      <c r="C304" s="863"/>
      <c r="D304" s="861"/>
      <c r="E304" s="863"/>
      <c r="F304" s="865"/>
      <c r="G304" s="865"/>
      <c r="H304" s="867"/>
      <c r="I304" s="400" t="str">
        <f>IF('Mapa final'!Y307="","",'Mapa final'!Y307)</f>
        <v/>
      </c>
      <c r="J304" s="400" t="str">
        <f>IF('Mapa final'!AA307="","",'Mapa final'!AA307)</f>
        <v/>
      </c>
      <c r="K304" s="400" t="str">
        <f t="shared" si="4"/>
        <v/>
      </c>
      <c r="L304" s="400" t="str">
        <f>IF('Mapa final'!AD307="","",'Mapa final'!AD307)</f>
        <v/>
      </c>
      <c r="M304" s="339" t="str">
        <f>IF('Mapa final'!P307="","",'Mapa final'!P307)</f>
        <v/>
      </c>
      <c r="N304" s="397"/>
      <c r="O304" s="397"/>
      <c r="P304" s="397"/>
      <c r="Q304" s="398"/>
    </row>
    <row r="305" spans="1:17" x14ac:dyDescent="0.25">
      <c r="A305" s="115" t="s">
        <v>537</v>
      </c>
      <c r="B305" s="857"/>
      <c r="C305" s="863"/>
      <c r="D305" s="861"/>
      <c r="E305" s="863"/>
      <c r="F305" s="865"/>
      <c r="G305" s="865"/>
      <c r="H305" s="867"/>
      <c r="I305" s="400" t="str">
        <f>IF('Mapa final'!Y308="","",'Mapa final'!Y308)</f>
        <v/>
      </c>
      <c r="J305" s="400" t="str">
        <f>IF('Mapa final'!AA308="","",'Mapa final'!AA308)</f>
        <v/>
      </c>
      <c r="K305" s="400" t="str">
        <f t="shared" si="4"/>
        <v/>
      </c>
      <c r="L305" s="400" t="str">
        <f>IF('Mapa final'!AD308="","",'Mapa final'!AD308)</f>
        <v/>
      </c>
      <c r="M305" s="339" t="str">
        <f>IF('Mapa final'!P308="","",'Mapa final'!P308)</f>
        <v/>
      </c>
      <c r="N305" s="397"/>
      <c r="O305" s="397"/>
      <c r="P305" s="397"/>
      <c r="Q305" s="398"/>
    </row>
    <row r="306" spans="1:17" x14ac:dyDescent="0.25">
      <c r="A306" s="115" t="s">
        <v>538</v>
      </c>
      <c r="B306" s="857"/>
      <c r="C306" s="863"/>
      <c r="D306" s="861"/>
      <c r="E306" s="863"/>
      <c r="F306" s="865"/>
      <c r="G306" s="865"/>
      <c r="H306" s="867"/>
      <c r="I306" s="400" t="str">
        <f>IF('Mapa final'!Y309="","",'Mapa final'!Y309)</f>
        <v/>
      </c>
      <c r="J306" s="400" t="str">
        <f>IF('Mapa final'!AA309="","",'Mapa final'!AA309)</f>
        <v/>
      </c>
      <c r="K306" s="400" t="str">
        <f t="shared" si="4"/>
        <v/>
      </c>
      <c r="L306" s="400" t="str">
        <f>IF('Mapa final'!AD309="","",'Mapa final'!AD309)</f>
        <v/>
      </c>
      <c r="M306" s="339" t="str">
        <f>IF('Mapa final'!P309="","",'Mapa final'!P309)</f>
        <v/>
      </c>
      <c r="N306" s="397"/>
      <c r="O306" s="397"/>
      <c r="P306" s="397"/>
      <c r="Q306" s="398"/>
    </row>
    <row r="307" spans="1:17" x14ac:dyDescent="0.25">
      <c r="A307" s="115" t="s">
        <v>539</v>
      </c>
      <c r="B307" s="856"/>
      <c r="C307" s="862" t="str">
        <f>IF('Mapa final'!E310="","",'Mapa final'!E310)</f>
        <v/>
      </c>
      <c r="D307" s="860"/>
      <c r="E307" s="862" t="str">
        <f>IF('Mapa final'!D310="","",'Mapa final'!D310)</f>
        <v/>
      </c>
      <c r="F307" s="865" t="str">
        <f>IF('Mapa final'!H310="","",'Mapa final'!H310)</f>
        <v/>
      </c>
      <c r="G307" s="865" t="str">
        <f>IF('Mapa final'!L310="","",'Mapa final'!L310)</f>
        <v/>
      </c>
      <c r="H307" s="86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0" t="str">
        <f>IF('Mapa final'!Y310="","",'Mapa final'!Y310)</f>
        <v/>
      </c>
      <c r="J307" s="400" t="str">
        <f>IF('Mapa final'!AA310="","",'Mapa final'!AA310)</f>
        <v/>
      </c>
      <c r="K307" s="400" t="str">
        <f t="shared" si="4"/>
        <v/>
      </c>
      <c r="L307" s="400" t="str">
        <f>IF('Mapa final'!AD310="","",'Mapa final'!AD310)</f>
        <v/>
      </c>
      <c r="M307" s="339" t="str">
        <f>IF('Mapa final'!P310="","",'Mapa final'!P310)</f>
        <v/>
      </c>
      <c r="N307" s="397"/>
      <c r="O307" s="397"/>
      <c r="P307" s="397"/>
      <c r="Q307" s="398"/>
    </row>
    <row r="308" spans="1:17" x14ac:dyDescent="0.25">
      <c r="A308" s="115" t="s">
        <v>540</v>
      </c>
      <c r="B308" s="857"/>
      <c r="C308" s="863"/>
      <c r="D308" s="861"/>
      <c r="E308" s="863"/>
      <c r="F308" s="865"/>
      <c r="G308" s="865"/>
      <c r="H308" s="867"/>
      <c r="I308" s="400" t="str">
        <f>IF('Mapa final'!Y311="","",'Mapa final'!Y311)</f>
        <v/>
      </c>
      <c r="J308" s="400" t="str">
        <f>IF('Mapa final'!AA311="","",'Mapa final'!AA311)</f>
        <v/>
      </c>
      <c r="K308" s="400" t="str">
        <f t="shared" si="4"/>
        <v/>
      </c>
      <c r="L308" s="400" t="str">
        <f>IF('Mapa final'!AD311="","",'Mapa final'!AD311)</f>
        <v/>
      </c>
      <c r="M308" s="339" t="str">
        <f>IF('Mapa final'!P311="","",'Mapa final'!P311)</f>
        <v/>
      </c>
      <c r="N308" s="397"/>
      <c r="O308" s="397"/>
      <c r="P308" s="397"/>
      <c r="Q308" s="398"/>
    </row>
    <row r="309" spans="1:17" x14ac:dyDescent="0.25">
      <c r="A309" s="115" t="s">
        <v>541</v>
      </c>
      <c r="B309" s="857"/>
      <c r="C309" s="863"/>
      <c r="D309" s="861"/>
      <c r="E309" s="863"/>
      <c r="F309" s="865"/>
      <c r="G309" s="865"/>
      <c r="H309" s="867"/>
      <c r="I309" s="400" t="str">
        <f>IF('Mapa final'!Y312="","",'Mapa final'!Y312)</f>
        <v/>
      </c>
      <c r="J309" s="400" t="str">
        <f>IF('Mapa final'!AA312="","",'Mapa final'!AA312)</f>
        <v/>
      </c>
      <c r="K309" s="400" t="str">
        <f t="shared" si="4"/>
        <v/>
      </c>
      <c r="L309" s="400" t="str">
        <f>IF('Mapa final'!AD312="","",'Mapa final'!AD312)</f>
        <v/>
      </c>
      <c r="M309" s="339" t="str">
        <f>IF('Mapa final'!P312="","",'Mapa final'!P312)</f>
        <v/>
      </c>
      <c r="N309" s="397"/>
      <c r="O309" s="397"/>
      <c r="P309" s="397"/>
      <c r="Q309" s="398"/>
    </row>
    <row r="310" spans="1:17" x14ac:dyDescent="0.25">
      <c r="A310" s="115" t="s">
        <v>542</v>
      </c>
      <c r="B310" s="857"/>
      <c r="C310" s="863"/>
      <c r="D310" s="861"/>
      <c r="E310" s="863"/>
      <c r="F310" s="865"/>
      <c r="G310" s="865"/>
      <c r="H310" s="867"/>
      <c r="I310" s="400" t="str">
        <f>IF('Mapa final'!Y313="","",'Mapa final'!Y313)</f>
        <v/>
      </c>
      <c r="J310" s="400" t="str">
        <f>IF('Mapa final'!AA313="","",'Mapa final'!AA313)</f>
        <v/>
      </c>
      <c r="K310" s="400" t="str">
        <f t="shared" si="4"/>
        <v/>
      </c>
      <c r="L310" s="400" t="str">
        <f>IF('Mapa final'!AD313="","",'Mapa final'!AD313)</f>
        <v/>
      </c>
      <c r="M310" s="339" t="str">
        <f>IF('Mapa final'!P313="","",'Mapa final'!P313)</f>
        <v/>
      </c>
      <c r="N310" s="397"/>
      <c r="O310" s="397"/>
      <c r="P310" s="397"/>
      <c r="Q310" s="398"/>
    </row>
    <row r="311" spans="1:17" x14ac:dyDescent="0.25">
      <c r="A311" s="115" t="s">
        <v>543</v>
      </c>
      <c r="B311" s="857"/>
      <c r="C311" s="863"/>
      <c r="D311" s="861"/>
      <c r="E311" s="863"/>
      <c r="F311" s="865"/>
      <c r="G311" s="865"/>
      <c r="H311" s="867"/>
      <c r="I311" s="400" t="str">
        <f>IF('Mapa final'!Y314="","",'Mapa final'!Y314)</f>
        <v/>
      </c>
      <c r="J311" s="400" t="str">
        <f>IF('Mapa final'!AA314="","",'Mapa final'!AA314)</f>
        <v/>
      </c>
      <c r="K311" s="400" t="str">
        <f t="shared" si="4"/>
        <v/>
      </c>
      <c r="L311" s="400" t="str">
        <f>IF('Mapa final'!AD314="","",'Mapa final'!AD314)</f>
        <v/>
      </c>
      <c r="M311" s="339" t="str">
        <f>IF('Mapa final'!P314="","",'Mapa final'!P314)</f>
        <v/>
      </c>
      <c r="N311" s="397"/>
      <c r="O311" s="397"/>
      <c r="P311" s="397"/>
      <c r="Q311" s="398"/>
    </row>
    <row r="312" spans="1:17" x14ac:dyDescent="0.25">
      <c r="A312" s="115" t="s">
        <v>544</v>
      </c>
      <c r="B312" s="857"/>
      <c r="C312" s="863"/>
      <c r="D312" s="861"/>
      <c r="E312" s="863"/>
      <c r="F312" s="865"/>
      <c r="G312" s="865"/>
      <c r="H312" s="867"/>
      <c r="I312" s="400" t="str">
        <f>IF('Mapa final'!Y315="","",'Mapa final'!Y315)</f>
        <v/>
      </c>
      <c r="J312" s="400" t="str">
        <f>IF('Mapa final'!AA315="","",'Mapa final'!AA315)</f>
        <v/>
      </c>
      <c r="K312" s="400" t="str">
        <f t="shared" si="4"/>
        <v/>
      </c>
      <c r="L312" s="400" t="str">
        <f>IF('Mapa final'!AD315="","",'Mapa final'!AD315)</f>
        <v/>
      </c>
      <c r="M312" s="339" t="str">
        <f>IF('Mapa final'!P315="","",'Mapa final'!P315)</f>
        <v/>
      </c>
      <c r="N312" s="397"/>
      <c r="O312" s="397"/>
      <c r="P312" s="397"/>
      <c r="Q312" s="398"/>
    </row>
    <row r="313" spans="1:17" x14ac:dyDescent="0.25">
      <c r="A313" s="115" t="s">
        <v>545</v>
      </c>
      <c r="B313" s="856"/>
      <c r="C313" s="862" t="str">
        <f>IF('Mapa final'!E316="","",'Mapa final'!E316)</f>
        <v/>
      </c>
      <c r="D313" s="860"/>
      <c r="E313" s="862" t="str">
        <f>IF('Mapa final'!D316="","",'Mapa final'!D316)</f>
        <v/>
      </c>
      <c r="F313" s="865" t="str">
        <f>IF('Mapa final'!H316="","",'Mapa final'!H316)</f>
        <v/>
      </c>
      <c r="G313" s="865" t="str">
        <f>IF('Mapa final'!L316="","",'Mapa final'!L316)</f>
        <v/>
      </c>
      <c r="H313" s="86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0" t="str">
        <f>IF('Mapa final'!Y316="","",'Mapa final'!Y316)</f>
        <v/>
      </c>
      <c r="J313" s="400" t="str">
        <f>IF('Mapa final'!AA316="","",'Mapa final'!AA316)</f>
        <v/>
      </c>
      <c r="K313" s="400" t="str">
        <f t="shared" si="4"/>
        <v/>
      </c>
      <c r="L313" s="400" t="str">
        <f>IF('Mapa final'!AD316="","",'Mapa final'!AD316)</f>
        <v/>
      </c>
      <c r="M313" s="339" t="str">
        <f>IF('Mapa final'!P316="","",'Mapa final'!P316)</f>
        <v/>
      </c>
      <c r="N313" s="397"/>
      <c r="O313" s="397"/>
      <c r="P313" s="397"/>
      <c r="Q313" s="398"/>
    </row>
    <row r="314" spans="1:17" x14ac:dyDescent="0.25">
      <c r="A314" s="115" t="s">
        <v>546</v>
      </c>
      <c r="B314" s="857"/>
      <c r="C314" s="863"/>
      <c r="D314" s="861"/>
      <c r="E314" s="863"/>
      <c r="F314" s="865"/>
      <c r="G314" s="865"/>
      <c r="H314" s="867"/>
      <c r="I314" s="400" t="str">
        <f>IF('Mapa final'!Y317="","",'Mapa final'!Y317)</f>
        <v/>
      </c>
      <c r="J314" s="400" t="str">
        <f>IF('Mapa final'!AA317="","",'Mapa final'!AA317)</f>
        <v/>
      </c>
      <c r="K314" s="400" t="str">
        <f t="shared" si="4"/>
        <v/>
      </c>
      <c r="L314" s="400" t="str">
        <f>IF('Mapa final'!AD317="","",'Mapa final'!AD317)</f>
        <v/>
      </c>
      <c r="M314" s="339" t="str">
        <f>IF('Mapa final'!P317="","",'Mapa final'!P317)</f>
        <v/>
      </c>
      <c r="N314" s="397"/>
      <c r="O314" s="397"/>
      <c r="P314" s="397"/>
      <c r="Q314" s="398"/>
    </row>
    <row r="315" spans="1:17" x14ac:dyDescent="0.25">
      <c r="A315" s="115" t="s">
        <v>547</v>
      </c>
      <c r="B315" s="857"/>
      <c r="C315" s="863"/>
      <c r="D315" s="861"/>
      <c r="E315" s="863"/>
      <c r="F315" s="865"/>
      <c r="G315" s="865"/>
      <c r="H315" s="867"/>
      <c r="I315" s="400" t="str">
        <f>IF('Mapa final'!Y318="","",'Mapa final'!Y318)</f>
        <v/>
      </c>
      <c r="J315" s="400" t="str">
        <f>IF('Mapa final'!AA318="","",'Mapa final'!AA318)</f>
        <v/>
      </c>
      <c r="K315" s="400" t="str">
        <f t="shared" si="4"/>
        <v/>
      </c>
      <c r="L315" s="400" t="str">
        <f>IF('Mapa final'!AD318="","",'Mapa final'!AD318)</f>
        <v/>
      </c>
      <c r="M315" s="339" t="str">
        <f>IF('Mapa final'!P318="","",'Mapa final'!P318)</f>
        <v/>
      </c>
      <c r="N315" s="397"/>
      <c r="O315" s="397"/>
      <c r="P315" s="397"/>
      <c r="Q315" s="398"/>
    </row>
    <row r="316" spans="1:17" x14ac:dyDescent="0.25">
      <c r="A316" s="115" t="s">
        <v>548</v>
      </c>
      <c r="B316" s="857"/>
      <c r="C316" s="863"/>
      <c r="D316" s="861"/>
      <c r="E316" s="863"/>
      <c r="F316" s="865"/>
      <c r="G316" s="865"/>
      <c r="H316" s="867"/>
      <c r="I316" s="400" t="str">
        <f>IF('Mapa final'!Y319="","",'Mapa final'!Y319)</f>
        <v/>
      </c>
      <c r="J316" s="400" t="str">
        <f>IF('Mapa final'!AA319="","",'Mapa final'!AA319)</f>
        <v/>
      </c>
      <c r="K316" s="400" t="str">
        <f t="shared" si="4"/>
        <v/>
      </c>
      <c r="L316" s="400" t="str">
        <f>IF('Mapa final'!AD319="","",'Mapa final'!AD319)</f>
        <v/>
      </c>
      <c r="M316" s="339" t="str">
        <f>IF('Mapa final'!P319="","",'Mapa final'!P319)</f>
        <v/>
      </c>
      <c r="N316" s="397"/>
      <c r="O316" s="397"/>
      <c r="P316" s="397"/>
      <c r="Q316" s="398"/>
    </row>
    <row r="317" spans="1:17" x14ac:dyDescent="0.25">
      <c r="A317" s="115" t="s">
        <v>549</v>
      </c>
      <c r="B317" s="857"/>
      <c r="C317" s="863"/>
      <c r="D317" s="861"/>
      <c r="E317" s="863"/>
      <c r="F317" s="865"/>
      <c r="G317" s="865"/>
      <c r="H317" s="867"/>
      <c r="I317" s="400" t="str">
        <f>IF('Mapa final'!Y320="","",'Mapa final'!Y320)</f>
        <v/>
      </c>
      <c r="J317" s="400" t="str">
        <f>IF('Mapa final'!AA320="","",'Mapa final'!AA320)</f>
        <v/>
      </c>
      <c r="K317" s="400" t="str">
        <f t="shared" si="4"/>
        <v/>
      </c>
      <c r="L317" s="400" t="str">
        <f>IF('Mapa final'!AD320="","",'Mapa final'!AD320)</f>
        <v/>
      </c>
      <c r="M317" s="339" t="str">
        <f>IF('Mapa final'!P320="","",'Mapa final'!P320)</f>
        <v/>
      </c>
      <c r="N317" s="397"/>
      <c r="O317" s="397"/>
      <c r="P317" s="397"/>
      <c r="Q317" s="398"/>
    </row>
    <row r="318" spans="1:17" x14ac:dyDescent="0.25">
      <c r="A318" s="115" t="s">
        <v>550</v>
      </c>
      <c r="B318" s="857"/>
      <c r="C318" s="863"/>
      <c r="D318" s="861"/>
      <c r="E318" s="863"/>
      <c r="F318" s="865"/>
      <c r="G318" s="865"/>
      <c r="H318" s="867"/>
      <c r="I318" s="400" t="str">
        <f>IF('Mapa final'!Y321="","",'Mapa final'!Y321)</f>
        <v/>
      </c>
      <c r="J318" s="400" t="str">
        <f>IF('Mapa final'!AA321="","",'Mapa final'!AA321)</f>
        <v/>
      </c>
      <c r="K318" s="400" t="str">
        <f t="shared" si="4"/>
        <v/>
      </c>
      <c r="L318" s="400" t="str">
        <f>IF('Mapa final'!AD321="","",'Mapa final'!AD321)</f>
        <v/>
      </c>
      <c r="M318" s="339" t="str">
        <f>IF('Mapa final'!P321="","",'Mapa final'!P321)</f>
        <v/>
      </c>
      <c r="N318" s="397"/>
      <c r="O318" s="397"/>
      <c r="P318" s="397"/>
      <c r="Q318" s="398"/>
    </row>
    <row r="319" spans="1:17" x14ac:dyDescent="0.25">
      <c r="A319" s="115" t="s">
        <v>551</v>
      </c>
      <c r="B319" s="856"/>
      <c r="C319" s="862" t="str">
        <f>IF('Mapa final'!E322="","",'Mapa final'!E322)</f>
        <v/>
      </c>
      <c r="D319" s="860"/>
      <c r="E319" s="862" t="str">
        <f>IF('Mapa final'!D322="","",'Mapa final'!D322)</f>
        <v/>
      </c>
      <c r="F319" s="865" t="str">
        <f>IF('Mapa final'!H322="","",'Mapa final'!H322)</f>
        <v/>
      </c>
      <c r="G319" s="865" t="str">
        <f>IF('Mapa final'!L322="","",'Mapa final'!L322)</f>
        <v/>
      </c>
      <c r="H319" s="86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0" t="str">
        <f>IF('Mapa final'!Y322="","",'Mapa final'!Y322)</f>
        <v/>
      </c>
      <c r="J319" s="400" t="str">
        <f>IF('Mapa final'!AA322="","",'Mapa final'!AA322)</f>
        <v/>
      </c>
      <c r="K319" s="400" t="str">
        <f t="shared" si="4"/>
        <v/>
      </c>
      <c r="L319" s="400" t="str">
        <f>IF('Mapa final'!AD322="","",'Mapa final'!AD322)</f>
        <v/>
      </c>
      <c r="M319" s="339" t="str">
        <f>IF('Mapa final'!P322="","",'Mapa final'!P322)</f>
        <v/>
      </c>
      <c r="N319" s="397"/>
      <c r="O319" s="397"/>
      <c r="P319" s="397"/>
      <c r="Q319" s="398"/>
    </row>
    <row r="320" spans="1:17" x14ac:dyDescent="0.25">
      <c r="A320" s="115" t="s">
        <v>552</v>
      </c>
      <c r="B320" s="857"/>
      <c r="C320" s="863"/>
      <c r="D320" s="861"/>
      <c r="E320" s="863"/>
      <c r="F320" s="865"/>
      <c r="G320" s="865"/>
      <c r="H320" s="867"/>
      <c r="I320" s="400" t="str">
        <f>IF('Mapa final'!Y323="","",'Mapa final'!Y323)</f>
        <v/>
      </c>
      <c r="J320" s="400" t="str">
        <f>IF('Mapa final'!AA323="","",'Mapa final'!AA323)</f>
        <v/>
      </c>
      <c r="K320" s="400" t="str">
        <f t="shared" si="4"/>
        <v/>
      </c>
      <c r="L320" s="400" t="str">
        <f>IF('Mapa final'!AD323="","",'Mapa final'!AD323)</f>
        <v/>
      </c>
      <c r="M320" s="339" t="str">
        <f>IF('Mapa final'!P323="","",'Mapa final'!P323)</f>
        <v/>
      </c>
      <c r="N320" s="397"/>
      <c r="O320" s="397"/>
      <c r="P320" s="397"/>
      <c r="Q320" s="398"/>
    </row>
    <row r="321" spans="1:17" x14ac:dyDescent="0.25">
      <c r="A321" s="115" t="s">
        <v>553</v>
      </c>
      <c r="B321" s="857"/>
      <c r="C321" s="863"/>
      <c r="D321" s="861"/>
      <c r="E321" s="863"/>
      <c r="F321" s="865"/>
      <c r="G321" s="865"/>
      <c r="H321" s="867"/>
      <c r="I321" s="400" t="str">
        <f>IF('Mapa final'!Y324="","",'Mapa final'!Y324)</f>
        <v/>
      </c>
      <c r="J321" s="400" t="str">
        <f>IF('Mapa final'!AA324="","",'Mapa final'!AA324)</f>
        <v/>
      </c>
      <c r="K321" s="400" t="str">
        <f t="shared" si="4"/>
        <v/>
      </c>
      <c r="L321" s="400" t="str">
        <f>IF('Mapa final'!AD324="","",'Mapa final'!AD324)</f>
        <v/>
      </c>
      <c r="M321" s="339" t="str">
        <f>IF('Mapa final'!P324="","",'Mapa final'!P324)</f>
        <v/>
      </c>
      <c r="N321" s="397"/>
      <c r="O321" s="397"/>
      <c r="P321" s="397"/>
      <c r="Q321" s="398"/>
    </row>
    <row r="322" spans="1:17" x14ac:dyDescent="0.25">
      <c r="A322" s="115" t="s">
        <v>554</v>
      </c>
      <c r="B322" s="857"/>
      <c r="C322" s="863"/>
      <c r="D322" s="861"/>
      <c r="E322" s="863"/>
      <c r="F322" s="865"/>
      <c r="G322" s="865"/>
      <c r="H322" s="867"/>
      <c r="I322" s="400" t="str">
        <f>IF('Mapa final'!Y325="","",'Mapa final'!Y325)</f>
        <v/>
      </c>
      <c r="J322" s="400" t="str">
        <f>IF('Mapa final'!AA325="","",'Mapa final'!AA325)</f>
        <v/>
      </c>
      <c r="K322" s="400" t="str">
        <f t="shared" si="4"/>
        <v/>
      </c>
      <c r="L322" s="400" t="str">
        <f>IF('Mapa final'!AD325="","",'Mapa final'!AD325)</f>
        <v/>
      </c>
      <c r="M322" s="339" t="str">
        <f>IF('Mapa final'!P325="","",'Mapa final'!P325)</f>
        <v/>
      </c>
      <c r="N322" s="397"/>
      <c r="O322" s="397"/>
      <c r="P322" s="397"/>
      <c r="Q322" s="398"/>
    </row>
    <row r="323" spans="1:17" x14ac:dyDescent="0.25">
      <c r="A323" s="115" t="s">
        <v>555</v>
      </c>
      <c r="B323" s="857"/>
      <c r="C323" s="863"/>
      <c r="D323" s="861"/>
      <c r="E323" s="863"/>
      <c r="F323" s="865"/>
      <c r="G323" s="865"/>
      <c r="H323" s="867"/>
      <c r="I323" s="400" t="str">
        <f>IF('Mapa final'!Y326="","",'Mapa final'!Y326)</f>
        <v/>
      </c>
      <c r="J323" s="400" t="str">
        <f>IF('Mapa final'!AA326="","",'Mapa final'!AA326)</f>
        <v/>
      </c>
      <c r="K323" s="400" t="str">
        <f t="shared" si="4"/>
        <v/>
      </c>
      <c r="L323" s="400" t="str">
        <f>IF('Mapa final'!AD326="","",'Mapa final'!AD326)</f>
        <v/>
      </c>
      <c r="M323" s="339" t="str">
        <f>IF('Mapa final'!P326="","",'Mapa final'!P326)</f>
        <v/>
      </c>
      <c r="N323" s="397"/>
      <c r="O323" s="397"/>
      <c r="P323" s="397"/>
      <c r="Q323" s="398"/>
    </row>
    <row r="324" spans="1:17" x14ac:dyDescent="0.25">
      <c r="A324" s="115" t="s">
        <v>556</v>
      </c>
      <c r="B324" s="857"/>
      <c r="C324" s="863"/>
      <c r="D324" s="861"/>
      <c r="E324" s="863"/>
      <c r="F324" s="865"/>
      <c r="G324" s="865"/>
      <c r="H324" s="867"/>
      <c r="I324" s="400" t="str">
        <f>IF('Mapa final'!Y327="","",'Mapa final'!Y327)</f>
        <v/>
      </c>
      <c r="J324" s="400" t="str">
        <f>IF('Mapa final'!AA327="","",'Mapa final'!AA327)</f>
        <v/>
      </c>
      <c r="K324" s="400" t="str">
        <f t="shared" si="4"/>
        <v/>
      </c>
      <c r="L324" s="400" t="str">
        <f>IF('Mapa final'!AD327="","",'Mapa final'!AD327)</f>
        <v/>
      </c>
      <c r="M324" s="339" t="str">
        <f>IF('Mapa final'!P327="","",'Mapa final'!P327)</f>
        <v/>
      </c>
      <c r="N324" s="397"/>
      <c r="O324" s="397"/>
      <c r="P324" s="397"/>
      <c r="Q324" s="398"/>
    </row>
    <row r="325" spans="1:17" x14ac:dyDescent="0.25">
      <c r="A325" s="115" t="s">
        <v>557</v>
      </c>
      <c r="B325" s="856"/>
      <c r="C325" s="862" t="str">
        <f>IF('Mapa final'!E328="","",'Mapa final'!E328)</f>
        <v/>
      </c>
      <c r="D325" s="860"/>
      <c r="E325" s="862" t="str">
        <f>IF('Mapa final'!D328="","",'Mapa final'!D328)</f>
        <v/>
      </c>
      <c r="F325" s="865" t="str">
        <f>IF('Mapa final'!H328="","",'Mapa final'!H328)</f>
        <v/>
      </c>
      <c r="G325" s="865" t="str">
        <f>IF('Mapa final'!L328="","",'Mapa final'!L328)</f>
        <v/>
      </c>
      <c r="H325" s="86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0" t="str">
        <f>IF('Mapa final'!Y328="","",'Mapa final'!Y328)</f>
        <v/>
      </c>
      <c r="J325" s="400" t="str">
        <f>IF('Mapa final'!AA328="","",'Mapa final'!AA328)</f>
        <v/>
      </c>
      <c r="K325" s="400" t="str">
        <f t="shared" si="4"/>
        <v/>
      </c>
      <c r="L325" s="400" t="str">
        <f>IF('Mapa final'!AD328="","",'Mapa final'!AD328)</f>
        <v/>
      </c>
      <c r="M325" s="339" t="str">
        <f>IF('Mapa final'!P328="","",'Mapa final'!P328)</f>
        <v/>
      </c>
      <c r="N325" s="397"/>
      <c r="O325" s="397"/>
      <c r="P325" s="397"/>
      <c r="Q325" s="398"/>
    </row>
    <row r="326" spans="1:17" x14ac:dyDescent="0.25">
      <c r="A326" s="115" t="s">
        <v>558</v>
      </c>
      <c r="B326" s="857"/>
      <c r="C326" s="863"/>
      <c r="D326" s="861"/>
      <c r="E326" s="863"/>
      <c r="F326" s="865"/>
      <c r="G326" s="865"/>
      <c r="H326" s="867"/>
      <c r="I326" s="400" t="str">
        <f>IF('Mapa final'!Y329="","",'Mapa final'!Y329)</f>
        <v/>
      </c>
      <c r="J326" s="400" t="str">
        <f>IF('Mapa final'!AA329="","",'Mapa final'!AA329)</f>
        <v/>
      </c>
      <c r="K326" s="400" t="str">
        <f t="shared" si="4"/>
        <v/>
      </c>
      <c r="L326" s="400" t="str">
        <f>IF('Mapa final'!AD329="","",'Mapa final'!AD329)</f>
        <v/>
      </c>
      <c r="M326" s="339" t="str">
        <f>IF('Mapa final'!P329="","",'Mapa final'!P329)</f>
        <v/>
      </c>
      <c r="N326" s="397"/>
      <c r="O326" s="397"/>
      <c r="P326" s="397"/>
      <c r="Q326" s="398"/>
    </row>
    <row r="327" spans="1:17" x14ac:dyDescent="0.25">
      <c r="A327" s="115" t="s">
        <v>559</v>
      </c>
      <c r="B327" s="857"/>
      <c r="C327" s="863"/>
      <c r="D327" s="861"/>
      <c r="E327" s="863"/>
      <c r="F327" s="865"/>
      <c r="G327" s="865"/>
      <c r="H327" s="867"/>
      <c r="I327" s="400" t="str">
        <f>IF('Mapa final'!Y330="","",'Mapa final'!Y330)</f>
        <v/>
      </c>
      <c r="J327" s="400" t="str">
        <f>IF('Mapa final'!AA330="","",'Mapa final'!AA330)</f>
        <v/>
      </c>
      <c r="K327" s="400" t="str">
        <f t="shared" si="4"/>
        <v/>
      </c>
      <c r="L327" s="400" t="str">
        <f>IF('Mapa final'!AD330="","",'Mapa final'!AD330)</f>
        <v/>
      </c>
      <c r="M327" s="339" t="str">
        <f>IF('Mapa final'!P330="","",'Mapa final'!P330)</f>
        <v/>
      </c>
      <c r="N327" s="397"/>
      <c r="O327" s="397"/>
      <c r="P327" s="397"/>
      <c r="Q327" s="398"/>
    </row>
    <row r="328" spans="1:17" x14ac:dyDescent="0.25">
      <c r="A328" s="115" t="s">
        <v>560</v>
      </c>
      <c r="B328" s="857"/>
      <c r="C328" s="863"/>
      <c r="D328" s="861"/>
      <c r="E328" s="863"/>
      <c r="F328" s="865"/>
      <c r="G328" s="865"/>
      <c r="H328" s="867"/>
      <c r="I328" s="400" t="str">
        <f>IF('Mapa final'!Y331="","",'Mapa final'!Y331)</f>
        <v/>
      </c>
      <c r="J328" s="400" t="str">
        <f>IF('Mapa final'!AA331="","",'Mapa final'!AA331)</f>
        <v/>
      </c>
      <c r="K328" s="40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0" t="str">
        <f>IF('Mapa final'!AD331="","",'Mapa final'!AD331)</f>
        <v/>
      </c>
      <c r="M328" s="339" t="str">
        <f>IF('Mapa final'!P331="","",'Mapa final'!P331)</f>
        <v/>
      </c>
      <c r="N328" s="397"/>
      <c r="O328" s="397"/>
      <c r="P328" s="397"/>
      <c r="Q328" s="398"/>
    </row>
    <row r="329" spans="1:17" x14ac:dyDescent="0.25">
      <c r="A329" s="115" t="s">
        <v>561</v>
      </c>
      <c r="B329" s="857"/>
      <c r="C329" s="863"/>
      <c r="D329" s="861"/>
      <c r="E329" s="863"/>
      <c r="F329" s="865"/>
      <c r="G329" s="865"/>
      <c r="H329" s="867"/>
      <c r="I329" s="400" t="str">
        <f>IF('Mapa final'!Y332="","",'Mapa final'!Y332)</f>
        <v/>
      </c>
      <c r="J329" s="400" t="str">
        <f>IF('Mapa final'!AA332="","",'Mapa final'!AA332)</f>
        <v/>
      </c>
      <c r="K329" s="400" t="str">
        <f t="shared" si="5"/>
        <v/>
      </c>
      <c r="L329" s="400" t="str">
        <f>IF('Mapa final'!AD332="","",'Mapa final'!AD332)</f>
        <v/>
      </c>
      <c r="M329" s="339" t="str">
        <f>IF('Mapa final'!P332="","",'Mapa final'!P332)</f>
        <v/>
      </c>
      <c r="N329" s="397"/>
      <c r="O329" s="397"/>
      <c r="P329" s="397"/>
      <c r="Q329" s="398"/>
    </row>
    <row r="330" spans="1:17" x14ac:dyDescent="0.25">
      <c r="A330" s="115" t="s">
        <v>562</v>
      </c>
      <c r="B330" s="857"/>
      <c r="C330" s="863"/>
      <c r="D330" s="861"/>
      <c r="E330" s="863"/>
      <c r="F330" s="865"/>
      <c r="G330" s="865"/>
      <c r="H330" s="867"/>
      <c r="I330" s="400" t="str">
        <f>IF('Mapa final'!Y333="","",'Mapa final'!Y333)</f>
        <v/>
      </c>
      <c r="J330" s="400" t="str">
        <f>IF('Mapa final'!AA333="","",'Mapa final'!AA333)</f>
        <v/>
      </c>
      <c r="K330" s="400" t="str">
        <f t="shared" si="5"/>
        <v/>
      </c>
      <c r="L330" s="400" t="str">
        <f>IF('Mapa final'!AD333="","",'Mapa final'!AD333)</f>
        <v/>
      </c>
      <c r="M330" s="339" t="str">
        <f>IF('Mapa final'!P333="","",'Mapa final'!P333)</f>
        <v/>
      </c>
      <c r="N330" s="397"/>
      <c r="O330" s="397"/>
      <c r="P330" s="397"/>
      <c r="Q330" s="398"/>
    </row>
    <row r="331" spans="1:17" x14ac:dyDescent="0.25">
      <c r="A331" s="115" t="s">
        <v>563</v>
      </c>
      <c r="B331" s="856"/>
      <c r="C331" s="862" t="str">
        <f>IF('Mapa final'!E334="","",'Mapa final'!E334)</f>
        <v/>
      </c>
      <c r="D331" s="860"/>
      <c r="E331" s="862" t="str">
        <f>IF('Mapa final'!D334="","",'Mapa final'!D334)</f>
        <v/>
      </c>
      <c r="F331" s="865" t="str">
        <f>IF('Mapa final'!H334="","",'Mapa final'!H334)</f>
        <v/>
      </c>
      <c r="G331" s="865" t="str">
        <f>IF('Mapa final'!L334="","",'Mapa final'!L334)</f>
        <v/>
      </c>
      <c r="H331" s="86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0" t="str">
        <f>IF('Mapa final'!Y334="","",'Mapa final'!Y334)</f>
        <v/>
      </c>
      <c r="J331" s="400" t="str">
        <f>IF('Mapa final'!AA334="","",'Mapa final'!AA334)</f>
        <v/>
      </c>
      <c r="K331" s="400" t="str">
        <f t="shared" si="5"/>
        <v/>
      </c>
      <c r="L331" s="400" t="str">
        <f>IF('Mapa final'!AD334="","",'Mapa final'!AD334)</f>
        <v/>
      </c>
      <c r="M331" s="339" t="str">
        <f>IF('Mapa final'!P334="","",'Mapa final'!P334)</f>
        <v/>
      </c>
      <c r="N331" s="397"/>
      <c r="O331" s="397"/>
      <c r="P331" s="397"/>
      <c r="Q331" s="398"/>
    </row>
    <row r="332" spans="1:17" x14ac:dyDescent="0.25">
      <c r="A332" s="115" t="s">
        <v>564</v>
      </c>
      <c r="B332" s="857"/>
      <c r="C332" s="863"/>
      <c r="D332" s="861"/>
      <c r="E332" s="863"/>
      <c r="F332" s="865"/>
      <c r="G332" s="865"/>
      <c r="H332" s="867"/>
      <c r="I332" s="400" t="str">
        <f>IF('Mapa final'!Y335="","",'Mapa final'!Y335)</f>
        <v/>
      </c>
      <c r="J332" s="400" t="str">
        <f>IF('Mapa final'!AA335="","",'Mapa final'!AA335)</f>
        <v/>
      </c>
      <c r="K332" s="400" t="str">
        <f t="shared" si="5"/>
        <v/>
      </c>
      <c r="L332" s="400" t="str">
        <f>IF('Mapa final'!AD335="","",'Mapa final'!AD335)</f>
        <v/>
      </c>
      <c r="M332" s="339" t="str">
        <f>IF('Mapa final'!P335="","",'Mapa final'!P335)</f>
        <v/>
      </c>
      <c r="N332" s="397"/>
      <c r="O332" s="397"/>
      <c r="P332" s="397"/>
      <c r="Q332" s="398"/>
    </row>
    <row r="333" spans="1:17" x14ac:dyDescent="0.25">
      <c r="A333" s="115" t="s">
        <v>565</v>
      </c>
      <c r="B333" s="857"/>
      <c r="C333" s="863"/>
      <c r="D333" s="861"/>
      <c r="E333" s="863"/>
      <c r="F333" s="865"/>
      <c r="G333" s="865"/>
      <c r="H333" s="867"/>
      <c r="I333" s="400" t="str">
        <f>IF('Mapa final'!Y336="","",'Mapa final'!Y336)</f>
        <v/>
      </c>
      <c r="J333" s="400" t="str">
        <f>IF('Mapa final'!AA336="","",'Mapa final'!AA336)</f>
        <v/>
      </c>
      <c r="K333" s="400" t="str">
        <f t="shared" si="5"/>
        <v/>
      </c>
      <c r="L333" s="400" t="str">
        <f>IF('Mapa final'!AD336="","",'Mapa final'!AD336)</f>
        <v/>
      </c>
      <c r="M333" s="339" t="str">
        <f>IF('Mapa final'!P336="","",'Mapa final'!P336)</f>
        <v/>
      </c>
      <c r="N333" s="397"/>
      <c r="O333" s="397"/>
      <c r="P333" s="397"/>
      <c r="Q333" s="398"/>
    </row>
    <row r="334" spans="1:17" x14ac:dyDescent="0.25">
      <c r="A334" s="115" t="s">
        <v>566</v>
      </c>
      <c r="B334" s="857"/>
      <c r="C334" s="863"/>
      <c r="D334" s="861"/>
      <c r="E334" s="863"/>
      <c r="F334" s="865"/>
      <c r="G334" s="865"/>
      <c r="H334" s="867"/>
      <c r="I334" s="400" t="str">
        <f>IF('Mapa final'!Y337="","",'Mapa final'!Y337)</f>
        <v/>
      </c>
      <c r="J334" s="400" t="str">
        <f>IF('Mapa final'!AA337="","",'Mapa final'!AA337)</f>
        <v/>
      </c>
      <c r="K334" s="400" t="str">
        <f t="shared" si="5"/>
        <v/>
      </c>
      <c r="L334" s="400" t="str">
        <f>IF('Mapa final'!AD337="","",'Mapa final'!AD337)</f>
        <v/>
      </c>
      <c r="M334" s="339" t="str">
        <f>IF('Mapa final'!P337="","",'Mapa final'!P337)</f>
        <v/>
      </c>
      <c r="N334" s="397"/>
      <c r="O334" s="397"/>
      <c r="P334" s="397"/>
      <c r="Q334" s="398"/>
    </row>
    <row r="335" spans="1:17" x14ac:dyDescent="0.25">
      <c r="A335" s="115" t="s">
        <v>567</v>
      </c>
      <c r="B335" s="857"/>
      <c r="C335" s="863"/>
      <c r="D335" s="861"/>
      <c r="E335" s="863"/>
      <c r="F335" s="865"/>
      <c r="G335" s="865"/>
      <c r="H335" s="867"/>
      <c r="I335" s="400" t="str">
        <f>IF('Mapa final'!Y338="","",'Mapa final'!Y338)</f>
        <v/>
      </c>
      <c r="J335" s="400" t="str">
        <f>IF('Mapa final'!AA338="","",'Mapa final'!AA338)</f>
        <v/>
      </c>
      <c r="K335" s="400" t="str">
        <f t="shared" si="5"/>
        <v/>
      </c>
      <c r="L335" s="400" t="str">
        <f>IF('Mapa final'!AD338="","",'Mapa final'!AD338)</f>
        <v/>
      </c>
      <c r="M335" s="339" t="str">
        <f>IF('Mapa final'!P338="","",'Mapa final'!P338)</f>
        <v/>
      </c>
      <c r="N335" s="397"/>
      <c r="O335" s="397"/>
      <c r="P335" s="397"/>
      <c r="Q335" s="398"/>
    </row>
    <row r="336" spans="1:17" x14ac:dyDescent="0.25">
      <c r="A336" s="115" t="s">
        <v>568</v>
      </c>
      <c r="B336" s="857"/>
      <c r="C336" s="863"/>
      <c r="D336" s="861"/>
      <c r="E336" s="863"/>
      <c r="F336" s="865"/>
      <c r="G336" s="865"/>
      <c r="H336" s="867"/>
      <c r="I336" s="400" t="str">
        <f>IF('Mapa final'!Y339="","",'Mapa final'!Y339)</f>
        <v/>
      </c>
      <c r="J336" s="400" t="str">
        <f>IF('Mapa final'!AA339="","",'Mapa final'!AA339)</f>
        <v/>
      </c>
      <c r="K336" s="400" t="str">
        <f t="shared" si="5"/>
        <v/>
      </c>
      <c r="L336" s="400" t="str">
        <f>IF('Mapa final'!AD339="","",'Mapa final'!AD339)</f>
        <v/>
      </c>
      <c r="M336" s="339" t="str">
        <f>IF('Mapa final'!P339="","",'Mapa final'!P339)</f>
        <v/>
      </c>
      <c r="N336" s="397"/>
      <c r="O336" s="397"/>
      <c r="P336" s="397"/>
      <c r="Q336" s="398"/>
    </row>
    <row r="337" spans="1:17" x14ac:dyDescent="0.25">
      <c r="A337" s="115" t="s">
        <v>569</v>
      </c>
      <c r="B337" s="856"/>
      <c r="C337" s="862" t="str">
        <f>IF('Mapa final'!E340="","",'Mapa final'!E340)</f>
        <v/>
      </c>
      <c r="D337" s="860"/>
      <c r="E337" s="862" t="str">
        <f>IF('Mapa final'!D340="","",'Mapa final'!D340)</f>
        <v/>
      </c>
      <c r="F337" s="865" t="str">
        <f>IF('Mapa final'!H340="","",'Mapa final'!H340)</f>
        <v/>
      </c>
      <c r="G337" s="865" t="str">
        <f>IF('Mapa final'!L340="","",'Mapa final'!L340)</f>
        <v/>
      </c>
      <c r="H337" s="86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0" t="str">
        <f>IF('Mapa final'!Y340="","",'Mapa final'!Y340)</f>
        <v/>
      </c>
      <c r="J337" s="400" t="str">
        <f>IF('Mapa final'!AA340="","",'Mapa final'!AA340)</f>
        <v/>
      </c>
      <c r="K337" s="400" t="str">
        <f t="shared" si="5"/>
        <v/>
      </c>
      <c r="L337" s="400" t="str">
        <f>IF('Mapa final'!AD340="","",'Mapa final'!AD340)</f>
        <v/>
      </c>
      <c r="M337" s="339" t="str">
        <f>IF('Mapa final'!P340="","",'Mapa final'!P340)</f>
        <v/>
      </c>
      <c r="N337" s="397"/>
      <c r="O337" s="397"/>
      <c r="P337" s="397"/>
      <c r="Q337" s="398"/>
    </row>
    <row r="338" spans="1:17" x14ac:dyDescent="0.25">
      <c r="A338" s="115" t="s">
        <v>570</v>
      </c>
      <c r="B338" s="857"/>
      <c r="C338" s="863"/>
      <c r="D338" s="861"/>
      <c r="E338" s="863"/>
      <c r="F338" s="865"/>
      <c r="G338" s="865"/>
      <c r="H338" s="867"/>
      <c r="I338" s="400" t="str">
        <f>IF('Mapa final'!Y341="","",'Mapa final'!Y341)</f>
        <v/>
      </c>
      <c r="J338" s="400" t="str">
        <f>IF('Mapa final'!AA341="","",'Mapa final'!AA341)</f>
        <v/>
      </c>
      <c r="K338" s="400" t="str">
        <f t="shared" si="5"/>
        <v/>
      </c>
      <c r="L338" s="400" t="str">
        <f>IF('Mapa final'!AD341="","",'Mapa final'!AD341)</f>
        <v/>
      </c>
      <c r="M338" s="339" t="str">
        <f>IF('Mapa final'!P341="","",'Mapa final'!P341)</f>
        <v/>
      </c>
      <c r="N338" s="397"/>
      <c r="O338" s="397"/>
      <c r="P338" s="397"/>
      <c r="Q338" s="398"/>
    </row>
    <row r="339" spans="1:17" x14ac:dyDescent="0.25">
      <c r="A339" s="115" t="s">
        <v>571</v>
      </c>
      <c r="B339" s="857"/>
      <c r="C339" s="863"/>
      <c r="D339" s="861"/>
      <c r="E339" s="863"/>
      <c r="F339" s="865"/>
      <c r="G339" s="865"/>
      <c r="H339" s="867"/>
      <c r="I339" s="400" t="str">
        <f>IF('Mapa final'!Y342="","",'Mapa final'!Y342)</f>
        <v/>
      </c>
      <c r="J339" s="400" t="str">
        <f>IF('Mapa final'!AA342="","",'Mapa final'!AA342)</f>
        <v/>
      </c>
      <c r="K339" s="400" t="str">
        <f t="shared" si="5"/>
        <v/>
      </c>
      <c r="L339" s="400" t="str">
        <f>IF('Mapa final'!AD342="","",'Mapa final'!AD342)</f>
        <v/>
      </c>
      <c r="M339" s="339" t="str">
        <f>IF('Mapa final'!P342="","",'Mapa final'!P342)</f>
        <v/>
      </c>
      <c r="N339" s="397"/>
      <c r="O339" s="397"/>
      <c r="P339" s="397"/>
      <c r="Q339" s="398"/>
    </row>
    <row r="340" spans="1:17" x14ac:dyDescent="0.25">
      <c r="A340" s="115" t="s">
        <v>572</v>
      </c>
      <c r="B340" s="857"/>
      <c r="C340" s="863"/>
      <c r="D340" s="861"/>
      <c r="E340" s="863"/>
      <c r="F340" s="865"/>
      <c r="G340" s="865"/>
      <c r="H340" s="867"/>
      <c r="I340" s="400" t="str">
        <f>IF('Mapa final'!Y343="","",'Mapa final'!Y343)</f>
        <v/>
      </c>
      <c r="J340" s="400" t="str">
        <f>IF('Mapa final'!AA343="","",'Mapa final'!AA343)</f>
        <v/>
      </c>
      <c r="K340" s="400" t="str">
        <f t="shared" si="5"/>
        <v/>
      </c>
      <c r="L340" s="400" t="str">
        <f>IF('Mapa final'!AD343="","",'Mapa final'!AD343)</f>
        <v/>
      </c>
      <c r="M340" s="339" t="str">
        <f>IF('Mapa final'!P343="","",'Mapa final'!P343)</f>
        <v/>
      </c>
      <c r="N340" s="397"/>
      <c r="O340" s="397"/>
      <c r="P340" s="397"/>
      <c r="Q340" s="398"/>
    </row>
    <row r="341" spans="1:17" x14ac:dyDescent="0.25">
      <c r="A341" s="115" t="s">
        <v>573</v>
      </c>
      <c r="B341" s="857"/>
      <c r="C341" s="863"/>
      <c r="D341" s="861"/>
      <c r="E341" s="863"/>
      <c r="F341" s="865"/>
      <c r="G341" s="865"/>
      <c r="H341" s="867"/>
      <c r="I341" s="400" t="str">
        <f>IF('Mapa final'!Y344="","",'Mapa final'!Y344)</f>
        <v/>
      </c>
      <c r="J341" s="400" t="str">
        <f>IF('Mapa final'!AA344="","",'Mapa final'!AA344)</f>
        <v/>
      </c>
      <c r="K341" s="400" t="str">
        <f t="shared" si="5"/>
        <v/>
      </c>
      <c r="L341" s="400" t="str">
        <f>IF('Mapa final'!AD344="","",'Mapa final'!AD344)</f>
        <v/>
      </c>
      <c r="M341" s="339" t="str">
        <f>IF('Mapa final'!P344="","",'Mapa final'!P344)</f>
        <v/>
      </c>
      <c r="N341" s="397"/>
      <c r="O341" s="397"/>
      <c r="P341" s="397"/>
      <c r="Q341" s="398"/>
    </row>
    <row r="342" spans="1:17" x14ac:dyDescent="0.25">
      <c r="A342" s="115" t="s">
        <v>574</v>
      </c>
      <c r="B342" s="857"/>
      <c r="C342" s="863"/>
      <c r="D342" s="861"/>
      <c r="E342" s="863"/>
      <c r="F342" s="865"/>
      <c r="G342" s="865"/>
      <c r="H342" s="867"/>
      <c r="I342" s="400" t="str">
        <f>IF('Mapa final'!Y345="","",'Mapa final'!Y345)</f>
        <v/>
      </c>
      <c r="J342" s="400" t="str">
        <f>IF('Mapa final'!AA345="","",'Mapa final'!AA345)</f>
        <v/>
      </c>
      <c r="K342" s="400" t="str">
        <f t="shared" si="5"/>
        <v/>
      </c>
      <c r="L342" s="400" t="str">
        <f>IF('Mapa final'!AD345="","",'Mapa final'!AD345)</f>
        <v/>
      </c>
      <c r="M342" s="339" t="str">
        <f>IF('Mapa final'!P345="","",'Mapa final'!P345)</f>
        <v/>
      </c>
      <c r="N342" s="397"/>
      <c r="O342" s="397"/>
      <c r="P342" s="397"/>
      <c r="Q342" s="398"/>
    </row>
    <row r="343" spans="1:17" x14ac:dyDescent="0.25">
      <c r="A343" s="115" t="s">
        <v>575</v>
      </c>
      <c r="B343" s="856"/>
      <c r="C343" s="862" t="str">
        <f>IF('Mapa final'!E346="","",'Mapa final'!E346)</f>
        <v/>
      </c>
      <c r="D343" s="860"/>
      <c r="E343" s="862" t="str">
        <f>IF('Mapa final'!D346="","",'Mapa final'!D346)</f>
        <v/>
      </c>
      <c r="F343" s="865" t="str">
        <f>IF('Mapa final'!H346="","",'Mapa final'!H346)</f>
        <v/>
      </c>
      <c r="G343" s="865" t="str">
        <f>IF('Mapa final'!L346="","",'Mapa final'!L346)</f>
        <v/>
      </c>
      <c r="H343" s="86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0" t="str">
        <f>IF('Mapa final'!Y346="","",'Mapa final'!Y346)</f>
        <v/>
      </c>
      <c r="J343" s="400" t="str">
        <f>IF('Mapa final'!AA346="","",'Mapa final'!AA346)</f>
        <v/>
      </c>
      <c r="K343" s="400" t="str">
        <f t="shared" si="5"/>
        <v/>
      </c>
      <c r="L343" s="400" t="str">
        <f>IF('Mapa final'!AD346="","",'Mapa final'!AD346)</f>
        <v/>
      </c>
      <c r="M343" s="339" t="str">
        <f>IF('Mapa final'!P346="","",'Mapa final'!P346)</f>
        <v/>
      </c>
      <c r="N343" s="397"/>
      <c r="O343" s="397"/>
      <c r="P343" s="397"/>
      <c r="Q343" s="398"/>
    </row>
    <row r="344" spans="1:17" x14ac:dyDescent="0.25">
      <c r="A344" s="115" t="s">
        <v>576</v>
      </c>
      <c r="B344" s="857"/>
      <c r="C344" s="863"/>
      <c r="D344" s="861"/>
      <c r="E344" s="863"/>
      <c r="F344" s="865"/>
      <c r="G344" s="865"/>
      <c r="H344" s="867"/>
      <c r="I344" s="400" t="str">
        <f>IF('Mapa final'!Y347="","",'Mapa final'!Y347)</f>
        <v/>
      </c>
      <c r="J344" s="400" t="str">
        <f>IF('Mapa final'!AA347="","",'Mapa final'!AA347)</f>
        <v/>
      </c>
      <c r="K344" s="400" t="str">
        <f t="shared" si="5"/>
        <v/>
      </c>
      <c r="L344" s="400" t="str">
        <f>IF('Mapa final'!AD347="","",'Mapa final'!AD347)</f>
        <v/>
      </c>
      <c r="M344" s="339" t="str">
        <f>IF('Mapa final'!P347="","",'Mapa final'!P347)</f>
        <v/>
      </c>
      <c r="N344" s="397"/>
      <c r="O344" s="397"/>
      <c r="P344" s="397"/>
      <c r="Q344" s="398"/>
    </row>
    <row r="345" spans="1:17" x14ac:dyDescent="0.25">
      <c r="A345" s="115" t="s">
        <v>577</v>
      </c>
      <c r="B345" s="857"/>
      <c r="C345" s="863"/>
      <c r="D345" s="861"/>
      <c r="E345" s="863"/>
      <c r="F345" s="865"/>
      <c r="G345" s="865"/>
      <c r="H345" s="867"/>
      <c r="I345" s="400" t="str">
        <f>IF('Mapa final'!Y348="","",'Mapa final'!Y348)</f>
        <v/>
      </c>
      <c r="J345" s="400" t="str">
        <f>IF('Mapa final'!AA348="","",'Mapa final'!AA348)</f>
        <v/>
      </c>
      <c r="K345" s="400" t="str">
        <f t="shared" si="5"/>
        <v/>
      </c>
      <c r="L345" s="400" t="str">
        <f>IF('Mapa final'!AD348="","",'Mapa final'!AD348)</f>
        <v/>
      </c>
      <c r="M345" s="339" t="str">
        <f>IF('Mapa final'!P348="","",'Mapa final'!P348)</f>
        <v/>
      </c>
      <c r="N345" s="397"/>
      <c r="O345" s="397"/>
      <c r="P345" s="397"/>
      <c r="Q345" s="398"/>
    </row>
    <row r="346" spans="1:17" x14ac:dyDescent="0.25">
      <c r="A346" s="115" t="s">
        <v>578</v>
      </c>
      <c r="B346" s="857"/>
      <c r="C346" s="863"/>
      <c r="D346" s="861"/>
      <c r="E346" s="863"/>
      <c r="F346" s="865"/>
      <c r="G346" s="865"/>
      <c r="H346" s="867"/>
      <c r="I346" s="400" t="str">
        <f>IF('Mapa final'!Y349="","",'Mapa final'!Y349)</f>
        <v/>
      </c>
      <c r="J346" s="400" t="str">
        <f>IF('Mapa final'!AA349="","",'Mapa final'!AA349)</f>
        <v/>
      </c>
      <c r="K346" s="400" t="str">
        <f t="shared" si="5"/>
        <v/>
      </c>
      <c r="L346" s="400" t="str">
        <f>IF('Mapa final'!AD349="","",'Mapa final'!AD349)</f>
        <v/>
      </c>
      <c r="M346" s="339" t="str">
        <f>IF('Mapa final'!P349="","",'Mapa final'!P349)</f>
        <v/>
      </c>
      <c r="N346" s="397"/>
      <c r="O346" s="397"/>
      <c r="P346" s="397"/>
      <c r="Q346" s="398"/>
    </row>
    <row r="347" spans="1:17" x14ac:dyDescent="0.25">
      <c r="A347" s="115" t="s">
        <v>579</v>
      </c>
      <c r="B347" s="857"/>
      <c r="C347" s="863"/>
      <c r="D347" s="861"/>
      <c r="E347" s="863"/>
      <c r="F347" s="865"/>
      <c r="G347" s="865"/>
      <c r="H347" s="867"/>
      <c r="I347" s="400" t="str">
        <f>IF('Mapa final'!Y350="","",'Mapa final'!Y350)</f>
        <v/>
      </c>
      <c r="J347" s="400" t="str">
        <f>IF('Mapa final'!AA350="","",'Mapa final'!AA350)</f>
        <v/>
      </c>
      <c r="K347" s="400" t="str">
        <f t="shared" si="5"/>
        <v/>
      </c>
      <c r="L347" s="400" t="str">
        <f>IF('Mapa final'!AD350="","",'Mapa final'!AD350)</f>
        <v/>
      </c>
      <c r="M347" s="339" t="str">
        <f>IF('Mapa final'!P350="","",'Mapa final'!P350)</f>
        <v/>
      </c>
      <c r="N347" s="397"/>
      <c r="O347" s="397"/>
      <c r="P347" s="397"/>
      <c r="Q347" s="398"/>
    </row>
    <row r="348" spans="1:17" x14ac:dyDescent="0.25">
      <c r="A348" s="115" t="s">
        <v>580</v>
      </c>
      <c r="B348" s="857"/>
      <c r="C348" s="863"/>
      <c r="D348" s="861"/>
      <c r="E348" s="863"/>
      <c r="F348" s="865"/>
      <c r="G348" s="865"/>
      <c r="H348" s="867"/>
      <c r="I348" s="400" t="str">
        <f>IF('Mapa final'!Y351="","",'Mapa final'!Y351)</f>
        <v/>
      </c>
      <c r="J348" s="400" t="str">
        <f>IF('Mapa final'!AA351="","",'Mapa final'!AA351)</f>
        <v/>
      </c>
      <c r="K348" s="400" t="str">
        <f t="shared" si="5"/>
        <v/>
      </c>
      <c r="L348" s="400" t="str">
        <f>IF('Mapa final'!AD351="","",'Mapa final'!AD351)</f>
        <v/>
      </c>
      <c r="M348" s="339" t="str">
        <f>IF('Mapa final'!P351="","",'Mapa final'!P351)</f>
        <v/>
      </c>
      <c r="N348" s="397"/>
      <c r="O348" s="397"/>
      <c r="P348" s="397"/>
      <c r="Q348" s="398"/>
    </row>
    <row r="349" spans="1:17" x14ac:dyDescent="0.25">
      <c r="A349" s="115" t="s">
        <v>581</v>
      </c>
      <c r="B349" s="856"/>
      <c r="C349" s="862" t="str">
        <f>IF('Mapa final'!E352="","",'Mapa final'!E352)</f>
        <v/>
      </c>
      <c r="D349" s="860"/>
      <c r="E349" s="862" t="str">
        <f>IF('Mapa final'!D352="","",'Mapa final'!D352)</f>
        <v/>
      </c>
      <c r="F349" s="865" t="str">
        <f>IF('Mapa final'!H352="","",'Mapa final'!H352)</f>
        <v/>
      </c>
      <c r="G349" s="865" t="str">
        <f>IF('Mapa final'!L352="","",'Mapa final'!L352)</f>
        <v/>
      </c>
      <c r="H349" s="86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0" t="str">
        <f>IF('Mapa final'!Y352="","",'Mapa final'!Y352)</f>
        <v/>
      </c>
      <c r="J349" s="400" t="str">
        <f>IF('Mapa final'!AA352="","",'Mapa final'!AA352)</f>
        <v/>
      </c>
      <c r="K349" s="400" t="str">
        <f t="shared" si="5"/>
        <v/>
      </c>
      <c r="L349" s="400" t="str">
        <f>IF('Mapa final'!AD352="","",'Mapa final'!AD352)</f>
        <v/>
      </c>
      <c r="M349" s="339" t="str">
        <f>IF('Mapa final'!P352="","",'Mapa final'!P352)</f>
        <v/>
      </c>
      <c r="N349" s="397"/>
      <c r="O349" s="397"/>
      <c r="P349" s="397"/>
      <c r="Q349" s="398"/>
    </row>
    <row r="350" spans="1:17" x14ac:dyDescent="0.25">
      <c r="A350" s="115" t="s">
        <v>582</v>
      </c>
      <c r="B350" s="857"/>
      <c r="C350" s="863"/>
      <c r="D350" s="861"/>
      <c r="E350" s="863"/>
      <c r="F350" s="865"/>
      <c r="G350" s="865"/>
      <c r="H350" s="867"/>
      <c r="I350" s="400" t="str">
        <f>IF('Mapa final'!Y353="","",'Mapa final'!Y353)</f>
        <v/>
      </c>
      <c r="J350" s="400" t="str">
        <f>IF('Mapa final'!AA353="","",'Mapa final'!AA353)</f>
        <v/>
      </c>
      <c r="K350" s="400" t="str">
        <f t="shared" si="5"/>
        <v/>
      </c>
      <c r="L350" s="400" t="str">
        <f>IF('Mapa final'!AD353="","",'Mapa final'!AD353)</f>
        <v/>
      </c>
      <c r="M350" s="339" t="str">
        <f>IF('Mapa final'!P353="","",'Mapa final'!P353)</f>
        <v/>
      </c>
      <c r="N350" s="397"/>
      <c r="O350" s="397"/>
      <c r="P350" s="397"/>
      <c r="Q350" s="398"/>
    </row>
    <row r="351" spans="1:17" x14ac:dyDescent="0.25">
      <c r="A351" s="115" t="s">
        <v>583</v>
      </c>
      <c r="B351" s="857"/>
      <c r="C351" s="863"/>
      <c r="D351" s="861"/>
      <c r="E351" s="863"/>
      <c r="F351" s="865"/>
      <c r="G351" s="865"/>
      <c r="H351" s="867"/>
      <c r="I351" s="400" t="str">
        <f>IF('Mapa final'!Y354="","",'Mapa final'!Y354)</f>
        <v/>
      </c>
      <c r="J351" s="400" t="str">
        <f>IF('Mapa final'!AA354="","",'Mapa final'!AA354)</f>
        <v/>
      </c>
      <c r="K351" s="400" t="str">
        <f t="shared" si="5"/>
        <v/>
      </c>
      <c r="L351" s="400" t="str">
        <f>IF('Mapa final'!AD354="","",'Mapa final'!AD354)</f>
        <v/>
      </c>
      <c r="M351" s="339" t="str">
        <f>IF('Mapa final'!P354="","",'Mapa final'!P354)</f>
        <v/>
      </c>
      <c r="N351" s="397"/>
      <c r="O351" s="397"/>
      <c r="P351" s="397"/>
      <c r="Q351" s="398"/>
    </row>
    <row r="352" spans="1:17" x14ac:dyDescent="0.25">
      <c r="A352" s="115" t="s">
        <v>584</v>
      </c>
      <c r="B352" s="857"/>
      <c r="C352" s="863"/>
      <c r="D352" s="861"/>
      <c r="E352" s="863"/>
      <c r="F352" s="865"/>
      <c r="G352" s="865"/>
      <c r="H352" s="867"/>
      <c r="I352" s="400" t="str">
        <f>IF('Mapa final'!Y355="","",'Mapa final'!Y355)</f>
        <v/>
      </c>
      <c r="J352" s="400" t="str">
        <f>IF('Mapa final'!AA355="","",'Mapa final'!AA355)</f>
        <v/>
      </c>
      <c r="K352" s="400" t="str">
        <f t="shared" si="5"/>
        <v/>
      </c>
      <c r="L352" s="400" t="str">
        <f>IF('Mapa final'!AD355="","",'Mapa final'!AD355)</f>
        <v/>
      </c>
      <c r="M352" s="339" t="str">
        <f>IF('Mapa final'!P355="","",'Mapa final'!P355)</f>
        <v/>
      </c>
      <c r="N352" s="397"/>
      <c r="O352" s="397"/>
      <c r="P352" s="397"/>
      <c r="Q352" s="398"/>
    </row>
    <row r="353" spans="1:17" x14ac:dyDescent="0.25">
      <c r="A353" s="115" t="s">
        <v>585</v>
      </c>
      <c r="B353" s="857"/>
      <c r="C353" s="863"/>
      <c r="D353" s="861"/>
      <c r="E353" s="863"/>
      <c r="F353" s="865"/>
      <c r="G353" s="865"/>
      <c r="H353" s="867"/>
      <c r="I353" s="400" t="str">
        <f>IF('Mapa final'!Y356="","",'Mapa final'!Y356)</f>
        <v/>
      </c>
      <c r="J353" s="400" t="str">
        <f>IF('Mapa final'!AA356="","",'Mapa final'!AA356)</f>
        <v/>
      </c>
      <c r="K353" s="400" t="str">
        <f t="shared" si="5"/>
        <v/>
      </c>
      <c r="L353" s="400" t="str">
        <f>IF('Mapa final'!AD356="","",'Mapa final'!AD356)</f>
        <v/>
      </c>
      <c r="M353" s="339" t="str">
        <f>IF('Mapa final'!P356="","",'Mapa final'!P356)</f>
        <v/>
      </c>
      <c r="N353" s="397"/>
      <c r="O353" s="397"/>
      <c r="P353" s="397"/>
      <c r="Q353" s="398"/>
    </row>
    <row r="354" spans="1:17" x14ac:dyDescent="0.25">
      <c r="A354" s="115" t="s">
        <v>586</v>
      </c>
      <c r="B354" s="857"/>
      <c r="C354" s="863"/>
      <c r="D354" s="861"/>
      <c r="E354" s="863"/>
      <c r="F354" s="865"/>
      <c r="G354" s="865"/>
      <c r="H354" s="867"/>
      <c r="I354" s="400" t="str">
        <f>IF('Mapa final'!Y357="","",'Mapa final'!Y357)</f>
        <v/>
      </c>
      <c r="J354" s="400" t="str">
        <f>IF('Mapa final'!AA357="","",'Mapa final'!AA357)</f>
        <v/>
      </c>
      <c r="K354" s="400" t="str">
        <f t="shared" si="5"/>
        <v/>
      </c>
      <c r="L354" s="400" t="str">
        <f>IF('Mapa final'!AD357="","",'Mapa final'!AD357)</f>
        <v/>
      </c>
      <c r="M354" s="339" t="str">
        <f>IF('Mapa final'!P357="","",'Mapa final'!P357)</f>
        <v/>
      </c>
      <c r="N354" s="397"/>
      <c r="O354" s="397"/>
      <c r="P354" s="397"/>
      <c r="Q354" s="398"/>
    </row>
    <row r="355" spans="1:17" x14ac:dyDescent="0.25">
      <c r="A355" s="115" t="s">
        <v>587</v>
      </c>
      <c r="B355" s="856"/>
      <c r="C355" s="862" t="str">
        <f>IF('Mapa final'!E358="","",'Mapa final'!E358)</f>
        <v/>
      </c>
      <c r="D355" s="860"/>
      <c r="E355" s="862" t="str">
        <f>IF('Mapa final'!D358="","",'Mapa final'!D358)</f>
        <v/>
      </c>
      <c r="F355" s="865" t="str">
        <f>IF('Mapa final'!H358="","",'Mapa final'!H358)</f>
        <v/>
      </c>
      <c r="G355" s="865" t="str">
        <f>IF('Mapa final'!L358="","",'Mapa final'!L358)</f>
        <v/>
      </c>
      <c r="H355" s="86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0" t="str">
        <f>IF('Mapa final'!Y358="","",'Mapa final'!Y358)</f>
        <v/>
      </c>
      <c r="J355" s="400" t="str">
        <f>IF('Mapa final'!AA358="","",'Mapa final'!AA358)</f>
        <v/>
      </c>
      <c r="K355" s="400" t="str">
        <f t="shared" si="5"/>
        <v/>
      </c>
      <c r="L355" s="400" t="str">
        <f>IF('Mapa final'!AD358="","",'Mapa final'!AD358)</f>
        <v/>
      </c>
      <c r="M355" s="339" t="str">
        <f>IF('Mapa final'!P358="","",'Mapa final'!P358)</f>
        <v/>
      </c>
      <c r="N355" s="397"/>
      <c r="O355" s="397"/>
      <c r="P355" s="397"/>
      <c r="Q355" s="398"/>
    </row>
    <row r="356" spans="1:17" x14ac:dyDescent="0.25">
      <c r="A356" s="115" t="s">
        <v>588</v>
      </c>
      <c r="B356" s="857"/>
      <c r="C356" s="863"/>
      <c r="D356" s="861"/>
      <c r="E356" s="863"/>
      <c r="F356" s="865"/>
      <c r="G356" s="865"/>
      <c r="H356" s="867"/>
      <c r="I356" s="400" t="str">
        <f>IF('Mapa final'!Y359="","",'Mapa final'!Y359)</f>
        <v/>
      </c>
      <c r="J356" s="400" t="str">
        <f>IF('Mapa final'!AA359="","",'Mapa final'!AA359)</f>
        <v/>
      </c>
      <c r="K356" s="400" t="str">
        <f t="shared" si="5"/>
        <v/>
      </c>
      <c r="L356" s="400" t="str">
        <f>IF('Mapa final'!AD359="","",'Mapa final'!AD359)</f>
        <v/>
      </c>
      <c r="M356" s="339" t="str">
        <f>IF('Mapa final'!P359="","",'Mapa final'!P359)</f>
        <v/>
      </c>
      <c r="N356" s="397"/>
      <c r="O356" s="397"/>
      <c r="P356" s="397"/>
      <c r="Q356" s="398"/>
    </row>
    <row r="357" spans="1:17" x14ac:dyDescent="0.25">
      <c r="A357" s="115" t="s">
        <v>589</v>
      </c>
      <c r="B357" s="857"/>
      <c r="C357" s="863"/>
      <c r="D357" s="861"/>
      <c r="E357" s="863"/>
      <c r="F357" s="865"/>
      <c r="G357" s="865"/>
      <c r="H357" s="867"/>
      <c r="I357" s="400" t="str">
        <f>IF('Mapa final'!Y360="","",'Mapa final'!Y360)</f>
        <v/>
      </c>
      <c r="J357" s="400" t="str">
        <f>IF('Mapa final'!AA360="","",'Mapa final'!AA360)</f>
        <v/>
      </c>
      <c r="K357" s="400" t="str">
        <f t="shared" si="5"/>
        <v/>
      </c>
      <c r="L357" s="400" t="str">
        <f>IF('Mapa final'!AD360="","",'Mapa final'!AD360)</f>
        <v/>
      </c>
      <c r="M357" s="339" t="str">
        <f>IF('Mapa final'!P360="","",'Mapa final'!P360)</f>
        <v/>
      </c>
      <c r="N357" s="397"/>
      <c r="O357" s="397"/>
      <c r="P357" s="397"/>
      <c r="Q357" s="398"/>
    </row>
    <row r="358" spans="1:17" x14ac:dyDescent="0.25">
      <c r="A358" s="115" t="s">
        <v>590</v>
      </c>
      <c r="B358" s="857"/>
      <c r="C358" s="863"/>
      <c r="D358" s="861"/>
      <c r="E358" s="863"/>
      <c r="F358" s="865"/>
      <c r="G358" s="865"/>
      <c r="H358" s="867"/>
      <c r="I358" s="400" t="str">
        <f>IF('Mapa final'!Y361="","",'Mapa final'!Y361)</f>
        <v/>
      </c>
      <c r="J358" s="400" t="str">
        <f>IF('Mapa final'!AA361="","",'Mapa final'!AA361)</f>
        <v/>
      </c>
      <c r="K358" s="400" t="str">
        <f t="shared" si="5"/>
        <v/>
      </c>
      <c r="L358" s="400" t="str">
        <f>IF('Mapa final'!AD361="","",'Mapa final'!AD361)</f>
        <v/>
      </c>
      <c r="M358" s="339" t="str">
        <f>IF('Mapa final'!P361="","",'Mapa final'!P361)</f>
        <v/>
      </c>
      <c r="N358" s="397"/>
      <c r="O358" s="397"/>
      <c r="P358" s="397"/>
      <c r="Q358" s="398"/>
    </row>
    <row r="359" spans="1:17" x14ac:dyDescent="0.25">
      <c r="A359" s="115" t="s">
        <v>591</v>
      </c>
      <c r="B359" s="857"/>
      <c r="C359" s="863"/>
      <c r="D359" s="861"/>
      <c r="E359" s="863"/>
      <c r="F359" s="865"/>
      <c r="G359" s="865"/>
      <c r="H359" s="867"/>
      <c r="I359" s="400" t="str">
        <f>IF('Mapa final'!Y362="","",'Mapa final'!Y362)</f>
        <v/>
      </c>
      <c r="J359" s="400" t="str">
        <f>IF('Mapa final'!AA362="","",'Mapa final'!AA362)</f>
        <v/>
      </c>
      <c r="K359" s="400" t="str">
        <f t="shared" si="5"/>
        <v/>
      </c>
      <c r="L359" s="400" t="str">
        <f>IF('Mapa final'!AD362="","",'Mapa final'!AD362)</f>
        <v/>
      </c>
      <c r="M359" s="339" t="str">
        <f>IF('Mapa final'!P362="","",'Mapa final'!P362)</f>
        <v/>
      </c>
      <c r="N359" s="397"/>
      <c r="O359" s="397"/>
      <c r="P359" s="397"/>
      <c r="Q359" s="398"/>
    </row>
    <row r="360" spans="1:17" x14ac:dyDescent="0.25">
      <c r="A360" s="115" t="s">
        <v>592</v>
      </c>
      <c r="B360" s="857"/>
      <c r="C360" s="863"/>
      <c r="D360" s="861"/>
      <c r="E360" s="863"/>
      <c r="F360" s="865"/>
      <c r="G360" s="865"/>
      <c r="H360" s="867"/>
      <c r="I360" s="400" t="str">
        <f>IF('Mapa final'!Y363="","",'Mapa final'!Y363)</f>
        <v/>
      </c>
      <c r="J360" s="400" t="str">
        <f>IF('Mapa final'!AA363="","",'Mapa final'!AA363)</f>
        <v/>
      </c>
      <c r="K360" s="400" t="str">
        <f t="shared" si="5"/>
        <v/>
      </c>
      <c r="L360" s="400" t="str">
        <f>IF('Mapa final'!AD363="","",'Mapa final'!AD363)</f>
        <v/>
      </c>
      <c r="M360" s="339" t="str">
        <f>IF('Mapa final'!P363="","",'Mapa final'!P363)</f>
        <v/>
      </c>
      <c r="N360" s="397"/>
      <c r="O360" s="397"/>
      <c r="P360" s="397"/>
      <c r="Q360" s="398"/>
    </row>
    <row r="361" spans="1:17" x14ac:dyDescent="0.25">
      <c r="A361" s="115" t="s">
        <v>593</v>
      </c>
      <c r="B361" s="856"/>
      <c r="C361" s="862" t="str">
        <f>IF('Mapa final'!E364="","",'Mapa final'!E364)</f>
        <v/>
      </c>
      <c r="D361" s="860"/>
      <c r="E361" s="862" t="str">
        <f>IF('Mapa final'!D364="","",'Mapa final'!D364)</f>
        <v/>
      </c>
      <c r="F361" s="865" t="str">
        <f>IF('Mapa final'!H364="","",'Mapa final'!H364)</f>
        <v/>
      </c>
      <c r="G361" s="865" t="str">
        <f>IF('Mapa final'!L364="","",'Mapa final'!L364)</f>
        <v/>
      </c>
      <c r="H361" s="86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0" t="str">
        <f>IF('Mapa final'!Y364="","",'Mapa final'!Y364)</f>
        <v/>
      </c>
      <c r="J361" s="400" t="str">
        <f>IF('Mapa final'!AA364="","",'Mapa final'!AA364)</f>
        <v/>
      </c>
      <c r="K361" s="400" t="str">
        <f t="shared" si="5"/>
        <v/>
      </c>
      <c r="L361" s="400" t="str">
        <f>IF('Mapa final'!AD364="","",'Mapa final'!AD364)</f>
        <v/>
      </c>
      <c r="M361" s="339" t="str">
        <f>IF('Mapa final'!P364="","",'Mapa final'!P364)</f>
        <v/>
      </c>
      <c r="N361" s="397"/>
      <c r="O361" s="397"/>
      <c r="P361" s="397"/>
      <c r="Q361" s="398"/>
    </row>
    <row r="362" spans="1:17" x14ac:dyDescent="0.25">
      <c r="A362" s="115" t="s">
        <v>594</v>
      </c>
      <c r="B362" s="857"/>
      <c r="C362" s="863"/>
      <c r="D362" s="861"/>
      <c r="E362" s="863"/>
      <c r="F362" s="865"/>
      <c r="G362" s="865"/>
      <c r="H362" s="867"/>
      <c r="I362" s="400" t="str">
        <f>IF('Mapa final'!Y365="","",'Mapa final'!Y365)</f>
        <v/>
      </c>
      <c r="J362" s="400" t="str">
        <f>IF('Mapa final'!AA365="","",'Mapa final'!AA365)</f>
        <v/>
      </c>
      <c r="K362" s="400" t="str">
        <f t="shared" si="5"/>
        <v/>
      </c>
      <c r="L362" s="400" t="str">
        <f>IF('Mapa final'!AD365="","",'Mapa final'!AD365)</f>
        <v/>
      </c>
      <c r="M362" s="339" t="str">
        <f>IF('Mapa final'!P365="","",'Mapa final'!P365)</f>
        <v/>
      </c>
      <c r="N362" s="397"/>
      <c r="O362" s="397"/>
      <c r="P362" s="397"/>
      <c r="Q362" s="398"/>
    </row>
    <row r="363" spans="1:17" x14ac:dyDescent="0.25">
      <c r="A363" s="115" t="s">
        <v>595</v>
      </c>
      <c r="B363" s="857"/>
      <c r="C363" s="863"/>
      <c r="D363" s="861"/>
      <c r="E363" s="863"/>
      <c r="F363" s="865"/>
      <c r="G363" s="865"/>
      <c r="H363" s="867"/>
      <c r="I363" s="400" t="str">
        <f>IF('Mapa final'!Y366="","",'Mapa final'!Y366)</f>
        <v/>
      </c>
      <c r="J363" s="400" t="str">
        <f>IF('Mapa final'!AA366="","",'Mapa final'!AA366)</f>
        <v/>
      </c>
      <c r="K363" s="400" t="str">
        <f t="shared" si="5"/>
        <v/>
      </c>
      <c r="L363" s="400" t="str">
        <f>IF('Mapa final'!AD366="","",'Mapa final'!AD366)</f>
        <v/>
      </c>
      <c r="M363" s="339" t="str">
        <f>IF('Mapa final'!P366="","",'Mapa final'!P366)</f>
        <v/>
      </c>
      <c r="N363" s="397"/>
      <c r="O363" s="397"/>
      <c r="P363" s="397"/>
      <c r="Q363" s="398"/>
    </row>
    <row r="364" spans="1:17" x14ac:dyDescent="0.25">
      <c r="A364" s="115" t="s">
        <v>596</v>
      </c>
      <c r="B364" s="857"/>
      <c r="C364" s="863"/>
      <c r="D364" s="861"/>
      <c r="E364" s="863"/>
      <c r="F364" s="865"/>
      <c r="G364" s="865"/>
      <c r="H364" s="867"/>
      <c r="I364" s="400" t="str">
        <f>IF('Mapa final'!Y367="","",'Mapa final'!Y367)</f>
        <v/>
      </c>
      <c r="J364" s="400" t="str">
        <f>IF('Mapa final'!AA367="","",'Mapa final'!AA367)</f>
        <v/>
      </c>
      <c r="K364" s="400" t="str">
        <f t="shared" si="5"/>
        <v/>
      </c>
      <c r="L364" s="400" t="str">
        <f>IF('Mapa final'!AD367="","",'Mapa final'!AD367)</f>
        <v/>
      </c>
      <c r="M364" s="339" t="str">
        <f>IF('Mapa final'!P367="","",'Mapa final'!P367)</f>
        <v/>
      </c>
      <c r="N364" s="397"/>
      <c r="O364" s="397"/>
      <c r="P364" s="397"/>
      <c r="Q364" s="398"/>
    </row>
    <row r="365" spans="1:17" x14ac:dyDescent="0.25">
      <c r="A365" s="115" t="s">
        <v>597</v>
      </c>
      <c r="B365" s="857"/>
      <c r="C365" s="863"/>
      <c r="D365" s="861"/>
      <c r="E365" s="863"/>
      <c r="F365" s="865"/>
      <c r="G365" s="865"/>
      <c r="H365" s="867"/>
      <c r="I365" s="400" t="str">
        <f>IF('Mapa final'!Y368="","",'Mapa final'!Y368)</f>
        <v/>
      </c>
      <c r="J365" s="400" t="str">
        <f>IF('Mapa final'!AA368="","",'Mapa final'!AA368)</f>
        <v/>
      </c>
      <c r="K365" s="400" t="str">
        <f t="shared" si="5"/>
        <v/>
      </c>
      <c r="L365" s="400" t="str">
        <f>IF('Mapa final'!AD368="","",'Mapa final'!AD368)</f>
        <v/>
      </c>
      <c r="M365" s="339" t="str">
        <f>IF('Mapa final'!P368="","",'Mapa final'!P368)</f>
        <v/>
      </c>
      <c r="N365" s="397"/>
      <c r="O365" s="397"/>
      <c r="P365" s="397"/>
      <c r="Q365" s="398"/>
    </row>
    <row r="366" spans="1:17" x14ac:dyDescent="0.25">
      <c r="A366" s="115" t="s">
        <v>598</v>
      </c>
      <c r="B366" s="857"/>
      <c r="C366" s="863"/>
      <c r="D366" s="861"/>
      <c r="E366" s="863"/>
      <c r="F366" s="865"/>
      <c r="G366" s="865"/>
      <c r="H366" s="867"/>
      <c r="I366" s="400" t="str">
        <f>IF('Mapa final'!Y369="","",'Mapa final'!Y369)</f>
        <v/>
      </c>
      <c r="J366" s="400" t="str">
        <f>IF('Mapa final'!AA369="","",'Mapa final'!AA369)</f>
        <v/>
      </c>
      <c r="K366" s="400" t="str">
        <f t="shared" si="5"/>
        <v/>
      </c>
      <c r="L366" s="400" t="str">
        <f>IF('Mapa final'!AD369="","",'Mapa final'!AD369)</f>
        <v/>
      </c>
      <c r="M366" s="339" t="str">
        <f>IF('Mapa final'!P369="","",'Mapa final'!P369)</f>
        <v/>
      </c>
      <c r="N366" s="397"/>
      <c r="O366" s="397"/>
      <c r="P366" s="397"/>
      <c r="Q366" s="398"/>
    </row>
    <row r="367" spans="1:17" x14ac:dyDescent="0.25">
      <c r="A367" s="115" t="s">
        <v>599</v>
      </c>
      <c r="B367" s="856"/>
      <c r="C367" s="862" t="str">
        <f>IF('Mapa final'!E370="","",'Mapa final'!E370)</f>
        <v/>
      </c>
      <c r="D367" s="860"/>
      <c r="E367" s="862" t="str">
        <f>IF('Mapa final'!D370="","",'Mapa final'!D370)</f>
        <v/>
      </c>
      <c r="F367" s="865" t="str">
        <f>IF('Mapa final'!H370="","",'Mapa final'!H370)</f>
        <v/>
      </c>
      <c r="G367" s="865" t="str">
        <f>IF('Mapa final'!L370="","",'Mapa final'!L370)</f>
        <v/>
      </c>
      <c r="H367" s="86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0" t="str">
        <f>IF('Mapa final'!Y370="","",'Mapa final'!Y370)</f>
        <v/>
      </c>
      <c r="J367" s="400" t="str">
        <f>IF('Mapa final'!AA370="","",'Mapa final'!AA370)</f>
        <v/>
      </c>
      <c r="K367" s="400" t="str">
        <f t="shared" si="5"/>
        <v/>
      </c>
      <c r="L367" s="400" t="str">
        <f>IF('Mapa final'!AD370="","",'Mapa final'!AD370)</f>
        <v/>
      </c>
      <c r="M367" s="339" t="str">
        <f>IF('Mapa final'!P370="","",'Mapa final'!P370)</f>
        <v/>
      </c>
      <c r="N367" s="397"/>
      <c r="O367" s="397"/>
      <c r="P367" s="397"/>
      <c r="Q367" s="398"/>
    </row>
    <row r="368" spans="1:17" x14ac:dyDescent="0.25">
      <c r="A368" s="115" t="s">
        <v>600</v>
      </c>
      <c r="B368" s="857"/>
      <c r="C368" s="863"/>
      <c r="D368" s="861"/>
      <c r="E368" s="863"/>
      <c r="F368" s="865"/>
      <c r="G368" s="865"/>
      <c r="H368" s="867"/>
      <c r="I368" s="400" t="str">
        <f>IF('Mapa final'!Y371="","",'Mapa final'!Y371)</f>
        <v/>
      </c>
      <c r="J368" s="400" t="str">
        <f>IF('Mapa final'!AA371="","",'Mapa final'!AA371)</f>
        <v/>
      </c>
      <c r="K368" s="400" t="str">
        <f t="shared" si="5"/>
        <v/>
      </c>
      <c r="L368" s="400" t="str">
        <f>IF('Mapa final'!AD371="","",'Mapa final'!AD371)</f>
        <v/>
      </c>
      <c r="M368" s="339" t="str">
        <f>IF('Mapa final'!P371="","",'Mapa final'!P371)</f>
        <v/>
      </c>
      <c r="N368" s="397"/>
      <c r="O368" s="397"/>
      <c r="P368" s="397"/>
      <c r="Q368" s="398"/>
    </row>
    <row r="369" spans="1:17" x14ac:dyDescent="0.25">
      <c r="A369" s="115" t="s">
        <v>601</v>
      </c>
      <c r="B369" s="857"/>
      <c r="C369" s="863"/>
      <c r="D369" s="861"/>
      <c r="E369" s="863"/>
      <c r="F369" s="865"/>
      <c r="G369" s="865"/>
      <c r="H369" s="867"/>
      <c r="I369" s="400" t="str">
        <f>IF('Mapa final'!Y372="","",'Mapa final'!Y372)</f>
        <v/>
      </c>
      <c r="J369" s="400" t="str">
        <f>IF('Mapa final'!AA372="","",'Mapa final'!AA372)</f>
        <v/>
      </c>
      <c r="K369" s="400" t="str">
        <f t="shared" si="5"/>
        <v/>
      </c>
      <c r="L369" s="400" t="str">
        <f>IF('Mapa final'!AD372="","",'Mapa final'!AD372)</f>
        <v/>
      </c>
      <c r="M369" s="339" t="str">
        <f>IF('Mapa final'!P372="","",'Mapa final'!P372)</f>
        <v/>
      </c>
      <c r="N369" s="397"/>
      <c r="O369" s="397"/>
      <c r="P369" s="397"/>
      <c r="Q369" s="398"/>
    </row>
    <row r="370" spans="1:17" x14ac:dyDescent="0.25">
      <c r="A370" s="115" t="s">
        <v>602</v>
      </c>
      <c r="B370" s="857"/>
      <c r="C370" s="863"/>
      <c r="D370" s="861"/>
      <c r="E370" s="863"/>
      <c r="F370" s="865"/>
      <c r="G370" s="865"/>
      <c r="H370" s="867"/>
      <c r="I370" s="400" t="str">
        <f>IF('Mapa final'!Y373="","",'Mapa final'!Y373)</f>
        <v/>
      </c>
      <c r="J370" s="400" t="str">
        <f>IF('Mapa final'!AA373="","",'Mapa final'!AA373)</f>
        <v/>
      </c>
      <c r="K370" s="400" t="str">
        <f t="shared" si="5"/>
        <v/>
      </c>
      <c r="L370" s="400" t="str">
        <f>IF('Mapa final'!AD373="","",'Mapa final'!AD373)</f>
        <v/>
      </c>
      <c r="M370" s="339" t="str">
        <f>IF('Mapa final'!P373="","",'Mapa final'!P373)</f>
        <v/>
      </c>
      <c r="N370" s="397"/>
      <c r="O370" s="397"/>
      <c r="P370" s="397"/>
      <c r="Q370" s="398"/>
    </row>
    <row r="371" spans="1:17" x14ac:dyDescent="0.25">
      <c r="A371" s="115" t="s">
        <v>603</v>
      </c>
      <c r="B371" s="857"/>
      <c r="C371" s="863"/>
      <c r="D371" s="861"/>
      <c r="E371" s="863"/>
      <c r="F371" s="865"/>
      <c r="G371" s="865"/>
      <c r="H371" s="867"/>
      <c r="I371" s="400" t="str">
        <f>IF('Mapa final'!Y374="","",'Mapa final'!Y374)</f>
        <v/>
      </c>
      <c r="J371" s="400" t="str">
        <f>IF('Mapa final'!AA374="","",'Mapa final'!AA374)</f>
        <v/>
      </c>
      <c r="K371" s="400" t="str">
        <f t="shared" si="5"/>
        <v/>
      </c>
      <c r="L371" s="400" t="str">
        <f>IF('Mapa final'!AD374="","",'Mapa final'!AD374)</f>
        <v/>
      </c>
      <c r="M371" s="339" t="str">
        <f>IF('Mapa final'!P374="","",'Mapa final'!P374)</f>
        <v/>
      </c>
      <c r="N371" s="397"/>
      <c r="O371" s="397"/>
      <c r="P371" s="397"/>
      <c r="Q371" s="398"/>
    </row>
    <row r="372" spans="1:17" x14ac:dyDescent="0.25">
      <c r="A372" s="115" t="s">
        <v>604</v>
      </c>
      <c r="B372" s="857"/>
      <c r="C372" s="863"/>
      <c r="D372" s="861"/>
      <c r="E372" s="863"/>
      <c r="F372" s="865"/>
      <c r="G372" s="865"/>
      <c r="H372" s="867"/>
      <c r="I372" s="400" t="str">
        <f>IF('Mapa final'!Y375="","",'Mapa final'!Y375)</f>
        <v/>
      </c>
      <c r="J372" s="400" t="str">
        <f>IF('Mapa final'!AA375="","",'Mapa final'!AA375)</f>
        <v/>
      </c>
      <c r="K372" s="400" t="str">
        <f t="shared" si="5"/>
        <v/>
      </c>
      <c r="L372" s="400" t="str">
        <f>IF('Mapa final'!AD375="","",'Mapa final'!AD375)</f>
        <v/>
      </c>
      <c r="M372" s="339" t="str">
        <f>IF('Mapa final'!P375="","",'Mapa final'!P375)</f>
        <v/>
      </c>
      <c r="N372" s="397"/>
      <c r="O372" s="397"/>
      <c r="P372" s="397"/>
      <c r="Q372" s="398"/>
    </row>
    <row r="373" spans="1:17" x14ac:dyDescent="0.25">
      <c r="A373" s="115" t="s">
        <v>605</v>
      </c>
      <c r="B373" s="856"/>
      <c r="C373" s="862" t="str">
        <f>IF('Mapa final'!E376="","",'Mapa final'!E376)</f>
        <v/>
      </c>
      <c r="D373" s="860"/>
      <c r="E373" s="862" t="str">
        <f>IF('Mapa final'!D376="","",'Mapa final'!D376)</f>
        <v/>
      </c>
      <c r="F373" s="865" t="str">
        <f>IF('Mapa final'!H376="","",'Mapa final'!H376)</f>
        <v/>
      </c>
      <c r="G373" s="865" t="str">
        <f>IF('Mapa final'!L376="","",'Mapa final'!L376)</f>
        <v/>
      </c>
      <c r="H373" s="86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0" t="str">
        <f>IF('Mapa final'!Y376="","",'Mapa final'!Y376)</f>
        <v/>
      </c>
      <c r="J373" s="400" t="str">
        <f>IF('Mapa final'!AA376="","",'Mapa final'!AA376)</f>
        <v/>
      </c>
      <c r="K373" s="400" t="str">
        <f t="shared" si="5"/>
        <v/>
      </c>
      <c r="L373" s="400" t="str">
        <f>IF('Mapa final'!AD376="","",'Mapa final'!AD376)</f>
        <v/>
      </c>
      <c r="M373" s="339" t="str">
        <f>IF('Mapa final'!P376="","",'Mapa final'!P376)</f>
        <v/>
      </c>
      <c r="N373" s="397"/>
      <c r="O373" s="397"/>
      <c r="P373" s="397"/>
      <c r="Q373" s="398"/>
    </row>
    <row r="374" spans="1:17" x14ac:dyDescent="0.25">
      <c r="A374" s="115" t="s">
        <v>606</v>
      </c>
      <c r="B374" s="857"/>
      <c r="C374" s="863"/>
      <c r="D374" s="861"/>
      <c r="E374" s="863"/>
      <c r="F374" s="865"/>
      <c r="G374" s="865"/>
      <c r="H374" s="867"/>
      <c r="I374" s="400" t="str">
        <f>IF('Mapa final'!Y377="","",'Mapa final'!Y377)</f>
        <v/>
      </c>
      <c r="J374" s="400" t="str">
        <f>IF('Mapa final'!AA377="","",'Mapa final'!AA377)</f>
        <v/>
      </c>
      <c r="K374" s="400" t="str">
        <f t="shared" si="5"/>
        <v/>
      </c>
      <c r="L374" s="400" t="str">
        <f>IF('Mapa final'!AD377="","",'Mapa final'!AD377)</f>
        <v/>
      </c>
      <c r="M374" s="339" t="str">
        <f>IF('Mapa final'!P377="","",'Mapa final'!P377)</f>
        <v/>
      </c>
      <c r="N374" s="397"/>
      <c r="O374" s="397"/>
      <c r="P374" s="397"/>
      <c r="Q374" s="398"/>
    </row>
    <row r="375" spans="1:17" x14ac:dyDescent="0.25">
      <c r="A375" s="115" t="s">
        <v>607</v>
      </c>
      <c r="B375" s="857"/>
      <c r="C375" s="863"/>
      <c r="D375" s="861"/>
      <c r="E375" s="863"/>
      <c r="F375" s="865"/>
      <c r="G375" s="865"/>
      <c r="H375" s="867"/>
      <c r="I375" s="400" t="str">
        <f>IF('Mapa final'!Y378="","",'Mapa final'!Y378)</f>
        <v/>
      </c>
      <c r="J375" s="400" t="str">
        <f>IF('Mapa final'!AA378="","",'Mapa final'!AA378)</f>
        <v/>
      </c>
      <c r="K375" s="400" t="str">
        <f t="shared" si="5"/>
        <v/>
      </c>
      <c r="L375" s="400" t="str">
        <f>IF('Mapa final'!AD378="","",'Mapa final'!AD378)</f>
        <v/>
      </c>
      <c r="M375" s="339" t="str">
        <f>IF('Mapa final'!P378="","",'Mapa final'!P378)</f>
        <v/>
      </c>
      <c r="N375" s="397"/>
      <c r="O375" s="397"/>
      <c r="P375" s="397"/>
      <c r="Q375" s="398"/>
    </row>
    <row r="376" spans="1:17" x14ac:dyDescent="0.25">
      <c r="A376" s="115" t="s">
        <v>608</v>
      </c>
      <c r="B376" s="857"/>
      <c r="C376" s="863"/>
      <c r="D376" s="861"/>
      <c r="E376" s="863"/>
      <c r="F376" s="865"/>
      <c r="G376" s="865"/>
      <c r="H376" s="867"/>
      <c r="I376" s="400" t="str">
        <f>IF('Mapa final'!Y379="","",'Mapa final'!Y379)</f>
        <v/>
      </c>
      <c r="J376" s="400" t="str">
        <f>IF('Mapa final'!AA379="","",'Mapa final'!AA379)</f>
        <v/>
      </c>
      <c r="K376" s="400" t="str">
        <f t="shared" si="5"/>
        <v/>
      </c>
      <c r="L376" s="400" t="str">
        <f>IF('Mapa final'!AD379="","",'Mapa final'!AD379)</f>
        <v/>
      </c>
      <c r="M376" s="339" t="str">
        <f>IF('Mapa final'!P379="","",'Mapa final'!P379)</f>
        <v/>
      </c>
      <c r="N376" s="397"/>
      <c r="O376" s="397"/>
      <c r="P376" s="397"/>
      <c r="Q376" s="398"/>
    </row>
    <row r="377" spans="1:17" x14ac:dyDescent="0.25">
      <c r="A377" s="115" t="s">
        <v>609</v>
      </c>
      <c r="B377" s="857"/>
      <c r="C377" s="863"/>
      <c r="D377" s="861"/>
      <c r="E377" s="863"/>
      <c r="F377" s="865"/>
      <c r="G377" s="865"/>
      <c r="H377" s="867"/>
      <c r="I377" s="400" t="str">
        <f>IF('Mapa final'!Y380="","",'Mapa final'!Y380)</f>
        <v/>
      </c>
      <c r="J377" s="400" t="str">
        <f>IF('Mapa final'!AA380="","",'Mapa final'!AA380)</f>
        <v/>
      </c>
      <c r="K377" s="400" t="str">
        <f t="shared" si="5"/>
        <v/>
      </c>
      <c r="L377" s="400" t="str">
        <f>IF('Mapa final'!AD380="","",'Mapa final'!AD380)</f>
        <v/>
      </c>
      <c r="M377" s="339" t="str">
        <f>IF('Mapa final'!P380="","",'Mapa final'!P380)</f>
        <v/>
      </c>
      <c r="N377" s="397"/>
      <c r="O377" s="397"/>
      <c r="P377" s="397"/>
      <c r="Q377" s="398"/>
    </row>
    <row r="378" spans="1:17" x14ac:dyDescent="0.25">
      <c r="A378" s="115" t="s">
        <v>610</v>
      </c>
      <c r="B378" s="857"/>
      <c r="C378" s="863"/>
      <c r="D378" s="861"/>
      <c r="E378" s="863"/>
      <c r="F378" s="865"/>
      <c r="G378" s="865"/>
      <c r="H378" s="867"/>
      <c r="I378" s="400" t="str">
        <f>IF('Mapa final'!Y381="","",'Mapa final'!Y381)</f>
        <v/>
      </c>
      <c r="J378" s="400" t="str">
        <f>IF('Mapa final'!AA381="","",'Mapa final'!AA381)</f>
        <v/>
      </c>
      <c r="K378" s="400" t="str">
        <f t="shared" si="5"/>
        <v/>
      </c>
      <c r="L378" s="400" t="str">
        <f>IF('Mapa final'!AD381="","",'Mapa final'!AD381)</f>
        <v/>
      </c>
      <c r="M378" s="339" t="str">
        <f>IF('Mapa final'!P381="","",'Mapa final'!P381)</f>
        <v/>
      </c>
      <c r="N378" s="397"/>
      <c r="O378" s="397"/>
      <c r="P378" s="397"/>
      <c r="Q378" s="398"/>
    </row>
    <row r="379" spans="1:17" x14ac:dyDescent="0.25">
      <c r="A379" s="115" t="s">
        <v>611</v>
      </c>
      <c r="B379" s="856"/>
      <c r="C379" s="862" t="str">
        <f>IF('Mapa final'!E382="","",'Mapa final'!E382)</f>
        <v/>
      </c>
      <c r="D379" s="860"/>
      <c r="E379" s="862" t="str">
        <f>IF('Mapa final'!D382="","",'Mapa final'!D382)</f>
        <v/>
      </c>
      <c r="F379" s="865" t="str">
        <f>IF('Mapa final'!H382="","",'Mapa final'!H382)</f>
        <v/>
      </c>
      <c r="G379" s="865" t="str">
        <f>IF('Mapa final'!L382="","",'Mapa final'!L382)</f>
        <v/>
      </c>
      <c r="H379" s="86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0" t="str">
        <f>IF('Mapa final'!Y382="","",'Mapa final'!Y382)</f>
        <v/>
      </c>
      <c r="J379" s="400" t="str">
        <f>IF('Mapa final'!AA382="","",'Mapa final'!AA382)</f>
        <v/>
      </c>
      <c r="K379" s="400" t="str">
        <f t="shared" si="5"/>
        <v/>
      </c>
      <c r="L379" s="400" t="str">
        <f>IF('Mapa final'!AD382="","",'Mapa final'!AD382)</f>
        <v/>
      </c>
      <c r="M379" s="339" t="str">
        <f>IF('Mapa final'!P382="","",'Mapa final'!P382)</f>
        <v/>
      </c>
      <c r="N379" s="397"/>
      <c r="O379" s="397"/>
      <c r="P379" s="397"/>
      <c r="Q379" s="398"/>
    </row>
    <row r="380" spans="1:17" x14ac:dyDescent="0.25">
      <c r="A380" s="115" t="s">
        <v>612</v>
      </c>
      <c r="B380" s="857"/>
      <c r="C380" s="863"/>
      <c r="D380" s="861"/>
      <c r="E380" s="863"/>
      <c r="F380" s="865"/>
      <c r="G380" s="865"/>
      <c r="H380" s="867"/>
      <c r="I380" s="400" t="str">
        <f>IF('Mapa final'!Y383="","",'Mapa final'!Y383)</f>
        <v/>
      </c>
      <c r="J380" s="400" t="str">
        <f>IF('Mapa final'!AA383="","",'Mapa final'!AA383)</f>
        <v/>
      </c>
      <c r="K380" s="400" t="str">
        <f t="shared" si="5"/>
        <v/>
      </c>
      <c r="L380" s="400" t="str">
        <f>IF('Mapa final'!AD383="","",'Mapa final'!AD383)</f>
        <v/>
      </c>
      <c r="M380" s="339" t="str">
        <f>IF('Mapa final'!P383="","",'Mapa final'!P383)</f>
        <v/>
      </c>
      <c r="N380" s="397"/>
      <c r="O380" s="397"/>
      <c r="P380" s="397"/>
      <c r="Q380" s="398"/>
    </row>
    <row r="381" spans="1:17" x14ac:dyDescent="0.25">
      <c r="A381" s="115" t="s">
        <v>613</v>
      </c>
      <c r="B381" s="857"/>
      <c r="C381" s="863"/>
      <c r="D381" s="861"/>
      <c r="E381" s="863"/>
      <c r="F381" s="865"/>
      <c r="G381" s="865"/>
      <c r="H381" s="867"/>
      <c r="I381" s="400" t="str">
        <f>IF('Mapa final'!Y384="","",'Mapa final'!Y384)</f>
        <v/>
      </c>
      <c r="J381" s="400" t="str">
        <f>IF('Mapa final'!AA384="","",'Mapa final'!AA384)</f>
        <v/>
      </c>
      <c r="K381" s="400" t="str">
        <f t="shared" si="5"/>
        <v/>
      </c>
      <c r="L381" s="400" t="str">
        <f>IF('Mapa final'!AD384="","",'Mapa final'!AD384)</f>
        <v/>
      </c>
      <c r="M381" s="339" t="str">
        <f>IF('Mapa final'!P384="","",'Mapa final'!P384)</f>
        <v/>
      </c>
      <c r="N381" s="397"/>
      <c r="O381" s="397"/>
      <c r="P381" s="397"/>
      <c r="Q381" s="398"/>
    </row>
    <row r="382" spans="1:17" x14ac:dyDescent="0.25">
      <c r="A382" s="115" t="s">
        <v>614</v>
      </c>
      <c r="B382" s="857"/>
      <c r="C382" s="863"/>
      <c r="D382" s="861"/>
      <c r="E382" s="863"/>
      <c r="F382" s="865"/>
      <c r="G382" s="865"/>
      <c r="H382" s="867"/>
      <c r="I382" s="400" t="str">
        <f>IF('Mapa final'!Y385="","",'Mapa final'!Y385)</f>
        <v/>
      </c>
      <c r="J382" s="400" t="str">
        <f>IF('Mapa final'!AA385="","",'Mapa final'!AA385)</f>
        <v/>
      </c>
      <c r="K382" s="400" t="str">
        <f t="shared" si="5"/>
        <v/>
      </c>
      <c r="L382" s="400" t="str">
        <f>IF('Mapa final'!AD385="","",'Mapa final'!AD385)</f>
        <v/>
      </c>
      <c r="M382" s="339" t="str">
        <f>IF('Mapa final'!P385="","",'Mapa final'!P385)</f>
        <v/>
      </c>
      <c r="N382" s="397"/>
      <c r="O382" s="397"/>
      <c r="P382" s="397"/>
      <c r="Q382" s="398"/>
    </row>
    <row r="383" spans="1:17" x14ac:dyDescent="0.25">
      <c r="A383" s="115" t="s">
        <v>615</v>
      </c>
      <c r="B383" s="857"/>
      <c r="C383" s="863"/>
      <c r="D383" s="861"/>
      <c r="E383" s="863"/>
      <c r="F383" s="865"/>
      <c r="G383" s="865"/>
      <c r="H383" s="867"/>
      <c r="I383" s="400" t="str">
        <f>IF('Mapa final'!Y386="","",'Mapa final'!Y386)</f>
        <v/>
      </c>
      <c r="J383" s="400" t="str">
        <f>IF('Mapa final'!AA386="","",'Mapa final'!AA386)</f>
        <v/>
      </c>
      <c r="K383" s="400" t="str">
        <f t="shared" si="5"/>
        <v/>
      </c>
      <c r="L383" s="400" t="str">
        <f>IF('Mapa final'!AD386="","",'Mapa final'!AD386)</f>
        <v/>
      </c>
      <c r="M383" s="339" t="str">
        <f>IF('Mapa final'!P386="","",'Mapa final'!P386)</f>
        <v/>
      </c>
      <c r="N383" s="397"/>
      <c r="O383" s="397"/>
      <c r="P383" s="397"/>
      <c r="Q383" s="398"/>
    </row>
    <row r="384" spans="1:17" x14ac:dyDescent="0.25">
      <c r="A384" s="115" t="s">
        <v>616</v>
      </c>
      <c r="B384" s="857"/>
      <c r="C384" s="863"/>
      <c r="D384" s="861"/>
      <c r="E384" s="863"/>
      <c r="F384" s="865"/>
      <c r="G384" s="865"/>
      <c r="H384" s="867"/>
      <c r="I384" s="400" t="str">
        <f>IF('Mapa final'!Y387="","",'Mapa final'!Y387)</f>
        <v/>
      </c>
      <c r="J384" s="400" t="str">
        <f>IF('Mapa final'!AA387="","",'Mapa final'!AA387)</f>
        <v/>
      </c>
      <c r="K384" s="400" t="str">
        <f t="shared" si="5"/>
        <v/>
      </c>
      <c r="L384" s="400" t="str">
        <f>IF('Mapa final'!AD387="","",'Mapa final'!AD387)</f>
        <v/>
      </c>
      <c r="M384" s="339" t="str">
        <f>IF('Mapa final'!P387="","",'Mapa final'!P387)</f>
        <v/>
      </c>
      <c r="N384" s="397"/>
      <c r="O384" s="397"/>
      <c r="P384" s="397"/>
      <c r="Q384" s="398"/>
    </row>
    <row r="385" spans="1:17" x14ac:dyDescent="0.25">
      <c r="A385" s="115" t="s">
        <v>617</v>
      </c>
      <c r="B385" s="856"/>
      <c r="C385" s="862" t="str">
        <f>IF('Mapa final'!E388="","",'Mapa final'!E388)</f>
        <v/>
      </c>
      <c r="D385" s="860"/>
      <c r="E385" s="862" t="str">
        <f>IF('Mapa final'!D388="","",'Mapa final'!D388)</f>
        <v/>
      </c>
      <c r="F385" s="865" t="str">
        <f>IF('Mapa final'!H388="","",'Mapa final'!H388)</f>
        <v/>
      </c>
      <c r="G385" s="865" t="str">
        <f>IF('Mapa final'!L388="","",'Mapa final'!L388)</f>
        <v/>
      </c>
      <c r="H385" s="86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0" t="str">
        <f>IF('Mapa final'!Y388="","",'Mapa final'!Y388)</f>
        <v/>
      </c>
      <c r="J385" s="400" t="str">
        <f>IF('Mapa final'!AA388="","",'Mapa final'!AA388)</f>
        <v/>
      </c>
      <c r="K385" s="400" t="str">
        <f t="shared" si="5"/>
        <v/>
      </c>
      <c r="L385" s="400" t="str">
        <f>IF('Mapa final'!AD388="","",'Mapa final'!AD388)</f>
        <v/>
      </c>
      <c r="M385" s="339" t="str">
        <f>IF('Mapa final'!P388="","",'Mapa final'!P388)</f>
        <v/>
      </c>
      <c r="N385" s="397"/>
      <c r="O385" s="397"/>
      <c r="P385" s="397"/>
      <c r="Q385" s="398"/>
    </row>
    <row r="386" spans="1:17" x14ac:dyDescent="0.25">
      <c r="A386" s="115" t="s">
        <v>618</v>
      </c>
      <c r="B386" s="857"/>
      <c r="C386" s="863"/>
      <c r="D386" s="861"/>
      <c r="E386" s="863"/>
      <c r="F386" s="865"/>
      <c r="G386" s="865"/>
      <c r="H386" s="867"/>
      <c r="I386" s="400" t="str">
        <f>IF('Mapa final'!Y389="","",'Mapa final'!Y389)</f>
        <v/>
      </c>
      <c r="J386" s="400" t="str">
        <f>IF('Mapa final'!AA389="","",'Mapa final'!AA389)</f>
        <v/>
      </c>
      <c r="K386" s="400" t="str">
        <f t="shared" si="5"/>
        <v/>
      </c>
      <c r="L386" s="400" t="str">
        <f>IF('Mapa final'!AD389="","",'Mapa final'!AD389)</f>
        <v/>
      </c>
      <c r="M386" s="339" t="str">
        <f>IF('Mapa final'!P389="","",'Mapa final'!P389)</f>
        <v/>
      </c>
      <c r="N386" s="397"/>
      <c r="O386" s="397"/>
      <c r="P386" s="397"/>
      <c r="Q386" s="398"/>
    </row>
    <row r="387" spans="1:17" x14ac:dyDescent="0.25">
      <c r="A387" s="115" t="s">
        <v>619</v>
      </c>
      <c r="B387" s="857"/>
      <c r="C387" s="863"/>
      <c r="D387" s="861"/>
      <c r="E387" s="863"/>
      <c r="F387" s="865"/>
      <c r="G387" s="865"/>
      <c r="H387" s="867"/>
      <c r="I387" s="400" t="str">
        <f>IF('Mapa final'!Y390="","",'Mapa final'!Y390)</f>
        <v/>
      </c>
      <c r="J387" s="400" t="str">
        <f>IF('Mapa final'!AA390="","",'Mapa final'!AA390)</f>
        <v/>
      </c>
      <c r="K387" s="400" t="str">
        <f t="shared" si="5"/>
        <v/>
      </c>
      <c r="L387" s="400" t="str">
        <f>IF('Mapa final'!AD390="","",'Mapa final'!AD390)</f>
        <v/>
      </c>
      <c r="M387" s="339" t="str">
        <f>IF('Mapa final'!P390="","",'Mapa final'!P390)</f>
        <v/>
      </c>
      <c r="N387" s="397"/>
      <c r="O387" s="397"/>
      <c r="P387" s="397"/>
      <c r="Q387" s="398"/>
    </row>
    <row r="388" spans="1:17" x14ac:dyDescent="0.25">
      <c r="A388" s="115" t="s">
        <v>620</v>
      </c>
      <c r="B388" s="857"/>
      <c r="C388" s="863"/>
      <c r="D388" s="861"/>
      <c r="E388" s="863"/>
      <c r="F388" s="865"/>
      <c r="G388" s="865"/>
      <c r="H388" s="867"/>
      <c r="I388" s="400" t="str">
        <f>IF('Mapa final'!Y391="","",'Mapa final'!Y391)</f>
        <v/>
      </c>
      <c r="J388" s="400" t="str">
        <f>IF('Mapa final'!AA391="","",'Mapa final'!AA391)</f>
        <v/>
      </c>
      <c r="K388" s="400" t="str">
        <f t="shared" si="5"/>
        <v/>
      </c>
      <c r="L388" s="400" t="str">
        <f>IF('Mapa final'!AD391="","",'Mapa final'!AD391)</f>
        <v/>
      </c>
      <c r="M388" s="339" t="str">
        <f>IF('Mapa final'!P391="","",'Mapa final'!P391)</f>
        <v/>
      </c>
      <c r="N388" s="397"/>
      <c r="O388" s="397"/>
      <c r="P388" s="397"/>
      <c r="Q388" s="398"/>
    </row>
    <row r="389" spans="1:17" x14ac:dyDescent="0.25">
      <c r="A389" s="115" t="s">
        <v>621</v>
      </c>
      <c r="B389" s="857"/>
      <c r="C389" s="863"/>
      <c r="D389" s="861"/>
      <c r="E389" s="863"/>
      <c r="F389" s="865"/>
      <c r="G389" s="865"/>
      <c r="H389" s="867"/>
      <c r="I389" s="400" t="str">
        <f>IF('Mapa final'!Y392="","",'Mapa final'!Y392)</f>
        <v/>
      </c>
      <c r="J389" s="400" t="str">
        <f>IF('Mapa final'!AA392="","",'Mapa final'!AA392)</f>
        <v/>
      </c>
      <c r="K389" s="400" t="str">
        <f t="shared" si="5"/>
        <v/>
      </c>
      <c r="L389" s="400" t="str">
        <f>IF('Mapa final'!AD392="","",'Mapa final'!AD392)</f>
        <v/>
      </c>
      <c r="M389" s="339" t="str">
        <f>IF('Mapa final'!P392="","",'Mapa final'!P392)</f>
        <v/>
      </c>
      <c r="N389" s="397"/>
      <c r="O389" s="397"/>
      <c r="P389" s="397"/>
      <c r="Q389" s="398"/>
    </row>
    <row r="390" spans="1:17" x14ac:dyDescent="0.25">
      <c r="A390" s="115" t="s">
        <v>622</v>
      </c>
      <c r="B390" s="857"/>
      <c r="C390" s="863"/>
      <c r="D390" s="861"/>
      <c r="E390" s="863"/>
      <c r="F390" s="865"/>
      <c r="G390" s="865"/>
      <c r="H390" s="867"/>
      <c r="I390" s="400" t="str">
        <f>IF('Mapa final'!Y393="","",'Mapa final'!Y393)</f>
        <v/>
      </c>
      <c r="J390" s="400" t="str">
        <f>IF('Mapa final'!AA393="","",'Mapa final'!AA393)</f>
        <v/>
      </c>
      <c r="K390" s="400" t="str">
        <f t="shared" si="5"/>
        <v/>
      </c>
      <c r="L390" s="400" t="str">
        <f>IF('Mapa final'!AD393="","",'Mapa final'!AD393)</f>
        <v/>
      </c>
      <c r="M390" s="339" t="str">
        <f>IF('Mapa final'!P393="","",'Mapa final'!P393)</f>
        <v/>
      </c>
      <c r="N390" s="397"/>
      <c r="O390" s="397"/>
      <c r="P390" s="397"/>
      <c r="Q390" s="398"/>
    </row>
    <row r="391" spans="1:17" x14ac:dyDescent="0.25">
      <c r="A391" s="115" t="s">
        <v>623</v>
      </c>
      <c r="B391" s="856"/>
      <c r="C391" s="862" t="str">
        <f>IF('Mapa final'!E394="","",'Mapa final'!E394)</f>
        <v/>
      </c>
      <c r="D391" s="860"/>
      <c r="E391" s="862" t="str">
        <f>IF('Mapa final'!D394="","",'Mapa final'!D394)</f>
        <v/>
      </c>
      <c r="F391" s="865" t="str">
        <f>IF('Mapa final'!H394="","",'Mapa final'!H394)</f>
        <v/>
      </c>
      <c r="G391" s="865" t="str">
        <f>IF('Mapa final'!L394="","",'Mapa final'!L394)</f>
        <v/>
      </c>
      <c r="H391" s="86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0" t="str">
        <f>IF('Mapa final'!Y394="","",'Mapa final'!Y394)</f>
        <v/>
      </c>
      <c r="J391" s="400" t="str">
        <f>IF('Mapa final'!AA394="","",'Mapa final'!AA394)</f>
        <v/>
      </c>
      <c r="K391" s="400" t="str">
        <f t="shared" si="5"/>
        <v/>
      </c>
      <c r="L391" s="400" t="str">
        <f>IF('Mapa final'!AD394="","",'Mapa final'!AD394)</f>
        <v/>
      </c>
      <c r="M391" s="339" t="str">
        <f>IF('Mapa final'!P394="","",'Mapa final'!P394)</f>
        <v/>
      </c>
      <c r="N391" s="397"/>
      <c r="O391" s="397"/>
      <c r="P391" s="397"/>
      <c r="Q391" s="398"/>
    </row>
    <row r="392" spans="1:17" x14ac:dyDescent="0.25">
      <c r="A392" s="115" t="s">
        <v>624</v>
      </c>
      <c r="B392" s="857"/>
      <c r="C392" s="863"/>
      <c r="D392" s="861"/>
      <c r="E392" s="863"/>
      <c r="F392" s="865"/>
      <c r="G392" s="865"/>
      <c r="H392" s="867"/>
      <c r="I392" s="400" t="str">
        <f>IF('Mapa final'!Y395="","",'Mapa final'!Y395)</f>
        <v/>
      </c>
      <c r="J392" s="400" t="str">
        <f>IF('Mapa final'!AA395="","",'Mapa final'!AA395)</f>
        <v/>
      </c>
      <c r="K392" s="40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0" t="str">
        <f>IF('Mapa final'!AD395="","",'Mapa final'!AD395)</f>
        <v/>
      </c>
      <c r="M392" s="339" t="str">
        <f>IF('Mapa final'!P395="","",'Mapa final'!P395)</f>
        <v/>
      </c>
      <c r="N392" s="397"/>
      <c r="O392" s="397"/>
      <c r="P392" s="397"/>
      <c r="Q392" s="398"/>
    </row>
    <row r="393" spans="1:17" x14ac:dyDescent="0.25">
      <c r="A393" s="115" t="s">
        <v>625</v>
      </c>
      <c r="B393" s="857"/>
      <c r="C393" s="863"/>
      <c r="D393" s="861"/>
      <c r="E393" s="863"/>
      <c r="F393" s="865"/>
      <c r="G393" s="865"/>
      <c r="H393" s="867"/>
      <c r="I393" s="400" t="str">
        <f>IF('Mapa final'!Y396="","",'Mapa final'!Y396)</f>
        <v/>
      </c>
      <c r="J393" s="400" t="str">
        <f>IF('Mapa final'!AA396="","",'Mapa final'!AA396)</f>
        <v/>
      </c>
      <c r="K393" s="400" t="str">
        <f t="shared" si="6"/>
        <v/>
      </c>
      <c r="L393" s="400" t="str">
        <f>IF('Mapa final'!AD396="","",'Mapa final'!AD396)</f>
        <v/>
      </c>
      <c r="M393" s="339" t="str">
        <f>IF('Mapa final'!P396="","",'Mapa final'!P396)</f>
        <v/>
      </c>
      <c r="N393" s="397"/>
      <c r="O393" s="397"/>
      <c r="P393" s="397"/>
      <c r="Q393" s="398"/>
    </row>
    <row r="394" spans="1:17" x14ac:dyDescent="0.25">
      <c r="A394" s="115" t="s">
        <v>626</v>
      </c>
      <c r="B394" s="857"/>
      <c r="C394" s="863"/>
      <c r="D394" s="861"/>
      <c r="E394" s="863"/>
      <c r="F394" s="865"/>
      <c r="G394" s="865"/>
      <c r="H394" s="867"/>
      <c r="I394" s="400" t="str">
        <f>IF('Mapa final'!Y397="","",'Mapa final'!Y397)</f>
        <v/>
      </c>
      <c r="J394" s="400" t="str">
        <f>IF('Mapa final'!AA397="","",'Mapa final'!AA397)</f>
        <v/>
      </c>
      <c r="K394" s="400" t="str">
        <f t="shared" si="6"/>
        <v/>
      </c>
      <c r="L394" s="400" t="str">
        <f>IF('Mapa final'!AD397="","",'Mapa final'!AD397)</f>
        <v/>
      </c>
      <c r="M394" s="339" t="str">
        <f>IF('Mapa final'!P397="","",'Mapa final'!P397)</f>
        <v/>
      </c>
      <c r="N394" s="397"/>
      <c r="O394" s="397"/>
      <c r="P394" s="397"/>
      <c r="Q394" s="398"/>
    </row>
    <row r="395" spans="1:17" x14ac:dyDescent="0.25">
      <c r="A395" s="115" t="s">
        <v>627</v>
      </c>
      <c r="B395" s="857"/>
      <c r="C395" s="863"/>
      <c r="D395" s="861"/>
      <c r="E395" s="863"/>
      <c r="F395" s="865"/>
      <c r="G395" s="865"/>
      <c r="H395" s="867"/>
      <c r="I395" s="400" t="str">
        <f>IF('Mapa final'!Y398="","",'Mapa final'!Y398)</f>
        <v/>
      </c>
      <c r="J395" s="400" t="str">
        <f>IF('Mapa final'!AA398="","",'Mapa final'!AA398)</f>
        <v/>
      </c>
      <c r="K395" s="400" t="str">
        <f t="shared" si="6"/>
        <v/>
      </c>
      <c r="L395" s="400" t="str">
        <f>IF('Mapa final'!AD398="","",'Mapa final'!AD398)</f>
        <v/>
      </c>
      <c r="M395" s="339" t="str">
        <f>IF('Mapa final'!P398="","",'Mapa final'!P398)</f>
        <v/>
      </c>
      <c r="N395" s="397"/>
      <c r="O395" s="397"/>
      <c r="P395" s="397"/>
      <c r="Q395" s="398"/>
    </row>
    <row r="396" spans="1:17" x14ac:dyDescent="0.25">
      <c r="A396" s="115" t="s">
        <v>628</v>
      </c>
      <c r="B396" s="857"/>
      <c r="C396" s="863"/>
      <c r="D396" s="861"/>
      <c r="E396" s="863"/>
      <c r="F396" s="865"/>
      <c r="G396" s="865"/>
      <c r="H396" s="867"/>
      <c r="I396" s="400" t="str">
        <f>IF('Mapa final'!Y399="","",'Mapa final'!Y399)</f>
        <v/>
      </c>
      <c r="J396" s="400" t="str">
        <f>IF('Mapa final'!AA399="","",'Mapa final'!AA399)</f>
        <v/>
      </c>
      <c r="K396" s="400" t="str">
        <f t="shared" si="6"/>
        <v/>
      </c>
      <c r="L396" s="400" t="str">
        <f>IF('Mapa final'!AD399="","",'Mapa final'!AD399)</f>
        <v/>
      </c>
      <c r="M396" s="339" t="str">
        <f>IF('Mapa final'!P399="","",'Mapa final'!P399)</f>
        <v/>
      </c>
      <c r="N396" s="397"/>
      <c r="O396" s="397"/>
      <c r="P396" s="397"/>
      <c r="Q396" s="398"/>
    </row>
    <row r="397" spans="1:17" x14ac:dyDescent="0.25">
      <c r="A397" s="115" t="s">
        <v>629</v>
      </c>
      <c r="B397" s="856"/>
      <c r="C397" s="862" t="str">
        <f>IF('Mapa final'!E400="","",'Mapa final'!E400)</f>
        <v/>
      </c>
      <c r="D397" s="860"/>
      <c r="E397" s="862" t="str">
        <f>IF('Mapa final'!D400="","",'Mapa final'!D400)</f>
        <v/>
      </c>
      <c r="F397" s="865" t="str">
        <f>IF('Mapa final'!H400="","",'Mapa final'!H400)</f>
        <v/>
      </c>
      <c r="G397" s="865" t="str">
        <f>IF('Mapa final'!L400="","",'Mapa final'!L400)</f>
        <v/>
      </c>
      <c r="H397" s="86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0" t="str">
        <f>IF('Mapa final'!Y400="","",'Mapa final'!Y400)</f>
        <v/>
      </c>
      <c r="J397" s="400" t="str">
        <f>IF('Mapa final'!AA400="","",'Mapa final'!AA400)</f>
        <v/>
      </c>
      <c r="K397" s="400" t="str">
        <f t="shared" si="6"/>
        <v/>
      </c>
      <c r="L397" s="400" t="str">
        <f>IF('Mapa final'!AD400="","",'Mapa final'!AD400)</f>
        <v/>
      </c>
      <c r="M397" s="339" t="str">
        <f>IF('Mapa final'!P400="","",'Mapa final'!P400)</f>
        <v/>
      </c>
      <c r="N397" s="397"/>
      <c r="O397" s="397"/>
      <c r="P397" s="397"/>
      <c r="Q397" s="398"/>
    </row>
    <row r="398" spans="1:17" x14ac:dyDescent="0.25">
      <c r="A398" s="115" t="s">
        <v>630</v>
      </c>
      <c r="B398" s="857"/>
      <c r="C398" s="863"/>
      <c r="D398" s="861"/>
      <c r="E398" s="863"/>
      <c r="F398" s="865"/>
      <c r="G398" s="865"/>
      <c r="H398" s="867"/>
      <c r="I398" s="400" t="str">
        <f>IF('Mapa final'!Y401="","",'Mapa final'!Y401)</f>
        <v/>
      </c>
      <c r="J398" s="400" t="str">
        <f>IF('Mapa final'!AA401="","",'Mapa final'!AA401)</f>
        <v/>
      </c>
      <c r="K398" s="400" t="str">
        <f t="shared" si="6"/>
        <v/>
      </c>
      <c r="L398" s="400" t="str">
        <f>IF('Mapa final'!AD401="","",'Mapa final'!AD401)</f>
        <v/>
      </c>
      <c r="M398" s="339" t="str">
        <f>IF('Mapa final'!P401="","",'Mapa final'!P401)</f>
        <v/>
      </c>
      <c r="N398" s="397"/>
      <c r="O398" s="397"/>
      <c r="P398" s="397"/>
      <c r="Q398" s="398"/>
    </row>
    <row r="399" spans="1:17" x14ac:dyDescent="0.25">
      <c r="A399" s="115" t="s">
        <v>631</v>
      </c>
      <c r="B399" s="857"/>
      <c r="C399" s="863"/>
      <c r="D399" s="861"/>
      <c r="E399" s="863"/>
      <c r="F399" s="865"/>
      <c r="G399" s="865"/>
      <c r="H399" s="867"/>
      <c r="I399" s="400" t="str">
        <f>IF('Mapa final'!Y402="","",'Mapa final'!Y402)</f>
        <v/>
      </c>
      <c r="J399" s="400" t="str">
        <f>IF('Mapa final'!AA402="","",'Mapa final'!AA402)</f>
        <v/>
      </c>
      <c r="K399" s="400" t="str">
        <f t="shared" si="6"/>
        <v/>
      </c>
      <c r="L399" s="400" t="str">
        <f>IF('Mapa final'!AD402="","",'Mapa final'!AD402)</f>
        <v/>
      </c>
      <c r="M399" s="339" t="str">
        <f>IF('Mapa final'!P402="","",'Mapa final'!P402)</f>
        <v/>
      </c>
      <c r="N399" s="397"/>
      <c r="O399" s="397"/>
      <c r="P399" s="397"/>
      <c r="Q399" s="398"/>
    </row>
    <row r="400" spans="1:17" x14ac:dyDescent="0.25">
      <c r="A400" s="115" t="s">
        <v>632</v>
      </c>
      <c r="B400" s="857"/>
      <c r="C400" s="863"/>
      <c r="D400" s="861"/>
      <c r="E400" s="863"/>
      <c r="F400" s="865"/>
      <c r="G400" s="865"/>
      <c r="H400" s="867"/>
      <c r="I400" s="400" t="str">
        <f>IF('Mapa final'!Y403="","",'Mapa final'!Y403)</f>
        <v/>
      </c>
      <c r="J400" s="400" t="str">
        <f>IF('Mapa final'!AA403="","",'Mapa final'!AA403)</f>
        <v/>
      </c>
      <c r="K400" s="400" t="str">
        <f t="shared" si="6"/>
        <v/>
      </c>
      <c r="L400" s="400" t="str">
        <f>IF('Mapa final'!AD403="","",'Mapa final'!AD403)</f>
        <v/>
      </c>
      <c r="M400" s="339" t="str">
        <f>IF('Mapa final'!P403="","",'Mapa final'!P403)</f>
        <v/>
      </c>
      <c r="N400" s="397"/>
      <c r="O400" s="397"/>
      <c r="P400" s="397"/>
      <c r="Q400" s="398"/>
    </row>
    <row r="401" spans="1:17" x14ac:dyDescent="0.25">
      <c r="A401" s="115" t="s">
        <v>633</v>
      </c>
      <c r="B401" s="857"/>
      <c r="C401" s="863"/>
      <c r="D401" s="861"/>
      <c r="E401" s="863"/>
      <c r="F401" s="865"/>
      <c r="G401" s="865"/>
      <c r="H401" s="867"/>
      <c r="I401" s="400" t="str">
        <f>IF('Mapa final'!Y404="","",'Mapa final'!Y404)</f>
        <v/>
      </c>
      <c r="J401" s="400" t="str">
        <f>IF('Mapa final'!AA404="","",'Mapa final'!AA404)</f>
        <v/>
      </c>
      <c r="K401" s="400" t="str">
        <f t="shared" si="6"/>
        <v/>
      </c>
      <c r="L401" s="400" t="str">
        <f>IF('Mapa final'!AD404="","",'Mapa final'!AD404)</f>
        <v/>
      </c>
      <c r="M401" s="339" t="str">
        <f>IF('Mapa final'!P404="","",'Mapa final'!P404)</f>
        <v/>
      </c>
      <c r="N401" s="397"/>
      <c r="O401" s="397"/>
      <c r="P401" s="397"/>
      <c r="Q401" s="398"/>
    </row>
    <row r="402" spans="1:17" x14ac:dyDescent="0.25">
      <c r="A402" s="115" t="s">
        <v>634</v>
      </c>
      <c r="B402" s="857"/>
      <c r="C402" s="863"/>
      <c r="D402" s="861"/>
      <c r="E402" s="863"/>
      <c r="F402" s="865"/>
      <c r="G402" s="865"/>
      <c r="H402" s="867"/>
      <c r="I402" s="400" t="str">
        <f>IF('Mapa final'!Y405="","",'Mapa final'!Y405)</f>
        <v/>
      </c>
      <c r="J402" s="400" t="str">
        <f>IF('Mapa final'!AA405="","",'Mapa final'!AA405)</f>
        <v/>
      </c>
      <c r="K402" s="400" t="str">
        <f t="shared" si="6"/>
        <v/>
      </c>
      <c r="L402" s="400" t="str">
        <f>IF('Mapa final'!AD405="","",'Mapa final'!AD405)</f>
        <v/>
      </c>
      <c r="M402" s="339" t="str">
        <f>IF('Mapa final'!P405="","",'Mapa final'!P405)</f>
        <v/>
      </c>
      <c r="N402" s="397"/>
      <c r="O402" s="397"/>
      <c r="P402" s="397"/>
      <c r="Q402" s="398"/>
    </row>
    <row r="403" spans="1:17" x14ac:dyDescent="0.25">
      <c r="A403" s="115" t="s">
        <v>635</v>
      </c>
      <c r="B403" s="856"/>
      <c r="C403" s="862" t="str">
        <f>IF('Mapa final'!E406="","",'Mapa final'!E406)</f>
        <v/>
      </c>
      <c r="D403" s="860"/>
      <c r="E403" s="862" t="str">
        <f>IF('Mapa final'!D406="","",'Mapa final'!D406)</f>
        <v/>
      </c>
      <c r="F403" s="865" t="str">
        <f>IF('Mapa final'!H406="","",'Mapa final'!H406)</f>
        <v/>
      </c>
      <c r="G403" s="865" t="str">
        <f>IF('Mapa final'!L406="","",'Mapa final'!L406)</f>
        <v/>
      </c>
      <c r="H403" s="86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0" t="str">
        <f>IF('Mapa final'!Y406="","",'Mapa final'!Y406)</f>
        <v/>
      </c>
      <c r="J403" s="400" t="str">
        <f>IF('Mapa final'!AA406="","",'Mapa final'!AA406)</f>
        <v/>
      </c>
      <c r="K403" s="400" t="str">
        <f t="shared" si="6"/>
        <v/>
      </c>
      <c r="L403" s="400" t="str">
        <f>IF('Mapa final'!AD406="","",'Mapa final'!AD406)</f>
        <v/>
      </c>
      <c r="M403" s="339" t="str">
        <f>IF('Mapa final'!P406="","",'Mapa final'!P406)</f>
        <v/>
      </c>
      <c r="N403" s="397"/>
      <c r="O403" s="397"/>
      <c r="P403" s="397"/>
      <c r="Q403" s="398"/>
    </row>
    <row r="404" spans="1:17" x14ac:dyDescent="0.25">
      <c r="A404" s="115" t="s">
        <v>636</v>
      </c>
      <c r="B404" s="857"/>
      <c r="C404" s="863"/>
      <c r="D404" s="861"/>
      <c r="E404" s="863"/>
      <c r="F404" s="865"/>
      <c r="G404" s="865"/>
      <c r="H404" s="867"/>
      <c r="I404" s="400" t="str">
        <f>IF('Mapa final'!Y407="","",'Mapa final'!Y407)</f>
        <v/>
      </c>
      <c r="J404" s="400" t="str">
        <f>IF('Mapa final'!AA407="","",'Mapa final'!AA407)</f>
        <v/>
      </c>
      <c r="K404" s="400" t="str">
        <f t="shared" si="6"/>
        <v/>
      </c>
      <c r="L404" s="400" t="str">
        <f>IF('Mapa final'!AD407="","",'Mapa final'!AD407)</f>
        <v/>
      </c>
      <c r="M404" s="339" t="str">
        <f>IF('Mapa final'!P407="","",'Mapa final'!P407)</f>
        <v/>
      </c>
      <c r="N404" s="397"/>
      <c r="O404" s="397"/>
      <c r="P404" s="397"/>
      <c r="Q404" s="398"/>
    </row>
    <row r="405" spans="1:17" x14ac:dyDescent="0.25">
      <c r="A405" s="115" t="s">
        <v>637</v>
      </c>
      <c r="B405" s="857"/>
      <c r="C405" s="863"/>
      <c r="D405" s="861"/>
      <c r="E405" s="863"/>
      <c r="F405" s="865"/>
      <c r="G405" s="865"/>
      <c r="H405" s="867"/>
      <c r="I405" s="400" t="str">
        <f>IF('Mapa final'!Y408="","",'Mapa final'!Y408)</f>
        <v/>
      </c>
      <c r="J405" s="400" t="str">
        <f>IF('Mapa final'!AA408="","",'Mapa final'!AA408)</f>
        <v/>
      </c>
      <c r="K405" s="400" t="str">
        <f t="shared" si="6"/>
        <v/>
      </c>
      <c r="L405" s="400" t="str">
        <f>IF('Mapa final'!AD408="","",'Mapa final'!AD408)</f>
        <v/>
      </c>
      <c r="M405" s="339" t="str">
        <f>IF('Mapa final'!P408="","",'Mapa final'!P408)</f>
        <v/>
      </c>
      <c r="N405" s="397"/>
      <c r="O405" s="397"/>
      <c r="P405" s="397"/>
      <c r="Q405" s="398"/>
    </row>
    <row r="406" spans="1:17" x14ac:dyDescent="0.25">
      <c r="A406" s="115" t="s">
        <v>638</v>
      </c>
      <c r="B406" s="857"/>
      <c r="C406" s="863"/>
      <c r="D406" s="861"/>
      <c r="E406" s="863"/>
      <c r="F406" s="865"/>
      <c r="G406" s="865"/>
      <c r="H406" s="867"/>
      <c r="I406" s="400" t="str">
        <f>IF('Mapa final'!Y409="","",'Mapa final'!Y409)</f>
        <v/>
      </c>
      <c r="J406" s="400" t="str">
        <f>IF('Mapa final'!AA409="","",'Mapa final'!AA409)</f>
        <v/>
      </c>
      <c r="K406" s="400" t="str">
        <f t="shared" si="6"/>
        <v/>
      </c>
      <c r="L406" s="400" t="str">
        <f>IF('Mapa final'!AD409="","",'Mapa final'!AD409)</f>
        <v/>
      </c>
      <c r="M406" s="339" t="str">
        <f>IF('Mapa final'!P409="","",'Mapa final'!P409)</f>
        <v/>
      </c>
      <c r="N406" s="397"/>
      <c r="O406" s="397"/>
      <c r="P406" s="397"/>
      <c r="Q406" s="398"/>
    </row>
    <row r="407" spans="1:17" x14ac:dyDescent="0.25">
      <c r="A407" s="115" t="s">
        <v>639</v>
      </c>
      <c r="B407" s="857"/>
      <c r="C407" s="863"/>
      <c r="D407" s="861"/>
      <c r="E407" s="863"/>
      <c r="F407" s="865"/>
      <c r="G407" s="865"/>
      <c r="H407" s="867"/>
      <c r="I407" s="400" t="str">
        <f>IF('Mapa final'!Y410="","",'Mapa final'!Y410)</f>
        <v/>
      </c>
      <c r="J407" s="400" t="str">
        <f>IF('Mapa final'!AA410="","",'Mapa final'!AA410)</f>
        <v/>
      </c>
      <c r="K407" s="400" t="str">
        <f t="shared" si="6"/>
        <v/>
      </c>
      <c r="L407" s="400" t="str">
        <f>IF('Mapa final'!AD410="","",'Mapa final'!AD410)</f>
        <v/>
      </c>
      <c r="M407" s="339" t="str">
        <f>IF('Mapa final'!P410="","",'Mapa final'!P410)</f>
        <v/>
      </c>
      <c r="N407" s="397"/>
      <c r="O407" s="397"/>
      <c r="P407" s="397"/>
      <c r="Q407" s="398"/>
    </row>
    <row r="408" spans="1:17" x14ac:dyDescent="0.25">
      <c r="A408" s="115" t="s">
        <v>640</v>
      </c>
      <c r="B408" s="857"/>
      <c r="C408" s="863"/>
      <c r="D408" s="861"/>
      <c r="E408" s="863"/>
      <c r="F408" s="865"/>
      <c r="G408" s="865"/>
      <c r="H408" s="867"/>
      <c r="I408" s="400" t="str">
        <f>IF('Mapa final'!Y411="","",'Mapa final'!Y411)</f>
        <v/>
      </c>
      <c r="J408" s="400" t="str">
        <f>IF('Mapa final'!AA411="","",'Mapa final'!AA411)</f>
        <v/>
      </c>
      <c r="K408" s="400" t="str">
        <f t="shared" si="6"/>
        <v/>
      </c>
      <c r="L408" s="400" t="str">
        <f>IF('Mapa final'!AD411="","",'Mapa final'!AD411)</f>
        <v/>
      </c>
      <c r="M408" s="339" t="str">
        <f>IF('Mapa final'!P411="","",'Mapa final'!P411)</f>
        <v/>
      </c>
      <c r="N408" s="397"/>
      <c r="O408" s="397"/>
      <c r="P408" s="397"/>
      <c r="Q408" s="398"/>
    </row>
    <row r="409" spans="1:17" x14ac:dyDescent="0.25">
      <c r="A409" s="115" t="s">
        <v>641</v>
      </c>
      <c r="B409" s="856"/>
      <c r="C409" s="862" t="str">
        <f>IF('Mapa final'!E412="","",'Mapa final'!E412)</f>
        <v/>
      </c>
      <c r="D409" s="860"/>
      <c r="E409" s="862" t="str">
        <f>IF('Mapa final'!D412="","",'Mapa final'!D412)</f>
        <v/>
      </c>
      <c r="F409" s="865" t="str">
        <f>IF('Mapa final'!H412="","",'Mapa final'!H412)</f>
        <v/>
      </c>
      <c r="G409" s="865" t="str">
        <f>IF('Mapa final'!L412="","",'Mapa final'!L412)</f>
        <v/>
      </c>
      <c r="H409" s="86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0" t="str">
        <f>IF('Mapa final'!Y412="","",'Mapa final'!Y412)</f>
        <v/>
      </c>
      <c r="J409" s="400" t="str">
        <f>IF('Mapa final'!AA412="","",'Mapa final'!AA412)</f>
        <v/>
      </c>
      <c r="K409" s="400" t="str">
        <f t="shared" si="6"/>
        <v/>
      </c>
      <c r="L409" s="400" t="str">
        <f>IF('Mapa final'!AD412="","",'Mapa final'!AD412)</f>
        <v/>
      </c>
      <c r="M409" s="339" t="str">
        <f>IF('Mapa final'!P412="","",'Mapa final'!P412)</f>
        <v/>
      </c>
      <c r="N409" s="397"/>
      <c r="O409" s="397"/>
      <c r="P409" s="397"/>
      <c r="Q409" s="398"/>
    </row>
    <row r="410" spans="1:17" x14ac:dyDescent="0.25">
      <c r="A410" s="115" t="s">
        <v>642</v>
      </c>
      <c r="B410" s="857"/>
      <c r="C410" s="863"/>
      <c r="D410" s="861"/>
      <c r="E410" s="863"/>
      <c r="F410" s="865"/>
      <c r="G410" s="865"/>
      <c r="H410" s="867"/>
      <c r="I410" s="400" t="str">
        <f>IF('Mapa final'!Y413="","",'Mapa final'!Y413)</f>
        <v/>
      </c>
      <c r="J410" s="400" t="str">
        <f>IF('Mapa final'!AA413="","",'Mapa final'!AA413)</f>
        <v/>
      </c>
      <c r="K410" s="400" t="str">
        <f t="shared" si="6"/>
        <v/>
      </c>
      <c r="L410" s="400" t="str">
        <f>IF('Mapa final'!AD413="","",'Mapa final'!AD413)</f>
        <v/>
      </c>
      <c r="M410" s="339" t="str">
        <f>IF('Mapa final'!P413="","",'Mapa final'!P413)</f>
        <v/>
      </c>
      <c r="N410" s="397"/>
      <c r="O410" s="397"/>
      <c r="P410" s="397"/>
      <c r="Q410" s="398"/>
    </row>
    <row r="411" spans="1:17" x14ac:dyDescent="0.25">
      <c r="A411" s="115" t="s">
        <v>643</v>
      </c>
      <c r="B411" s="857"/>
      <c r="C411" s="863"/>
      <c r="D411" s="861"/>
      <c r="E411" s="863"/>
      <c r="F411" s="865"/>
      <c r="G411" s="865"/>
      <c r="H411" s="867"/>
      <c r="I411" s="400" t="str">
        <f>IF('Mapa final'!Y414="","",'Mapa final'!Y414)</f>
        <v/>
      </c>
      <c r="J411" s="400" t="str">
        <f>IF('Mapa final'!AA414="","",'Mapa final'!AA414)</f>
        <v/>
      </c>
      <c r="K411" s="400" t="str">
        <f t="shared" si="6"/>
        <v/>
      </c>
      <c r="L411" s="400" t="str">
        <f>IF('Mapa final'!AD414="","",'Mapa final'!AD414)</f>
        <v/>
      </c>
      <c r="M411" s="339" t="str">
        <f>IF('Mapa final'!P414="","",'Mapa final'!P414)</f>
        <v/>
      </c>
      <c r="N411" s="397"/>
      <c r="O411" s="397"/>
      <c r="P411" s="397"/>
      <c r="Q411" s="398"/>
    </row>
    <row r="412" spans="1:17" x14ac:dyDescent="0.25">
      <c r="A412" s="115" t="s">
        <v>644</v>
      </c>
      <c r="B412" s="857"/>
      <c r="C412" s="863"/>
      <c r="D412" s="861"/>
      <c r="E412" s="863"/>
      <c r="F412" s="865"/>
      <c r="G412" s="865"/>
      <c r="H412" s="867"/>
      <c r="I412" s="400" t="str">
        <f>IF('Mapa final'!Y415="","",'Mapa final'!Y415)</f>
        <v/>
      </c>
      <c r="J412" s="400" t="str">
        <f>IF('Mapa final'!AA415="","",'Mapa final'!AA415)</f>
        <v/>
      </c>
      <c r="K412" s="400" t="str">
        <f t="shared" si="6"/>
        <v/>
      </c>
      <c r="L412" s="400" t="str">
        <f>IF('Mapa final'!AD415="","",'Mapa final'!AD415)</f>
        <v/>
      </c>
      <c r="M412" s="339" t="str">
        <f>IF('Mapa final'!P415="","",'Mapa final'!P415)</f>
        <v/>
      </c>
      <c r="N412" s="397"/>
      <c r="O412" s="397"/>
      <c r="P412" s="397"/>
      <c r="Q412" s="398"/>
    </row>
    <row r="413" spans="1:17" x14ac:dyDescent="0.25">
      <c r="A413" s="115" t="s">
        <v>645</v>
      </c>
      <c r="B413" s="857"/>
      <c r="C413" s="863"/>
      <c r="D413" s="861"/>
      <c r="E413" s="863"/>
      <c r="F413" s="865"/>
      <c r="G413" s="865"/>
      <c r="H413" s="867"/>
      <c r="I413" s="400" t="str">
        <f>IF('Mapa final'!Y416="","",'Mapa final'!Y416)</f>
        <v/>
      </c>
      <c r="J413" s="400" t="str">
        <f>IF('Mapa final'!AA416="","",'Mapa final'!AA416)</f>
        <v/>
      </c>
      <c r="K413" s="400" t="str">
        <f t="shared" si="6"/>
        <v/>
      </c>
      <c r="L413" s="400" t="str">
        <f>IF('Mapa final'!AD416="","",'Mapa final'!AD416)</f>
        <v/>
      </c>
      <c r="M413" s="339" t="str">
        <f>IF('Mapa final'!P416="","",'Mapa final'!P416)</f>
        <v/>
      </c>
      <c r="N413" s="397"/>
      <c r="O413" s="397"/>
      <c r="P413" s="397"/>
      <c r="Q413" s="398"/>
    </row>
    <row r="414" spans="1:17" x14ac:dyDescent="0.25">
      <c r="A414" s="115" t="s">
        <v>646</v>
      </c>
      <c r="B414" s="857"/>
      <c r="C414" s="863"/>
      <c r="D414" s="861"/>
      <c r="E414" s="863"/>
      <c r="F414" s="865"/>
      <c r="G414" s="865"/>
      <c r="H414" s="867"/>
      <c r="I414" s="400" t="str">
        <f>IF('Mapa final'!Y417="","",'Mapa final'!Y417)</f>
        <v/>
      </c>
      <c r="J414" s="400" t="str">
        <f>IF('Mapa final'!AA417="","",'Mapa final'!AA417)</f>
        <v/>
      </c>
      <c r="K414" s="400" t="str">
        <f t="shared" si="6"/>
        <v/>
      </c>
      <c r="L414" s="400" t="str">
        <f>IF('Mapa final'!AD417="","",'Mapa final'!AD417)</f>
        <v/>
      </c>
      <c r="M414" s="339" t="str">
        <f>IF('Mapa final'!P417="","",'Mapa final'!P417)</f>
        <v/>
      </c>
      <c r="N414" s="397"/>
      <c r="O414" s="397"/>
      <c r="P414" s="397"/>
      <c r="Q414" s="398"/>
    </row>
    <row r="415" spans="1:17" x14ac:dyDescent="0.25">
      <c r="A415" s="115" t="s">
        <v>647</v>
      </c>
      <c r="B415" s="856"/>
      <c r="C415" s="862" t="str">
        <f>IF('Mapa final'!E418="","",'Mapa final'!E418)</f>
        <v/>
      </c>
      <c r="D415" s="860"/>
      <c r="E415" s="862" t="str">
        <f>IF('Mapa final'!D418="","",'Mapa final'!D418)</f>
        <v/>
      </c>
      <c r="F415" s="865" t="str">
        <f>IF('Mapa final'!H418="","",'Mapa final'!H418)</f>
        <v/>
      </c>
      <c r="G415" s="865" t="str">
        <f>IF('Mapa final'!L418="","",'Mapa final'!L418)</f>
        <v/>
      </c>
      <c r="H415" s="86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0" t="str">
        <f>IF('Mapa final'!Y418="","",'Mapa final'!Y418)</f>
        <v/>
      </c>
      <c r="J415" s="400" t="str">
        <f>IF('Mapa final'!AA418="","",'Mapa final'!AA418)</f>
        <v/>
      </c>
      <c r="K415" s="400" t="str">
        <f t="shared" si="6"/>
        <v/>
      </c>
      <c r="L415" s="400" t="str">
        <f>IF('Mapa final'!AD418="","",'Mapa final'!AD418)</f>
        <v/>
      </c>
      <c r="M415" s="339" t="str">
        <f>IF('Mapa final'!P418="","",'Mapa final'!P418)</f>
        <v/>
      </c>
      <c r="N415" s="397"/>
      <c r="O415" s="397"/>
      <c r="P415" s="397"/>
      <c r="Q415" s="398"/>
    </row>
    <row r="416" spans="1:17" x14ac:dyDescent="0.25">
      <c r="A416" s="115" t="s">
        <v>648</v>
      </c>
      <c r="B416" s="857"/>
      <c r="C416" s="863"/>
      <c r="D416" s="861"/>
      <c r="E416" s="863"/>
      <c r="F416" s="865"/>
      <c r="G416" s="865"/>
      <c r="H416" s="867"/>
      <c r="I416" s="400" t="str">
        <f>IF('Mapa final'!Y419="","",'Mapa final'!Y419)</f>
        <v/>
      </c>
      <c r="J416" s="400" t="str">
        <f>IF('Mapa final'!AA419="","",'Mapa final'!AA419)</f>
        <v/>
      </c>
      <c r="K416" s="400" t="str">
        <f t="shared" si="6"/>
        <v/>
      </c>
      <c r="L416" s="400" t="str">
        <f>IF('Mapa final'!AD419="","",'Mapa final'!AD419)</f>
        <v/>
      </c>
      <c r="M416" s="339" t="str">
        <f>IF('Mapa final'!P419="","",'Mapa final'!P419)</f>
        <v/>
      </c>
      <c r="N416" s="397"/>
      <c r="O416" s="397"/>
      <c r="P416" s="397"/>
      <c r="Q416" s="398"/>
    </row>
    <row r="417" spans="1:18" x14ac:dyDescent="0.25">
      <c r="A417" s="115" t="s">
        <v>649</v>
      </c>
      <c r="B417" s="857"/>
      <c r="C417" s="863"/>
      <c r="D417" s="861"/>
      <c r="E417" s="863"/>
      <c r="F417" s="865"/>
      <c r="G417" s="865"/>
      <c r="H417" s="867"/>
      <c r="I417" s="400" t="str">
        <f>IF('Mapa final'!Y420="","",'Mapa final'!Y420)</f>
        <v/>
      </c>
      <c r="J417" s="400" t="str">
        <f>IF('Mapa final'!AA420="","",'Mapa final'!AA420)</f>
        <v/>
      </c>
      <c r="K417" s="400" t="str">
        <f t="shared" si="6"/>
        <v/>
      </c>
      <c r="L417" s="400" t="str">
        <f>IF('Mapa final'!AD420="","",'Mapa final'!AD420)</f>
        <v/>
      </c>
      <c r="M417" s="339" t="str">
        <f>IF('Mapa final'!P420="","",'Mapa final'!P420)</f>
        <v/>
      </c>
      <c r="N417" s="397"/>
      <c r="O417" s="397"/>
      <c r="P417" s="397"/>
      <c r="Q417" s="398"/>
    </row>
    <row r="418" spans="1:18" x14ac:dyDescent="0.25">
      <c r="A418" s="115" t="s">
        <v>650</v>
      </c>
      <c r="B418" s="857"/>
      <c r="C418" s="863"/>
      <c r="D418" s="861"/>
      <c r="E418" s="863"/>
      <c r="F418" s="865"/>
      <c r="G418" s="865"/>
      <c r="H418" s="867"/>
      <c r="I418" s="400" t="str">
        <f>IF('Mapa final'!Y421="","",'Mapa final'!Y421)</f>
        <v/>
      </c>
      <c r="J418" s="400" t="str">
        <f>IF('Mapa final'!AA421="","",'Mapa final'!AA421)</f>
        <v/>
      </c>
      <c r="K418" s="400" t="str">
        <f t="shared" si="6"/>
        <v/>
      </c>
      <c r="L418" s="400" t="str">
        <f>IF('Mapa final'!AD421="","",'Mapa final'!AD421)</f>
        <v/>
      </c>
      <c r="M418" s="339" t="str">
        <f>IF('Mapa final'!P421="","",'Mapa final'!P421)</f>
        <v/>
      </c>
      <c r="N418" s="397"/>
      <c r="O418" s="397"/>
      <c r="P418" s="397"/>
      <c r="Q418" s="398"/>
    </row>
    <row r="419" spans="1:18" x14ac:dyDescent="0.25">
      <c r="A419" s="115" t="s">
        <v>651</v>
      </c>
      <c r="B419" s="857"/>
      <c r="C419" s="863"/>
      <c r="D419" s="861"/>
      <c r="E419" s="863"/>
      <c r="F419" s="865"/>
      <c r="G419" s="865"/>
      <c r="H419" s="867"/>
      <c r="I419" s="400" t="str">
        <f>IF('Mapa final'!Y422="","",'Mapa final'!Y422)</f>
        <v/>
      </c>
      <c r="J419" s="400" t="str">
        <f>IF('Mapa final'!AA422="","",'Mapa final'!AA422)</f>
        <v/>
      </c>
      <c r="K419" s="400" t="str">
        <f t="shared" si="6"/>
        <v/>
      </c>
      <c r="L419" s="400" t="str">
        <f>IF('Mapa final'!AD422="","",'Mapa final'!AD422)</f>
        <v/>
      </c>
      <c r="M419" s="339" t="str">
        <f>IF('Mapa final'!P422="","",'Mapa final'!P422)</f>
        <v/>
      </c>
      <c r="N419" s="397"/>
      <c r="O419" s="397"/>
      <c r="P419" s="397"/>
      <c r="Q419" s="398"/>
    </row>
    <row r="420" spans="1:18" x14ac:dyDescent="0.25">
      <c r="A420" s="115" t="s">
        <v>652</v>
      </c>
      <c r="B420" s="857"/>
      <c r="C420" s="863"/>
      <c r="D420" s="861"/>
      <c r="E420" s="863"/>
      <c r="F420" s="865"/>
      <c r="G420" s="865"/>
      <c r="H420" s="867"/>
      <c r="I420" s="400" t="str">
        <f>IF('Mapa final'!Y423="","",'Mapa final'!Y423)</f>
        <v/>
      </c>
      <c r="J420" s="400" t="str">
        <f>IF('Mapa final'!AA423="","",'Mapa final'!AA423)</f>
        <v/>
      </c>
      <c r="K420" s="400" t="str">
        <f t="shared" si="6"/>
        <v/>
      </c>
      <c r="L420" s="400" t="str">
        <f>IF('Mapa final'!AD423="","",'Mapa final'!AD423)</f>
        <v/>
      </c>
      <c r="M420" s="339" t="str">
        <f>IF('Mapa final'!P423="","",'Mapa final'!P423)</f>
        <v/>
      </c>
      <c r="N420" s="397"/>
      <c r="O420" s="397"/>
      <c r="P420" s="397"/>
      <c r="Q420" s="398"/>
    </row>
    <row r="421" spans="1:18" x14ac:dyDescent="0.25">
      <c r="A421" s="115" t="s">
        <v>653</v>
      </c>
      <c r="B421" s="856"/>
      <c r="C421" s="862" t="str">
        <f>IF('Mapa final'!E424="","",'Mapa final'!E424)</f>
        <v/>
      </c>
      <c r="D421" s="860"/>
      <c r="E421" s="862" t="str">
        <f>IF('Mapa final'!D424="","",'Mapa final'!D424)</f>
        <v/>
      </c>
      <c r="F421" s="865" t="str">
        <f>IF('Mapa final'!H424="","",'Mapa final'!H424)</f>
        <v/>
      </c>
      <c r="G421" s="865" t="str">
        <f>IF('Mapa final'!L424="","",'Mapa final'!L424)</f>
        <v/>
      </c>
      <c r="H421" s="86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0" t="str">
        <f>IF('Mapa final'!Y424="","",'Mapa final'!Y424)</f>
        <v/>
      </c>
      <c r="J421" s="400" t="str">
        <f>IF('Mapa final'!AA424="","",'Mapa final'!AA424)</f>
        <v/>
      </c>
      <c r="K421" s="400" t="str">
        <f t="shared" si="6"/>
        <v/>
      </c>
      <c r="L421" s="400" t="str">
        <f>IF('Mapa final'!AD424="","",'Mapa final'!AD424)</f>
        <v/>
      </c>
      <c r="M421" s="339" t="str">
        <f>IF('Mapa final'!P424="","",'Mapa final'!P424)</f>
        <v/>
      </c>
      <c r="N421" s="397"/>
      <c r="O421" s="397"/>
      <c r="P421" s="397"/>
      <c r="Q421" s="398"/>
    </row>
    <row r="422" spans="1:18" x14ac:dyDescent="0.25">
      <c r="A422" s="115" t="s">
        <v>654</v>
      </c>
      <c r="B422" s="857"/>
      <c r="C422" s="863"/>
      <c r="D422" s="861"/>
      <c r="E422" s="863"/>
      <c r="F422" s="865"/>
      <c r="G422" s="865"/>
      <c r="H422" s="867"/>
      <c r="I422" s="400" t="str">
        <f>IF('Mapa final'!Y425="","",'Mapa final'!Y425)</f>
        <v/>
      </c>
      <c r="J422" s="400" t="str">
        <f>IF('Mapa final'!AA425="","",'Mapa final'!AA425)</f>
        <v/>
      </c>
      <c r="K422" s="400" t="str">
        <f t="shared" si="6"/>
        <v/>
      </c>
      <c r="L422" s="400" t="str">
        <f>IF('Mapa final'!AD425="","",'Mapa final'!AD425)</f>
        <v/>
      </c>
      <c r="M422" s="339" t="str">
        <f>IF('Mapa final'!P425="","",'Mapa final'!P425)</f>
        <v/>
      </c>
      <c r="N422" s="397"/>
      <c r="O422" s="397"/>
      <c r="P422" s="397"/>
      <c r="Q422" s="398"/>
    </row>
    <row r="423" spans="1:18" x14ac:dyDescent="0.25">
      <c r="A423" s="115" t="s">
        <v>655</v>
      </c>
      <c r="B423" s="857"/>
      <c r="C423" s="863"/>
      <c r="D423" s="861"/>
      <c r="E423" s="863"/>
      <c r="F423" s="865"/>
      <c r="G423" s="865"/>
      <c r="H423" s="867"/>
      <c r="I423" s="400" t="str">
        <f>IF('Mapa final'!Y426="","",'Mapa final'!Y426)</f>
        <v/>
      </c>
      <c r="J423" s="400" t="str">
        <f>IF('Mapa final'!AA426="","",'Mapa final'!AA426)</f>
        <v/>
      </c>
      <c r="K423" s="400" t="str">
        <f t="shared" si="6"/>
        <v/>
      </c>
      <c r="L423" s="400" t="str">
        <f>IF('Mapa final'!AD426="","",'Mapa final'!AD426)</f>
        <v/>
      </c>
      <c r="M423" s="339" t="str">
        <f>IF('Mapa final'!P426="","",'Mapa final'!P426)</f>
        <v/>
      </c>
      <c r="N423" s="397"/>
      <c r="O423" s="397"/>
      <c r="P423" s="397"/>
      <c r="Q423" s="398"/>
    </row>
    <row r="424" spans="1:18" x14ac:dyDescent="0.25">
      <c r="A424" s="115" t="s">
        <v>656</v>
      </c>
      <c r="B424" s="857"/>
      <c r="C424" s="863"/>
      <c r="D424" s="861"/>
      <c r="E424" s="863"/>
      <c r="F424" s="865"/>
      <c r="G424" s="865"/>
      <c r="H424" s="867"/>
      <c r="I424" s="400" t="str">
        <f>IF('Mapa final'!Y427="","",'Mapa final'!Y427)</f>
        <v/>
      </c>
      <c r="J424" s="400" t="str">
        <f>IF('Mapa final'!AA427="","",'Mapa final'!AA427)</f>
        <v/>
      </c>
      <c r="K424" s="400" t="str">
        <f t="shared" si="6"/>
        <v/>
      </c>
      <c r="L424" s="400" t="str">
        <f>IF('Mapa final'!AD427="","",'Mapa final'!AD427)</f>
        <v/>
      </c>
      <c r="M424" s="339" t="str">
        <f>IF('Mapa final'!P427="","",'Mapa final'!P427)</f>
        <v/>
      </c>
      <c r="N424" s="397"/>
      <c r="O424" s="397"/>
      <c r="P424" s="397"/>
      <c r="Q424" s="398"/>
    </row>
    <row r="425" spans="1:18" x14ac:dyDescent="0.25">
      <c r="A425" s="115" t="s">
        <v>657</v>
      </c>
      <c r="B425" s="857"/>
      <c r="C425" s="863"/>
      <c r="D425" s="861"/>
      <c r="E425" s="863"/>
      <c r="F425" s="865"/>
      <c r="G425" s="865"/>
      <c r="H425" s="867"/>
      <c r="I425" s="400" t="str">
        <f>IF('Mapa final'!Y428="","",'Mapa final'!Y428)</f>
        <v/>
      </c>
      <c r="J425" s="400" t="str">
        <f>IF('Mapa final'!AA428="","",'Mapa final'!AA428)</f>
        <v/>
      </c>
      <c r="K425" s="400" t="str">
        <f t="shared" si="6"/>
        <v/>
      </c>
      <c r="L425" s="400" t="str">
        <f>IF('Mapa final'!AD428="","",'Mapa final'!AD428)</f>
        <v/>
      </c>
      <c r="M425" s="339" t="str">
        <f>IF('Mapa final'!P428="","",'Mapa final'!P428)</f>
        <v/>
      </c>
      <c r="N425" s="397"/>
      <c r="O425" s="397"/>
      <c r="P425" s="397"/>
      <c r="Q425" s="398"/>
    </row>
    <row r="426" spans="1:18" x14ac:dyDescent="0.25">
      <c r="A426" s="115" t="s">
        <v>658</v>
      </c>
      <c r="B426" s="857"/>
      <c r="C426" s="863"/>
      <c r="D426" s="861"/>
      <c r="E426" s="863"/>
      <c r="F426" s="865"/>
      <c r="G426" s="865"/>
      <c r="H426" s="867"/>
      <c r="I426" s="400" t="str">
        <f>IF('Mapa final'!Y429="","",'Mapa final'!Y429)</f>
        <v/>
      </c>
      <c r="J426" s="400" t="str">
        <f>IF('Mapa final'!AA429="","",'Mapa final'!AA429)</f>
        <v/>
      </c>
      <c r="K426" s="400" t="str">
        <f t="shared" si="6"/>
        <v/>
      </c>
      <c r="L426" s="400" t="str">
        <f>IF('Mapa final'!AD429="","",'Mapa final'!AD429)</f>
        <v/>
      </c>
      <c r="M426" s="339" t="str">
        <f>IF('Mapa final'!P429="","",'Mapa final'!P429)</f>
        <v/>
      </c>
      <c r="N426" s="397"/>
      <c r="O426" s="397"/>
      <c r="P426" s="397"/>
      <c r="Q426" s="398"/>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X2H1uHUxFvuTQUXn8uEaWg9OyVmaSt1MInKvO1nIyDQh364vNgbwemjYl5d92rXqJo670Kcv9mddKopyuVStOA==" saltValue="eaWV1LJ0/nwKEj160rKmF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0" sqref="B9:F1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71" t="s">
        <v>659</v>
      </c>
      <c r="C1" s="871"/>
      <c r="D1" s="87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5"/>
      <c r="C3" s="286" t="s">
        <v>660</v>
      </c>
      <c r="D3" s="286" t="s">
        <v>188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7" t="s">
        <v>661</v>
      </c>
      <c r="C4" s="288" t="s">
        <v>662</v>
      </c>
      <c r="D4" s="28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0" t="s">
        <v>663</v>
      </c>
      <c r="C5" s="291" t="s">
        <v>664</v>
      </c>
      <c r="D5" s="29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3" t="s">
        <v>665</v>
      </c>
      <c r="C6" s="291" t="s">
        <v>666</v>
      </c>
      <c r="D6" s="29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4" t="s">
        <v>667</v>
      </c>
      <c r="C7" s="291" t="s">
        <v>668</v>
      </c>
      <c r="D7" s="29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5" t="s">
        <v>669</v>
      </c>
      <c r="C8" s="291" t="s">
        <v>670</v>
      </c>
      <c r="D8" s="29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6"/>
      <c r="C9" s="296"/>
      <c r="D9" s="29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4"/>
      <c r="B10" s="335"/>
      <c r="C10" s="334"/>
      <c r="D10" s="334"/>
      <c r="E10" s="334"/>
      <c r="F10" s="334"/>
      <c r="G10" s="334"/>
      <c r="H10" s="334"/>
      <c r="I10" s="334"/>
      <c r="J10" s="334"/>
      <c r="K10" s="334"/>
      <c r="L10" s="334"/>
      <c r="M10" s="334"/>
      <c r="N10" s="334"/>
      <c r="O10" s="334"/>
      <c r="P10" s="33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4"/>
      <c r="B11" s="334"/>
      <c r="C11" s="334"/>
      <c r="D11" s="334"/>
      <c r="E11" s="334"/>
      <c r="F11" s="334"/>
      <c r="G11" s="334"/>
      <c r="H11" s="334"/>
      <c r="I11" s="334"/>
      <c r="J11" s="334"/>
      <c r="K11" s="334"/>
      <c r="L11" s="334"/>
      <c r="M11" s="334"/>
      <c r="N11" s="334"/>
      <c r="O11" s="334"/>
      <c r="P11" s="33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4"/>
      <c r="B12" s="334"/>
      <c r="C12" s="334"/>
      <c r="D12" s="334"/>
      <c r="E12" s="334"/>
      <c r="F12" s="334"/>
      <c r="G12" s="334"/>
      <c r="H12" s="334"/>
      <c r="I12" s="334"/>
      <c r="J12" s="334"/>
      <c r="K12" s="334"/>
      <c r="L12" s="334"/>
      <c r="M12" s="334"/>
      <c r="N12" s="334"/>
      <c r="O12" s="334"/>
      <c r="P12" s="33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4"/>
      <c r="B13" s="334"/>
      <c r="C13" s="334"/>
      <c r="D13" s="334"/>
      <c r="E13" s="334"/>
      <c r="F13" s="334"/>
      <c r="G13" s="334"/>
      <c r="H13" s="334"/>
      <c r="I13" s="334"/>
      <c r="J13" s="334"/>
      <c r="K13" s="334"/>
      <c r="L13" s="334"/>
      <c r="M13" s="334"/>
      <c r="N13" s="334"/>
      <c r="O13" s="334"/>
      <c r="P13" s="33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4"/>
      <c r="B14" s="334"/>
      <c r="C14" s="334"/>
      <c r="D14" s="334"/>
      <c r="E14" s="334"/>
      <c r="F14" s="334"/>
      <c r="G14" s="334"/>
      <c r="H14" s="334"/>
      <c r="I14" s="334"/>
      <c r="J14" s="334"/>
      <c r="K14" s="334"/>
      <c r="L14" s="334"/>
      <c r="M14" s="334"/>
      <c r="N14" s="334"/>
      <c r="O14" s="334"/>
      <c r="P14" s="33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4"/>
      <c r="B15" s="334"/>
      <c r="C15" s="334"/>
      <c r="D15" s="334"/>
      <c r="E15" s="334"/>
      <c r="F15" s="334"/>
      <c r="G15" s="334"/>
      <c r="H15" s="334"/>
      <c r="I15" s="334"/>
      <c r="J15" s="334"/>
      <c r="K15" s="334"/>
      <c r="L15" s="334"/>
      <c r="M15" s="334"/>
      <c r="N15" s="334"/>
      <c r="O15" s="334"/>
      <c r="P15" s="33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4"/>
      <c r="B16" s="334"/>
      <c r="C16" s="334"/>
      <c r="D16" s="334"/>
      <c r="E16" s="334"/>
      <c r="F16" s="334"/>
      <c r="G16" s="334"/>
      <c r="H16" s="334"/>
      <c r="I16" s="334"/>
      <c r="J16" s="334"/>
      <c r="K16" s="334"/>
      <c r="L16" s="334"/>
      <c r="M16" s="334"/>
      <c r="N16" s="334"/>
      <c r="O16" s="334"/>
      <c r="P16" s="33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4"/>
      <c r="B17" s="334"/>
      <c r="C17" s="334"/>
      <c r="D17" s="334"/>
      <c r="E17" s="334"/>
      <c r="F17" s="334"/>
      <c r="G17" s="334"/>
      <c r="H17" s="334"/>
      <c r="I17" s="334"/>
      <c r="J17" s="334"/>
      <c r="K17" s="334"/>
      <c r="L17" s="334"/>
      <c r="M17" s="334"/>
      <c r="N17" s="334"/>
      <c r="O17" s="334"/>
      <c r="P17" s="33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4"/>
      <c r="B18" s="334"/>
      <c r="C18" s="334"/>
      <c r="D18" s="334"/>
      <c r="E18" s="334"/>
      <c r="F18" s="334"/>
      <c r="G18" s="334"/>
      <c r="H18" s="334"/>
      <c r="I18" s="334"/>
      <c r="J18" s="334"/>
      <c r="K18" s="334"/>
      <c r="L18" s="334"/>
      <c r="M18" s="334"/>
      <c r="N18" s="334"/>
      <c r="O18" s="334"/>
      <c r="P18" s="33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4"/>
      <c r="B19" s="334"/>
      <c r="C19" s="334"/>
      <c r="D19" s="334"/>
      <c r="E19" s="334"/>
      <c r="F19" s="334"/>
      <c r="G19" s="334"/>
      <c r="H19" s="334"/>
      <c r="I19" s="334"/>
      <c r="J19" s="334"/>
      <c r="K19" s="334"/>
      <c r="L19" s="334"/>
      <c r="M19" s="334"/>
      <c r="N19" s="334"/>
      <c r="O19" s="334"/>
      <c r="P19" s="33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4"/>
      <c r="B20" s="334"/>
      <c r="C20" s="334"/>
      <c r="D20" s="334"/>
      <c r="E20" s="334"/>
      <c r="F20" s="334"/>
      <c r="G20" s="334"/>
      <c r="H20" s="334"/>
      <c r="I20" s="334"/>
      <c r="J20" s="334"/>
      <c r="K20" s="334"/>
      <c r="L20" s="334"/>
      <c r="M20" s="334"/>
      <c r="N20" s="334"/>
      <c r="O20" s="334"/>
      <c r="P20" s="33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4"/>
      <c r="B21" s="334"/>
      <c r="C21" s="334"/>
      <c r="D21" s="334"/>
      <c r="E21" s="334"/>
      <c r="F21" s="334"/>
      <c r="G21" s="334"/>
      <c r="H21" s="334"/>
      <c r="I21" s="334"/>
      <c r="J21" s="334"/>
      <c r="K21" s="334"/>
      <c r="L21" s="334"/>
      <c r="M21" s="334"/>
      <c r="N21" s="334"/>
      <c r="O21" s="334"/>
      <c r="P21" s="33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4"/>
      <c r="B22" s="334"/>
      <c r="C22" s="334"/>
      <c r="D22" s="334"/>
      <c r="E22" s="334"/>
      <c r="F22" s="334"/>
      <c r="G22" s="334"/>
      <c r="H22" s="334"/>
      <c r="I22" s="334"/>
      <c r="J22" s="334"/>
      <c r="K22" s="334"/>
      <c r="L22" s="334"/>
      <c r="M22" s="334"/>
      <c r="N22" s="334"/>
      <c r="O22" s="334"/>
      <c r="P22" s="33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4"/>
      <c r="B23" s="334"/>
      <c r="C23" s="334"/>
      <c r="D23" s="334"/>
      <c r="E23" s="334"/>
      <c r="F23" s="334"/>
      <c r="G23" s="334"/>
      <c r="H23" s="334"/>
      <c r="I23" s="334"/>
      <c r="J23" s="334"/>
      <c r="K23" s="334"/>
      <c r="L23" s="334"/>
      <c r="M23" s="334"/>
      <c r="N23" s="334"/>
      <c r="O23" s="334"/>
      <c r="P23" s="33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4"/>
      <c r="B24" s="334"/>
      <c r="C24" s="334"/>
      <c r="D24" s="334"/>
      <c r="E24" s="334"/>
      <c r="F24" s="334"/>
      <c r="G24" s="334"/>
      <c r="H24" s="334"/>
      <c r="I24" s="334"/>
      <c r="J24" s="334"/>
      <c r="K24" s="334"/>
      <c r="L24" s="334"/>
      <c r="M24" s="334"/>
      <c r="N24" s="334"/>
      <c r="O24" s="334"/>
      <c r="P24" s="33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4"/>
      <c r="B25" s="334"/>
      <c r="C25" s="334"/>
      <c r="D25" s="334"/>
      <c r="E25" s="334"/>
      <c r="F25" s="334"/>
      <c r="G25" s="334"/>
      <c r="H25" s="334"/>
      <c r="I25" s="334"/>
      <c r="J25" s="334"/>
      <c r="K25" s="334"/>
      <c r="L25" s="334"/>
      <c r="M25" s="334"/>
      <c r="N25" s="334"/>
      <c r="O25" s="334"/>
      <c r="P25" s="33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4"/>
      <c r="B26" s="334"/>
      <c r="C26" s="334"/>
      <c r="D26" s="334"/>
      <c r="E26" s="334"/>
      <c r="F26" s="334"/>
      <c r="G26" s="334"/>
      <c r="H26" s="334"/>
      <c r="I26" s="334"/>
      <c r="J26" s="334"/>
      <c r="K26" s="334"/>
      <c r="L26" s="334"/>
      <c r="M26" s="334"/>
      <c r="N26" s="334"/>
      <c r="O26" s="334"/>
      <c r="P26" s="33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4"/>
      <c r="B27" s="334"/>
      <c r="C27" s="334"/>
      <c r="D27" s="334"/>
      <c r="E27" s="334"/>
      <c r="F27" s="334"/>
      <c r="G27" s="334"/>
      <c r="H27" s="334"/>
      <c r="I27" s="334"/>
      <c r="J27" s="334"/>
      <c r="K27" s="334"/>
      <c r="L27" s="334"/>
      <c r="M27" s="334"/>
      <c r="N27" s="334"/>
      <c r="O27" s="334"/>
      <c r="P27" s="33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4"/>
      <c r="B28" s="334"/>
      <c r="C28" s="334"/>
      <c r="D28" s="334"/>
      <c r="E28" s="334"/>
      <c r="F28" s="334"/>
      <c r="G28" s="334"/>
      <c r="H28" s="334"/>
      <c r="I28" s="334"/>
      <c r="J28" s="334"/>
      <c r="K28" s="334"/>
      <c r="L28" s="334"/>
      <c r="M28" s="334"/>
      <c r="N28" s="334"/>
      <c r="O28" s="334"/>
      <c r="P28" s="33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4"/>
      <c r="B29" s="334"/>
      <c r="C29" s="334"/>
      <c r="D29" s="334"/>
      <c r="E29" s="334"/>
      <c r="F29" s="334"/>
      <c r="G29" s="334"/>
      <c r="H29" s="334"/>
      <c r="I29" s="334"/>
      <c r="J29" s="334"/>
      <c r="K29" s="334"/>
      <c r="L29" s="334"/>
      <c r="M29" s="334"/>
      <c r="N29" s="334"/>
      <c r="O29" s="334"/>
      <c r="P29" s="33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4"/>
      <c r="B30" s="334"/>
      <c r="C30" s="334"/>
      <c r="D30" s="334"/>
      <c r="E30" s="334"/>
      <c r="F30" s="334"/>
      <c r="G30" s="334"/>
      <c r="H30" s="334"/>
      <c r="I30" s="334"/>
      <c r="J30" s="334"/>
      <c r="K30" s="334"/>
      <c r="L30" s="334"/>
      <c r="M30" s="334"/>
      <c r="N30" s="334"/>
      <c r="O30" s="334"/>
      <c r="P30" s="33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4"/>
      <c r="B31" s="334"/>
      <c r="C31" s="334"/>
      <c r="D31" s="334"/>
      <c r="E31" s="334"/>
      <c r="F31" s="334"/>
      <c r="G31" s="334"/>
      <c r="H31" s="334"/>
      <c r="I31" s="334"/>
      <c r="J31" s="334"/>
      <c r="K31" s="334"/>
      <c r="L31" s="334"/>
      <c r="M31" s="334"/>
      <c r="N31" s="334"/>
      <c r="O31" s="334"/>
      <c r="P31" s="33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4"/>
      <c r="B32" s="334"/>
      <c r="C32" s="334"/>
      <c r="D32" s="334"/>
      <c r="E32" s="334"/>
      <c r="F32" s="334"/>
      <c r="G32" s="334"/>
      <c r="H32" s="334"/>
      <c r="I32" s="334"/>
      <c r="J32" s="334"/>
      <c r="K32" s="334"/>
      <c r="L32" s="334"/>
      <c r="M32" s="334"/>
      <c r="N32" s="334"/>
      <c r="O32" s="334"/>
      <c r="P32" s="33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4"/>
      <c r="B33" s="314"/>
      <c r="C33" s="314"/>
      <c r="D33" s="314"/>
      <c r="E33" s="334"/>
      <c r="F33" s="334"/>
      <c r="G33" s="334"/>
      <c r="H33" s="334"/>
      <c r="I33" s="334"/>
      <c r="J33" s="334"/>
      <c r="K33" s="334"/>
      <c r="L33" s="334"/>
      <c r="M33" s="334"/>
      <c r="N33" s="334"/>
      <c r="O33" s="334"/>
      <c r="P33" s="334"/>
      <c r="Q33" s="15"/>
      <c r="R33" s="15"/>
      <c r="S33" s="15"/>
      <c r="T33" s="15"/>
      <c r="U33" s="15"/>
      <c r="V33" s="15"/>
      <c r="W33" s="15"/>
      <c r="X33" s="15"/>
      <c r="Y33" s="15"/>
      <c r="Z33" s="15"/>
      <c r="AA33" s="15"/>
      <c r="AB33" s="15"/>
      <c r="AC33" s="15"/>
      <c r="AD33" s="15"/>
      <c r="AE33" s="15"/>
    </row>
    <row r="34" spans="1:31" x14ac:dyDescent="0.25">
      <c r="A34" s="334"/>
      <c r="B34" s="314"/>
      <c r="C34" s="314"/>
      <c r="D34" s="314"/>
      <c r="E34" s="334"/>
      <c r="F34" s="334"/>
      <c r="G34" s="334"/>
      <c r="H34" s="334"/>
      <c r="I34" s="334"/>
      <c r="J34" s="334"/>
      <c r="K34" s="334"/>
      <c r="L34" s="334"/>
      <c r="M34" s="334"/>
      <c r="N34" s="334"/>
      <c r="O34" s="334"/>
      <c r="P34" s="334"/>
      <c r="Q34" s="15"/>
      <c r="R34" s="15"/>
      <c r="S34" s="15"/>
      <c r="T34" s="15"/>
      <c r="U34" s="15"/>
      <c r="V34" s="15"/>
      <c r="W34" s="15"/>
      <c r="X34" s="15"/>
      <c r="Y34" s="15"/>
      <c r="Z34" s="15"/>
      <c r="AA34" s="15"/>
      <c r="AB34" s="15"/>
      <c r="AC34" s="15"/>
      <c r="AD34" s="15"/>
      <c r="AE34" s="15"/>
    </row>
    <row r="35" spans="1:31" x14ac:dyDescent="0.25">
      <c r="A35" s="334"/>
      <c r="B35" s="314"/>
      <c r="C35" s="314"/>
      <c r="D35" s="314"/>
      <c r="E35" s="314"/>
      <c r="F35" s="314"/>
      <c r="G35" s="314"/>
      <c r="H35" s="314"/>
      <c r="I35" s="314"/>
      <c r="J35" s="314"/>
      <c r="K35" s="314"/>
      <c r="L35" s="314"/>
      <c r="M35" s="314"/>
      <c r="N35" s="314"/>
      <c r="O35" s="314"/>
      <c r="P35" s="31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0" sqref="B9:F1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72" t="s">
        <v>671</v>
      </c>
      <c r="C1" s="872"/>
      <c r="D1" s="87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7"/>
      <c r="C3" s="298" t="s">
        <v>672</v>
      </c>
      <c r="D3" s="298" t="s">
        <v>673</v>
      </c>
      <c r="E3" s="15"/>
      <c r="F3" s="15"/>
      <c r="G3" s="15"/>
      <c r="H3" s="15"/>
      <c r="I3" s="15"/>
      <c r="J3" s="15"/>
      <c r="K3" s="15"/>
      <c r="L3" s="15"/>
      <c r="M3" s="15"/>
      <c r="N3" s="15"/>
      <c r="O3" s="15"/>
      <c r="P3" s="15"/>
      <c r="Q3" s="15"/>
      <c r="R3" s="15"/>
      <c r="S3" s="15"/>
      <c r="T3" s="15"/>
      <c r="U3" s="15"/>
    </row>
    <row r="4" spans="1:21" ht="33.75" x14ac:dyDescent="0.25">
      <c r="A4" s="299" t="s">
        <v>674</v>
      </c>
      <c r="B4" s="300" t="s">
        <v>675</v>
      </c>
      <c r="C4" s="301" t="s">
        <v>676</v>
      </c>
      <c r="D4" s="302" t="s">
        <v>677</v>
      </c>
      <c r="E4" s="15"/>
      <c r="F4" s="15"/>
      <c r="G4" s="15"/>
      <c r="H4" s="15"/>
      <c r="I4" s="15"/>
      <c r="J4" s="15"/>
      <c r="K4" s="15"/>
      <c r="L4" s="15"/>
      <c r="M4" s="15"/>
      <c r="N4" s="15"/>
      <c r="O4" s="15"/>
      <c r="P4" s="15"/>
      <c r="Q4" s="15"/>
      <c r="R4" s="15"/>
      <c r="S4" s="15"/>
      <c r="T4" s="15"/>
      <c r="U4" s="15"/>
    </row>
    <row r="5" spans="1:21" ht="101.25" x14ac:dyDescent="0.25">
      <c r="A5" s="299" t="s">
        <v>678</v>
      </c>
      <c r="B5" s="303" t="s">
        <v>679</v>
      </c>
      <c r="C5" s="304" t="s">
        <v>680</v>
      </c>
      <c r="D5" s="305" t="s">
        <v>681</v>
      </c>
      <c r="E5" s="15"/>
      <c r="F5" s="15"/>
      <c r="G5" s="15"/>
      <c r="H5" s="15"/>
      <c r="I5" s="15"/>
      <c r="J5" s="15"/>
      <c r="K5" s="15"/>
      <c r="L5" s="15"/>
      <c r="M5" s="15"/>
      <c r="N5" s="15"/>
      <c r="O5" s="15"/>
      <c r="P5" s="15"/>
      <c r="Q5" s="15"/>
      <c r="R5" s="15"/>
      <c r="S5" s="15"/>
      <c r="T5" s="15"/>
      <c r="U5" s="15"/>
    </row>
    <row r="6" spans="1:21" ht="67.5" x14ac:dyDescent="0.25">
      <c r="A6" s="299" t="s">
        <v>194</v>
      </c>
      <c r="B6" s="306" t="s">
        <v>682</v>
      </c>
      <c r="C6" s="304" t="s">
        <v>683</v>
      </c>
      <c r="D6" s="305" t="s">
        <v>684</v>
      </c>
      <c r="E6" s="15"/>
      <c r="F6" s="15"/>
      <c r="G6" s="15"/>
      <c r="H6" s="15"/>
      <c r="I6" s="15"/>
      <c r="J6" s="15"/>
      <c r="K6" s="15"/>
      <c r="L6" s="15"/>
      <c r="M6" s="15"/>
      <c r="N6" s="15"/>
      <c r="O6" s="15"/>
      <c r="P6" s="15"/>
      <c r="Q6" s="15"/>
      <c r="R6" s="15"/>
      <c r="S6" s="15"/>
      <c r="T6" s="15"/>
      <c r="U6" s="15"/>
    </row>
    <row r="7" spans="1:21" ht="101.25" x14ac:dyDescent="0.25">
      <c r="A7" s="299" t="s">
        <v>685</v>
      </c>
      <c r="B7" s="307" t="s">
        <v>686</v>
      </c>
      <c r="C7" s="304" t="s">
        <v>687</v>
      </c>
      <c r="D7" s="305" t="s">
        <v>688</v>
      </c>
      <c r="E7" s="15"/>
      <c r="F7" s="15"/>
      <c r="G7" s="15"/>
      <c r="H7" s="15"/>
      <c r="I7" s="15"/>
      <c r="J7" s="15"/>
      <c r="K7" s="15"/>
      <c r="L7" s="15"/>
      <c r="M7" s="15"/>
      <c r="N7" s="15"/>
      <c r="O7" s="15"/>
      <c r="P7" s="15"/>
      <c r="Q7" s="15"/>
      <c r="R7" s="15"/>
      <c r="S7" s="15"/>
      <c r="T7" s="15"/>
      <c r="U7" s="15"/>
    </row>
    <row r="8" spans="1:21" ht="67.5" x14ac:dyDescent="0.25">
      <c r="A8" s="299" t="s">
        <v>689</v>
      </c>
      <c r="B8" s="308" t="s">
        <v>690</v>
      </c>
      <c r="C8" s="304" t="s">
        <v>691</v>
      </c>
      <c r="D8" s="305" t="s">
        <v>692</v>
      </c>
      <c r="E8" s="15"/>
      <c r="F8" s="15"/>
      <c r="G8" s="15"/>
      <c r="H8" s="15"/>
      <c r="I8" s="15"/>
      <c r="J8" s="15"/>
      <c r="K8" s="15"/>
      <c r="L8" s="15"/>
      <c r="M8" s="15"/>
      <c r="N8" s="15"/>
      <c r="O8" s="15"/>
      <c r="P8" s="15"/>
      <c r="Q8" s="15"/>
      <c r="R8" s="15"/>
      <c r="S8" s="15"/>
      <c r="T8" s="15"/>
      <c r="U8" s="15"/>
    </row>
    <row r="9" spans="1:21" ht="20.25" x14ac:dyDescent="0.25">
      <c r="A9" s="299"/>
      <c r="B9" s="299"/>
      <c r="C9" s="309"/>
      <c r="D9" s="309"/>
      <c r="E9" s="15"/>
      <c r="F9" s="15"/>
      <c r="G9" s="15"/>
      <c r="H9" s="15"/>
      <c r="I9" s="15"/>
      <c r="J9" s="15"/>
      <c r="K9" s="15"/>
      <c r="L9" s="15"/>
      <c r="M9" s="15"/>
      <c r="N9" s="15"/>
      <c r="O9" s="15"/>
      <c r="P9" s="15"/>
      <c r="Q9" s="15"/>
      <c r="R9" s="15"/>
      <c r="S9" s="15"/>
      <c r="T9" s="15"/>
      <c r="U9" s="15"/>
    </row>
    <row r="10" spans="1:21" ht="16.5" x14ac:dyDescent="0.25">
      <c r="A10" s="299"/>
      <c r="B10" s="341"/>
      <c r="C10" s="341"/>
      <c r="D10" s="341"/>
      <c r="E10" s="299"/>
      <c r="F10" s="15"/>
      <c r="G10" s="15"/>
      <c r="H10" s="15"/>
      <c r="I10" s="15"/>
      <c r="J10" s="15"/>
      <c r="K10" s="15"/>
      <c r="L10" s="15"/>
      <c r="M10" s="15"/>
      <c r="N10" s="15"/>
      <c r="O10" s="15"/>
      <c r="P10" s="15"/>
      <c r="Q10" s="15"/>
      <c r="R10" s="15"/>
      <c r="S10" s="15"/>
      <c r="T10" s="15"/>
      <c r="U10" s="15"/>
    </row>
    <row r="11" spans="1:21" x14ac:dyDescent="0.25">
      <c r="A11" s="299"/>
      <c r="B11" s="299" t="s">
        <v>693</v>
      </c>
      <c r="C11" s="299" t="s">
        <v>694</v>
      </c>
      <c r="D11" s="299" t="s">
        <v>695</v>
      </c>
      <c r="E11" s="299"/>
      <c r="F11" s="15"/>
      <c r="G11" s="15"/>
      <c r="H11" s="15"/>
      <c r="I11" s="15"/>
      <c r="J11" s="15"/>
      <c r="K11" s="15"/>
      <c r="L11" s="15"/>
      <c r="M11" s="15"/>
      <c r="N11" s="15"/>
      <c r="O11" s="15"/>
      <c r="P11" s="15"/>
      <c r="Q11" s="15"/>
      <c r="R11" s="15"/>
      <c r="S11" s="15"/>
      <c r="T11" s="15"/>
      <c r="U11" s="15"/>
    </row>
    <row r="12" spans="1:21" x14ac:dyDescent="0.25">
      <c r="A12" s="299"/>
      <c r="B12" s="299" t="s">
        <v>696</v>
      </c>
      <c r="C12" s="299" t="s">
        <v>697</v>
      </c>
      <c r="D12" s="299" t="s">
        <v>698</v>
      </c>
      <c r="E12" s="299"/>
      <c r="F12" s="15"/>
      <c r="G12" s="15"/>
      <c r="H12" s="15"/>
      <c r="I12" s="15"/>
      <c r="J12" s="15"/>
      <c r="K12" s="15"/>
      <c r="L12" s="15"/>
      <c r="M12" s="15"/>
      <c r="N12" s="15"/>
      <c r="O12" s="15"/>
      <c r="P12" s="15"/>
      <c r="Q12" s="15"/>
      <c r="R12" s="15"/>
      <c r="S12" s="15"/>
      <c r="T12" s="15"/>
      <c r="U12" s="15"/>
    </row>
    <row r="13" spans="1:21" x14ac:dyDescent="0.25">
      <c r="A13" s="299"/>
      <c r="B13" s="299"/>
      <c r="C13" s="299" t="s">
        <v>699</v>
      </c>
      <c r="D13" s="299" t="s">
        <v>700</v>
      </c>
      <c r="E13" s="299"/>
      <c r="F13" s="15"/>
      <c r="G13" s="15"/>
      <c r="H13" s="15"/>
      <c r="I13" s="15"/>
      <c r="J13" s="15"/>
      <c r="K13" s="15"/>
      <c r="L13" s="15"/>
      <c r="M13" s="15"/>
      <c r="N13" s="15"/>
      <c r="O13" s="15"/>
      <c r="P13" s="15"/>
      <c r="Q13" s="15"/>
      <c r="R13" s="15"/>
      <c r="S13" s="15"/>
      <c r="T13" s="15"/>
      <c r="U13" s="15"/>
    </row>
    <row r="14" spans="1:21" x14ac:dyDescent="0.25">
      <c r="A14" s="299"/>
      <c r="B14" s="299"/>
      <c r="C14" s="299" t="s">
        <v>701</v>
      </c>
      <c r="D14" s="299" t="s">
        <v>702</v>
      </c>
      <c r="E14" s="299"/>
      <c r="F14" s="15"/>
      <c r="G14" s="15"/>
      <c r="H14" s="15"/>
      <c r="I14" s="15"/>
      <c r="J14" s="15"/>
      <c r="K14" s="15"/>
      <c r="L14" s="15"/>
      <c r="M14" s="15"/>
      <c r="N14" s="15"/>
      <c r="O14" s="15"/>
      <c r="P14" s="15"/>
      <c r="Q14" s="15"/>
      <c r="R14" s="15"/>
      <c r="S14" s="15"/>
      <c r="T14" s="15"/>
      <c r="U14" s="15"/>
    </row>
    <row r="15" spans="1:21" x14ac:dyDescent="0.25">
      <c r="A15" s="299"/>
      <c r="B15" s="299"/>
      <c r="C15" s="299" t="s">
        <v>703</v>
      </c>
      <c r="D15" s="299" t="s">
        <v>164</v>
      </c>
      <c r="E15" s="299"/>
      <c r="F15" s="15"/>
      <c r="G15" s="15"/>
      <c r="H15" s="15"/>
      <c r="I15" s="15"/>
      <c r="J15" s="15"/>
      <c r="K15" s="15"/>
      <c r="L15" s="15"/>
      <c r="M15" s="15"/>
      <c r="N15" s="15"/>
      <c r="O15" s="15"/>
      <c r="P15" s="15"/>
      <c r="Q15" s="15"/>
      <c r="R15" s="15"/>
      <c r="S15" s="15"/>
      <c r="T15" s="15"/>
      <c r="U15" s="15"/>
    </row>
    <row r="16" spans="1:21" x14ac:dyDescent="0.25">
      <c r="A16" s="299"/>
      <c r="B16" s="299"/>
      <c r="C16" s="299"/>
      <c r="D16" s="299"/>
      <c r="E16" s="299"/>
      <c r="F16" s="15"/>
      <c r="G16" s="15"/>
      <c r="H16" s="15"/>
      <c r="I16" s="15"/>
      <c r="J16" s="15"/>
      <c r="K16" s="15"/>
      <c r="L16" s="15"/>
      <c r="M16" s="15"/>
      <c r="N16" s="15"/>
      <c r="O16" s="15"/>
    </row>
    <row r="17" spans="1:15" x14ac:dyDescent="0.25">
      <c r="A17" s="299"/>
      <c r="B17" s="299"/>
      <c r="C17" s="299"/>
      <c r="D17" s="299"/>
      <c r="E17" s="299"/>
      <c r="F17" s="15"/>
      <c r="G17" s="15"/>
      <c r="H17" s="15"/>
      <c r="I17" s="15"/>
      <c r="J17" s="15"/>
      <c r="K17" s="15"/>
      <c r="L17" s="15"/>
      <c r="M17" s="15"/>
      <c r="N17" s="15"/>
      <c r="O17" s="15"/>
    </row>
    <row r="18" spans="1:15" x14ac:dyDescent="0.25">
      <c r="A18" s="299"/>
      <c r="B18" s="299"/>
      <c r="C18" s="299"/>
      <c r="D18" s="299"/>
      <c r="E18" s="299"/>
      <c r="F18" s="15"/>
      <c r="G18" s="15"/>
      <c r="H18" s="15"/>
      <c r="I18" s="15"/>
      <c r="J18" s="15"/>
      <c r="K18" s="15"/>
      <c r="L18" s="15"/>
      <c r="M18" s="15"/>
      <c r="N18" s="15"/>
      <c r="O18" s="15"/>
    </row>
    <row r="19" spans="1:15" x14ac:dyDescent="0.25">
      <c r="A19" s="299"/>
      <c r="B19" s="299"/>
      <c r="C19" s="299"/>
      <c r="D19" s="299"/>
      <c r="E19" s="299"/>
      <c r="F19" s="15"/>
      <c r="G19" s="15"/>
      <c r="H19" s="15"/>
      <c r="I19" s="15"/>
      <c r="J19" s="15"/>
      <c r="K19" s="15"/>
      <c r="L19" s="15"/>
      <c r="M19" s="15"/>
      <c r="N19" s="15"/>
      <c r="O19" s="15"/>
    </row>
    <row r="20" spans="1:15" x14ac:dyDescent="0.25">
      <c r="A20" s="299"/>
      <c r="B20" s="334"/>
      <c r="C20" s="334"/>
      <c r="D20" s="334"/>
      <c r="E20" s="334"/>
      <c r="F20" s="15"/>
      <c r="G20" s="15"/>
      <c r="H20" s="15"/>
      <c r="I20" s="15"/>
      <c r="J20" s="15"/>
      <c r="K20" s="15"/>
      <c r="L20" s="15"/>
      <c r="M20" s="15"/>
      <c r="N20" s="15"/>
      <c r="O20" s="15"/>
    </row>
    <row r="21" spans="1:15" x14ac:dyDescent="0.25">
      <c r="A21" s="299"/>
      <c r="B21" s="334"/>
      <c r="C21" s="334"/>
      <c r="D21" s="334"/>
      <c r="E21" s="334"/>
      <c r="F21" s="15"/>
      <c r="G21" s="15"/>
      <c r="H21" s="15"/>
      <c r="I21" s="15"/>
      <c r="J21" s="15"/>
      <c r="K21" s="15"/>
      <c r="L21" s="15"/>
      <c r="M21" s="15"/>
      <c r="N21" s="15"/>
      <c r="O21" s="15"/>
    </row>
    <row r="22" spans="1:15" ht="20.25" x14ac:dyDescent="0.25">
      <c r="A22" s="299"/>
      <c r="B22" s="334"/>
      <c r="C22" s="336"/>
      <c r="D22" s="336"/>
      <c r="E22" s="334"/>
      <c r="F22" s="15"/>
      <c r="G22" s="15"/>
      <c r="H22" s="15"/>
      <c r="I22" s="15"/>
      <c r="J22" s="15"/>
      <c r="K22" s="15"/>
      <c r="L22" s="15"/>
      <c r="M22" s="15"/>
      <c r="N22" s="15"/>
      <c r="O22" s="15"/>
    </row>
    <row r="23" spans="1:15" ht="20.25" x14ac:dyDescent="0.25">
      <c r="A23" s="299"/>
      <c r="B23" s="334"/>
      <c r="C23" s="336"/>
      <c r="D23" s="336"/>
      <c r="E23" s="334"/>
      <c r="F23" s="15"/>
      <c r="G23" s="15"/>
      <c r="H23" s="15"/>
      <c r="I23" s="15"/>
      <c r="J23" s="15"/>
      <c r="K23" s="15"/>
      <c r="L23" s="15"/>
      <c r="M23" s="15"/>
      <c r="N23" s="15"/>
      <c r="O23" s="15"/>
    </row>
    <row r="24" spans="1:15" ht="20.25" x14ac:dyDescent="0.25">
      <c r="A24" s="299"/>
      <c r="B24" s="334"/>
      <c r="C24" s="336"/>
      <c r="D24" s="336"/>
      <c r="E24" s="334"/>
      <c r="F24" s="15"/>
      <c r="G24" s="15"/>
      <c r="H24" s="15"/>
      <c r="I24" s="15"/>
      <c r="J24" s="15"/>
      <c r="K24" s="15"/>
      <c r="L24" s="15"/>
      <c r="M24" s="15"/>
      <c r="N24" s="15"/>
      <c r="O24" s="15"/>
    </row>
    <row r="25" spans="1:15" ht="20.25" x14ac:dyDescent="0.25">
      <c r="A25" s="299"/>
      <c r="B25" s="334"/>
      <c r="C25" s="336"/>
      <c r="D25" s="336"/>
      <c r="E25" s="334"/>
      <c r="F25" s="15"/>
      <c r="G25" s="15"/>
      <c r="H25" s="15"/>
      <c r="I25" s="15"/>
      <c r="J25" s="15"/>
      <c r="K25" s="15"/>
      <c r="L25" s="15"/>
      <c r="M25" s="15"/>
      <c r="N25" s="15"/>
      <c r="O25" s="15"/>
    </row>
    <row r="26" spans="1:15" ht="20.25" x14ac:dyDescent="0.25">
      <c r="A26" s="299"/>
      <c r="B26" s="334"/>
      <c r="C26" s="336"/>
      <c r="D26" s="336"/>
      <c r="E26" s="334"/>
      <c r="F26" s="15"/>
      <c r="G26" s="15"/>
      <c r="H26" s="15"/>
      <c r="I26" s="15"/>
      <c r="J26" s="15"/>
      <c r="K26" s="15"/>
      <c r="L26" s="15"/>
      <c r="M26" s="15"/>
      <c r="N26" s="15"/>
      <c r="O26" s="15"/>
    </row>
    <row r="27" spans="1:15" ht="20.25" x14ac:dyDescent="0.25">
      <c r="A27" s="299"/>
      <c r="B27" s="334"/>
      <c r="C27" s="336"/>
      <c r="D27" s="336"/>
      <c r="E27" s="334"/>
      <c r="F27" s="15"/>
      <c r="G27" s="15"/>
      <c r="H27" s="15"/>
      <c r="I27" s="15"/>
      <c r="J27" s="15"/>
      <c r="K27" s="15"/>
      <c r="L27" s="15"/>
      <c r="M27" s="15"/>
      <c r="N27" s="15"/>
      <c r="O27" s="15"/>
    </row>
    <row r="28" spans="1:15" ht="20.25" x14ac:dyDescent="0.25">
      <c r="A28" s="299"/>
      <c r="B28" s="334"/>
      <c r="C28" s="336"/>
      <c r="D28" s="336"/>
      <c r="E28" s="334"/>
      <c r="F28" s="15"/>
      <c r="G28" s="15"/>
      <c r="H28" s="15"/>
      <c r="I28" s="15"/>
      <c r="J28" s="15"/>
      <c r="K28" s="15"/>
      <c r="L28" s="15"/>
      <c r="M28" s="15"/>
      <c r="N28" s="15"/>
      <c r="O28" s="15"/>
    </row>
    <row r="29" spans="1:15" ht="20.25" x14ac:dyDescent="0.25">
      <c r="A29" s="299"/>
      <c r="B29" s="334"/>
      <c r="C29" s="336"/>
      <c r="D29" s="336"/>
      <c r="E29" s="334"/>
      <c r="F29" s="15"/>
      <c r="G29" s="15"/>
      <c r="H29" s="15"/>
      <c r="I29" s="15"/>
      <c r="J29" s="15"/>
      <c r="K29" s="15"/>
      <c r="L29" s="15"/>
      <c r="M29" s="15"/>
      <c r="N29" s="15"/>
      <c r="O29" s="15"/>
    </row>
    <row r="30" spans="1:15" ht="20.25" x14ac:dyDescent="0.25">
      <c r="A30" s="299"/>
      <c r="B30" s="334"/>
      <c r="C30" s="336"/>
      <c r="D30" s="336"/>
      <c r="E30" s="334"/>
      <c r="F30" s="15"/>
      <c r="G30" s="15"/>
      <c r="H30" s="15"/>
      <c r="I30" s="15"/>
      <c r="J30" s="15"/>
      <c r="K30" s="15"/>
      <c r="L30" s="15"/>
      <c r="M30" s="15"/>
      <c r="N30" s="15"/>
      <c r="O30" s="15"/>
    </row>
    <row r="31" spans="1:15" ht="20.25" x14ac:dyDescent="0.25">
      <c r="A31" s="299"/>
      <c r="B31" s="334"/>
      <c r="C31" s="336"/>
      <c r="D31" s="336"/>
      <c r="E31" s="334"/>
      <c r="F31" s="15"/>
      <c r="G31" s="15"/>
      <c r="H31" s="15"/>
      <c r="I31" s="15"/>
      <c r="J31" s="15"/>
      <c r="K31" s="15"/>
      <c r="L31" s="15"/>
      <c r="M31" s="15"/>
      <c r="N31" s="15"/>
      <c r="O31" s="15"/>
    </row>
    <row r="32" spans="1:15" ht="20.25" x14ac:dyDescent="0.25">
      <c r="A32" s="299"/>
      <c r="B32" s="334"/>
      <c r="C32" s="336"/>
      <c r="D32" s="336"/>
      <c r="E32" s="334"/>
      <c r="F32" s="15"/>
      <c r="G32" s="15"/>
      <c r="H32" s="15"/>
      <c r="I32" s="15"/>
      <c r="J32" s="15"/>
      <c r="K32" s="15"/>
      <c r="L32" s="15"/>
      <c r="M32" s="15"/>
      <c r="N32" s="15"/>
      <c r="O32" s="15"/>
    </row>
    <row r="33" spans="1:15" ht="20.25" x14ac:dyDescent="0.25">
      <c r="A33" s="299"/>
      <c r="B33" s="334"/>
      <c r="C33" s="336"/>
      <c r="D33" s="336"/>
      <c r="E33" s="334"/>
      <c r="F33" s="15"/>
      <c r="G33" s="15"/>
      <c r="H33" s="15"/>
      <c r="I33" s="15"/>
      <c r="J33" s="15"/>
      <c r="K33" s="15"/>
      <c r="L33" s="15"/>
      <c r="M33" s="15"/>
      <c r="N33" s="15"/>
      <c r="O33" s="15"/>
    </row>
    <row r="34" spans="1:15" ht="20.25" x14ac:dyDescent="0.25">
      <c r="A34" s="299"/>
      <c r="B34" s="334"/>
      <c r="C34" s="336"/>
      <c r="D34" s="336"/>
      <c r="E34" s="334"/>
      <c r="F34" s="15"/>
      <c r="G34" s="15"/>
      <c r="H34" s="15"/>
      <c r="I34" s="15"/>
      <c r="J34" s="15"/>
      <c r="K34" s="15"/>
      <c r="L34" s="15"/>
      <c r="M34" s="15"/>
      <c r="N34" s="15"/>
      <c r="O34" s="15"/>
    </row>
    <row r="35" spans="1:15" ht="20.25" x14ac:dyDescent="0.25">
      <c r="A35" s="299"/>
      <c r="B35" s="334"/>
      <c r="C35" s="336"/>
      <c r="D35" s="336"/>
      <c r="E35" s="334"/>
      <c r="F35" s="15"/>
      <c r="G35" s="15"/>
      <c r="H35" s="15"/>
      <c r="I35" s="15"/>
      <c r="J35" s="15"/>
      <c r="K35" s="15"/>
      <c r="L35" s="15"/>
      <c r="M35" s="15"/>
      <c r="N35" s="15"/>
      <c r="O35" s="15"/>
    </row>
    <row r="36" spans="1:15" ht="20.25" x14ac:dyDescent="0.25">
      <c r="A36" s="299"/>
      <c r="B36" s="334"/>
      <c r="C36" s="336"/>
      <c r="D36" s="336"/>
      <c r="E36" s="334"/>
      <c r="F36" s="15"/>
      <c r="G36" s="15"/>
      <c r="H36" s="15"/>
      <c r="I36" s="15"/>
      <c r="J36" s="15"/>
      <c r="K36" s="15"/>
      <c r="L36" s="15"/>
      <c r="M36" s="15"/>
      <c r="N36" s="15"/>
      <c r="O36" s="15"/>
    </row>
    <row r="37" spans="1:15" ht="20.25" x14ac:dyDescent="0.25">
      <c r="A37" s="299"/>
      <c r="B37" s="299"/>
      <c r="C37" s="309"/>
      <c r="D37" s="309"/>
      <c r="E37" s="15"/>
      <c r="F37" s="15"/>
      <c r="G37" s="15"/>
      <c r="H37" s="15"/>
      <c r="I37" s="15"/>
      <c r="J37" s="15"/>
      <c r="K37" s="15"/>
      <c r="L37" s="15"/>
      <c r="M37" s="15"/>
      <c r="N37" s="15"/>
      <c r="O37" s="15"/>
    </row>
    <row r="38" spans="1:15" ht="20.25" x14ac:dyDescent="0.25">
      <c r="A38" s="299"/>
      <c r="B38" s="299"/>
      <c r="C38" s="309"/>
      <c r="D38" s="309"/>
      <c r="E38" s="15"/>
      <c r="F38" s="15"/>
      <c r="G38" s="15"/>
      <c r="H38" s="15"/>
      <c r="I38" s="15"/>
      <c r="J38" s="15"/>
      <c r="K38" s="15"/>
      <c r="L38" s="15"/>
      <c r="M38" s="15"/>
      <c r="N38" s="15"/>
      <c r="O38" s="15"/>
    </row>
    <row r="39" spans="1:15" ht="20.25" x14ac:dyDescent="0.25">
      <c r="A39" s="299"/>
      <c r="B39" s="299"/>
      <c r="C39" s="309"/>
      <c r="D39" s="309"/>
      <c r="E39" s="15"/>
      <c r="F39" s="15"/>
      <c r="G39" s="15"/>
      <c r="H39" s="15"/>
      <c r="I39" s="15"/>
      <c r="J39" s="15"/>
      <c r="K39" s="15"/>
      <c r="L39" s="15"/>
      <c r="M39" s="15"/>
      <c r="N39" s="15"/>
      <c r="O39" s="15"/>
    </row>
    <row r="40" spans="1:15" ht="20.25" x14ac:dyDescent="0.25">
      <c r="A40" s="299"/>
      <c r="B40" s="299"/>
      <c r="C40" s="309"/>
      <c r="D40" s="309"/>
      <c r="E40" s="15"/>
      <c r="F40" s="15"/>
      <c r="G40" s="15"/>
      <c r="H40" s="15"/>
      <c r="I40" s="15"/>
      <c r="J40" s="15"/>
      <c r="K40" s="15"/>
      <c r="L40" s="15"/>
      <c r="M40" s="15"/>
      <c r="N40" s="15"/>
      <c r="O40" s="15"/>
    </row>
    <row r="41" spans="1:15" ht="20.25" x14ac:dyDescent="0.25">
      <c r="A41" s="299"/>
      <c r="B41" s="299"/>
      <c r="C41" s="309"/>
      <c r="D41" s="309"/>
      <c r="E41" s="15"/>
      <c r="F41" s="15"/>
      <c r="G41" s="15"/>
      <c r="H41" s="15"/>
      <c r="I41" s="15"/>
      <c r="J41" s="15"/>
      <c r="K41" s="15"/>
      <c r="L41" s="15"/>
      <c r="M41" s="15"/>
      <c r="N41" s="15"/>
      <c r="O41" s="15"/>
    </row>
    <row r="42" spans="1:15" ht="20.25" x14ac:dyDescent="0.25">
      <c r="A42" s="299"/>
      <c r="B42" s="299"/>
      <c r="C42" s="309"/>
      <c r="D42" s="309"/>
      <c r="E42" s="15"/>
      <c r="F42" s="15"/>
      <c r="G42" s="15"/>
      <c r="H42" s="15"/>
      <c r="I42" s="15"/>
      <c r="J42" s="15"/>
      <c r="K42" s="15"/>
      <c r="L42" s="15"/>
      <c r="M42" s="15"/>
      <c r="N42" s="15"/>
      <c r="O42" s="15"/>
    </row>
    <row r="43" spans="1:15" ht="20.25" x14ac:dyDescent="0.25">
      <c r="A43" s="299"/>
      <c r="B43" s="299"/>
      <c r="C43" s="309"/>
      <c r="D43" s="309"/>
      <c r="E43" s="15"/>
      <c r="F43" s="15"/>
      <c r="G43" s="15"/>
      <c r="H43" s="15"/>
      <c r="I43" s="15"/>
      <c r="J43" s="15"/>
      <c r="K43" s="15"/>
      <c r="L43" s="15"/>
      <c r="M43" s="15"/>
      <c r="N43" s="15"/>
      <c r="O43" s="15"/>
    </row>
    <row r="44" spans="1:15" ht="20.25" x14ac:dyDescent="0.25">
      <c r="A44" s="299"/>
      <c r="B44" s="299"/>
      <c r="C44" s="309"/>
      <c r="D44" s="309"/>
      <c r="E44" s="15"/>
      <c r="F44" s="15"/>
      <c r="G44" s="15"/>
      <c r="H44" s="15"/>
      <c r="I44" s="15"/>
      <c r="J44" s="15"/>
      <c r="K44" s="15"/>
      <c r="L44" s="15"/>
      <c r="M44" s="15"/>
      <c r="N44" s="15"/>
      <c r="O44" s="15"/>
    </row>
    <row r="45" spans="1:15" ht="20.25" x14ac:dyDescent="0.25">
      <c r="A45" s="299"/>
      <c r="B45" s="299"/>
      <c r="C45" s="309"/>
      <c r="D45" s="309"/>
      <c r="E45" s="15"/>
      <c r="F45" s="15"/>
      <c r="G45" s="15"/>
      <c r="H45" s="15"/>
      <c r="I45" s="15"/>
      <c r="J45" s="15"/>
      <c r="K45" s="15"/>
      <c r="L45" s="15"/>
      <c r="M45" s="15"/>
      <c r="N45" s="15"/>
      <c r="O45" s="15"/>
    </row>
    <row r="46" spans="1:15" ht="20.25" x14ac:dyDescent="0.25">
      <c r="A46" s="299"/>
      <c r="B46" s="299"/>
      <c r="C46" s="309"/>
      <c r="D46" s="309"/>
      <c r="E46" s="15"/>
      <c r="F46" s="15"/>
      <c r="G46" s="15"/>
      <c r="H46" s="15"/>
      <c r="I46" s="15"/>
      <c r="J46" s="15"/>
      <c r="K46" s="15"/>
      <c r="L46" s="15"/>
      <c r="M46" s="15"/>
      <c r="N46" s="15"/>
      <c r="O46" s="15"/>
    </row>
    <row r="47" spans="1:15" ht="20.25" x14ac:dyDescent="0.25">
      <c r="A47" s="299"/>
      <c r="B47" s="299"/>
      <c r="C47" s="309"/>
      <c r="D47" s="309"/>
      <c r="E47" s="15"/>
      <c r="F47" s="15"/>
      <c r="G47" s="15"/>
      <c r="H47" s="15"/>
      <c r="I47" s="15"/>
      <c r="J47" s="15"/>
      <c r="K47" s="15"/>
      <c r="L47" s="15"/>
      <c r="M47" s="15"/>
      <c r="N47" s="15"/>
      <c r="O47" s="15"/>
    </row>
    <row r="48" spans="1:15" ht="20.25" x14ac:dyDescent="0.25">
      <c r="A48" s="299"/>
      <c r="B48" s="299"/>
      <c r="C48" s="309"/>
      <c r="D48" s="309"/>
      <c r="E48" s="15"/>
      <c r="F48" s="15"/>
      <c r="G48" s="15"/>
      <c r="H48" s="15"/>
      <c r="I48" s="15"/>
      <c r="J48" s="15"/>
      <c r="K48" s="15"/>
      <c r="L48" s="15"/>
      <c r="M48" s="15"/>
      <c r="N48" s="15"/>
      <c r="O48" s="15"/>
    </row>
    <row r="49" spans="1:15" ht="20.25" x14ac:dyDescent="0.25">
      <c r="A49" s="299"/>
      <c r="B49" s="299"/>
      <c r="C49" s="309"/>
      <c r="D49" s="309"/>
      <c r="E49" s="15"/>
      <c r="F49" s="15"/>
      <c r="G49" s="15"/>
      <c r="H49" s="15"/>
      <c r="I49" s="15"/>
      <c r="J49" s="15"/>
      <c r="K49" s="15"/>
      <c r="L49" s="15"/>
      <c r="M49" s="15"/>
      <c r="N49" s="15"/>
      <c r="O49" s="15"/>
    </row>
    <row r="50" spans="1:15" ht="20.25" x14ac:dyDescent="0.25">
      <c r="A50" s="299"/>
      <c r="B50" s="299"/>
      <c r="C50" s="309"/>
      <c r="D50" s="309"/>
      <c r="E50" s="15"/>
      <c r="F50" s="15"/>
      <c r="G50" s="15"/>
      <c r="H50" s="15"/>
      <c r="I50" s="15"/>
      <c r="J50" s="15"/>
      <c r="K50" s="15"/>
      <c r="L50" s="15"/>
      <c r="M50" s="15"/>
      <c r="N50" s="15"/>
      <c r="O50" s="15"/>
    </row>
    <row r="51" spans="1:15" ht="20.25" x14ac:dyDescent="0.25">
      <c r="A51" s="299"/>
      <c r="B51" s="299"/>
      <c r="C51" s="309"/>
      <c r="D51" s="309"/>
      <c r="E51" s="15"/>
      <c r="F51" s="15"/>
      <c r="G51" s="15"/>
      <c r="H51" s="15"/>
      <c r="I51" s="15"/>
      <c r="J51" s="15"/>
      <c r="K51" s="15"/>
      <c r="L51" s="15"/>
      <c r="M51" s="15"/>
      <c r="N51" s="15"/>
      <c r="O51" s="15"/>
    </row>
    <row r="52" spans="1:15" ht="20.25" x14ac:dyDescent="0.25">
      <c r="A52" s="299"/>
      <c r="B52" s="310"/>
      <c r="C52" s="311"/>
      <c r="D52" s="311"/>
    </row>
    <row r="53" spans="1:15" ht="20.25" x14ac:dyDescent="0.25">
      <c r="A53" s="299"/>
      <c r="B53" s="310"/>
      <c r="C53" s="311"/>
      <c r="D53" s="311"/>
    </row>
    <row r="54" spans="1:15" ht="20.25" x14ac:dyDescent="0.25">
      <c r="A54" s="299"/>
      <c r="B54" s="310"/>
      <c r="C54" s="311"/>
      <c r="D54" s="311"/>
    </row>
    <row r="55" spans="1:15" ht="20.25" x14ac:dyDescent="0.25">
      <c r="A55" s="299"/>
      <c r="B55" s="310"/>
      <c r="C55" s="311"/>
      <c r="D55" s="311"/>
    </row>
    <row r="56" spans="1:15" ht="20.25" x14ac:dyDescent="0.25">
      <c r="A56" s="299"/>
      <c r="B56" s="310"/>
      <c r="C56" s="311"/>
      <c r="D56" s="311"/>
    </row>
    <row r="57" spans="1:15" ht="20.25" x14ac:dyDescent="0.25">
      <c r="A57" s="299"/>
      <c r="B57" s="310"/>
      <c r="C57" s="311"/>
      <c r="D57" s="311"/>
    </row>
    <row r="58" spans="1:15" ht="20.25" x14ac:dyDescent="0.25">
      <c r="A58" s="299"/>
      <c r="B58" s="310"/>
      <c r="C58" s="311"/>
      <c r="D58" s="311"/>
    </row>
    <row r="59" spans="1:15" ht="20.25" x14ac:dyDescent="0.25">
      <c r="A59" s="299"/>
      <c r="B59" s="310"/>
      <c r="C59" s="311"/>
      <c r="D59" s="311"/>
    </row>
    <row r="60" spans="1:15" ht="20.25" x14ac:dyDescent="0.25">
      <c r="A60" s="299"/>
      <c r="B60" s="310"/>
      <c r="C60" s="311"/>
      <c r="D60" s="311"/>
    </row>
    <row r="61" spans="1:15" ht="20.25" x14ac:dyDescent="0.25">
      <c r="A61" s="299"/>
      <c r="B61" s="310"/>
      <c r="C61" s="311"/>
      <c r="D61" s="311"/>
    </row>
    <row r="62" spans="1:15" ht="20.25" x14ac:dyDescent="0.25">
      <c r="A62" s="299"/>
      <c r="B62" s="310"/>
      <c r="C62" s="311"/>
      <c r="D62" s="311"/>
    </row>
    <row r="63" spans="1:15" ht="20.25" x14ac:dyDescent="0.25">
      <c r="A63" s="299"/>
      <c r="B63" s="310"/>
      <c r="C63" s="311"/>
      <c r="D63" s="311"/>
    </row>
    <row r="64" spans="1:15" ht="20.25" x14ac:dyDescent="0.25">
      <c r="A64" s="299"/>
      <c r="B64" s="310"/>
      <c r="C64" s="311"/>
      <c r="D64" s="311"/>
    </row>
    <row r="65" spans="1:4" ht="20.25" x14ac:dyDescent="0.25">
      <c r="A65" s="299"/>
      <c r="B65" s="310"/>
      <c r="C65" s="311"/>
      <c r="D65" s="311"/>
    </row>
    <row r="66" spans="1:4" ht="20.25" x14ac:dyDescent="0.25">
      <c r="A66" s="299"/>
      <c r="B66" s="310"/>
      <c r="C66" s="311"/>
      <c r="D66" s="311"/>
    </row>
    <row r="67" spans="1:4" ht="20.25" x14ac:dyDescent="0.25">
      <c r="A67" s="299"/>
      <c r="B67" s="310"/>
      <c r="C67" s="311"/>
      <c r="D67" s="311"/>
    </row>
    <row r="68" spans="1:4" ht="20.25" x14ac:dyDescent="0.25">
      <c r="A68" s="299"/>
      <c r="B68" s="310"/>
      <c r="C68" s="311"/>
      <c r="D68" s="311"/>
    </row>
    <row r="69" spans="1:4" ht="20.25" x14ac:dyDescent="0.25">
      <c r="A69" s="299"/>
      <c r="B69" s="310"/>
      <c r="C69" s="311"/>
      <c r="D69" s="311"/>
    </row>
    <row r="70" spans="1:4" ht="20.25" x14ac:dyDescent="0.25">
      <c r="A70" s="299"/>
      <c r="B70" s="310"/>
      <c r="C70" s="311"/>
      <c r="D70" s="311"/>
    </row>
    <row r="71" spans="1:4" ht="20.25" x14ac:dyDescent="0.25">
      <c r="A71" s="299"/>
      <c r="B71" s="310"/>
      <c r="C71" s="311"/>
      <c r="D71" s="311"/>
    </row>
    <row r="72" spans="1:4" ht="20.25" x14ac:dyDescent="0.25">
      <c r="A72" s="299"/>
      <c r="B72" s="310"/>
      <c r="C72" s="311"/>
      <c r="D72" s="311"/>
    </row>
    <row r="73" spans="1:4" ht="20.25" x14ac:dyDescent="0.25">
      <c r="A73" s="299"/>
      <c r="B73" s="310"/>
      <c r="C73" s="311"/>
      <c r="D73" s="311"/>
    </row>
    <row r="74" spans="1:4" ht="20.25" x14ac:dyDescent="0.25">
      <c r="A74" s="299"/>
      <c r="B74" s="310"/>
      <c r="C74" s="311"/>
      <c r="D74" s="311"/>
    </row>
    <row r="75" spans="1:4" ht="20.25" x14ac:dyDescent="0.25">
      <c r="A75" s="299"/>
      <c r="B75" s="310"/>
      <c r="C75" s="311"/>
      <c r="D75" s="311"/>
    </row>
    <row r="76" spans="1:4" ht="20.25" x14ac:dyDescent="0.25">
      <c r="A76" s="299"/>
      <c r="B76" s="310"/>
      <c r="C76" s="311"/>
      <c r="D76" s="311"/>
    </row>
    <row r="77" spans="1:4" ht="20.25" x14ac:dyDescent="0.25">
      <c r="A77" s="299"/>
      <c r="B77" s="310"/>
      <c r="C77" s="311"/>
      <c r="D77" s="311"/>
    </row>
    <row r="78" spans="1:4" ht="20.25" x14ac:dyDescent="0.25">
      <c r="A78" s="299"/>
      <c r="B78" s="310"/>
      <c r="C78" s="311"/>
      <c r="D78" s="311"/>
    </row>
    <row r="79" spans="1:4" ht="20.25" x14ac:dyDescent="0.25">
      <c r="A79" s="299"/>
      <c r="B79" s="310"/>
      <c r="C79" s="311"/>
      <c r="D79" s="311"/>
    </row>
    <row r="80" spans="1:4" ht="20.25" x14ac:dyDescent="0.25">
      <c r="A80" s="299"/>
      <c r="B80" s="310"/>
      <c r="C80" s="311"/>
      <c r="D80" s="311"/>
    </row>
    <row r="81" spans="1:4" ht="20.25" x14ac:dyDescent="0.25">
      <c r="A81" s="299"/>
      <c r="B81" s="310"/>
      <c r="C81" s="311"/>
      <c r="D81" s="311"/>
    </row>
    <row r="82" spans="1:4" ht="20.25" x14ac:dyDescent="0.25">
      <c r="A82" s="299"/>
      <c r="B82" s="310"/>
      <c r="C82" s="311"/>
      <c r="D82" s="311"/>
    </row>
    <row r="83" spans="1:4" ht="20.25" x14ac:dyDescent="0.25">
      <c r="A83" s="299"/>
      <c r="B83" s="310"/>
      <c r="C83" s="311"/>
      <c r="D83" s="311"/>
    </row>
    <row r="84" spans="1:4" ht="20.25" x14ac:dyDescent="0.25">
      <c r="A84" s="299"/>
      <c r="B84" s="310"/>
      <c r="C84" s="311"/>
      <c r="D84" s="311"/>
    </row>
    <row r="85" spans="1:4" ht="20.25" x14ac:dyDescent="0.25">
      <c r="A85" s="299"/>
      <c r="B85" s="310"/>
      <c r="C85" s="311"/>
      <c r="D85" s="311"/>
    </row>
    <row r="86" spans="1:4" ht="20.25" x14ac:dyDescent="0.25">
      <c r="A86" s="299"/>
      <c r="B86" s="310"/>
      <c r="C86" s="311"/>
      <c r="D86" s="311"/>
    </row>
    <row r="87" spans="1:4" ht="20.25" x14ac:dyDescent="0.25">
      <c r="A87" s="299"/>
      <c r="B87" s="310"/>
      <c r="C87" s="311"/>
      <c r="D87" s="311"/>
    </row>
    <row r="88" spans="1:4" ht="20.25" x14ac:dyDescent="0.25">
      <c r="A88" s="299"/>
      <c r="B88" s="310"/>
      <c r="C88" s="311"/>
      <c r="D88" s="311"/>
    </row>
    <row r="89" spans="1:4" ht="20.25" x14ac:dyDescent="0.25">
      <c r="A89" s="299"/>
      <c r="B89" s="310"/>
      <c r="C89" s="311"/>
      <c r="D89" s="311"/>
    </row>
    <row r="90" spans="1:4" ht="20.25" x14ac:dyDescent="0.25">
      <c r="A90" s="299"/>
      <c r="B90" s="310"/>
      <c r="C90" s="311"/>
      <c r="D90" s="311"/>
    </row>
    <row r="91" spans="1:4" ht="20.25" x14ac:dyDescent="0.25">
      <c r="A91" s="299"/>
      <c r="B91" s="310"/>
      <c r="C91" s="311"/>
      <c r="D91" s="311"/>
    </row>
    <row r="92" spans="1:4" ht="20.25" x14ac:dyDescent="0.25">
      <c r="A92" s="299"/>
      <c r="B92" s="310"/>
      <c r="C92" s="311"/>
      <c r="D92" s="311"/>
    </row>
    <row r="93" spans="1:4" ht="20.25" x14ac:dyDescent="0.25">
      <c r="A93" s="299"/>
      <c r="B93" s="310"/>
      <c r="C93" s="311"/>
      <c r="D93" s="311"/>
    </row>
    <row r="94" spans="1:4" ht="20.25" x14ac:dyDescent="0.25">
      <c r="A94" s="299"/>
      <c r="B94" s="310"/>
      <c r="C94" s="311"/>
      <c r="D94" s="311"/>
    </row>
    <row r="95" spans="1:4" ht="20.25" x14ac:dyDescent="0.25">
      <c r="A95" s="299"/>
      <c r="B95" s="310"/>
      <c r="C95" s="311"/>
      <c r="D95" s="311"/>
    </row>
    <row r="96" spans="1:4" ht="20.25" x14ac:dyDescent="0.25">
      <c r="A96" s="299"/>
      <c r="B96" s="310"/>
      <c r="C96" s="311"/>
      <c r="D96" s="311"/>
    </row>
    <row r="97" spans="1:4" ht="20.25" x14ac:dyDescent="0.25">
      <c r="A97" s="299"/>
      <c r="B97" s="310"/>
      <c r="C97" s="311"/>
      <c r="D97" s="311"/>
    </row>
    <row r="98" spans="1:4" ht="20.25" x14ac:dyDescent="0.25">
      <c r="A98" s="299"/>
      <c r="B98" s="310"/>
      <c r="C98" s="311"/>
      <c r="D98" s="311"/>
    </row>
    <row r="99" spans="1:4" ht="20.25" x14ac:dyDescent="0.25">
      <c r="A99" s="299"/>
      <c r="B99" s="310"/>
      <c r="C99" s="311"/>
      <c r="D99" s="311"/>
    </row>
    <row r="100" spans="1:4" ht="20.25" x14ac:dyDescent="0.25">
      <c r="A100" s="299"/>
      <c r="B100" s="310"/>
      <c r="C100" s="311"/>
      <c r="D100" s="311"/>
    </row>
    <row r="101" spans="1:4" ht="20.25" x14ac:dyDescent="0.25">
      <c r="A101" s="299"/>
      <c r="B101" s="310"/>
      <c r="C101" s="311"/>
      <c r="D101" s="311"/>
    </row>
    <row r="102" spans="1:4" ht="20.25" x14ac:dyDescent="0.25">
      <c r="A102" s="299"/>
      <c r="B102" s="310"/>
      <c r="C102" s="311"/>
      <c r="D102" s="311"/>
    </row>
    <row r="103" spans="1:4" ht="20.25" x14ac:dyDescent="0.25">
      <c r="A103" s="299"/>
      <c r="B103" s="310"/>
      <c r="C103" s="311"/>
      <c r="D103" s="311"/>
    </row>
    <row r="104" spans="1:4" ht="20.25" x14ac:dyDescent="0.25">
      <c r="A104" s="299"/>
      <c r="B104" s="310"/>
      <c r="C104" s="311"/>
      <c r="D104" s="311"/>
    </row>
    <row r="105" spans="1:4" ht="20.25" x14ac:dyDescent="0.25">
      <c r="A105" s="299"/>
      <c r="B105" s="310"/>
      <c r="C105" s="311"/>
      <c r="D105" s="311"/>
    </row>
    <row r="106" spans="1:4" ht="20.25" x14ac:dyDescent="0.25">
      <c r="A106" s="299"/>
      <c r="B106" s="310"/>
      <c r="C106" s="311"/>
      <c r="D106" s="311"/>
    </row>
    <row r="107" spans="1:4" ht="20.25" x14ac:dyDescent="0.25">
      <c r="A107" s="299"/>
      <c r="B107" s="310"/>
      <c r="C107" s="311"/>
      <c r="D107" s="311"/>
    </row>
    <row r="108" spans="1:4" ht="20.25" x14ac:dyDescent="0.25">
      <c r="A108" s="299"/>
      <c r="B108" s="310"/>
      <c r="C108" s="311"/>
      <c r="D108" s="311"/>
    </row>
    <row r="109" spans="1:4" ht="20.25" x14ac:dyDescent="0.25">
      <c r="A109" s="299"/>
      <c r="B109" s="310"/>
      <c r="C109" s="311"/>
      <c r="D109" s="311"/>
    </row>
    <row r="110" spans="1:4" ht="20.25" x14ac:dyDescent="0.25">
      <c r="A110" s="299"/>
      <c r="B110" s="310"/>
      <c r="C110" s="311"/>
      <c r="D110" s="311"/>
    </row>
    <row r="111" spans="1:4" ht="20.25" x14ac:dyDescent="0.25">
      <c r="A111" s="299"/>
      <c r="B111" s="310"/>
      <c r="C111" s="311"/>
      <c r="D111" s="311"/>
    </row>
    <row r="112" spans="1:4" ht="20.25" x14ac:dyDescent="0.25">
      <c r="A112" s="299"/>
      <c r="B112" s="310"/>
      <c r="C112" s="311"/>
      <c r="D112" s="311"/>
    </row>
    <row r="113" spans="1:4" ht="20.25" x14ac:dyDescent="0.25">
      <c r="A113" s="299"/>
      <c r="B113" s="310"/>
      <c r="C113" s="311"/>
      <c r="D113" s="311"/>
    </row>
    <row r="114" spans="1:4" ht="20.25" x14ac:dyDescent="0.25">
      <c r="A114" s="299"/>
      <c r="B114" s="310"/>
      <c r="C114" s="311"/>
      <c r="D114" s="311"/>
    </row>
    <row r="115" spans="1:4" ht="20.25" x14ac:dyDescent="0.25">
      <c r="A115" s="299"/>
      <c r="B115" s="310"/>
      <c r="C115" s="311"/>
      <c r="D115" s="311"/>
    </row>
    <row r="116" spans="1:4" ht="20.25" x14ac:dyDescent="0.25">
      <c r="A116" s="299"/>
      <c r="B116" s="310"/>
      <c r="C116" s="311"/>
      <c r="D116" s="311"/>
    </row>
    <row r="117" spans="1:4" ht="20.25" x14ac:dyDescent="0.25">
      <c r="A117" s="299"/>
      <c r="B117" s="310"/>
      <c r="C117" s="311"/>
      <c r="D117" s="311"/>
    </row>
    <row r="118" spans="1:4" ht="20.25" x14ac:dyDescent="0.25">
      <c r="A118" s="299"/>
      <c r="B118" s="310"/>
      <c r="C118" s="311"/>
      <c r="D118" s="311"/>
    </row>
    <row r="119" spans="1:4" ht="20.25" x14ac:dyDescent="0.25">
      <c r="A119" s="299"/>
      <c r="B119" s="310"/>
      <c r="C119" s="311"/>
      <c r="D119" s="311"/>
    </row>
    <row r="120" spans="1:4" ht="20.25" x14ac:dyDescent="0.25">
      <c r="A120" s="299"/>
      <c r="B120" s="310"/>
      <c r="C120" s="311"/>
      <c r="D120" s="311"/>
    </row>
    <row r="121" spans="1:4" ht="20.25" x14ac:dyDescent="0.25">
      <c r="A121" s="299"/>
      <c r="B121" s="310"/>
      <c r="C121" s="311"/>
      <c r="D121" s="311"/>
    </row>
    <row r="122" spans="1:4" ht="20.25" x14ac:dyDescent="0.25">
      <c r="A122" s="299"/>
      <c r="B122" s="310"/>
      <c r="C122" s="311"/>
      <c r="D122" s="311"/>
    </row>
    <row r="123" spans="1:4" ht="20.25" x14ac:dyDescent="0.25">
      <c r="A123" s="299"/>
      <c r="B123" s="310"/>
      <c r="C123" s="311"/>
      <c r="D123" s="311"/>
    </row>
    <row r="124" spans="1:4" ht="20.25" x14ac:dyDescent="0.25">
      <c r="A124" s="299"/>
      <c r="B124" s="310"/>
      <c r="C124" s="311"/>
      <c r="D124" s="311"/>
    </row>
    <row r="125" spans="1:4" ht="20.25" x14ac:dyDescent="0.25">
      <c r="A125" s="299"/>
      <c r="B125" s="310"/>
      <c r="C125" s="311"/>
      <c r="D125" s="311"/>
    </row>
    <row r="126" spans="1:4" ht="20.25" x14ac:dyDescent="0.25">
      <c r="A126" s="299"/>
      <c r="B126" s="310"/>
      <c r="C126" s="311"/>
      <c r="D126" s="311"/>
    </row>
    <row r="127" spans="1:4" ht="20.25" x14ac:dyDescent="0.25">
      <c r="A127" s="299"/>
      <c r="B127" s="310"/>
      <c r="C127" s="311"/>
      <c r="D127" s="311"/>
    </row>
    <row r="128" spans="1:4" ht="20.25" x14ac:dyDescent="0.25">
      <c r="A128" s="299"/>
      <c r="B128" s="310"/>
      <c r="C128" s="311"/>
      <c r="D128" s="311"/>
    </row>
    <row r="129" spans="1:4" ht="20.25" x14ac:dyDescent="0.25">
      <c r="A129" s="299"/>
      <c r="B129" s="310"/>
      <c r="C129" s="311"/>
      <c r="D129" s="311"/>
    </row>
    <row r="130" spans="1:4" ht="20.25" x14ac:dyDescent="0.25">
      <c r="A130" s="299"/>
      <c r="B130" s="310"/>
      <c r="C130" s="311"/>
      <c r="D130" s="311"/>
    </row>
    <row r="131" spans="1:4" ht="20.25" x14ac:dyDescent="0.25">
      <c r="A131" s="299"/>
      <c r="B131" s="310"/>
      <c r="C131" s="311"/>
      <c r="D131" s="311"/>
    </row>
    <row r="132" spans="1:4" ht="20.25" x14ac:dyDescent="0.25">
      <c r="A132" s="299"/>
      <c r="B132" s="310"/>
      <c r="C132" s="311"/>
      <c r="D132" s="311"/>
    </row>
    <row r="133" spans="1:4" ht="20.25" x14ac:dyDescent="0.25">
      <c r="A133" s="299"/>
      <c r="B133" s="310"/>
      <c r="C133" s="311"/>
      <c r="D133" s="311"/>
    </row>
    <row r="134" spans="1:4" ht="20.25" x14ac:dyDescent="0.25">
      <c r="A134" s="299"/>
      <c r="B134" s="310"/>
      <c r="C134" s="311"/>
      <c r="D134" s="311"/>
    </row>
    <row r="135" spans="1:4" ht="20.25" x14ac:dyDescent="0.25">
      <c r="A135" s="299"/>
      <c r="B135" s="310"/>
      <c r="C135" s="311"/>
      <c r="D135" s="311"/>
    </row>
    <row r="136" spans="1:4" ht="20.25" x14ac:dyDescent="0.25">
      <c r="A136" s="299"/>
      <c r="B136" s="310"/>
      <c r="C136" s="311"/>
      <c r="D136" s="311"/>
    </row>
    <row r="137" spans="1:4" ht="20.25" x14ac:dyDescent="0.25">
      <c r="A137" s="299"/>
      <c r="B137" s="310"/>
      <c r="C137" s="311"/>
      <c r="D137" s="311"/>
    </row>
    <row r="138" spans="1:4" ht="20.25" x14ac:dyDescent="0.25">
      <c r="A138" s="299"/>
      <c r="B138" s="310"/>
      <c r="C138" s="311"/>
      <c r="D138" s="311"/>
    </row>
    <row r="139" spans="1:4" ht="20.25" x14ac:dyDescent="0.25">
      <c r="A139" s="299"/>
      <c r="B139" s="310"/>
      <c r="C139" s="311"/>
      <c r="D139" s="311"/>
    </row>
    <row r="140" spans="1:4" ht="20.25" x14ac:dyDescent="0.25">
      <c r="A140" s="299"/>
      <c r="B140" s="310"/>
      <c r="C140" s="311"/>
      <c r="D140" s="311"/>
    </row>
    <row r="141" spans="1:4" ht="20.25" x14ac:dyDescent="0.25">
      <c r="A141" s="299"/>
      <c r="B141" s="310"/>
      <c r="C141" s="311"/>
      <c r="D141" s="311"/>
    </row>
    <row r="142" spans="1:4" ht="20.25" x14ac:dyDescent="0.25">
      <c r="A142" s="299"/>
      <c r="B142" s="310"/>
      <c r="C142" s="311"/>
      <c r="D142" s="311"/>
    </row>
    <row r="143" spans="1:4" ht="20.25" x14ac:dyDescent="0.25">
      <c r="A143" s="299"/>
      <c r="B143" s="310"/>
      <c r="C143" s="311"/>
      <c r="D143" s="311"/>
    </row>
    <row r="144" spans="1:4" ht="20.25" x14ac:dyDescent="0.25">
      <c r="A144" s="299"/>
      <c r="B144" s="310"/>
      <c r="C144" s="311"/>
      <c r="D144" s="311"/>
    </row>
    <row r="145" spans="1:4" ht="20.25" x14ac:dyDescent="0.25">
      <c r="A145" s="299"/>
      <c r="B145" s="310"/>
      <c r="C145" s="311"/>
      <c r="D145" s="311"/>
    </row>
    <row r="146" spans="1:4" ht="20.25" x14ac:dyDescent="0.25">
      <c r="A146" s="299"/>
      <c r="B146" s="310"/>
      <c r="C146" s="311"/>
      <c r="D146" s="311"/>
    </row>
    <row r="147" spans="1:4" ht="20.25" x14ac:dyDescent="0.25">
      <c r="A147" s="299"/>
      <c r="B147" s="310"/>
      <c r="C147" s="311"/>
      <c r="D147" s="311"/>
    </row>
    <row r="148" spans="1:4" ht="20.25" x14ac:dyDescent="0.25">
      <c r="A148" s="299"/>
      <c r="B148" s="310"/>
      <c r="C148" s="311"/>
      <c r="D148" s="311"/>
    </row>
    <row r="149" spans="1:4" ht="20.25" x14ac:dyDescent="0.25">
      <c r="A149" s="299"/>
      <c r="B149" s="310"/>
      <c r="C149" s="311"/>
      <c r="D149" s="311"/>
    </row>
    <row r="150" spans="1:4" ht="20.25" x14ac:dyDescent="0.25">
      <c r="A150" s="299"/>
      <c r="B150" s="310"/>
      <c r="C150" s="311"/>
      <c r="D150" s="311"/>
    </row>
    <row r="151" spans="1:4" ht="20.25" x14ac:dyDescent="0.25">
      <c r="A151" s="299"/>
      <c r="B151" s="310"/>
      <c r="C151" s="311"/>
      <c r="D151" s="311"/>
    </row>
    <row r="152" spans="1:4" ht="20.25" x14ac:dyDescent="0.25">
      <c r="A152" s="299"/>
      <c r="B152" s="310"/>
      <c r="C152" s="311"/>
      <c r="D152" s="311"/>
    </row>
    <row r="153" spans="1:4" ht="20.25" x14ac:dyDescent="0.25">
      <c r="A153" s="299"/>
      <c r="B153" s="310"/>
      <c r="C153" s="311"/>
      <c r="D153" s="311"/>
    </row>
    <row r="154" spans="1:4" ht="20.25" x14ac:dyDescent="0.25">
      <c r="A154" s="299"/>
      <c r="B154" s="310"/>
      <c r="C154" s="311"/>
      <c r="D154" s="311"/>
    </row>
    <row r="155" spans="1:4" ht="20.25" x14ac:dyDescent="0.25">
      <c r="A155" s="299"/>
      <c r="B155" s="310"/>
      <c r="C155" s="311"/>
      <c r="D155" s="311"/>
    </row>
    <row r="156" spans="1:4" ht="20.25" x14ac:dyDescent="0.25">
      <c r="A156" s="299"/>
      <c r="B156" s="310"/>
      <c r="C156" s="311"/>
      <c r="D156" s="311"/>
    </row>
    <row r="157" spans="1:4" ht="20.25" x14ac:dyDescent="0.25">
      <c r="A157" s="299"/>
      <c r="B157" s="310"/>
      <c r="C157" s="311"/>
      <c r="D157" s="311"/>
    </row>
    <row r="158" spans="1:4" ht="20.25" x14ac:dyDescent="0.25">
      <c r="A158" s="299"/>
      <c r="B158" s="310"/>
      <c r="C158" s="311"/>
      <c r="D158" s="311"/>
    </row>
    <row r="159" spans="1:4" ht="20.25" x14ac:dyDescent="0.25">
      <c r="A159" s="299"/>
      <c r="B159" s="310"/>
      <c r="C159" s="311"/>
      <c r="D159" s="311"/>
    </row>
    <row r="160" spans="1:4" ht="20.25" x14ac:dyDescent="0.25">
      <c r="A160" s="299"/>
      <c r="B160" s="310"/>
      <c r="C160" s="311"/>
      <c r="D160" s="311"/>
    </row>
    <row r="161" spans="1:4" ht="20.25" x14ac:dyDescent="0.25">
      <c r="A161" s="299"/>
      <c r="B161" s="310"/>
      <c r="C161" s="311"/>
      <c r="D161" s="311"/>
    </row>
    <row r="162" spans="1:4" ht="20.25" x14ac:dyDescent="0.25">
      <c r="A162" s="299"/>
      <c r="B162" s="310"/>
      <c r="C162" s="311"/>
      <c r="D162" s="311"/>
    </row>
    <row r="163" spans="1:4" ht="20.25" x14ac:dyDescent="0.25">
      <c r="A163" s="299"/>
      <c r="B163" s="310"/>
      <c r="C163" s="311"/>
      <c r="D163" s="311"/>
    </row>
    <row r="164" spans="1:4" ht="20.25" x14ac:dyDescent="0.25">
      <c r="A164" s="299"/>
      <c r="B164" s="310"/>
      <c r="C164" s="311"/>
      <c r="D164" s="311"/>
    </row>
    <row r="165" spans="1:4" ht="20.25" x14ac:dyDescent="0.25">
      <c r="A165" s="299"/>
      <c r="B165" s="310"/>
      <c r="C165" s="311"/>
      <c r="D165" s="311"/>
    </row>
    <row r="166" spans="1:4" ht="20.25" x14ac:dyDescent="0.25">
      <c r="A166" s="299"/>
      <c r="B166" s="310"/>
      <c r="C166" s="311"/>
      <c r="D166" s="311"/>
    </row>
    <row r="167" spans="1:4" ht="20.25" x14ac:dyDescent="0.25">
      <c r="A167" s="299"/>
      <c r="B167" s="310"/>
      <c r="C167" s="311"/>
      <c r="D167" s="311"/>
    </row>
    <row r="168" spans="1:4" ht="20.25" x14ac:dyDescent="0.25">
      <c r="A168" s="299"/>
      <c r="B168" s="310"/>
      <c r="C168" s="311"/>
      <c r="D168" s="311"/>
    </row>
    <row r="169" spans="1:4" ht="20.25" x14ac:dyDescent="0.25">
      <c r="A169" s="299"/>
      <c r="B169" s="310"/>
      <c r="C169" s="311"/>
      <c r="D169" s="311"/>
    </row>
    <row r="170" spans="1:4" ht="20.25" x14ac:dyDescent="0.25">
      <c r="A170" s="299"/>
      <c r="B170" s="310"/>
      <c r="C170" s="311"/>
      <c r="D170" s="311"/>
    </row>
    <row r="171" spans="1:4" ht="20.25" x14ac:dyDescent="0.25">
      <c r="A171" s="299"/>
      <c r="B171" s="310"/>
      <c r="C171" s="311"/>
      <c r="D171" s="311"/>
    </row>
    <row r="172" spans="1:4" ht="20.25" x14ac:dyDescent="0.25">
      <c r="A172" s="299"/>
      <c r="B172" s="310"/>
      <c r="C172" s="311"/>
      <c r="D172" s="311"/>
    </row>
    <row r="173" spans="1:4" ht="20.25" x14ac:dyDescent="0.25">
      <c r="A173" s="299"/>
      <c r="B173" s="310"/>
      <c r="C173" s="311"/>
      <c r="D173" s="311"/>
    </row>
    <row r="174" spans="1:4" ht="20.25" x14ac:dyDescent="0.25">
      <c r="A174" s="299"/>
      <c r="B174" s="310"/>
      <c r="C174" s="311"/>
      <c r="D174" s="311"/>
    </row>
    <row r="175" spans="1:4" ht="20.25" x14ac:dyDescent="0.25">
      <c r="A175" s="299"/>
      <c r="B175" s="310"/>
      <c r="C175" s="311"/>
      <c r="D175" s="311"/>
    </row>
    <row r="176" spans="1:4" ht="20.25" x14ac:dyDescent="0.25">
      <c r="A176" s="299"/>
      <c r="B176" s="310"/>
      <c r="C176" s="311"/>
      <c r="D176" s="311"/>
    </row>
    <row r="177" spans="1:4" ht="20.25" x14ac:dyDescent="0.25">
      <c r="A177" s="299"/>
      <c r="B177" s="310"/>
      <c r="C177" s="311"/>
      <c r="D177" s="311"/>
    </row>
    <row r="178" spans="1:4" ht="20.25" x14ac:dyDescent="0.25">
      <c r="A178" s="299"/>
      <c r="B178" s="310"/>
      <c r="C178" s="311"/>
      <c r="D178" s="311"/>
    </row>
    <row r="179" spans="1:4" ht="20.25" x14ac:dyDescent="0.25">
      <c r="A179" s="299"/>
      <c r="B179" s="310"/>
      <c r="C179" s="311"/>
      <c r="D179" s="311"/>
    </row>
    <row r="180" spans="1:4" ht="20.25" x14ac:dyDescent="0.25">
      <c r="A180" s="299"/>
      <c r="B180" s="310"/>
      <c r="C180" s="311"/>
      <c r="D180" s="311"/>
    </row>
    <row r="181" spans="1:4" ht="20.25" x14ac:dyDescent="0.25">
      <c r="A181" s="299"/>
      <c r="B181" s="310"/>
      <c r="C181" s="311"/>
      <c r="D181" s="311"/>
    </row>
    <row r="182" spans="1:4" ht="20.25" x14ac:dyDescent="0.25">
      <c r="A182" s="299"/>
      <c r="B182" s="310"/>
      <c r="C182" s="311"/>
      <c r="D182" s="311"/>
    </row>
    <row r="183" spans="1:4" ht="20.25" x14ac:dyDescent="0.25">
      <c r="A183" s="299"/>
      <c r="B183" s="310"/>
      <c r="C183" s="311"/>
      <c r="D183" s="311"/>
    </row>
    <row r="184" spans="1:4" ht="20.25" x14ac:dyDescent="0.25">
      <c r="A184" s="299"/>
      <c r="B184" s="310"/>
      <c r="C184" s="311"/>
      <c r="D184" s="311"/>
    </row>
    <row r="185" spans="1:4" ht="20.25" x14ac:dyDescent="0.25">
      <c r="A185" s="299"/>
      <c r="B185" s="310"/>
      <c r="C185" s="311"/>
      <c r="D185" s="311"/>
    </row>
    <row r="186" spans="1:4" ht="20.25" x14ac:dyDescent="0.25">
      <c r="A186" s="299"/>
      <c r="B186" s="310"/>
      <c r="C186" s="311"/>
      <c r="D186" s="311"/>
    </row>
    <row r="187" spans="1:4" ht="20.25" x14ac:dyDescent="0.25">
      <c r="A187" s="299"/>
      <c r="B187" s="310"/>
      <c r="C187" s="311"/>
      <c r="D187" s="311"/>
    </row>
    <row r="188" spans="1:4" ht="20.25" x14ac:dyDescent="0.25">
      <c r="A188" s="299"/>
      <c r="B188" s="310"/>
      <c r="C188" s="311"/>
      <c r="D188" s="311"/>
    </row>
    <row r="189" spans="1:4" ht="20.25" x14ac:dyDescent="0.25">
      <c r="A189" s="299"/>
      <c r="B189" s="310"/>
      <c r="C189" s="311"/>
      <c r="D189" s="311"/>
    </row>
    <row r="190" spans="1:4" ht="20.25" x14ac:dyDescent="0.25">
      <c r="A190" s="299"/>
      <c r="B190" s="310"/>
      <c r="C190" s="311"/>
      <c r="D190" s="311"/>
    </row>
    <row r="191" spans="1:4" ht="20.25" x14ac:dyDescent="0.25">
      <c r="A191" s="299"/>
      <c r="B191" s="310"/>
      <c r="C191" s="311"/>
      <c r="D191" s="311"/>
    </row>
    <row r="192" spans="1:4" ht="20.25" x14ac:dyDescent="0.25">
      <c r="A192" s="299"/>
      <c r="B192" s="310"/>
      <c r="C192" s="311"/>
      <c r="D192" s="311"/>
    </row>
    <row r="193" spans="1:4" ht="20.25" x14ac:dyDescent="0.25">
      <c r="A193" s="299"/>
      <c r="B193" s="310"/>
      <c r="C193" s="311"/>
      <c r="D193" s="311"/>
    </row>
    <row r="194" spans="1:4" ht="20.25" x14ac:dyDescent="0.25">
      <c r="A194" s="299"/>
      <c r="B194" s="310"/>
      <c r="C194" s="311"/>
      <c r="D194" s="311"/>
    </row>
    <row r="195" spans="1:4" ht="20.25" x14ac:dyDescent="0.25">
      <c r="A195" s="299"/>
      <c r="B195" s="310"/>
      <c r="C195" s="311"/>
      <c r="D195" s="311"/>
    </row>
    <row r="196" spans="1:4" ht="20.25" x14ac:dyDescent="0.25">
      <c r="A196" s="299"/>
      <c r="B196" s="310"/>
      <c r="C196" s="311"/>
      <c r="D196" s="311"/>
    </row>
    <row r="197" spans="1:4" ht="20.25" x14ac:dyDescent="0.25">
      <c r="A197" s="299"/>
      <c r="B197" s="310"/>
      <c r="C197" s="311"/>
      <c r="D197" s="311"/>
    </row>
    <row r="198" spans="1:4" ht="20.25" x14ac:dyDescent="0.25">
      <c r="A198" s="299"/>
      <c r="B198" s="310"/>
      <c r="C198" s="311"/>
      <c r="D198" s="311"/>
    </row>
    <row r="199" spans="1:4" ht="20.25" x14ac:dyDescent="0.25">
      <c r="A199" s="299"/>
      <c r="B199" s="310"/>
      <c r="C199" s="311"/>
      <c r="D199" s="311"/>
    </row>
    <row r="200" spans="1:4" ht="20.25" x14ac:dyDescent="0.25">
      <c r="A200" s="299"/>
      <c r="B200" s="310"/>
      <c r="C200" s="311"/>
      <c r="D200" s="311"/>
    </row>
    <row r="201" spans="1:4" ht="20.25" x14ac:dyDescent="0.25">
      <c r="A201" s="299"/>
      <c r="B201" s="310"/>
      <c r="C201" s="311"/>
      <c r="D201" s="311"/>
    </row>
    <row r="202" spans="1:4" ht="20.25" x14ac:dyDescent="0.25">
      <c r="A202" s="299"/>
      <c r="B202" s="310"/>
      <c r="C202" s="311"/>
      <c r="D202" s="311"/>
    </row>
    <row r="203" spans="1:4" ht="20.25" x14ac:dyDescent="0.25">
      <c r="A203" s="299"/>
      <c r="B203" s="310"/>
      <c r="C203" s="311"/>
      <c r="D203" s="311"/>
    </row>
    <row r="204" spans="1:4" ht="20.25" x14ac:dyDescent="0.25">
      <c r="A204" s="299"/>
      <c r="B204" s="310"/>
      <c r="C204" s="311"/>
      <c r="D204" s="311"/>
    </row>
    <row r="205" spans="1:4" ht="20.25" x14ac:dyDescent="0.25">
      <c r="A205" s="299"/>
      <c r="B205" s="310"/>
      <c r="C205" s="311"/>
      <c r="D205" s="311"/>
    </row>
    <row r="206" spans="1:4" ht="20.25" x14ac:dyDescent="0.25">
      <c r="A206" s="299"/>
      <c r="B206" s="310"/>
      <c r="C206" s="311"/>
      <c r="D206" s="311"/>
    </row>
    <row r="207" spans="1:4" ht="20.25" x14ac:dyDescent="0.25">
      <c r="A207" s="299"/>
      <c r="B207" s="310"/>
      <c r="C207" s="311"/>
      <c r="D207" s="311"/>
    </row>
    <row r="208" spans="1:4" x14ac:dyDescent="0.25">
      <c r="A208" s="15"/>
      <c r="B208" s="310"/>
      <c r="C208" s="310"/>
      <c r="D208" s="310"/>
    </row>
    <row r="209" spans="1:8" ht="20.25" x14ac:dyDescent="0.25">
      <c r="A209" s="15"/>
      <c r="B209" s="312" t="s">
        <v>704</v>
      </c>
      <c r="C209" s="312" t="s">
        <v>705</v>
      </c>
      <c r="D209" t="s">
        <v>704</v>
      </c>
      <c r="E209" t="s">
        <v>705</v>
      </c>
    </row>
    <row r="210" spans="1:8" ht="21" x14ac:dyDescent="0.35">
      <c r="A210" s="15"/>
      <c r="B210" s="313" t="s">
        <v>706</v>
      </c>
      <c r="C210" s="313" t="s">
        <v>707</v>
      </c>
      <c r="D210" t="s">
        <v>706</v>
      </c>
      <c r="F210" t="str">
        <f>IF(NOT(ISBLANK(D210)),D210,IF(NOT(ISBLANK(E210)),"     "&amp;E210,FALSE))</f>
        <v>Afectación Económica o presupuestal</v>
      </c>
      <c r="G210" t="s">
        <v>706</v>
      </c>
      <c r="H210" t="str">
        <f>IF(NOT(ISERROR(MATCH(G210,_xlfn.ANCHORARRAY(B221),0))),F223&amp;"Por favor no seleccionar los criterios de impacto",G210)</f>
        <v>❌Por favor no seleccionar los criterios de impacto</v>
      </c>
    </row>
    <row r="211" spans="1:8" ht="21" x14ac:dyDescent="0.35">
      <c r="A211" s="15"/>
      <c r="B211" s="313" t="s">
        <v>706</v>
      </c>
      <c r="C211" s="313" t="s">
        <v>680</v>
      </c>
      <c r="E211" t="s">
        <v>707</v>
      </c>
      <c r="F211" t="str">
        <f t="shared" ref="F211:F221" si="0">IF(NOT(ISBLANK(D211)),D211,IF(NOT(ISBLANK(E211)),"     "&amp;E211,FALSE))</f>
        <v xml:space="preserve">     Afectación menor a 10 SMLMV .</v>
      </c>
    </row>
    <row r="212" spans="1:8" ht="21" x14ac:dyDescent="0.35">
      <c r="A212" s="15"/>
      <c r="B212" s="313" t="s">
        <v>706</v>
      </c>
      <c r="C212" s="313" t="s">
        <v>708</v>
      </c>
      <c r="E212" t="s">
        <v>680</v>
      </c>
      <c r="F212" t="str">
        <f t="shared" si="0"/>
        <v xml:space="preserve">     Entre 10 y 50 SMLMV </v>
      </c>
    </row>
    <row r="213" spans="1:8" ht="21" x14ac:dyDescent="0.35">
      <c r="A213" s="15"/>
      <c r="B213" s="313" t="s">
        <v>706</v>
      </c>
      <c r="C213" s="313" t="s">
        <v>709</v>
      </c>
      <c r="E213" t="s">
        <v>683</v>
      </c>
      <c r="F213" t="str">
        <f t="shared" si="0"/>
        <v xml:space="preserve">     Entre 51 y 100 SMLMV </v>
      </c>
    </row>
    <row r="214" spans="1:8" ht="21" x14ac:dyDescent="0.35">
      <c r="A214" s="15"/>
      <c r="B214" s="313" t="s">
        <v>706</v>
      </c>
      <c r="C214" s="313" t="s">
        <v>710</v>
      </c>
      <c r="E214" t="s">
        <v>687</v>
      </c>
      <c r="F214" t="str">
        <f t="shared" si="0"/>
        <v xml:space="preserve">     Entre 101 y 500 SMLMV </v>
      </c>
    </row>
    <row r="215" spans="1:8" ht="21" x14ac:dyDescent="0.35">
      <c r="A215" s="15"/>
      <c r="B215" s="313" t="s">
        <v>673</v>
      </c>
      <c r="C215" s="313" t="s">
        <v>677</v>
      </c>
      <c r="E215" t="s">
        <v>691</v>
      </c>
      <c r="F215" t="str">
        <f t="shared" si="0"/>
        <v xml:space="preserve">     Mayor a 501 SMLMV </v>
      </c>
    </row>
    <row r="216" spans="1:8" ht="21" x14ac:dyDescent="0.35">
      <c r="A216" s="15"/>
      <c r="B216" s="313" t="s">
        <v>673</v>
      </c>
      <c r="C216" s="313" t="s">
        <v>681</v>
      </c>
      <c r="D216" t="s">
        <v>673</v>
      </c>
      <c r="F216" t="str">
        <f t="shared" si="0"/>
        <v>Pérdida Reputacional</v>
      </c>
    </row>
    <row r="217" spans="1:8" ht="21" x14ac:dyDescent="0.35">
      <c r="A217" s="15"/>
      <c r="B217" s="313" t="s">
        <v>673</v>
      </c>
      <c r="C217" s="313" t="s">
        <v>684</v>
      </c>
      <c r="E217" t="s">
        <v>677</v>
      </c>
      <c r="F217" t="str">
        <f t="shared" si="0"/>
        <v xml:space="preserve">     El riesgo afecta la imagen de alguna área de la organización</v>
      </c>
    </row>
    <row r="218" spans="1:8" ht="21" x14ac:dyDescent="0.35">
      <c r="A218" s="15"/>
      <c r="B218" s="313" t="s">
        <v>673</v>
      </c>
      <c r="C218" s="313" t="s">
        <v>688</v>
      </c>
      <c r="E218" t="s">
        <v>681</v>
      </c>
      <c r="F218" t="str">
        <f t="shared" si="0"/>
        <v xml:space="preserve">     El riesgo afecta la imagen de la entidad internamente, de conocimiento general, nivel interno, de junta dircetiva y accionistas y/o de provedores</v>
      </c>
    </row>
    <row r="219" spans="1:8" ht="21" x14ac:dyDescent="0.35">
      <c r="A219" s="15"/>
      <c r="B219" s="313" t="s">
        <v>673</v>
      </c>
      <c r="C219" s="313" t="s">
        <v>692</v>
      </c>
      <c r="E219" t="s">
        <v>684</v>
      </c>
      <c r="F219" t="str">
        <f t="shared" si="0"/>
        <v xml:space="preserve">     El riesgo afecta la imagen de la entidad con algunos usuarios de relevancia frente al logro de los objetivos</v>
      </c>
    </row>
    <row r="220" spans="1:8" x14ac:dyDescent="0.25">
      <c r="A220" s="15"/>
      <c r="B220" s="314"/>
      <c r="C220" s="314"/>
      <c r="E220" t="s">
        <v>688</v>
      </c>
      <c r="F220" t="str">
        <f t="shared" si="0"/>
        <v xml:space="preserve">     El riesgo afecta la imagen de de la entidad con efecto publicitario sostenido a nivel de sector administrativo, nivel departamental o municipal</v>
      </c>
    </row>
    <row r="221" spans="1:8" x14ac:dyDescent="0.25">
      <c r="A221" s="15"/>
      <c r="B221" s="314" t="str">
        <f t="array" ref="B221:B223">_xlfn.UNIQUE(Tabla112[[#All],[Criterios]])</f>
        <v>Criterios</v>
      </c>
      <c r="C221" s="314"/>
      <c r="E221" t="s">
        <v>692</v>
      </c>
      <c r="F221" t="str">
        <f t="shared" si="0"/>
        <v xml:space="preserve">     El riesgo afecta la imagen de la entidad a nivel nacional, con efecto publicitarios sostenible a nivel país</v>
      </c>
    </row>
    <row r="222" spans="1:8" x14ac:dyDescent="0.25">
      <c r="A222" s="15"/>
      <c r="B222" s="314" t="str">
        <v>Afectación Económica o presupuestal</v>
      </c>
      <c r="C222" s="314"/>
    </row>
    <row r="223" spans="1:8" x14ac:dyDescent="0.25">
      <c r="B223" s="314" t="str">
        <v>Pérdida Reputacional</v>
      </c>
      <c r="C223" s="314"/>
      <c r="F223" s="315" t="s">
        <v>711</v>
      </c>
    </row>
    <row r="224" spans="1:8" x14ac:dyDescent="0.25">
      <c r="B224" s="316"/>
      <c r="C224" s="316"/>
      <c r="F224" s="315" t="s">
        <v>712</v>
      </c>
    </row>
    <row r="225" spans="2:4" x14ac:dyDescent="0.25">
      <c r="B225" s="316"/>
      <c r="C225" s="316"/>
    </row>
    <row r="226" spans="2:4" x14ac:dyDescent="0.25">
      <c r="B226" s="316"/>
      <c r="C226" s="316"/>
    </row>
    <row r="227" spans="2:4" x14ac:dyDescent="0.25">
      <c r="B227" s="316"/>
      <c r="C227" s="316"/>
      <c r="D227" s="316"/>
    </row>
    <row r="228" spans="2:4" x14ac:dyDescent="0.25">
      <c r="B228" s="316"/>
      <c r="C228" s="316"/>
      <c r="D228" s="316"/>
    </row>
    <row r="229" spans="2:4" x14ac:dyDescent="0.25">
      <c r="B229" s="316"/>
      <c r="C229" s="316"/>
      <c r="D229" s="316"/>
    </row>
    <row r="230" spans="2:4" x14ac:dyDescent="0.25">
      <c r="B230" s="316"/>
      <c r="C230" s="316"/>
      <c r="D230" s="316"/>
    </row>
    <row r="231" spans="2:4" x14ac:dyDescent="0.25">
      <c r="B231" s="316"/>
      <c r="C231" s="316"/>
      <c r="D231" s="316"/>
    </row>
    <row r="232" spans="2:4" x14ac:dyDescent="0.25">
      <c r="B232" s="316"/>
      <c r="C232" s="316"/>
      <c r="D232" s="316"/>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36E340-61B9-4210-9585-40BC13D6C638}"/>
</file>

<file path=customXml/itemProps2.xml><?xml version="1.0" encoding="utf-8"?>
<ds:datastoreItem xmlns:ds="http://schemas.openxmlformats.org/officeDocument/2006/customXml" ds:itemID="{65C09390-12F2-4DF3-B38E-9223F139DEB9}">
  <ds:schemaRefs>
    <ds:schemaRef ds:uri="http://schemas.microsoft.com/sharepoint/v3/contenttype/forms"/>
  </ds:schemaRefs>
</ds:datastoreItem>
</file>

<file path=customXml/itemProps3.xml><?xml version="1.0" encoding="utf-8"?>
<ds:datastoreItem xmlns:ds="http://schemas.openxmlformats.org/officeDocument/2006/customXml" ds:itemID="{BD25E3A0-5352-475F-AA06-B22E3C9092D6}">
  <ds:schemaRefs>
    <ds:schemaRef ds:uri="http://www.w3.org/XML/1998/namespace"/>
    <ds:schemaRef ds:uri="8d11d237-f108-4ce5-9fb0-89f4a21e2c20"/>
    <ds:schemaRef ds:uri="http://schemas.microsoft.com/office/infopath/2007/PartnerControls"/>
    <ds:schemaRef ds:uri="http://purl.org/dc/elements/1.1/"/>
    <ds:schemaRef ds:uri="http://purl.org/dc/dcmitype/"/>
    <ds:schemaRef ds:uri="http://schemas.microsoft.com/office/2006/documentManagement/types"/>
    <ds:schemaRef ds:uri="6542cbba-6b9a-45ef-a1a8-539097f1fd66"/>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2026-01-06T21:15:05Z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